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X:\CapitalMarkets\Pricing\02_Output\"/>
    </mc:Choice>
  </mc:AlternateContent>
  <xr:revisionPtr revIDLastSave="0" documentId="13_ncr:1_{00E8D76B-177E-48CF-8D0D-643A28652839}" xr6:coauthVersionLast="47" xr6:coauthVersionMax="47" xr10:uidLastSave="{00000000-0000-0000-0000-000000000000}"/>
  <workbookProtection workbookAlgorithmName="SHA-512" workbookHashValue="H6DEoCBLqHHZV7WTNa1oqVkTd4xZSnd/broj/55mc4Mc9i93YZjwKcFy59P7COxG5MwoJoMme4hNFwN1pixqUw==" workbookSaltValue="ryhe+Al9Kc5t/8s2yABS+Q==" workbookSpinCount="100000" lockStructure="1"/>
  <bookViews>
    <workbookView xWindow="2730" yWindow="1410" windowWidth="21525" windowHeight="14790" tabRatio="810" xr2:uid="{BC877112-EBE4-4195-BA98-772527B42B44}"/>
  </bookViews>
  <sheets>
    <sheet name="Price" sheetId="1" r:id="rId1"/>
    <sheet name="Structure" sheetId="2" state="hidden" r:id="rId2"/>
    <sheet name="Elig" sheetId="8" state="hidden" r:id="rId3"/>
    <sheet name="EligOverlay" sheetId="15" state="hidden" r:id="rId4"/>
    <sheet name="Output" sheetId="14" state="hidden" r:id="rId5"/>
    <sheet name="LoanTest" sheetId="13" state="hidden" r:id="rId6"/>
    <sheet name="Input" sheetId="5" state="hidden" r:id="rId7"/>
  </sheets>
  <externalReferences>
    <externalReference r:id="rId8"/>
  </externalReferences>
  <definedNames>
    <definedName name="_xlnm._FilterDatabase" localSheetId="2" hidden="1">Elig!$B$6:$CJ$783</definedName>
    <definedName name="AAA_Change_vs_Price_Multiplier">Price!$B$1</definedName>
    <definedName name="Bid_AddPrice">#REF!</definedName>
    <definedName name="Bid_AddPrice01">#REF!</definedName>
    <definedName name="Bid_AddPrice02">#REF!</definedName>
    <definedName name="Bid_AddPrice03">#REF!</definedName>
    <definedName name="Bid_AddPrice04">#REF!</definedName>
    <definedName name="Bid_AddPrice05">#REF!</definedName>
    <definedName name="Bid_AddPrice06">#REF!</definedName>
    <definedName name="Bid_AllData">#REF!</definedName>
    <definedName name="Bid_Group01">#REF!</definedName>
    <definedName name="Bid_Group02">#REF!</definedName>
    <definedName name="Bid_Group03">#REF!</definedName>
    <definedName name="Bid_Group04">#REF!</definedName>
    <definedName name="Bid_Group05">#REF!</definedName>
    <definedName name="Bid_Group06">#REF!</definedName>
    <definedName name="Bid_MaxPrice">#REF!</definedName>
    <definedName name="Bid_MaxPrice01">#REF!</definedName>
    <definedName name="Bid_MaxPrice02">#REF!</definedName>
    <definedName name="Bid_MaxPrice03">#REF!</definedName>
    <definedName name="Bid_MaxPrice04">#REF!</definedName>
    <definedName name="Bid_MaxPrice05">#REF!</definedName>
    <definedName name="Bid_MaxPrice06">#REF!</definedName>
    <definedName name="Calc_AVM_Adjusted">Price!#REF!</definedName>
    <definedName name="Calc_AVM_LTV">Price!#REF!</definedName>
    <definedName name="Calc_AVM_ValReduction">Price!#REF!</definedName>
    <definedName name="Calc_DSCR">#REF!</definedName>
    <definedName name="Elig_All">Elig!$B$7:$AE$783</definedName>
    <definedName name="Elig_All_TestMatch">Elig!$B$7:$BA$783</definedName>
    <definedName name="Elig_AmortTerm">Elig!$D$7:$D$783</definedName>
    <definedName name="Elig_AmortType">Elig!$E$7:$E$783</definedName>
    <definedName name="Elig_BankStmt">Elig!$H$7:$H$783</definedName>
    <definedName name="Elig_BaseLimit_CashoutAmt_Max">EligOverlay!$N$7</definedName>
    <definedName name="Elig_BaseLimit_CredScore_Min">EligOverlay!$P$7</definedName>
    <definedName name="Elig_BaseLimit_DSCR_Min">EligOverlay!$S$7</definedName>
    <definedName name="Elig_BaseLimit_DTI_Max">EligOverlay!$R$7</definedName>
    <definedName name="Elig_BaseLimit_LoanAmt_Max">EligOverlay!$M$7</definedName>
    <definedName name="Elig_BaseLimit_LTV_Max">EligOverlay!$O$7</definedName>
    <definedName name="Elig_BaseLimit_Reserves_Min">EligOverlay!$Q$7</definedName>
    <definedName name="Elig_CashoutAmt_Max">Elig!$U$7:$U$783</definedName>
    <definedName name="Elig_CashoutAmt_Min">Elig!$T$7:$T$783</definedName>
    <definedName name="Elig_Citizenship">Elig!$O$7:$O$783</definedName>
    <definedName name="Elig_CreditHistory">Elig!$L$7:$L$783</definedName>
    <definedName name="Elig_CreditScore_Max">Elig!$AA$7:$AA$783</definedName>
    <definedName name="Elig_CreditScore_Min">Elig!$Z$7:$Z$783</definedName>
    <definedName name="Elig_DocType">Elig!$G$7:$G$783</definedName>
    <definedName name="Elig_DSCR_Max">Elig!$Y$7:$Y$783</definedName>
    <definedName name="Elig_DSCR_Min">Elig!$X$7:$X$783</definedName>
    <definedName name="Elig_DTI_Max">Elig!$W$7:$W$783</definedName>
    <definedName name="Elig_DTI_Min">Elig!$V$7:$V$783</definedName>
    <definedName name="Elig_FinalLimit_CashoutAmt_Max">EligOverlay!$N$11</definedName>
    <definedName name="Elig_FinalLimit_CredScore_Min">EligOverlay!$P$11</definedName>
    <definedName name="Elig_FinalLimit_DSCR_Min">EligOverlay!$S$11</definedName>
    <definedName name="Elig_FinalLimit_DTI_Max">EligOverlay!$R$11</definedName>
    <definedName name="Elig_FinalLimit_LoanAmt_Max">EligOverlay!$M$11</definedName>
    <definedName name="Elig_FinalLimit_LTV_Max">EligOverlay!$O$11</definedName>
    <definedName name="Elig_FinalLimit_Reserves_Min">EligOverlay!$Q$11</definedName>
    <definedName name="Elig_FindMatrixMatch_All">Elig!$BB$4</definedName>
    <definedName name="Elig_FindMatrixMatch_LTVMax">Elig!$BC$4</definedName>
    <definedName name="Elig_FindMatrixMatch_Program">Elig!$BD$4</definedName>
    <definedName name="Elig_FirstTimeHomeBuyer">Elig!$P$7:$P$783</definedName>
    <definedName name="Elig_HousingHistory">Elig!$M$7:$M$783</definedName>
    <definedName name="Elig_ID">Elig!$B$7:$B$783</definedName>
    <definedName name="Elig_LoanAmt_Max">Elig!$S$7:$S$783</definedName>
    <definedName name="Elig_LoanAmt_Min">Elig!$R$7:$R$783</definedName>
    <definedName name="Elig_LTV_Max">Elig!$AE$7:$AE$783</definedName>
    <definedName name="Elig_LTV_Min">Elig!$AD$7:$AD$783</definedName>
    <definedName name="Elig_MatchAll_Ct">Elig!$BB$6</definedName>
    <definedName name="Elig_MatchAll_Row">Elig!$BB$5</definedName>
    <definedName name="Elig_MatchCount">Elig!$BB$7:$BB$783</definedName>
    <definedName name="Elig_MatchCountLTV">Elig!$BC$7:$BC$783</definedName>
    <definedName name="Elig_MatchCountMult">Elig!$BD$7:$BD$783</definedName>
    <definedName name="Elig_MatchCountMultResults">Elig!$BE$6:$BE$783</definedName>
    <definedName name="Elig_MatchFindLTV_Ct">Elig!$BC$6</definedName>
    <definedName name="Elig_MatchFindLTV_Row">Elig!$BC$5</definedName>
    <definedName name="Elig_MatchFindProgram_Ct">Elig!$BD$6</definedName>
    <definedName name="Elig_MatchFindProgram_Row">Elig!$BD$5</definedName>
    <definedName name="Elig_MatrixLimit_LTV_Max">Elig!$BC$3</definedName>
    <definedName name="Elig_Msg">Elig!$A$7:$A$783</definedName>
    <definedName name="Elig_Occupancy">Elig!$F$7:$F$783</definedName>
    <definedName name="Elig_OverlayBaseReductionRange_LTV">EligOverlay!$O$16:$O$38</definedName>
    <definedName name="Elig_OverlayLimit_CashoutAmt_Max">EligOverlay!$N$8</definedName>
    <definedName name="Elig_OverlayLimit_CredScore_Min">EligOverlay!$P$8</definedName>
    <definedName name="Elig_OverlayLimit_DSCR_Min">EligOverlay!$S$8</definedName>
    <definedName name="Elig_OverlayLimit_DTI_Max">EligOverlay!$R$8</definedName>
    <definedName name="Elig_OverlayLimit_LoanAmt_Max">EligOverlay!$M$8</definedName>
    <definedName name="Elig_OverlayLimit_LTV_Max">EligOverlay!$O$8</definedName>
    <definedName name="Elig_OverlayLimit_Reserves_Min">EligOverlay!$Q$8</definedName>
    <definedName name="Elig_OverlayLTVMatrix_Reduction">EligOverlay!$O$16:$O$37</definedName>
    <definedName name="Elig_OverlayLTVMatrix_ReductionReason">EligOverlay!$T$16:$T$37</definedName>
    <definedName name="Elig_OverlayMessage_All">EligOverlay!$T$12</definedName>
    <definedName name="Elig_OverlayMessage_CashoutAmt_Max">EligOverlay!$N$12</definedName>
    <definedName name="Elig_OverlayMessage_CredScore_Min">EligOverlay!$P$12</definedName>
    <definedName name="Elig_OverlayMessage_DSCR_Min">EligOverlay!$S$12</definedName>
    <definedName name="Elig_OverlayMessage_DTI_Max">EligOverlay!$R$12</definedName>
    <definedName name="Elig_OverlayMessage_LoanAmt_Max">EligOverlay!$M$12</definedName>
    <definedName name="Elig_OverlayMessage_LTV_Max">EligOverlay!$O$12</definedName>
    <definedName name="Elig_OverlayMessage_Reserves_Min">EligOverlay!$Q$12</definedName>
    <definedName name="Elig_OverlayMsg_CashoutAmt">EligOverlay!$N$10</definedName>
    <definedName name="Elig_OverlayMsg_CredScore">EligOverlay!$P$10</definedName>
    <definedName name="Elig_OverlayMsg_DSCR">EligOverlay!$S$10</definedName>
    <definedName name="Elig_OverlayMsg_DTI">EligOverlay!$R$10</definedName>
    <definedName name="Elig_OverlayMsg_LoanAmt">EligOverlay!$M$10</definedName>
    <definedName name="Elig_OverlayMsg_LTV">EligOverlay!$O$10</definedName>
    <definedName name="Elig_OverlayMsg_Reserves">EligOverlay!$Q$10</definedName>
    <definedName name="Elig_OverlayRange_CashoutAmt">EligOverlay!$N$39:$N$226</definedName>
    <definedName name="Elig_OverlayRange_CredScore">EligOverlay!$P$39:$P$226</definedName>
    <definedName name="Elig_OverlayRange_DSCR">EligOverlay!$S$39:$S$226</definedName>
    <definedName name="Elig_OverlayRange_DTI">EligOverlay!$R$39:$R$226</definedName>
    <definedName name="Elig_OverlayRange_LoanAmt">EligOverlay!$M$39:$M$226</definedName>
    <definedName name="Elig_OverlayRange_LTV">EligOverlay!$O$39:$O$226</definedName>
    <definedName name="Elig_OverlayRange_Reason">EligOverlay!$T$39:$T$226</definedName>
    <definedName name="Elig_OverlayRange_Reserves">EligOverlay!$Q$39:$Q$226</definedName>
    <definedName name="Elig_OverlayReason_CashoutAmt_Max">EligOverlay!$N$9</definedName>
    <definedName name="Elig_OverlayReason_CredScore_Min">EligOverlay!$P$9</definedName>
    <definedName name="Elig_OverlayReason_DSCR_Min">EligOverlay!$S$9</definedName>
    <definedName name="Elig_OverlayReason_DTI_Max">EligOverlay!$R$9</definedName>
    <definedName name="Elig_OverlayReason_LoanAmt_Max">EligOverlay!$M$9</definedName>
    <definedName name="Elig_OverlayReason_LTV_Max">EligOverlay!$O$9</definedName>
    <definedName name="Elig_OverlayReason_Reserves_Min">EligOverlay!$Q$9</definedName>
    <definedName name="Elig_PrepayPenalty">Elig!$N$7:$N$783</definedName>
    <definedName name="Elig_Product">Elig!$C$7:$C$783</definedName>
    <definedName name="Elig_PropType">Elig!$K$7:$K$783</definedName>
    <definedName name="Elig_Purpose">Elig!$I$7:$I$783</definedName>
    <definedName name="Elig_Reserves_Max">Elig!$AC$7:$AC$783</definedName>
    <definedName name="Elig_Reserves_Min">Elig!$AB$7:$AB$783</definedName>
    <definedName name="Elig_Servicing">Elig!$Q$7:$Q$783</definedName>
    <definedName name="Elig_State">Elig!$J$7:$J$783</definedName>
    <definedName name="Elig_Total_LTV_OverlayReduction">EligOverlay!$O$15</definedName>
    <definedName name="Eligible_AmortType">Structure!$F$19</definedName>
    <definedName name="Eligible_State">Structure!$F$29</definedName>
    <definedName name="Error_AmortTerm">Structure!$G$18</definedName>
    <definedName name="Error_BankStmt">Structure!$F$21</definedName>
    <definedName name="Error_CashoutAmt">Structure!$F$26</definedName>
    <definedName name="Error_Citizenship">Structure!$F$32</definedName>
    <definedName name="Error_DocType">Structure!$F$20</definedName>
    <definedName name="Error_DSCR">Structure!$F$24</definedName>
    <definedName name="Error_DTI">Structure!$F$23</definedName>
    <definedName name="Error_Employment">Structure!$F$33</definedName>
    <definedName name="Error_NoteRate">Structure!$E$18</definedName>
    <definedName name="Error_PrepayPenalty">Structure!$F$37</definedName>
    <definedName name="Error_ReservesMonths">Structure!$F$22</definedName>
    <definedName name="Find_MarginGross01">Structure!$J$12</definedName>
    <definedName name="Find_MarginGross02">Structure!$J$13</definedName>
    <definedName name="Find_NoteRate_Max">Structure!$E$12</definedName>
    <definedName name="Find_NoteRate_Min">Structure!$E$13</definedName>
    <definedName name="Find_NoteRate01">Structure!$F$12</definedName>
    <definedName name="Find_NoteRate02">Structure!$F$13</definedName>
    <definedName name="Find_NoteRatePrice01">Structure!$F$53</definedName>
    <definedName name="Find_NoteRatePrice02">Structure!$F$54</definedName>
    <definedName name="Find_PriceGross01">Structure!$G$12</definedName>
    <definedName name="Find_PriceGross02">Structure!$G$13</definedName>
    <definedName name="Find_RatePriceGross01">Structure!$G$53</definedName>
    <definedName name="Find_RatePriceGross02">Structure!$G$54</definedName>
    <definedName name="Format_Fld">Price!$A$721</definedName>
    <definedName name="HC_Fed_APR_1st_1_APORSpread">LoanTest!$J$5</definedName>
    <definedName name="HC_Fed_APR_1st_1_LnAmt_Max">LoanTest!$N$5</definedName>
    <definedName name="HC_Fed_APR_1st_1_LnAmt_Min">LoanTest!$M$5</definedName>
    <definedName name="HC_Fed_APR_1st_2_APORSpread">LoanTest!$J$6</definedName>
    <definedName name="HC_Fed_APR_1st_2_LnAmt_Max">LoanTest!$N$6</definedName>
    <definedName name="HC_Fed_APR_1st_2_LnAmt_Min">LoanTest!$M$6</definedName>
    <definedName name="HC_Fed_APR_2nd_APORSpread">LoanTest!$J$7</definedName>
    <definedName name="HC_Fed_APR_2nd_LnAmt_Max">LoanTest!$N$7</definedName>
    <definedName name="HC_Fed_APR_2nd_LnAmt_Min">LoanTest!$M$7</definedName>
    <definedName name="HC_Fed_APR_Threshold">LoanTest!$V$5</definedName>
    <definedName name="HC_Fed_PtsFees_1_FeeAmt">LoanTest!$L$8</definedName>
    <definedName name="HC_Fed_PtsFees_1_FeePct">LoanTest!$K$8</definedName>
    <definedName name="HC_Fed_PtsFees_1_LnAmt_Max">LoanTest!$N$8</definedName>
    <definedName name="HC_Fed_PtsFees_1_LnAmt_Min">LoanTest!$M$8</definedName>
    <definedName name="HC_Fed_PtsFees_2_FeePct">LoanTest!$K$9</definedName>
    <definedName name="HC_Fed_PtsFees_2_LnAmt_Max">LoanTest!$N$9</definedName>
    <definedName name="HC_Fed_PtsFees_2_LnAmt_Min">LoanTest!$M$9</definedName>
    <definedName name="HC_Fed_PtsFees_Threshold">LoanTest!$V$8</definedName>
    <definedName name="HC_State_APR_1st_IndexSpread">LoanTest!$J$11</definedName>
    <definedName name="HC_State_APR_1st_LnAmt_Max">LoanTest!$N$11</definedName>
    <definedName name="HC_State_APR_1st_LnAmt_Min">LoanTest!$M$11</definedName>
    <definedName name="HC_State_APR_1st_Occ">LoanTest!$O$11</definedName>
    <definedName name="HC_State_APR_1st_Purpose">LoanTest!$P$11</definedName>
    <definedName name="HC_State_APR_2nd_IndexSpread">LoanTest!$J$12</definedName>
    <definedName name="HC_State_APR_2nd_LnAmt_Max">LoanTest!$N$12</definedName>
    <definedName name="HC_State_APR_2nd_LnAmt_Min">LoanTest!$M$12</definedName>
    <definedName name="HC_State_APR_2nd_Occ">LoanTest!$O$12</definedName>
    <definedName name="HC_State_APR_2nd_Purpose">LoanTest!$P$12</definedName>
    <definedName name="HC_State_APR_Index">LoanTest!$I$11</definedName>
    <definedName name="HC_State_APR_IndexType">LoanTest!$H$11</definedName>
    <definedName name="HC_State_APR_Threshold">LoanTest!$V$12</definedName>
    <definedName name="HC_State_APR_ThresholdIndex">LoanTest!$V$11</definedName>
    <definedName name="HC_State_HighCost_HELOCExclude">LoanTest!$G$14</definedName>
    <definedName name="HC_State_PtsFees_FeePct">LoanTest!$K$13</definedName>
    <definedName name="HC_State_PtsFees_LnAmt_Max">LoanTest!$N$13</definedName>
    <definedName name="HC_State_PtsFees_LnAmt_Min">LoanTest!$M$13</definedName>
    <definedName name="HC_State_PtsFees_Occ">LoanTest!$O$13</definedName>
    <definedName name="HC_State_PtsFees_Purpose">LoanTest!$P$13</definedName>
    <definedName name="HC_State_PtsFees_Threshold">LoanTest!$V$13</definedName>
    <definedName name="HP_Fed_APR_1st_APORSpread">LoanTest!$J$29</definedName>
    <definedName name="HP_Fed_APR_2nd_APORSpread">LoanTest!$J$30</definedName>
    <definedName name="HP_Fed_APR_Threshold">LoanTest!$V$29</definedName>
    <definedName name="Input_ActionRequest">Price!$T$28</definedName>
    <definedName name="Input_AmortTerm">Price!$F$15</definedName>
    <definedName name="Input_AmortType">Price!$F$16</definedName>
    <definedName name="Input_APOR">LoanTest!$C$5</definedName>
    <definedName name="Input_APOR_Dt">LoanTest!$C$5</definedName>
    <definedName name="Input_BankStmt">Price!$F$18</definedName>
    <definedName name="Input_BankStmt_Type">#REF!</definedName>
    <definedName name="Input_Borrower_Costs">#REF!</definedName>
    <definedName name="Input_BorrowerName">Price!$V$30</definedName>
    <definedName name="Input_Business_Type">#REF!</definedName>
    <definedName name="Input_BusinessOwned_Pct">#REF!</definedName>
    <definedName name="Input_Calc_APRTotalFees">LoanTest!$B$19</definedName>
    <definedName name="Input_Calc_APRTotalFeesPct">LoanTest!$C$19</definedName>
    <definedName name="Input_CashoutAmt">Price!$F$23</definedName>
    <definedName name="Input_Citizenship">Price!$F$29</definedName>
    <definedName name="Input_CompensationType">Price!$F$37</definedName>
    <definedName name="Input_Convert_New">#REF!</definedName>
    <definedName name="Input_Convert_Old">#REF!</definedName>
    <definedName name="Input_Convert_Range">#REF!</definedName>
    <definedName name="Input_CreditHistory">Price!$F$27</definedName>
    <definedName name="Input_CreditScore">Price!$F$12</definedName>
    <definedName name="Input_Date">Price!$AA$6</definedName>
    <definedName name="Input_Disclaimer_01">Input!$C$12</definedName>
    <definedName name="Input_Disclaimer_Pricer_01">Input!$C$13</definedName>
    <definedName name="Input_Disclaimer_Pricer_02">Input!$C$14</definedName>
    <definedName name="Input_DocType">Price!$F$17</definedName>
    <definedName name="Input_DocTypeCode">Price!$E$17</definedName>
    <definedName name="Input_DSCR">Price!$F$21</definedName>
    <definedName name="Input_DTI">Price!$F$20</definedName>
    <definedName name="Input_Employment">Price!$F$30</definedName>
    <definedName name="Input_ExpenseFactor">#REF!</definedName>
    <definedName name="Input_ExpenseFactor_PL">#REF!</definedName>
    <definedName name="Input_Fees_Monthly">LoanTest!$B$27</definedName>
    <definedName name="Input_Fees_Points">Price!$W$19</definedName>
    <definedName name="Input_Fees_Upfront3rdParty">Price!$V$22</definedName>
    <definedName name="Input_Fees_UpfrontBroker">Price!$V$21</definedName>
    <definedName name="Input_Fees_UpfrontLender">Price!$V$20</definedName>
    <definedName name="Input_Fees_UpfrontOther">Price!$V$23</definedName>
    <definedName name="Input_Fees_UpfrontPrepaidInterest">Price!$V$24</definedName>
    <definedName name="Input_Fees_UpfrontPrepaidInterestDays">Price!$U$24</definedName>
    <definedName name="Input_FirstTimeHomeBuyer">Price!$F$31</definedName>
    <definedName name="Input_FirstTimeHomeBuyer_Range">#REF!</definedName>
    <definedName name="Input_Header01">Price!$W$2</definedName>
    <definedName name="Input_Header02">Price!$W$3</definedName>
    <definedName name="Input_Header03">Price!$W$4</definedName>
    <definedName name="Input_Header04">Price!$W$5</definedName>
    <definedName name="Input_Header05">Price!$W$6</definedName>
    <definedName name="Input_Header06">Price!$AA$2</definedName>
    <definedName name="Input_Header07">Price!$AA$3</definedName>
    <definedName name="Input_HousingHistory">Price!$F$28</definedName>
    <definedName name="Input_LoanAmt">Price!$F$14</definedName>
    <definedName name="Input_LoanAmt_NewLien">Price!$W$12</definedName>
    <definedName name="Input_LoanAmt_OtherLien">Price!$V$12</definedName>
    <definedName name="Input_LockTerm">Price!$F$35</definedName>
    <definedName name="Input_LockType">Price!$F$36</definedName>
    <definedName name="Input_LTV">Price!$F$13</definedName>
    <definedName name="Input_LTV_OtherLien">Price!$V$14</definedName>
    <definedName name="Input_Name_Calculator">Input!$C$11</definedName>
    <definedName name="Input_Name_ClassA">Input!$C$8</definedName>
    <definedName name="Input_Name_ClassC">Input!$C$9</definedName>
    <definedName name="Input_Name_Pricer">Input!$C$10</definedName>
    <definedName name="Input_Name_Product1">Input!$C$4</definedName>
    <definedName name="Input_Name_Product2">Input!$C$5</definedName>
    <definedName name="Input_Name_Product4">Input!$C$6</definedName>
    <definedName name="Input_Name_Product5">Input!$C$7</definedName>
    <definedName name="Input_NoteRate">Price!$F$10</definedName>
    <definedName name="Input_NoteRate_Calc">Structure!$F$11</definedName>
    <definedName name="Input_NoteRate_NewLien">Price!$W$13</definedName>
    <definedName name="Input_NoteRate_OtherLien">Price!$V$13</definedName>
    <definedName name="Input_Occupancy">Price!$F$11</definedName>
    <definedName name="Input_Payment">Price!$F$32</definedName>
    <definedName name="Input_PL_Incentive_Add_IN">Input!$H$5</definedName>
    <definedName name="Input_PL_Incentive_Add_IR">Input!$H$7</definedName>
    <definedName name="Input_PL_Incentive_Add_PN">Input!$H$4</definedName>
    <definedName name="Input_PL_Incentive_Add_PR">Input!$H$6</definedName>
    <definedName name="Input_PL_Incentive_IN">Input!$D$5</definedName>
    <definedName name="Input_PL_Incentive_IR">Input!$D$7</definedName>
    <definedName name="Input_PL_Incentive_PN">Input!$D$4</definedName>
    <definedName name="Input_PL_Incentive_PR">Input!$D$6</definedName>
    <definedName name="Input_PL_IncentiveMaxAdj_Add_IN">Input!$I$5</definedName>
    <definedName name="Input_PL_IncentiveMaxAdj_Add_IR">Input!$I$7</definedName>
    <definedName name="Input_PL_IncentiveMaxAdj_Add_PN">Input!$I$4</definedName>
    <definedName name="Input_PL_IncentiveMaxAdj_Add_PR">Input!$I$6</definedName>
    <definedName name="Input_PL_IncentiveMaxAdj_IN">Input!$E$5</definedName>
    <definedName name="Input_PL_IncentiveMaxAdj_IR">Input!$E$7</definedName>
    <definedName name="Input_PL_IncentiveMaxAdj_LenderPaidComp">Structure!$X$1</definedName>
    <definedName name="Input_PL_IncentiveMaxAdj_PN">Input!$E$4</definedName>
    <definedName name="Input_PL_IncentiveMaxAdj_PR">Input!$E$6</definedName>
    <definedName name="Input_PL_MaxPriceBase_IN_01PP">Structure!$AA$6</definedName>
    <definedName name="Input_PL_MaxPriceBase_IN_02PP">Structure!$AA$7</definedName>
    <definedName name="Input_PL_MaxPriceBase_IN_03PP">Structure!$AA$8</definedName>
    <definedName name="Input_PL_MaxPriceBase_IN_04PP">Structure!$AA$9</definedName>
    <definedName name="Input_PL_MaxPriceBase_IN_05PP">Structure!$AA$10</definedName>
    <definedName name="Input_PL_MaxPriceBase_IN_NoPP">Structure!$AA$5</definedName>
    <definedName name="Input_PL_MaxPriceBase_IR_01PP">Structure!$AA$28</definedName>
    <definedName name="Input_PL_MaxPriceBase_IR_02PP">Structure!$AA$29</definedName>
    <definedName name="Input_PL_MaxPriceBase_IR_03PP">Structure!$AA$30</definedName>
    <definedName name="Input_PL_MaxPriceBase_IR_04PP">Structure!$AA$31</definedName>
    <definedName name="Input_PL_MaxPriceBase_IR_05PP">Structure!$AA$32</definedName>
    <definedName name="Input_PL_MaxPriceBase_IR_NoPP">Structure!$AA$27</definedName>
    <definedName name="Input_PL_MaxPriceBase_PN_NoPP">Structure!$AA$4</definedName>
    <definedName name="Input_PL_MaxPriceBase_PR_NoPP">Structure!$AA$26</definedName>
    <definedName name="Input_PL_MaxPriceFinal_IN_01PP">Structure!$Z$6</definedName>
    <definedName name="Input_PL_MaxPriceFinal_IN_02PP">Structure!$Z$7</definedName>
    <definedName name="Input_PL_MaxPriceFinal_IN_03PP">Structure!$Z$8</definedName>
    <definedName name="Input_PL_MaxPriceFinal_IN_04PP">Structure!$Z$9</definedName>
    <definedName name="Input_PL_MaxPriceFinal_IN_05PP">Structure!$Z$10</definedName>
    <definedName name="Input_PL_MaxPriceFinal_IN_NoPP">Structure!$Z$5</definedName>
    <definedName name="Input_PL_MaxPriceFinal_IR_01PP">Structure!$Z$28</definedName>
    <definedName name="Input_PL_MaxPriceFinal_IR_02PP">Structure!$Z$29</definedName>
    <definedName name="Input_PL_MaxPriceFinal_IR_03PP">Structure!$Z$30</definedName>
    <definedName name="Input_PL_MaxPriceFinal_IR_04PP">Structure!$Z$31</definedName>
    <definedName name="Input_PL_MaxPriceFinal_IR_05PP">Structure!$Z$32</definedName>
    <definedName name="Input_PL_MaxPriceFinal_IR_NoPP">Structure!$Z$27</definedName>
    <definedName name="Input_PL_MaxPriceFinal_PN_NoPP">Structure!$Z$4</definedName>
    <definedName name="Input_PL_MaxPriceFinal_PR_NoPP">Structure!$Z$26</definedName>
    <definedName name="Input_PrepayEnforce_Type">Structure!$E$5</definedName>
    <definedName name="Input_PrepayPenalty">Price!$F$34</definedName>
    <definedName name="Input_Price_CompensationType">Price!$H$37</definedName>
    <definedName name="Input_Price_Target">Structure!$H$96</definedName>
    <definedName name="Input_PriceNegotiated">Price!$H$39</definedName>
    <definedName name="Input_PriceNegotiatedDesc">Price!$F$39</definedName>
    <definedName name="Input_Pricing_Type">Structure!$E$6</definedName>
    <definedName name="Input_Pricing_TypeMult">Structure!$F$6</definedName>
    <definedName name="Input_Product">Structure!$M$4</definedName>
    <definedName name="Input_ProductClass">Price!$F$9</definedName>
    <definedName name="Input_ProductType">Output!$F$29</definedName>
    <definedName name="Input_PropertyAddress">Price!$V$31</definedName>
    <definedName name="Input_PropertyCity">Price!$V$32</definedName>
    <definedName name="Input_PropertyState">Price!$Y$32</definedName>
    <definedName name="Input_PropertyType">Price!$F$24</definedName>
    <definedName name="Input_PropertyZip">Price!$V$33</definedName>
    <definedName name="Input_Purpose">Price!$F$22</definedName>
    <definedName name="Input_Ratesheet_Source">Input!$B$1</definedName>
    <definedName name="Input_RateSheet_Type">Structure!$E$4</definedName>
    <definedName name="Input_ReservesMonths">Price!$F$19</definedName>
    <definedName name="Input_SellerLoanID">Price!$V$29</definedName>
    <definedName name="Input_SellerName">Price!$V$28</definedName>
    <definedName name="Input_Servicing">Price!$F$33</definedName>
    <definedName name="Input_State">Price!$F$26</definedName>
    <definedName name="Input_ValuationType">Price!$F$25</definedName>
    <definedName name="Input_Version">Price!$AB$5</definedName>
    <definedName name="InputBulk_AmortTerm">#REF!</definedName>
    <definedName name="InputBulk_AmortTerm_Range">#REF!</definedName>
    <definedName name="InputBulk_AmortType">#REF!</definedName>
    <definedName name="InputBulk_AmortType_Range">#REF!</definedName>
    <definedName name="InputBulk_BankStmt">#REF!</definedName>
    <definedName name="InputBulk_BankStmt_Range">#REF!</definedName>
    <definedName name="InputBulk_CashoutAmt">#REF!</definedName>
    <definedName name="InputBulk_Citizenship">#REF!</definedName>
    <definedName name="InputBulk_Citizenship_Range">#REF!</definedName>
    <definedName name="InputBulk_CreditHistory">#REF!</definedName>
    <definedName name="InputBulk_CreditHistory_Range">#REF!</definedName>
    <definedName name="InputBulk_CreditScore">#REF!</definedName>
    <definedName name="InputBulk_DocType">#REF!</definedName>
    <definedName name="InputBulk_DocType_Range">#REF!</definedName>
    <definedName name="InputBulk_DSCR">#REF!</definedName>
    <definedName name="InputBulk_DTI">#REF!</definedName>
    <definedName name="InputBulk_FirstTimeHomeBuyer">#REF!</definedName>
    <definedName name="InputBulk_HousingHistory">#REF!</definedName>
    <definedName name="InputBulk_HousingHistory_Range">#REF!</definedName>
    <definedName name="InputBulk_LoanAmt">#REF!</definedName>
    <definedName name="InputBulk_LockTerm">#REF!</definedName>
    <definedName name="InputBulk_LTV">#REF!</definedName>
    <definedName name="InputBulk_NoteRate">#REF!</definedName>
    <definedName name="InputBulk_Occupancy">#REF!</definedName>
    <definedName name="InputBulk_Occupancy_Range">#REF!</definedName>
    <definedName name="InputBulk_Payment">#REF!</definedName>
    <definedName name="InputBulk_Payment_Range">#REF!</definedName>
    <definedName name="InputBulk_PrepayPenalty">#REF!</definedName>
    <definedName name="InputBulk_PrepayPenalty_Range">#REF!</definedName>
    <definedName name="InputBulk_Product">#REF!</definedName>
    <definedName name="InputBulk_Product_Range">#REF!</definedName>
    <definedName name="InputBulk_PropertyType">#REF!</definedName>
    <definedName name="InputBulk_PropertyType_Range">#REF!</definedName>
    <definedName name="InputBulk_Purpose">#REF!</definedName>
    <definedName name="InputBulk_Purpose_Range">#REF!</definedName>
    <definedName name="InputBulk_ReservesMonths">#REF!</definedName>
    <definedName name="InputBulk_Servicing">#REF!</definedName>
    <definedName name="InputBulk_Servicing_Range">#REF!</definedName>
    <definedName name="InputBulk_State">#REF!</definedName>
    <definedName name="InputBulk_State_Range">#REF!</definedName>
    <definedName name="List_ActionRequest">Structure!$AQ$81:$AQ$82</definedName>
    <definedName name="List_ActionRequest_All">Structure!$AQ$81:$AS$82</definedName>
    <definedName name="List_AmortTerm">Structure!$M$30:$M$47</definedName>
    <definedName name="List_AmortTerm_Dropdown">Structure!$V$30:$V$47</definedName>
    <definedName name="List_AmortTermAll">Structure!$M$30:$T$47</definedName>
    <definedName name="List_AmortType">Structure!$AC$34:$AC$35</definedName>
    <definedName name="List_AmortType_All">Structure!$AC$34:$AE$35</definedName>
    <definedName name="List_AVMVendor">Structure!$AQ$75:$AQ$77</definedName>
    <definedName name="List_AVMVendor_All">Structure!$AQ$75:$AT$77</definedName>
    <definedName name="List_AVMVendor_FSDAdj1">Structure!$AR$74</definedName>
    <definedName name="List_AVMVendor_FSDAdj2">Structure!$AS$74</definedName>
    <definedName name="List_AVMVendor_FSDAdj3">Structure!$AT$74</definedName>
    <definedName name="List_BankStmt">Structure!$AC$27:$AC$29</definedName>
    <definedName name="List_BankStmtAll">Structure!$AC$27:$AE$29</definedName>
    <definedName name="List_Citizenship">Structure!$AC$62:$AC$65</definedName>
    <definedName name="List_CompensationType">Structure!$AD$93:$AD$94</definedName>
    <definedName name="List_CreditHistory">Structure!$AC$38:$AC$43</definedName>
    <definedName name="List_CreditHistory_All">Structure!$AC$38:$AD$43</definedName>
    <definedName name="List_CreditScore">Structure!$AQ$41:$AQ$52</definedName>
    <definedName name="List_CreditScore_All">Structure!$AQ$41:$AR$52</definedName>
    <definedName name="List_DocType">Structure!$M$12:$M$19</definedName>
    <definedName name="List_DocTypeAll">Structure!$M$12:$U$19</definedName>
    <definedName name="List_DSCR">Structure!$AQ$65:$AQ$71</definedName>
    <definedName name="List_DSCR_All">Structure!$AQ$65:$AS$71</definedName>
    <definedName name="List_DTI">Structure!$AQ$56:$AQ$61</definedName>
    <definedName name="List_DTI_All">Structure!$AQ$56:$AS$61</definedName>
    <definedName name="List_Employment">Structure!$AC$68:$AC$72</definedName>
    <definedName name="List_EmploymentAll">Structure!$AC$68:$AD$72</definedName>
    <definedName name="List_FirstTimeHomebuyer">Structure!$AC$75:$AC$80</definedName>
    <definedName name="List_FirstTimeHomebuyerAll">Structure!$AC$75:$AD$80</definedName>
    <definedName name="List_HousingHistory">Structure!$AF$64:$AF$70</definedName>
    <definedName name="List_HousingHistory_All">Structure!$AF$64:$AG$70</definedName>
    <definedName name="List_LoanAmt">Structure!$AQ$17:$AQ$37</definedName>
    <definedName name="List_LoanAmt_All">Structure!$AQ$17:$AR$37</definedName>
    <definedName name="List_LockTerm">Structure!$AC$87:$AC$89</definedName>
    <definedName name="List_LockType">Structure!$AC$93:$AC$94</definedName>
    <definedName name="List_LTV">Structure!$AQ$6:$AQ$14</definedName>
    <definedName name="List_LTV_All">Structure!$AQ$6:$AS$14</definedName>
    <definedName name="List_MaxPricing">Structure!$X$4:$X$47</definedName>
    <definedName name="List_MaxPricingAll">Structure!$Z$4:$Z$47</definedName>
    <definedName name="List_Name_Channel">Input!$K$5:$K$10</definedName>
    <definedName name="List_Occupancy">Structure!$AC$47:$AC$49</definedName>
    <definedName name="List_OccupancyAll">Structure!$AC$47:$AE$49</definedName>
    <definedName name="List_Payment">Structure!$AC$83:$AC$84</definedName>
    <definedName name="List_PrepayPenalty">Structure!$AA$51:$AA$72</definedName>
    <definedName name="List_PrepayPenalty_Find">Structure!$X$51:$X$72</definedName>
    <definedName name="List_Product">Structure!$N$5:$N$8</definedName>
    <definedName name="List_ProductAll">Structure!$N$5:$Q$8</definedName>
    <definedName name="List_ProductClass">Structure!$T$5:$T$6</definedName>
    <definedName name="List_ProductCode">Structure!$M$53:$M$98</definedName>
    <definedName name="List_ProductCodeAll">Structure!$M$53:$N$98</definedName>
    <definedName name="List_ProductFind">Structure!$M$5:$M$8</definedName>
    <definedName name="List_ProductFindAll">Structure!$M$5:$Q$8</definedName>
    <definedName name="List_PropertyType">Structure!$AC$5:$AC$24</definedName>
    <definedName name="List_PropertyType_Dropdown">Structure!$AH$5:$AH$24</definedName>
    <definedName name="List_PropertyType_Find">Structure!$AF$5:$AF$24</definedName>
    <definedName name="List_PropertyTypeAll">Structure!$AC$5:$AE$24</definedName>
    <definedName name="List_Purpose">Structure!$AC$53:$AC$55</definedName>
    <definedName name="List_Purpose_All">Structure!$AC$53:$AD$55</definedName>
    <definedName name="List_RequiredDocs_Disclosure">Structure!$AI$105:$AI$198</definedName>
    <definedName name="List_RequiredDocs_DocType">Structure!$AO$105:$AO$198</definedName>
    <definedName name="List_RequiredDocs_Recommended">Structure!$AM$105:$AM$198</definedName>
    <definedName name="List_RequiredDocs_Submission">Structure!$AK$105:$AK$198</definedName>
    <definedName name="List_Reserves">Structure!$AQ$85:$AQ$86</definedName>
    <definedName name="List_Reserves_All">Structure!$AQ$85:$AR$86</definedName>
    <definedName name="List_Servicing">Structure!$AC$58:$AC$59</definedName>
    <definedName name="List_State">Structure!$BG$5:$BG$55</definedName>
    <definedName name="List_State_All">Structure!$BG$5:$CE$55</definedName>
    <definedName name="List_Term">Structure!$P$54:$P$63</definedName>
    <definedName name="List_Term_All">Structure!$P$54:$S$63</definedName>
    <definedName name="List_Units_AgencyLoanAmount">Structure!$AF$53:$AF$60</definedName>
    <definedName name="List_Units_AgencyLoanAmount_All">Structure!$AF$53:$AH$60</definedName>
    <definedName name="List_ValuationType">Structure!$AC$97:$AC$98</definedName>
    <definedName name="Lookup_AmortType">Structure!$T$28</definedName>
    <definedName name="Lookup_AmortType_Detail">Structure!$P$28</definedName>
    <definedName name="Lookup_APR_Federal">LoanTest!$B$31</definedName>
    <definedName name="Lookup_APR_State">LoanTest!$B$32</definedName>
    <definedName name="Lookup_BankStmtMos">Structure!$AE$26</definedName>
    <definedName name="Lookup_CreditHistory_Lates">Structure!$AE$37</definedName>
    <definedName name="Lookup_DocLevel">Structure!$P$10</definedName>
    <definedName name="Lookup_LienPosition">Structure!$Q$3</definedName>
    <definedName name="Lookup_LLPA">Price!$S$57:$S$720</definedName>
    <definedName name="Lookup_LLPAAll">Price!$T$57:$AB$720</definedName>
    <definedName name="Lookup_NoteRate">Structure!$AY$5:$AY$139</definedName>
    <definedName name="Lookup_NoteRateAll">Structure!$AX$5:$BE$139</definedName>
    <definedName name="Lookup_NoteRateStack">Structure!$BE$5:$BE$139</definedName>
    <definedName name="Lookup_NoteRateText">Structure!$AX$5:$AX$139</definedName>
    <definedName name="Lookup_Price_Code_Lookup_01">Structure!$J$54</definedName>
    <definedName name="Lookup_Price_Code_Lookup_02">Structure!$J$55</definedName>
    <definedName name="Lookup_Price_Code_Output_01">Structure!$J$58</definedName>
    <definedName name="Lookup_Price_Code_Output_02">Structure!$J$59</definedName>
    <definedName name="Lookup_Price_Margin_Output_01">Structure!$J$70</definedName>
    <definedName name="Lookup_Price_Margin_Output_02">Structure!$J$71</definedName>
    <definedName name="Lookup_Price_Output_All">Structure!$D$52:$I$93</definedName>
    <definedName name="Lookup_Price_Output_Code">Structure!$D$52:$D$93</definedName>
    <definedName name="Lookup_Price_Output_Rate">Structure!$E$52:$E$93</definedName>
    <definedName name="Lookup_Price_PriceGross_Output_01">Structure!$J$66</definedName>
    <definedName name="Lookup_Price_PriceGross_Output_02">Structure!$J$67</definedName>
    <definedName name="Lookup_Price_Rate_Output_01">Structure!$J$62</definedName>
    <definedName name="Lookup_Price_Rate_Output_02">Structure!$J$63</definedName>
    <definedName name="Lookup_PriceText">Structure!$BB$5:$BB$139</definedName>
    <definedName name="Lookup_PriceText_List">Structure!$BC$5:$BC$139</definedName>
    <definedName name="Lookup_ProductClass">Structure!$O$3</definedName>
    <definedName name="Lookup_ProductPrefix">Structure!$P$3</definedName>
    <definedName name="Lookup_Property">Structure!$AD$4</definedName>
    <definedName name="Lookup_Property_Units">Structure!$AE$4</definedName>
    <definedName name="Lookup_TermAmort">Structure!$Q$28</definedName>
    <definedName name="Lookup_TermInitial">Structure!$S$28</definedName>
    <definedName name="Lookup_TermMaturity">Structure!$R$28</definedName>
    <definedName name="Lookup_Units_AgencyLoanAmount">Structure!$AH$51</definedName>
    <definedName name="Output_Display_ProductRatePriceMatrix">Output!$H$5:$K$101</definedName>
    <definedName name="Output_Display_Required_UWFee">Output!$F$5</definedName>
    <definedName name="Output_Display_RequiredDocs_Disclosure">Output!$B$5:$B$97</definedName>
    <definedName name="Output_Display_RequiredDocs_DocType">Output!$E$5:$E$97</definedName>
    <definedName name="Output_Display_RequiredDocs_Recommended">Output!$D$5:$D$97</definedName>
    <definedName name="Output_Display_RequiredDocs_Submission">Output!$C$5:$C$97</definedName>
    <definedName name="Output_Format">Price!$N$9:$AB$10,Price!$N$19:$AB$20,Price!$N$42:$AB$42,Price!$M$9:$M$42,Price!$AC$9:$AC$42</definedName>
    <definedName name="Output_LLPA_AmortTerm">Structure!$H$18</definedName>
    <definedName name="Output_LLPA_AmortType">Structure!$H$19</definedName>
    <definedName name="Output_LLPA_BankStmt">Structure!$H$21</definedName>
    <definedName name="Output_LLPA_CashoutAmt">Structure!$H$26</definedName>
    <definedName name="Output_LLPA_Citizenship">Structure!$H$32</definedName>
    <definedName name="Output_LLPA_CreditHistory">Structure!$H$30</definedName>
    <definedName name="Output_LLPA_DocType">Structure!$H$20</definedName>
    <definedName name="Output_LLPA_DSCR">Structure!$H$24</definedName>
    <definedName name="Output_LLPA_DTI">Structure!$H$23</definedName>
    <definedName name="Output_LLPA_Employment">Structure!$H$33</definedName>
    <definedName name="Output_LLPA_FirstTimeHomeBuyer">Structure!$H$34</definedName>
    <definedName name="Output_LLPA_HousingHistory">Structure!$H$31</definedName>
    <definedName name="Output_LLPA_LoanAmt">Structure!$H$17</definedName>
    <definedName name="Output_LLPA_LockTerm">Structure!$H$38</definedName>
    <definedName name="Output_LLPA_LockType">Structure!$H$39</definedName>
    <definedName name="Output_LLPA_Occupancy">Structure!$H$14</definedName>
    <definedName name="Output_LLPA_Payment">Structure!$H$35</definedName>
    <definedName name="Output_LLPA_PrepayPenalty">Structure!$H$37</definedName>
    <definedName name="Output_LLPA_PropertyType">Structure!$H$27</definedName>
    <definedName name="Output_LLPA_Purpose">Structure!$H$25</definedName>
    <definedName name="Output_LLPA_ReservesMonths">Structure!$H$22</definedName>
    <definedName name="Output_LLPA_Servicing">Structure!$H$36</definedName>
    <definedName name="Output_LLPA_State">Structure!$H$29</definedName>
    <definedName name="Output_LLPA_Total">Structure!$H$42</definedName>
    <definedName name="Output_LLPA_ValuationType">Structure!$H$28</definedName>
    <definedName name="Output_MarginNoteRate">Structure!$I$11</definedName>
    <definedName name="Output_Msg_Elig">Elig!$A$5</definedName>
    <definedName name="Output_Msg_Eligibility">Structure!$I$12</definedName>
    <definedName name="Output_Msg_LLPA_AmortTerm">Structure!$I$18</definedName>
    <definedName name="Output_Msg_LLPA_AmortType">Structure!$I$19</definedName>
    <definedName name="Output_Msg_LLPA_BankStmt">Structure!$I$21</definedName>
    <definedName name="Output_Msg_LLPA_CashoutAmt">Structure!$I$26</definedName>
    <definedName name="Output_Msg_LLPA_Citizenship">Structure!$I$32</definedName>
    <definedName name="Output_Msg_LLPA_CompensationType">Structure!$I$40</definedName>
    <definedName name="Output_Msg_LLPA_CreditHistory">Structure!$I$30</definedName>
    <definedName name="Output_Msg_LLPA_CreditScore">Structure!$I$15</definedName>
    <definedName name="Output_Msg_LLPA_DocType">Structure!$I$20</definedName>
    <definedName name="Output_Msg_LLPA_DSCR">Structure!$I$24</definedName>
    <definedName name="Output_Msg_LLPA_DTI">Structure!$I$23</definedName>
    <definedName name="Output_Msg_LLPA_Employment">Structure!$I$33</definedName>
    <definedName name="Output_Msg_LLPA_FirstTimeHomeBuyer">Structure!$I$34</definedName>
    <definedName name="Output_Msg_LLPA_HousingHistory">Structure!$I$31</definedName>
    <definedName name="Output_Msg_LLPA_LoanAmt">Structure!$I$17</definedName>
    <definedName name="Output_Msg_LLPA_LockTerm">Structure!$I$38</definedName>
    <definedName name="Output_Msg_LLPA_LockType">Structure!$I$39</definedName>
    <definedName name="Output_Msg_LLPA_LTV">Structure!$I$16</definedName>
    <definedName name="Output_Msg_LLPA_Occupancy">Structure!$I$14</definedName>
    <definedName name="Output_Msg_LLPA_Payment">Structure!$I$35</definedName>
    <definedName name="Output_Msg_LLPA_PrepayPenalty">Structure!$I$37</definedName>
    <definedName name="Output_Msg_LLPA_PropertyType">Structure!$I$27</definedName>
    <definedName name="Output_Msg_LLPA_Purpose">Structure!$I$25</definedName>
    <definedName name="Output_Msg_LLPA_ReservesMonths">Structure!$I$22</definedName>
    <definedName name="Output_Msg_LLPA_Servicing">Structure!$I$36</definedName>
    <definedName name="Output_Msg_LLPA_State">Structure!$I$29</definedName>
    <definedName name="Output_Msg_LLPA_Total">Structure!$I$42</definedName>
    <definedName name="Output_Msg_LLPA_ValuationType">Structure!$I$28</definedName>
    <definedName name="Output_Msg_PriceFinal">Structure!$I$46</definedName>
    <definedName name="Output_Msg_PriceMax">Structure!$I$45</definedName>
    <definedName name="Output_Msg_PriceNegotiated">Structure!$I$43</definedName>
    <definedName name="Output_Msg_PriceNet">Structure!$I$44</definedName>
    <definedName name="Output_Msg_PriceNoteRate">Structure!$I$13</definedName>
    <definedName name="Output_Msg2_ProductCode">Elig!$BH$5</definedName>
    <definedName name="Output_NoteRate_WeightedAverage">Price!$X$13</definedName>
    <definedName name="Output_PriceFinal">Structure!$H$46</definedName>
    <definedName name="Output_PriceMax">Structure!$H$45</definedName>
    <definedName name="Output_PriceMaxPriceCalc">Structure!$G$46</definedName>
    <definedName name="Output_PriceNegotiated">Structure!$H$43</definedName>
    <definedName name="Output_PriceNet">Structure!$H$44</definedName>
    <definedName name="Output_PriceNoteRate">Structure!$H$13</definedName>
    <definedName name="Output_ProductCode">Structure!$H$12</definedName>
    <definedName name="Output_Rate_Target">Structure!$H$97</definedName>
    <definedName name="_xlnm.Print_Area" localSheetId="0">Price!$C$1:$AC$55</definedName>
    <definedName name="QM_APR_1st_1_APORSpread">LoanTest!$J$19</definedName>
    <definedName name="QM_APR_1st_1_LnAmt_Max">LoanTest!$N$19</definedName>
    <definedName name="QM_APR_1st_1_LnAmt_Min">LoanTest!$M$19</definedName>
    <definedName name="QM_APR_1st_2_APORSpread">LoanTest!$J$20</definedName>
    <definedName name="QM_APR_1st_2_LnAmt_Max">LoanTest!$N$20</definedName>
    <definedName name="QM_APR_1st_2_LnAmt_Min">LoanTest!$M$20</definedName>
    <definedName name="QM_APR_1st_3_APORSpread">LoanTest!$J$21</definedName>
    <definedName name="QM_APR_1st_3_LnAmt_Max">LoanTest!$N$21</definedName>
    <definedName name="QM_APR_1st_3_LnAmt_Min">LoanTest!$M$21</definedName>
    <definedName name="QM_APR_2nd_1_APORSpread">LoanTest!$J$22</definedName>
    <definedName name="QM_APR_2nd_1_LnAmt_Max">LoanTest!$N$22</definedName>
    <definedName name="QM_APR_2nd_1_LnAmt_Min">LoanTest!$M$22</definedName>
    <definedName name="QM_APR_2nd_2_APORSpread">LoanTest!$J$23</definedName>
    <definedName name="QM_APR_2nd_2_LnAmt_Max">LoanTest!$N$23</definedName>
    <definedName name="QM_APR_2nd_2_LnAmt_Min">LoanTest!$M$23</definedName>
    <definedName name="QM_APR_Threshold">LoanTest!$V$19</definedName>
    <definedName name="QM_PtsFees_1_FeePct">LoanTest!$K$16</definedName>
    <definedName name="QM_PtsFees_1_LnAmt_Max">LoanTest!$N$16</definedName>
    <definedName name="QM_PtsFees_1_LnAmt_Min">LoanTest!$M$16</definedName>
    <definedName name="QM_PtsFees_2_FeeAmt">LoanTest!$L$17</definedName>
    <definedName name="QM_PtsFees_2_LnAmt_Max">LoanTest!$N$17</definedName>
    <definedName name="QM_PtsFees_2_LnAmt_Min">LoanTest!$M$17</definedName>
    <definedName name="QM_PtsFees_3_FeePct">LoanTest!$K$18</definedName>
    <definedName name="QM_PtsFees_3_LnAmt_Max">LoanTest!$N$18</definedName>
    <definedName name="QM_PtsFees_3_LnAmt_Min">LoanTest!$M$18</definedName>
    <definedName name="QM_PtsFees_Threshold">LoanTest!$V$16</definedName>
    <definedName name="Range_BulkHome">#REF!</definedName>
    <definedName name="Range_Convert_Selection">#REF!</definedName>
    <definedName name="Range_Convert_Start">#REF!</definedName>
    <definedName name="Range_Convert_Values">#REF!</definedName>
    <definedName name="Range_Input_Selection">#REF!</definedName>
    <definedName name="Range_Input_Values">#REF!</definedName>
    <definedName name="Range_Output_Values">#REF!</definedName>
    <definedName name="Result_AmortTerm">Price!$H$15</definedName>
    <definedName name="Result_AmortType">Price!$H$16</definedName>
    <definedName name="Result_BankStmt">Price!$H$18</definedName>
    <definedName name="Result_CashoutAmt">Price!$H$23</definedName>
    <definedName name="Result_Citizenship">Price!$H$29</definedName>
    <definedName name="Result_CreditHistory">Price!$H$27</definedName>
    <definedName name="Result_DocType">Price!$H$17</definedName>
    <definedName name="Result_DSCR">Price!$H$21</definedName>
    <definedName name="Result_DTI">Price!$H$20</definedName>
    <definedName name="Result_FirstTimeHomeBuyer">Price!$H$31</definedName>
    <definedName name="Result_HousingHistory">Price!$H$28</definedName>
    <definedName name="Result_LoanAmt">Price!$H$14</definedName>
    <definedName name="Result_LockTerm">Price!$H$35</definedName>
    <definedName name="Result_LockType">Price!$H$36</definedName>
    <definedName name="Result_Msg_LLPA_AmortTerm">Price!$I$15</definedName>
    <definedName name="Result_Msg_LLPA_AmortType">Price!$I$16</definedName>
    <definedName name="Result_Msg_LLPA_CashoutAmt">Price!$I$23</definedName>
    <definedName name="Result_Msg_LLPA_Citizenship">Price!$I$29</definedName>
    <definedName name="Result_Msg_LLPA_CreditHistory">Price!$I$27</definedName>
    <definedName name="Result_Msg_LLPA_CreditScore">Price!$I$12</definedName>
    <definedName name="Result_Msg_LLPA_DocType">Price!$I$17</definedName>
    <definedName name="Result_Msg_LLPA_DSCR">Price!$I$21</definedName>
    <definedName name="Result_Msg_LLPA_DTI">Price!$I$20</definedName>
    <definedName name="Result_Msg_LLPA_FirstTimeHomeBuyer">Price!$I$31</definedName>
    <definedName name="Result_Msg_LLPA_HousingHistory">Price!$I$28</definedName>
    <definedName name="Result_Msg_LLPA_LoanAmt">Price!$I$14</definedName>
    <definedName name="Result_Msg_LLPA_LockTerm">Price!$I$35</definedName>
    <definedName name="Result_Msg_LLPA_LTV">Price!$I$13</definedName>
    <definedName name="Result_Msg_LLPA_Occupancy">Price!$I$11</definedName>
    <definedName name="Result_Msg_LLPA_Payment">Price!$I$32</definedName>
    <definedName name="Result_Msg_LLPA_PrepayPenalty">Price!$I$34</definedName>
    <definedName name="Result_Msg_LLPA_PropertyType">Price!$I$24</definedName>
    <definedName name="Result_Msg_LLPA_Purpose">Price!$I$22</definedName>
    <definedName name="Result_Msg_LLPA_ReservesMonths">Price!$I$19</definedName>
    <definedName name="Result_Msg_LLPA_Servicing">Price!$I$33</definedName>
    <definedName name="Result_Msg_LLPA_State">Price!$I$26</definedName>
    <definedName name="Result_Msg_LLPA_Total">Price!$I$38</definedName>
    <definedName name="Result_Msg_LLPA_ValuationType">Price!$I$25</definedName>
    <definedName name="Result_Msg_PriceFinal">Price!$I$42</definedName>
    <definedName name="Result_Msg_PriceMax">Price!$I$41</definedName>
    <definedName name="Result_Msg_PriceNegotiated">Price!$I$39</definedName>
    <definedName name="Result_Msg_PriceNet">Price!$I$40</definedName>
    <definedName name="Result_Msg_PriceNoteRate">Price!$I$10</definedName>
    <definedName name="Result_Msg_ProductCode">Price!$I$9</definedName>
    <definedName name="Result_Msg2_LLPA_AmortTerm">Elig!$BI$5</definedName>
    <definedName name="Result_Msg2_LLPA_AmortType">Elig!$BJ$5</definedName>
    <definedName name="Result_Msg2_LLPA_BankStmt">Elig!$BM$5</definedName>
    <definedName name="Result_Msg2_LLPA_CashoutAmt">Elig!$BY$5</definedName>
    <definedName name="Result_Msg2_LLPA_Citizenship">Elig!$BT$5</definedName>
    <definedName name="Result_Msg2_LLPA_CreditHistory">Elig!$BQ$5</definedName>
    <definedName name="Result_Msg2_LLPA_CreditScore">Elig!$CE$5</definedName>
    <definedName name="Result_Msg2_LLPA_DocType">Elig!$BL$5</definedName>
    <definedName name="Result_Msg2_LLPA_DSCR">Elig!$CC$5</definedName>
    <definedName name="Result_Msg2_LLPA_DTI">Elig!$CA$5</definedName>
    <definedName name="Result_Msg2_LLPA_FirstTimeHomeBuyer">Elig!$BU$5</definedName>
    <definedName name="Result_Msg2_LLPA_HousingHistory">Elig!$BR$5</definedName>
    <definedName name="Result_Msg2_LLPA_LoanAmt">Elig!$BW$5</definedName>
    <definedName name="Result_Msg2_LLPA_LTV">Elig!$CI$5</definedName>
    <definedName name="Result_Msg2_LLPA_Occupancy">Elig!$BK$5</definedName>
    <definedName name="Result_Msg2_LLPA_PrepayPenalty">Elig!$BS$5</definedName>
    <definedName name="Result_Msg2_LLPA_PropertyType">Elig!$BP$5</definedName>
    <definedName name="Result_Msg2_LLPA_Purpose">Elig!$BN$5</definedName>
    <definedName name="Result_Msg2_LLPA_ReservesMonths">Elig!$CG$5</definedName>
    <definedName name="Result_Msg2_LLPA_Servicing">Elig!$BV$5</definedName>
    <definedName name="Result_Msg2_LLPA_State">Elig!$BO$5</definedName>
    <definedName name="Result_Msg3_LLPA_State">Elig!$BO$4</definedName>
    <definedName name="Result_NoteRate">Price!$H$10</definedName>
    <definedName name="Result_Occupancy">Price!$H$11</definedName>
    <definedName name="Result_Payment">Price!$H$32</definedName>
    <definedName name="Result_PrepayPenalty">Price!$H$34</definedName>
    <definedName name="Result_PriceFinal">Price!$H$42</definedName>
    <definedName name="Result_PriceMax">Price!$H$41</definedName>
    <definedName name="Result_PriceNegotiated">Price!$H$39</definedName>
    <definedName name="Result_PriceNet">Price!$H$40</definedName>
    <definedName name="Result_Product">Price!$H$9</definedName>
    <definedName name="Result_PropertyType">Price!$H$24</definedName>
    <definedName name="Result_Purpose">Price!$H$22</definedName>
    <definedName name="Result_ReservesMonths">Price!$H$19</definedName>
    <definedName name="Result_Servicing">Price!$H$33</definedName>
    <definedName name="Result_State">Price!$H$26</definedName>
    <definedName name="Result_TotalLLPA">Price!$H$38</definedName>
    <definedName name="Result_ValuationType">Price!$H$25</definedName>
    <definedName name="Test_HighCost_Federal">LoanTest!$Q$5:$Q$9</definedName>
    <definedName name="Test_HighCost_Federal_Msg">LoanTest!$W$5</definedName>
    <definedName name="Test_HighCost_Federal_Msg2">LoanTest!$W$6</definedName>
    <definedName name="Test_HighCost_Federal_Msg3">LoanTest!$W$7</definedName>
    <definedName name="Test_HighCost_State">LoanTest!$Q$11:$Q$13</definedName>
    <definedName name="Test_HighCost_State_Exemption">LoanTest!$S$11:$S$13</definedName>
    <definedName name="Test_HighCost_State_Msg">LoanTest!$W$11</definedName>
    <definedName name="Test_HighCost_State_Msg2">LoanTest!$W$12</definedName>
    <definedName name="Test_HighCost_State_Msg3">LoanTest!$W$13</definedName>
    <definedName name="Test_HPML">LoanTest!$Q$29:$Q$30</definedName>
    <definedName name="Test_HPML_Exemption">LoanTest!$S$29:$S$30</definedName>
    <definedName name="Test_HPML_Msg">LoanTest!$W$29</definedName>
    <definedName name="Test_HPML_Msg2">LoanTest!$W$30</definedName>
    <definedName name="Test_HPML_Msg3">LoanTest!$W$31</definedName>
    <definedName name="Test_QM">LoanTest!$Q$16:$Q$27</definedName>
    <definedName name="Test_QM_Exemption">LoanTest!$S$16:$S$27</definedName>
    <definedName name="Test_QM_Msg">LoanTest!$W$16</definedName>
    <definedName name="Test_QM_Msg2">LoanTest!$W$17</definedName>
    <definedName name="Test_QM_Msg3">LoanTest!$W$18</definedName>
    <definedName name="Test_Results_AVMLoanAmountLimit_VPM">LoanTest!$M$32</definedName>
    <definedName name="Test_Results_LoanType">LoanTest!$AC$9</definedName>
    <definedName name="Test_Results_Valuation">LoanTest!$AD$9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5" l="1" a="1"/>
  <c r="C7" i="5" s="1"/>
  <c r="C6" i="5" a="1"/>
  <c r="C6" i="5" s="1"/>
  <c r="C5" i="5" a="1"/>
  <c r="C5" i="5" s="1"/>
  <c r="C4" i="5" a="1"/>
  <c r="C4" i="5" s="1"/>
  <c r="W541" i="1" l="1"/>
  <c r="W540" i="1"/>
  <c r="W539" i="1"/>
  <c r="Z538" i="1"/>
  <c r="W538" i="1"/>
  <c r="Z537" i="1"/>
  <c r="W537" i="1"/>
  <c r="W386" i="1"/>
  <c r="W385" i="1"/>
  <c r="W384" i="1"/>
  <c r="Z383" i="1"/>
  <c r="W383" i="1"/>
  <c r="Z382" i="1"/>
  <c r="W382" i="1"/>
  <c r="W61" i="1"/>
  <c r="W60" i="1"/>
  <c r="W59" i="1"/>
  <c r="Z58" i="1"/>
  <c r="W58" i="1"/>
  <c r="Z57" i="1"/>
  <c r="W57" i="1"/>
  <c r="Z203" i="1"/>
  <c r="Z202" i="1"/>
  <c r="H153" i="15" l="1"/>
  <c r="H154" i="15"/>
  <c r="BA418" i="8"/>
  <c r="AZ418" i="8"/>
  <c r="AY418" i="8"/>
  <c r="AX418" i="8"/>
  <c r="AW418" i="8"/>
  <c r="AV418" i="8"/>
  <c r="AU418" i="8"/>
  <c r="BA421" i="8"/>
  <c r="AZ421" i="8"/>
  <c r="AY421" i="8"/>
  <c r="AX421" i="8"/>
  <c r="AW421" i="8"/>
  <c r="AU421" i="8"/>
  <c r="U421" i="8"/>
  <c r="AV421" i="8" s="1"/>
  <c r="BA366" i="8"/>
  <c r="AZ366" i="8"/>
  <c r="AY366" i="8"/>
  <c r="AX366" i="8"/>
  <c r="AW366" i="8"/>
  <c r="AU366" i="8"/>
  <c r="U366" i="8"/>
  <c r="AV366" i="8" s="1"/>
  <c r="BA363" i="8"/>
  <c r="AZ363" i="8"/>
  <c r="AY363" i="8"/>
  <c r="AX363" i="8"/>
  <c r="AW363" i="8"/>
  <c r="AV363" i="8"/>
  <c r="AU363" i="8"/>
  <c r="BA307" i="8"/>
  <c r="AZ307" i="8"/>
  <c r="AY307" i="8"/>
  <c r="AX307" i="8"/>
  <c r="AW307" i="8"/>
  <c r="AU307" i="8"/>
  <c r="U307" i="8"/>
  <c r="AV307" i="8" s="1"/>
  <c r="BA304" i="8"/>
  <c r="AZ304" i="8"/>
  <c r="AY304" i="8"/>
  <c r="AX304" i="8"/>
  <c r="AW304" i="8"/>
  <c r="AV304" i="8"/>
  <c r="AU304" i="8"/>
  <c r="BA303" i="8"/>
  <c r="AZ303" i="8"/>
  <c r="AY303" i="8"/>
  <c r="AX303" i="8"/>
  <c r="AW303" i="8"/>
  <c r="AV303" i="8"/>
  <c r="AU303" i="8"/>
  <c r="I20" i="2"/>
  <c r="L20" i="2"/>
  <c r="AS65" i="2"/>
  <c r="BA513" i="8"/>
  <c r="AZ513" i="8"/>
  <c r="AY513" i="8"/>
  <c r="AX513" i="8"/>
  <c r="AW513" i="8"/>
  <c r="AU513" i="8"/>
  <c r="U513" i="8"/>
  <c r="AV513" i="8" s="1"/>
  <c r="BA512" i="8"/>
  <c r="AZ512" i="8"/>
  <c r="AY512" i="8"/>
  <c r="AX512" i="8"/>
  <c r="AW512" i="8"/>
  <c r="AU512" i="8"/>
  <c r="U512" i="8"/>
  <c r="AV512" i="8" s="1"/>
  <c r="BA511" i="8"/>
  <c r="AZ511" i="8"/>
  <c r="AY511" i="8"/>
  <c r="AX511" i="8"/>
  <c r="AW511" i="8"/>
  <c r="AV511" i="8"/>
  <c r="AU511" i="8"/>
  <c r="BA510" i="8"/>
  <c r="AZ510" i="8"/>
  <c r="AY510" i="8"/>
  <c r="AX510" i="8"/>
  <c r="AW510" i="8"/>
  <c r="AV510" i="8"/>
  <c r="AU510" i="8"/>
  <c r="BA473" i="8"/>
  <c r="AZ473" i="8"/>
  <c r="AY473" i="8"/>
  <c r="AX473" i="8"/>
  <c r="AW473" i="8"/>
  <c r="AU473" i="8"/>
  <c r="U473" i="8"/>
  <c r="AV473" i="8" s="1"/>
  <c r="BA472" i="8"/>
  <c r="AZ472" i="8"/>
  <c r="AY472" i="8"/>
  <c r="AX472" i="8"/>
  <c r="AW472" i="8"/>
  <c r="AU472" i="8"/>
  <c r="U472" i="8"/>
  <c r="AV472" i="8" s="1"/>
  <c r="BA471" i="8"/>
  <c r="AZ471" i="8"/>
  <c r="AY471" i="8"/>
  <c r="AX471" i="8"/>
  <c r="AW471" i="8"/>
  <c r="AV471" i="8"/>
  <c r="AU471" i="8"/>
  <c r="BA470" i="8"/>
  <c r="AZ470" i="8"/>
  <c r="AY470" i="8"/>
  <c r="AX470" i="8"/>
  <c r="AW470" i="8"/>
  <c r="AV470" i="8"/>
  <c r="AU470" i="8"/>
  <c r="BA420" i="8"/>
  <c r="AZ420" i="8"/>
  <c r="AY420" i="8"/>
  <c r="AX420" i="8"/>
  <c r="AW420" i="8"/>
  <c r="AU420" i="8"/>
  <c r="U420" i="8"/>
  <c r="AV420" i="8" s="1"/>
  <c r="BA419" i="8"/>
  <c r="AZ419" i="8"/>
  <c r="AY419" i="8"/>
  <c r="AX419" i="8"/>
  <c r="AW419" i="8"/>
  <c r="AU419" i="8"/>
  <c r="U419" i="8"/>
  <c r="AV419" i="8" s="1"/>
  <c r="BA417" i="8"/>
  <c r="AZ417" i="8"/>
  <c r="AY417" i="8"/>
  <c r="AX417" i="8"/>
  <c r="AW417" i="8"/>
  <c r="AV417" i="8"/>
  <c r="AU417" i="8"/>
  <c r="BA416" i="8"/>
  <c r="AZ416" i="8"/>
  <c r="AY416" i="8"/>
  <c r="AX416" i="8"/>
  <c r="AW416" i="8"/>
  <c r="AV416" i="8"/>
  <c r="AU416" i="8"/>
  <c r="BA365" i="8"/>
  <c r="AZ365" i="8"/>
  <c r="AY365" i="8"/>
  <c r="AX365" i="8"/>
  <c r="AW365" i="8"/>
  <c r="AU365" i="8"/>
  <c r="U365" i="8"/>
  <c r="AV365" i="8" s="1"/>
  <c r="BA364" i="8"/>
  <c r="AZ364" i="8"/>
  <c r="AY364" i="8"/>
  <c r="AX364" i="8"/>
  <c r="AW364" i="8"/>
  <c r="AU364" i="8"/>
  <c r="U364" i="8"/>
  <c r="AV364" i="8" s="1"/>
  <c r="BA362" i="8"/>
  <c r="AZ362" i="8"/>
  <c r="AY362" i="8"/>
  <c r="AX362" i="8"/>
  <c r="AW362" i="8"/>
  <c r="AV362" i="8"/>
  <c r="AU362" i="8"/>
  <c r="BA361" i="8"/>
  <c r="AZ361" i="8"/>
  <c r="AY361" i="8"/>
  <c r="AX361" i="8"/>
  <c r="AW361" i="8"/>
  <c r="AV361" i="8"/>
  <c r="AU361" i="8"/>
  <c r="BA306" i="8"/>
  <c r="AZ306" i="8"/>
  <c r="AY306" i="8"/>
  <c r="AX306" i="8"/>
  <c r="AW306" i="8"/>
  <c r="AU306" i="8"/>
  <c r="U306" i="8"/>
  <c r="AV306" i="8" s="1"/>
  <c r="BA305" i="8"/>
  <c r="AZ305" i="8"/>
  <c r="AY305" i="8"/>
  <c r="AX305" i="8"/>
  <c r="AW305" i="8"/>
  <c r="AU305" i="8"/>
  <c r="U305" i="8"/>
  <c r="AV305" i="8" s="1"/>
  <c r="BA302" i="8"/>
  <c r="AZ302" i="8"/>
  <c r="AY302" i="8"/>
  <c r="AX302" i="8"/>
  <c r="AW302" i="8"/>
  <c r="AV302" i="8"/>
  <c r="AU302" i="8"/>
  <c r="BA301" i="8"/>
  <c r="AZ301" i="8"/>
  <c r="AY301" i="8"/>
  <c r="AX301" i="8"/>
  <c r="AW301" i="8"/>
  <c r="AV301" i="8"/>
  <c r="AU301" i="8"/>
  <c r="BA332" i="8" l="1"/>
  <c r="AZ332" i="8"/>
  <c r="AY332" i="8"/>
  <c r="AX332" i="8"/>
  <c r="AW332" i="8"/>
  <c r="AV332" i="8"/>
  <c r="AU332" i="8"/>
  <c r="BA272" i="8"/>
  <c r="AZ272" i="8"/>
  <c r="AY272" i="8"/>
  <c r="AX272" i="8"/>
  <c r="AW272" i="8"/>
  <c r="AV272" i="8"/>
  <c r="AU272" i="8"/>
  <c r="BA147" i="8"/>
  <c r="AZ147" i="8"/>
  <c r="AY147" i="8"/>
  <c r="AX147" i="8"/>
  <c r="AW147" i="8"/>
  <c r="AU147" i="8"/>
  <c r="U147" i="8"/>
  <c r="AV147" i="8" s="1"/>
  <c r="BA142" i="8"/>
  <c r="AZ142" i="8"/>
  <c r="AY142" i="8"/>
  <c r="AX142" i="8"/>
  <c r="AW142" i="8"/>
  <c r="AV142" i="8"/>
  <c r="AU142" i="8"/>
  <c r="BA102" i="8"/>
  <c r="AZ102" i="8"/>
  <c r="AY102" i="8"/>
  <c r="AX102" i="8"/>
  <c r="AW102" i="8"/>
  <c r="AU102" i="8"/>
  <c r="U102" i="8"/>
  <c r="AV102" i="8" s="1"/>
  <c r="BA97" i="8"/>
  <c r="AZ97" i="8"/>
  <c r="AY97" i="8"/>
  <c r="AX97" i="8"/>
  <c r="AW97" i="8"/>
  <c r="AV97" i="8"/>
  <c r="AU97" i="8"/>
  <c r="BA48" i="8"/>
  <c r="AZ48" i="8"/>
  <c r="AY48" i="8"/>
  <c r="AX48" i="8"/>
  <c r="AW48" i="8"/>
  <c r="AU48" i="8"/>
  <c r="U48" i="8"/>
  <c r="AV48" i="8" s="1"/>
  <c r="BA43" i="8"/>
  <c r="AZ43" i="8"/>
  <c r="AY43" i="8"/>
  <c r="AX43" i="8"/>
  <c r="AW43" i="8"/>
  <c r="AV43" i="8"/>
  <c r="AU43" i="8"/>
  <c r="T107" i="15"/>
  <c r="D42" i="15"/>
  <c r="D41" i="15"/>
  <c r="I33" i="2"/>
  <c r="I30" i="1" s="1"/>
  <c r="I34" i="2"/>
  <c r="AD55" i="2" l="1"/>
  <c r="BH39" i="2" l="1"/>
  <c r="BH40" i="2"/>
  <c r="BH36" i="2"/>
  <c r="BH19" i="2"/>
  <c r="BH11" i="2"/>
  <c r="BH14" i="2"/>
  <c r="M31" i="2"/>
  <c r="M32" i="2"/>
  <c r="AA42" i="2" l="1" a="1"/>
  <c r="AA42" i="2" s="1"/>
  <c r="AA41" i="2" a="1"/>
  <c r="AA41" i="2" s="1"/>
  <c r="AA40" i="2" a="1"/>
  <c r="AA40" i="2" s="1"/>
  <c r="AA39" i="2" a="1"/>
  <c r="AA39" i="2" s="1"/>
  <c r="AA38" i="2" a="1"/>
  <c r="AA38" i="2" s="1"/>
  <c r="AA20" i="2" a="1"/>
  <c r="AA20" i="2" s="1"/>
  <c r="AA19" i="2" a="1"/>
  <c r="AA19" i="2" s="1"/>
  <c r="AA18" i="2" a="1"/>
  <c r="AA18" i="2" s="1"/>
  <c r="AA17" i="2" a="1"/>
  <c r="AA17" i="2" s="1"/>
  <c r="AA16" i="2" a="1"/>
  <c r="AA16" i="2" s="1"/>
  <c r="T6" i="2" l="1"/>
  <c r="T5" i="2"/>
  <c r="D7" i="5" a="1"/>
  <c r="D7" i="5"/>
  <c r="E7" i="5" a="1"/>
  <c r="E7" i="5"/>
  <c r="E6" i="5" a="1"/>
  <c r="E6" i="5"/>
  <c r="D6" i="5" a="1"/>
  <c r="D6" i="5"/>
  <c r="D4" i="5" l="1" a="1"/>
  <c r="D4" i="5"/>
  <c r="D5" i="5" a="1"/>
  <c r="D5" i="5"/>
  <c r="E5" i="5" a="1"/>
  <c r="E5" i="5"/>
  <c r="E4" i="5" a="1"/>
  <c r="E4" i="5"/>
  <c r="D14" i="13" a="1"/>
  <c r="D14" i="13"/>
  <c r="D13" i="13" a="1"/>
  <c r="D13" i="13"/>
  <c r="D11" i="13" a="1"/>
  <c r="D11" i="13"/>
  <c r="D15" i="13" a="1"/>
  <c r="D15" i="13"/>
  <c r="N21" i="13" a="1"/>
  <c r="N21" i="13"/>
  <c r="M32" i="13" a="1"/>
  <c r="M32" i="13"/>
  <c r="J30" i="13" a="1"/>
  <c r="J30" i="13"/>
  <c r="N20" i="13" a="1"/>
  <c r="N20" i="13"/>
  <c r="J29" i="13" a="1"/>
  <c r="J29" i="13"/>
  <c r="N23" i="13" a="1"/>
  <c r="N23" i="13"/>
  <c r="M23" i="13" a="1"/>
  <c r="M23" i="13"/>
  <c r="J23" i="13" a="1"/>
  <c r="J23" i="13"/>
  <c r="N22" i="13" a="1"/>
  <c r="N22" i="13"/>
  <c r="D12" i="13" a="1"/>
  <c r="D12" i="13"/>
  <c r="N18" i="13" a="1"/>
  <c r="N18" i="13"/>
  <c r="M22" i="13" a="1"/>
  <c r="M22" i="13"/>
  <c r="J22" i="13" a="1"/>
  <c r="J22" i="13"/>
  <c r="J21" i="13" a="1"/>
  <c r="J21" i="13"/>
  <c r="D16" i="13" a="1"/>
  <c r="D16" i="13"/>
  <c r="M19" i="13" a="1"/>
  <c r="M19" i="13"/>
  <c r="N17" i="13" a="1"/>
  <c r="N17" i="13"/>
  <c r="M16" i="13" a="1"/>
  <c r="M16" i="13"/>
  <c r="M17" i="13" a="1"/>
  <c r="M17" i="13"/>
  <c r="M21" i="13" a="1"/>
  <c r="M21" i="13"/>
  <c r="M20" i="13" a="1"/>
  <c r="M20" i="13"/>
  <c r="K16" i="13" a="1"/>
  <c r="K16" i="13"/>
  <c r="C11" i="13" a="1"/>
  <c r="C11" i="13"/>
  <c r="J20" i="13" a="1"/>
  <c r="J20" i="13"/>
  <c r="L17" i="13" a="1"/>
  <c r="L17" i="13"/>
  <c r="N16" i="13" a="1"/>
  <c r="N16" i="13"/>
  <c r="M18" i="13" a="1"/>
  <c r="M18" i="13"/>
  <c r="N19" i="13" a="1"/>
  <c r="N19" i="13"/>
  <c r="J19" i="13" a="1"/>
  <c r="J19" i="13"/>
  <c r="K18" i="13" a="1"/>
  <c r="K18" i="13"/>
  <c r="B11" i="13" a="1"/>
  <c r="B11" i="13"/>
  <c r="J7" i="13" a="1"/>
  <c r="J7" i="13"/>
  <c r="C10" i="13" a="1"/>
  <c r="C10" i="13"/>
  <c r="N9" i="13" a="1"/>
  <c r="N9" i="13"/>
  <c r="M9" i="13" a="1"/>
  <c r="M9" i="13"/>
  <c r="C8" i="13" a="1"/>
  <c r="C8" i="13"/>
  <c r="N6" i="13" a="1"/>
  <c r="N6" i="13"/>
  <c r="N7" i="13" a="1"/>
  <c r="N7" i="13"/>
  <c r="K9" i="13" a="1"/>
  <c r="K9" i="13"/>
  <c r="C9" i="13" a="1"/>
  <c r="C9" i="13"/>
  <c r="B9" i="13" a="1"/>
  <c r="B9" i="13"/>
  <c r="B8" i="13" a="1"/>
  <c r="B8" i="13"/>
  <c r="N5" i="13" a="1"/>
  <c r="N5" i="13"/>
  <c r="C7" i="13" a="1"/>
  <c r="C7" i="13"/>
  <c r="J6" i="13" a="1"/>
  <c r="J6" i="13"/>
  <c r="B4" i="13" a="1"/>
  <c r="B4" i="13"/>
  <c r="M6" i="13" a="1"/>
  <c r="M6" i="13"/>
  <c r="C4" i="13" a="1"/>
  <c r="C4" i="13"/>
  <c r="N8" i="13" a="1"/>
  <c r="N8" i="13"/>
  <c r="J5" i="13" a="1"/>
  <c r="J5" i="13"/>
  <c r="M8" i="13" a="1"/>
  <c r="M8" i="13"/>
  <c r="L8" i="13" a="1"/>
  <c r="L8" i="13"/>
  <c r="K8" i="13" a="1"/>
  <c r="K8" i="13"/>
  <c r="M7" i="13" a="1"/>
  <c r="M7" i="13"/>
  <c r="M5" i="13" a="1"/>
  <c r="M5" i="13"/>
  <c r="AA21" i="2" a="1"/>
  <c r="AA21" i="2"/>
  <c r="AA22" i="2" a="1"/>
  <c r="AA22" i="2"/>
  <c r="AA14" i="2" a="1"/>
  <c r="AA14" i="2"/>
  <c r="AA15" i="2" a="1"/>
  <c r="AA15" i="2"/>
  <c r="AA13" i="2" a="1"/>
  <c r="AA13" i="2"/>
  <c r="AA12" i="2" a="1"/>
  <c r="AA12" i="2"/>
  <c r="AA11" i="2" a="1"/>
  <c r="AA11" i="2"/>
  <c r="AA10" i="2" a="1"/>
  <c r="AA10" i="2"/>
  <c r="AA9" i="2" a="1"/>
  <c r="AA9" i="2"/>
  <c r="AA7" i="2" a="1"/>
  <c r="AA7" i="2"/>
  <c r="AA8" i="2" a="1"/>
  <c r="AA8" i="2"/>
  <c r="CF5" i="2" a="1"/>
  <c r="CF5" i="2"/>
  <c r="AA5" i="2" a="1"/>
  <c r="AA5" i="2"/>
  <c r="AA4" i="2" a="1"/>
  <c r="AA4" i="2"/>
  <c r="AA6" i="2" a="1"/>
  <c r="AA6" i="2"/>
  <c r="S62" i="2" a="1"/>
  <c r="S62" i="2"/>
  <c r="Q62" i="2" a="1"/>
  <c r="Q62" i="2"/>
  <c r="R63" i="2" a="1"/>
  <c r="R63" i="2"/>
  <c r="R62" i="2" a="1"/>
  <c r="R62" i="2"/>
  <c r="Q63" i="2" a="1"/>
  <c r="Q63" i="2"/>
  <c r="S63" i="2" a="1"/>
  <c r="S63" i="2"/>
  <c r="Q55" i="2" a="1"/>
  <c r="Q55" i="2"/>
  <c r="R60" i="2" a="1"/>
  <c r="R60" i="2"/>
  <c r="Q60" i="2" a="1"/>
  <c r="Q60" i="2"/>
  <c r="S58" i="2" a="1"/>
  <c r="S58" i="2"/>
  <c r="S56" i="2" a="1"/>
  <c r="S56" i="2"/>
  <c r="Q56" i="2" a="1"/>
  <c r="Q56" i="2"/>
  <c r="S57" i="2" a="1"/>
  <c r="S57" i="2"/>
  <c r="S61" i="2" a="1"/>
  <c r="S61" i="2"/>
  <c r="R61" i="2" a="1"/>
  <c r="R61" i="2"/>
  <c r="Q61" i="2" a="1"/>
  <c r="Q61" i="2"/>
  <c r="R55" i="2" a="1"/>
  <c r="R55" i="2"/>
  <c r="R59" i="2" a="1"/>
  <c r="R59" i="2"/>
  <c r="Q57" i="2" a="1"/>
  <c r="Q57" i="2"/>
  <c r="Q58" i="2" a="1"/>
  <c r="Q58" i="2"/>
  <c r="S54" i="2" a="1"/>
  <c r="S54" i="2"/>
  <c r="R57" i="2" a="1"/>
  <c r="R57" i="2"/>
  <c r="R58" i="2" a="1"/>
  <c r="R58" i="2"/>
  <c r="R56" i="2" a="1"/>
  <c r="R56" i="2"/>
  <c r="S60" i="2" a="1"/>
  <c r="S60" i="2"/>
  <c r="S55" i="2" a="1"/>
  <c r="S55" i="2"/>
  <c r="S59" i="2" a="1"/>
  <c r="S59" i="2"/>
  <c r="Q59" i="2" a="1"/>
  <c r="Q59" i="2"/>
  <c r="AA44" i="2" a="1"/>
  <c r="AA44" i="2"/>
  <c r="AA45" i="2" a="1"/>
  <c r="AA45" i="2"/>
  <c r="AA47" i="2" a="1"/>
  <c r="AA47" i="2"/>
  <c r="AA37" i="2" a="1"/>
  <c r="AA37" i="2"/>
  <c r="AA46" i="2" a="1"/>
  <c r="AA46" i="2"/>
  <c r="AA43" i="2" a="1"/>
  <c r="AA43" i="2"/>
  <c r="R54" i="2" a="1"/>
  <c r="R54" i="2"/>
  <c r="Q54" i="2" a="1"/>
  <c r="Q54" i="2"/>
  <c r="AA36" i="2" a="1"/>
  <c r="AA36" i="2"/>
  <c r="AA29" i="2" a="1"/>
  <c r="AA29" i="2"/>
  <c r="AA34" i="2" a="1"/>
  <c r="AA34" i="2"/>
  <c r="AA30" i="2" a="1"/>
  <c r="AA30" i="2"/>
  <c r="AA35" i="2" a="1"/>
  <c r="AA35" i="2"/>
  <c r="AG56" i="2" a="1"/>
  <c r="AG56" i="2"/>
  <c r="AA31" i="2" a="1"/>
  <c r="AA31" i="2"/>
  <c r="AA33" i="2" a="1"/>
  <c r="AA33" i="2"/>
  <c r="AH56" i="2" a="1"/>
  <c r="AH56" i="2"/>
  <c r="AA32" i="2" a="1"/>
  <c r="AA32" i="2"/>
  <c r="AA27" i="2" a="1"/>
  <c r="AA27" i="2"/>
  <c r="AH55" i="2" a="1"/>
  <c r="AH55" i="2"/>
  <c r="AG55" i="2" a="1"/>
  <c r="AG55" i="2"/>
  <c r="AA28" i="2" a="1"/>
  <c r="AA28" i="2"/>
  <c r="AG53" i="2" a="1"/>
  <c r="AG53" i="2"/>
  <c r="AG54" i="2" a="1"/>
  <c r="AG54" i="2"/>
  <c r="AH54" i="2" a="1"/>
  <c r="AH54" i="2"/>
  <c r="AH53" i="2" a="1"/>
  <c r="AH53" i="2"/>
  <c r="AA26" i="2" a="1"/>
  <c r="AA26" i="2"/>
  <c r="AA24" i="2" a="1"/>
  <c r="AA24" i="2"/>
  <c r="AA25" i="2" a="1"/>
  <c r="AA25" i="2"/>
  <c r="AA23" i="2" a="1"/>
  <c r="AA23" i="2"/>
  <c r="CE55" i="2"/>
  <c r="CD55" i="2"/>
  <c r="CC55" i="2"/>
  <c r="CB55" i="2"/>
  <c r="CA55" i="2"/>
  <c r="BZ55" i="2"/>
  <c r="BY55" i="2"/>
  <c r="BX55" i="2"/>
  <c r="BW55" i="2"/>
  <c r="BV55" i="2"/>
  <c r="BU55" i="2"/>
  <c r="BS55" i="2"/>
  <c r="BR55" i="2"/>
  <c r="BQ55" i="2"/>
  <c r="BP55" i="2"/>
  <c r="BO55" i="2"/>
  <c r="BN55" i="2"/>
  <c r="BM55" i="2"/>
  <c r="BL55" i="2"/>
  <c r="BK55" i="2"/>
  <c r="BJ55" i="2"/>
  <c r="BI55" i="2"/>
  <c r="BH55" i="2"/>
  <c r="CE54" i="2"/>
  <c r="CD54" i="2"/>
  <c r="CC54" i="2"/>
  <c r="CB54" i="2"/>
  <c r="CA54" i="2"/>
  <c r="BZ54" i="2"/>
  <c r="BY54" i="2"/>
  <c r="BX54" i="2"/>
  <c r="BW54" i="2"/>
  <c r="BV54" i="2"/>
  <c r="BU54" i="2"/>
  <c r="BS54" i="2"/>
  <c r="BR54" i="2"/>
  <c r="BQ54" i="2"/>
  <c r="BP54" i="2"/>
  <c r="BO54" i="2"/>
  <c r="BN54" i="2"/>
  <c r="BM54" i="2"/>
  <c r="BL54" i="2"/>
  <c r="BK54" i="2"/>
  <c r="BJ54" i="2"/>
  <c r="BI54" i="2"/>
  <c r="BH54" i="2"/>
  <c r="CE53" i="2"/>
  <c r="CD53" i="2"/>
  <c r="CC53" i="2"/>
  <c r="CB53" i="2"/>
  <c r="CA53" i="2"/>
  <c r="BZ53" i="2"/>
  <c r="BY53" i="2"/>
  <c r="BX53" i="2"/>
  <c r="BW53" i="2"/>
  <c r="BV53" i="2"/>
  <c r="BU53" i="2"/>
  <c r="BS53" i="2"/>
  <c r="BR53" i="2"/>
  <c r="BQ53" i="2"/>
  <c r="BP53" i="2"/>
  <c r="BO53" i="2"/>
  <c r="BN53" i="2"/>
  <c r="BM53" i="2"/>
  <c r="BL53" i="2"/>
  <c r="BK53" i="2"/>
  <c r="BJ53" i="2"/>
  <c r="BI53" i="2"/>
  <c r="BH53" i="2"/>
  <c r="CE52" i="2"/>
  <c r="CD52" i="2"/>
  <c r="CC52" i="2"/>
  <c r="CB52" i="2"/>
  <c r="CA52" i="2"/>
  <c r="BZ52" i="2"/>
  <c r="BY52" i="2"/>
  <c r="BX52" i="2"/>
  <c r="BW52" i="2"/>
  <c r="BV52" i="2"/>
  <c r="BU52" i="2"/>
  <c r="BS52" i="2"/>
  <c r="BR52" i="2"/>
  <c r="BQ52" i="2"/>
  <c r="BP52" i="2"/>
  <c r="BO52" i="2"/>
  <c r="BN52" i="2"/>
  <c r="BM52" i="2"/>
  <c r="BL52" i="2"/>
  <c r="BK52" i="2"/>
  <c r="BJ52" i="2"/>
  <c r="BI52" i="2"/>
  <c r="BH52" i="2"/>
  <c r="CE51" i="2"/>
  <c r="CD51" i="2"/>
  <c r="CC51" i="2"/>
  <c r="CB51" i="2"/>
  <c r="CA51" i="2"/>
  <c r="BZ51" i="2"/>
  <c r="BY51" i="2"/>
  <c r="BX51" i="2"/>
  <c r="BW51" i="2"/>
  <c r="BV51" i="2"/>
  <c r="BU51" i="2"/>
  <c r="BS51" i="2"/>
  <c r="BR51" i="2"/>
  <c r="BQ51" i="2"/>
  <c r="BP51" i="2"/>
  <c r="BO51" i="2"/>
  <c r="BN51" i="2"/>
  <c r="BM51" i="2"/>
  <c r="BL51" i="2"/>
  <c r="BK51" i="2"/>
  <c r="BJ51" i="2"/>
  <c r="BI51" i="2"/>
  <c r="BH51" i="2"/>
  <c r="CE50" i="2"/>
  <c r="CD50" i="2"/>
  <c r="CC50" i="2"/>
  <c r="CB50" i="2"/>
  <c r="CA50" i="2"/>
  <c r="BZ50" i="2"/>
  <c r="BY50" i="2"/>
  <c r="BX50" i="2"/>
  <c r="BW50" i="2"/>
  <c r="BV50" i="2"/>
  <c r="BU50" i="2"/>
  <c r="BS50" i="2"/>
  <c r="BR50" i="2"/>
  <c r="BQ50" i="2"/>
  <c r="BP50" i="2"/>
  <c r="BO50" i="2"/>
  <c r="BN50" i="2"/>
  <c r="BM50" i="2"/>
  <c r="BL50" i="2"/>
  <c r="BK50" i="2"/>
  <c r="BJ50" i="2"/>
  <c r="BI50" i="2"/>
  <c r="BH50" i="2"/>
  <c r="CE49" i="2"/>
  <c r="CD49" i="2"/>
  <c r="CC49" i="2"/>
  <c r="CB49" i="2"/>
  <c r="CA49" i="2"/>
  <c r="BZ49" i="2"/>
  <c r="BY49" i="2"/>
  <c r="BX49" i="2"/>
  <c r="BW49" i="2"/>
  <c r="BV49" i="2"/>
  <c r="BU49" i="2"/>
  <c r="BS49" i="2"/>
  <c r="BR49" i="2"/>
  <c r="BQ49" i="2"/>
  <c r="BP49" i="2"/>
  <c r="BO49" i="2"/>
  <c r="BN49" i="2"/>
  <c r="BM49" i="2"/>
  <c r="BL49" i="2"/>
  <c r="BK49" i="2"/>
  <c r="BJ49" i="2"/>
  <c r="BI49" i="2"/>
  <c r="BH49" i="2"/>
  <c r="CE48" i="2"/>
  <c r="CD48" i="2"/>
  <c r="CC48" i="2"/>
  <c r="CB48" i="2"/>
  <c r="CA48" i="2"/>
  <c r="BZ48" i="2"/>
  <c r="BY48" i="2"/>
  <c r="BX48" i="2"/>
  <c r="BW48" i="2"/>
  <c r="BV48" i="2"/>
  <c r="BU48" i="2"/>
  <c r="BS48" i="2"/>
  <c r="BR48" i="2"/>
  <c r="BQ48" i="2"/>
  <c r="BP48" i="2"/>
  <c r="BO48" i="2"/>
  <c r="BN48" i="2"/>
  <c r="BM48" i="2"/>
  <c r="BL48" i="2"/>
  <c r="BK48" i="2"/>
  <c r="BJ48" i="2"/>
  <c r="BI48" i="2"/>
  <c r="BH48" i="2"/>
  <c r="CE47" i="2"/>
  <c r="CD47" i="2"/>
  <c r="CC47" i="2"/>
  <c r="CB47" i="2"/>
  <c r="CA47" i="2"/>
  <c r="BZ47" i="2"/>
  <c r="BY47" i="2"/>
  <c r="BX47" i="2"/>
  <c r="BW47" i="2"/>
  <c r="BV47" i="2"/>
  <c r="BU47" i="2"/>
  <c r="BS47" i="2"/>
  <c r="BR47" i="2"/>
  <c r="BQ47" i="2"/>
  <c r="BP47" i="2"/>
  <c r="BO47" i="2"/>
  <c r="BN47" i="2"/>
  <c r="BM47" i="2"/>
  <c r="BL47" i="2"/>
  <c r="BK47" i="2"/>
  <c r="BJ47" i="2"/>
  <c r="BI47" i="2"/>
  <c r="BH47" i="2"/>
  <c r="CE46" i="2"/>
  <c r="CD46" i="2"/>
  <c r="CC46" i="2"/>
  <c r="CB46" i="2"/>
  <c r="CA46" i="2"/>
  <c r="BZ46" i="2"/>
  <c r="BY46" i="2"/>
  <c r="BX46" i="2"/>
  <c r="BW46" i="2"/>
  <c r="BV46" i="2"/>
  <c r="BU46" i="2"/>
  <c r="BS46" i="2"/>
  <c r="BR46" i="2"/>
  <c r="BQ46" i="2"/>
  <c r="BP46" i="2"/>
  <c r="BO46" i="2"/>
  <c r="BN46" i="2"/>
  <c r="BM46" i="2"/>
  <c r="BL46" i="2"/>
  <c r="BK46" i="2"/>
  <c r="BJ46" i="2"/>
  <c r="BI46" i="2"/>
  <c r="BH46" i="2"/>
  <c r="CE45" i="2"/>
  <c r="CD45" i="2"/>
  <c r="CC45" i="2"/>
  <c r="CB45" i="2"/>
  <c r="CA45" i="2"/>
  <c r="BZ45" i="2"/>
  <c r="BY45" i="2"/>
  <c r="BX45" i="2"/>
  <c r="BW45" i="2"/>
  <c r="BV45" i="2"/>
  <c r="BU45" i="2"/>
  <c r="BS45" i="2"/>
  <c r="BR45" i="2"/>
  <c r="BQ45" i="2"/>
  <c r="BP45" i="2"/>
  <c r="BO45" i="2"/>
  <c r="BN45" i="2"/>
  <c r="BM45" i="2"/>
  <c r="BL45" i="2"/>
  <c r="BK45" i="2"/>
  <c r="BJ45" i="2"/>
  <c r="BI45" i="2"/>
  <c r="BH45" i="2"/>
  <c r="CE44" i="2"/>
  <c r="CD44" i="2"/>
  <c r="CC44" i="2"/>
  <c r="CB44" i="2"/>
  <c r="CA44" i="2"/>
  <c r="BZ44" i="2"/>
  <c r="BY44" i="2"/>
  <c r="BX44" i="2"/>
  <c r="BW44" i="2"/>
  <c r="BV44" i="2"/>
  <c r="BU44" i="2"/>
  <c r="BS44" i="2"/>
  <c r="BR44" i="2"/>
  <c r="BQ44" i="2"/>
  <c r="BP44" i="2"/>
  <c r="BO44" i="2"/>
  <c r="BN44" i="2"/>
  <c r="BM44" i="2"/>
  <c r="BL44" i="2"/>
  <c r="BK44" i="2"/>
  <c r="BJ44" i="2"/>
  <c r="BI44" i="2"/>
  <c r="BH44" i="2"/>
  <c r="CE43" i="2"/>
  <c r="CD43" i="2"/>
  <c r="CC43" i="2"/>
  <c r="CB43" i="2"/>
  <c r="CA43" i="2"/>
  <c r="BZ43" i="2"/>
  <c r="BY43" i="2"/>
  <c r="BX43" i="2"/>
  <c r="BW43" i="2"/>
  <c r="BV43" i="2"/>
  <c r="BU43" i="2"/>
  <c r="BS43" i="2"/>
  <c r="BR43" i="2"/>
  <c r="BQ43" i="2"/>
  <c r="BP43" i="2"/>
  <c r="BO43" i="2"/>
  <c r="BN43" i="2"/>
  <c r="BM43" i="2"/>
  <c r="BL43" i="2"/>
  <c r="BK43" i="2"/>
  <c r="BJ43" i="2"/>
  <c r="BI43" i="2"/>
  <c r="BH43" i="2"/>
  <c r="CE42" i="2"/>
  <c r="CD42" i="2"/>
  <c r="CC42" i="2"/>
  <c r="CB42" i="2"/>
  <c r="CA42" i="2"/>
  <c r="BZ42" i="2"/>
  <c r="BY42" i="2"/>
  <c r="BX42" i="2"/>
  <c r="BW42" i="2"/>
  <c r="BV42" i="2"/>
  <c r="BU42" i="2"/>
  <c r="BS42" i="2"/>
  <c r="BR42" i="2"/>
  <c r="BQ42" i="2"/>
  <c r="BP42" i="2"/>
  <c r="BO42" i="2"/>
  <c r="BN42" i="2"/>
  <c r="BM42" i="2"/>
  <c r="BL42" i="2"/>
  <c r="BK42" i="2"/>
  <c r="BJ42" i="2"/>
  <c r="BI42" i="2"/>
  <c r="BH42" i="2"/>
  <c r="CE41" i="2"/>
  <c r="CD41" i="2"/>
  <c r="CC41" i="2"/>
  <c r="CB41" i="2"/>
  <c r="CA41" i="2"/>
  <c r="BZ41" i="2"/>
  <c r="BY41" i="2"/>
  <c r="BX41" i="2"/>
  <c r="BW41" i="2"/>
  <c r="BV41" i="2"/>
  <c r="BU41" i="2"/>
  <c r="BS41" i="2"/>
  <c r="BR41" i="2"/>
  <c r="BQ41" i="2"/>
  <c r="BP41" i="2"/>
  <c r="BO41" i="2"/>
  <c r="BN41" i="2"/>
  <c r="BM41" i="2"/>
  <c r="BL41" i="2"/>
  <c r="BK41" i="2"/>
  <c r="BJ41" i="2"/>
  <c r="BI41" i="2"/>
  <c r="BH41" i="2"/>
  <c r="CE40" i="2"/>
  <c r="CD40" i="2"/>
  <c r="CC40" i="2"/>
  <c r="CB40" i="2"/>
  <c r="CA40" i="2"/>
  <c r="BZ40" i="2"/>
  <c r="BY40" i="2"/>
  <c r="BX40" i="2"/>
  <c r="BW40" i="2"/>
  <c r="BV40" i="2"/>
  <c r="BU40" i="2"/>
  <c r="BS40" i="2"/>
  <c r="BR40" i="2"/>
  <c r="BQ40" i="2"/>
  <c r="BP40" i="2"/>
  <c r="BO40" i="2"/>
  <c r="BN40" i="2"/>
  <c r="BM40" i="2"/>
  <c r="BL40" i="2"/>
  <c r="BK40" i="2"/>
  <c r="BJ40" i="2"/>
  <c r="BI40" i="2"/>
  <c r="CE39" i="2"/>
  <c r="CD39" i="2"/>
  <c r="CC39" i="2"/>
  <c r="CB39" i="2"/>
  <c r="CA39" i="2"/>
  <c r="BZ39" i="2"/>
  <c r="BY39" i="2"/>
  <c r="BX39" i="2"/>
  <c r="BW39" i="2"/>
  <c r="BV39" i="2"/>
  <c r="BU39" i="2"/>
  <c r="BS39" i="2"/>
  <c r="BR39" i="2"/>
  <c r="BQ39" i="2"/>
  <c r="BP39" i="2"/>
  <c r="BO39" i="2"/>
  <c r="BN39" i="2"/>
  <c r="BM39" i="2"/>
  <c r="BL39" i="2"/>
  <c r="BK39" i="2"/>
  <c r="BJ39" i="2"/>
  <c r="BI39" i="2"/>
  <c r="CE38" i="2"/>
  <c r="CD38" i="2"/>
  <c r="CC38" i="2"/>
  <c r="CB38" i="2"/>
  <c r="CA38" i="2"/>
  <c r="BZ38" i="2"/>
  <c r="BY38" i="2"/>
  <c r="BX38" i="2"/>
  <c r="BW38" i="2"/>
  <c r="BV38" i="2"/>
  <c r="BU38" i="2"/>
  <c r="BS38" i="2"/>
  <c r="BR38" i="2"/>
  <c r="BQ38" i="2"/>
  <c r="BP38" i="2"/>
  <c r="BO38" i="2"/>
  <c r="BN38" i="2"/>
  <c r="BM38" i="2"/>
  <c r="BL38" i="2"/>
  <c r="BK38" i="2"/>
  <c r="BJ38" i="2"/>
  <c r="BI38" i="2"/>
  <c r="BH38" i="2"/>
  <c r="CE37" i="2"/>
  <c r="CD37" i="2"/>
  <c r="CC37" i="2"/>
  <c r="CB37" i="2"/>
  <c r="CA37" i="2"/>
  <c r="BZ37" i="2"/>
  <c r="BY37" i="2"/>
  <c r="BX37" i="2"/>
  <c r="BW37" i="2"/>
  <c r="BV37" i="2"/>
  <c r="BU37" i="2"/>
  <c r="BS37" i="2"/>
  <c r="BR37" i="2"/>
  <c r="BQ37" i="2"/>
  <c r="BP37" i="2"/>
  <c r="BO37" i="2"/>
  <c r="BN37" i="2"/>
  <c r="BM37" i="2"/>
  <c r="BL37" i="2"/>
  <c r="BK37" i="2"/>
  <c r="BJ37" i="2"/>
  <c r="BI37" i="2"/>
  <c r="BH37" i="2"/>
  <c r="CE36" i="2"/>
  <c r="CD36" i="2"/>
  <c r="CC36" i="2"/>
  <c r="CB36" i="2"/>
  <c r="CA36" i="2"/>
  <c r="BZ36" i="2"/>
  <c r="BY36" i="2"/>
  <c r="BX36" i="2"/>
  <c r="BW36" i="2"/>
  <c r="BV36" i="2"/>
  <c r="BU36" i="2"/>
  <c r="BS36" i="2"/>
  <c r="BR36" i="2"/>
  <c r="BQ36" i="2"/>
  <c r="BP36" i="2"/>
  <c r="BO36" i="2"/>
  <c r="BN36" i="2"/>
  <c r="BM36" i="2"/>
  <c r="BL36" i="2"/>
  <c r="BK36" i="2"/>
  <c r="BJ36" i="2"/>
  <c r="BI36" i="2"/>
  <c r="CE35" i="2"/>
  <c r="CD35" i="2"/>
  <c r="CC35" i="2"/>
  <c r="CB35" i="2"/>
  <c r="CA35" i="2"/>
  <c r="BZ35" i="2"/>
  <c r="BY35" i="2"/>
  <c r="BX35" i="2"/>
  <c r="BW35" i="2"/>
  <c r="BV35" i="2"/>
  <c r="BU35" i="2"/>
  <c r="BS35" i="2"/>
  <c r="BR35" i="2"/>
  <c r="BQ35" i="2"/>
  <c r="BP35" i="2"/>
  <c r="BO35" i="2"/>
  <c r="BN35" i="2"/>
  <c r="BM35" i="2"/>
  <c r="BL35" i="2"/>
  <c r="BK35" i="2"/>
  <c r="BJ35" i="2"/>
  <c r="BI35" i="2"/>
  <c r="BH35" i="2"/>
  <c r="CE34" i="2"/>
  <c r="CD34" i="2"/>
  <c r="CC34" i="2"/>
  <c r="CB34" i="2"/>
  <c r="CA34" i="2"/>
  <c r="BZ34" i="2"/>
  <c r="BY34" i="2"/>
  <c r="BX34" i="2"/>
  <c r="BW34" i="2"/>
  <c r="BV34" i="2"/>
  <c r="BU34" i="2"/>
  <c r="BS34" i="2"/>
  <c r="BR34" i="2"/>
  <c r="BQ34" i="2"/>
  <c r="BP34" i="2"/>
  <c r="BO34" i="2"/>
  <c r="BN34" i="2"/>
  <c r="BM34" i="2"/>
  <c r="BL34" i="2"/>
  <c r="BK34" i="2"/>
  <c r="BJ34" i="2"/>
  <c r="BI34" i="2"/>
  <c r="BH34" i="2"/>
  <c r="CE33" i="2"/>
  <c r="CD33" i="2"/>
  <c r="CC33" i="2"/>
  <c r="CB33" i="2"/>
  <c r="CA33" i="2"/>
  <c r="BZ33" i="2"/>
  <c r="BY33" i="2"/>
  <c r="BX33" i="2"/>
  <c r="BW33" i="2"/>
  <c r="BV33" i="2"/>
  <c r="BU33" i="2"/>
  <c r="BS33" i="2"/>
  <c r="BR33" i="2"/>
  <c r="BQ33" i="2"/>
  <c r="BP33" i="2"/>
  <c r="BO33" i="2"/>
  <c r="BN33" i="2"/>
  <c r="BM33" i="2"/>
  <c r="BL33" i="2"/>
  <c r="BK33" i="2"/>
  <c r="BJ33" i="2"/>
  <c r="BI33" i="2"/>
  <c r="BH33" i="2"/>
  <c r="CE32" i="2"/>
  <c r="CD32" i="2"/>
  <c r="CC32" i="2"/>
  <c r="CB32" i="2"/>
  <c r="CA32" i="2"/>
  <c r="BZ32" i="2"/>
  <c r="BY32" i="2"/>
  <c r="BX32" i="2"/>
  <c r="BW32" i="2"/>
  <c r="BV32" i="2"/>
  <c r="BU32" i="2"/>
  <c r="BS32" i="2"/>
  <c r="BR32" i="2"/>
  <c r="BQ32" i="2"/>
  <c r="BP32" i="2"/>
  <c r="BO32" i="2"/>
  <c r="BN32" i="2"/>
  <c r="BM32" i="2"/>
  <c r="BL32" i="2"/>
  <c r="BK32" i="2"/>
  <c r="BJ32" i="2"/>
  <c r="BI32" i="2"/>
  <c r="BH32" i="2"/>
  <c r="CE31" i="2"/>
  <c r="CD31" i="2"/>
  <c r="CC31" i="2"/>
  <c r="CB31" i="2"/>
  <c r="CA31" i="2"/>
  <c r="BZ31" i="2"/>
  <c r="BY31" i="2"/>
  <c r="BX31" i="2"/>
  <c r="BW31" i="2"/>
  <c r="BV31" i="2"/>
  <c r="BU31" i="2"/>
  <c r="BS31" i="2"/>
  <c r="BR31" i="2"/>
  <c r="BQ31" i="2"/>
  <c r="BP31" i="2"/>
  <c r="BO31" i="2"/>
  <c r="BN31" i="2"/>
  <c r="BM31" i="2"/>
  <c r="BL31" i="2"/>
  <c r="BK31" i="2"/>
  <c r="BJ31" i="2"/>
  <c r="BI31" i="2"/>
  <c r="BH31" i="2"/>
  <c r="CE30" i="2"/>
  <c r="CD30" i="2"/>
  <c r="CC30" i="2"/>
  <c r="CB30" i="2"/>
  <c r="CA30" i="2"/>
  <c r="BZ30" i="2"/>
  <c r="BY30" i="2"/>
  <c r="BX30" i="2"/>
  <c r="BW30" i="2"/>
  <c r="BV30" i="2"/>
  <c r="BU30" i="2"/>
  <c r="BS30" i="2"/>
  <c r="BR30" i="2"/>
  <c r="BQ30" i="2"/>
  <c r="BP30" i="2"/>
  <c r="BO30" i="2"/>
  <c r="BN30" i="2"/>
  <c r="BM30" i="2"/>
  <c r="BL30" i="2"/>
  <c r="BK30" i="2"/>
  <c r="BJ30" i="2"/>
  <c r="BI30" i="2"/>
  <c r="BH30" i="2"/>
  <c r="CE29" i="2"/>
  <c r="CD29" i="2"/>
  <c r="CC29" i="2"/>
  <c r="CB29" i="2"/>
  <c r="CA29" i="2"/>
  <c r="BZ29" i="2"/>
  <c r="BY29" i="2"/>
  <c r="BX29" i="2"/>
  <c r="BW29" i="2"/>
  <c r="BV29" i="2"/>
  <c r="BU29" i="2"/>
  <c r="BS29" i="2"/>
  <c r="BR29" i="2"/>
  <c r="BQ29" i="2"/>
  <c r="BP29" i="2"/>
  <c r="BO29" i="2"/>
  <c r="BN29" i="2"/>
  <c r="BM29" i="2"/>
  <c r="BL29" i="2"/>
  <c r="BK29" i="2"/>
  <c r="BJ29" i="2"/>
  <c r="BI29" i="2"/>
  <c r="BH29" i="2"/>
  <c r="CE28" i="2"/>
  <c r="CD28" i="2"/>
  <c r="CC28" i="2"/>
  <c r="CB28" i="2"/>
  <c r="CA28" i="2"/>
  <c r="BZ28" i="2"/>
  <c r="BY28" i="2"/>
  <c r="BX28" i="2"/>
  <c r="BW28" i="2"/>
  <c r="BV28" i="2"/>
  <c r="BU28" i="2"/>
  <c r="BS28" i="2"/>
  <c r="BR28" i="2"/>
  <c r="BQ28" i="2"/>
  <c r="BP28" i="2"/>
  <c r="BO28" i="2"/>
  <c r="BN28" i="2"/>
  <c r="BM28" i="2"/>
  <c r="BL28" i="2"/>
  <c r="BK28" i="2"/>
  <c r="BJ28" i="2"/>
  <c r="BI28" i="2"/>
  <c r="BH28" i="2"/>
  <c r="CE27" i="2"/>
  <c r="CD27" i="2"/>
  <c r="CC27" i="2"/>
  <c r="CB27" i="2"/>
  <c r="CA27" i="2"/>
  <c r="BZ27" i="2"/>
  <c r="BY27" i="2"/>
  <c r="BX27" i="2"/>
  <c r="BW27" i="2"/>
  <c r="BV27" i="2"/>
  <c r="BU27" i="2"/>
  <c r="BS27" i="2"/>
  <c r="BR27" i="2"/>
  <c r="BQ27" i="2"/>
  <c r="BP27" i="2"/>
  <c r="BO27" i="2"/>
  <c r="BN27" i="2"/>
  <c r="BM27" i="2"/>
  <c r="BL27" i="2"/>
  <c r="BK27" i="2"/>
  <c r="BJ27" i="2"/>
  <c r="BI27" i="2"/>
  <c r="BH27" i="2"/>
  <c r="CE26" i="2"/>
  <c r="CD26" i="2"/>
  <c r="CC26" i="2"/>
  <c r="CB26" i="2"/>
  <c r="CA26" i="2"/>
  <c r="BZ26" i="2"/>
  <c r="BY26" i="2"/>
  <c r="BX26" i="2"/>
  <c r="BW26" i="2"/>
  <c r="BV26" i="2"/>
  <c r="BU26" i="2"/>
  <c r="BS26" i="2"/>
  <c r="BR26" i="2"/>
  <c r="BQ26" i="2"/>
  <c r="BP26" i="2"/>
  <c r="BO26" i="2"/>
  <c r="BN26" i="2"/>
  <c r="BM26" i="2"/>
  <c r="BL26" i="2"/>
  <c r="BK26" i="2"/>
  <c r="BJ26" i="2"/>
  <c r="BI26" i="2"/>
  <c r="BH26" i="2"/>
  <c r="CE25" i="2"/>
  <c r="CD25" i="2"/>
  <c r="CC25" i="2"/>
  <c r="CB25" i="2"/>
  <c r="CA25" i="2"/>
  <c r="BZ25" i="2"/>
  <c r="BY25" i="2"/>
  <c r="BX25" i="2"/>
  <c r="BW25" i="2"/>
  <c r="BV25" i="2"/>
  <c r="BU25" i="2"/>
  <c r="BS25" i="2"/>
  <c r="BR25" i="2"/>
  <c r="BQ25" i="2"/>
  <c r="BP25" i="2"/>
  <c r="BO25" i="2"/>
  <c r="BN25" i="2"/>
  <c r="BM25" i="2"/>
  <c r="BL25" i="2"/>
  <c r="BK25" i="2"/>
  <c r="BJ25" i="2"/>
  <c r="BI25" i="2"/>
  <c r="BH25" i="2"/>
  <c r="CE24" i="2"/>
  <c r="CD24" i="2"/>
  <c r="CC24" i="2"/>
  <c r="CB24" i="2"/>
  <c r="CA24" i="2"/>
  <c r="BZ24" i="2"/>
  <c r="BY24" i="2"/>
  <c r="BX24" i="2"/>
  <c r="BW24" i="2"/>
  <c r="BV24" i="2"/>
  <c r="BU24" i="2"/>
  <c r="BS24" i="2"/>
  <c r="BR24" i="2"/>
  <c r="BQ24" i="2"/>
  <c r="BP24" i="2"/>
  <c r="BO24" i="2"/>
  <c r="BN24" i="2"/>
  <c r="BM24" i="2"/>
  <c r="BL24" i="2"/>
  <c r="BK24" i="2"/>
  <c r="BJ24" i="2"/>
  <c r="BI24" i="2"/>
  <c r="BH24" i="2"/>
  <c r="CE23" i="2"/>
  <c r="CD23" i="2"/>
  <c r="CC23" i="2"/>
  <c r="CB23" i="2"/>
  <c r="CA23" i="2"/>
  <c r="BZ23" i="2"/>
  <c r="BY23" i="2"/>
  <c r="BX23" i="2"/>
  <c r="BW23" i="2"/>
  <c r="BV23" i="2"/>
  <c r="BU23" i="2"/>
  <c r="BS23" i="2"/>
  <c r="BR23" i="2"/>
  <c r="BQ23" i="2"/>
  <c r="BP23" i="2"/>
  <c r="BO23" i="2"/>
  <c r="BN23" i="2"/>
  <c r="BM23" i="2"/>
  <c r="BL23" i="2"/>
  <c r="BK23" i="2"/>
  <c r="BJ23" i="2"/>
  <c r="BI23" i="2"/>
  <c r="BH23" i="2"/>
  <c r="CE22" i="2"/>
  <c r="CD22" i="2"/>
  <c r="CC22" i="2"/>
  <c r="CB22" i="2"/>
  <c r="CA22" i="2"/>
  <c r="BZ22" i="2"/>
  <c r="BY22" i="2"/>
  <c r="BX22" i="2"/>
  <c r="BW22" i="2"/>
  <c r="BV22" i="2"/>
  <c r="BU22" i="2"/>
  <c r="BS22" i="2"/>
  <c r="BR22" i="2"/>
  <c r="BQ22" i="2"/>
  <c r="BP22" i="2"/>
  <c r="BO22" i="2"/>
  <c r="BN22" i="2"/>
  <c r="BM22" i="2"/>
  <c r="BL22" i="2"/>
  <c r="BK22" i="2"/>
  <c r="BJ22" i="2"/>
  <c r="BI22" i="2"/>
  <c r="BH22" i="2"/>
  <c r="CE21" i="2"/>
  <c r="CD21" i="2"/>
  <c r="CC21" i="2"/>
  <c r="CB21" i="2"/>
  <c r="CA21" i="2"/>
  <c r="BZ21" i="2"/>
  <c r="BY21" i="2"/>
  <c r="BX21" i="2"/>
  <c r="BW21" i="2"/>
  <c r="BV21" i="2"/>
  <c r="BU21" i="2"/>
  <c r="BS21" i="2"/>
  <c r="BR21" i="2"/>
  <c r="BQ21" i="2"/>
  <c r="BP21" i="2"/>
  <c r="BO21" i="2"/>
  <c r="BN21" i="2"/>
  <c r="BM21" i="2"/>
  <c r="BL21" i="2"/>
  <c r="BK21" i="2"/>
  <c r="BJ21" i="2"/>
  <c r="BI21" i="2"/>
  <c r="BH21" i="2"/>
  <c r="CE20" i="2"/>
  <c r="CD20" i="2"/>
  <c r="CC20" i="2"/>
  <c r="CB20" i="2"/>
  <c r="CA20" i="2"/>
  <c r="BZ20" i="2"/>
  <c r="BY20" i="2"/>
  <c r="BX20" i="2"/>
  <c r="BW20" i="2"/>
  <c r="BV20" i="2"/>
  <c r="BU20" i="2"/>
  <c r="BS20" i="2"/>
  <c r="BR20" i="2"/>
  <c r="BQ20" i="2"/>
  <c r="BP20" i="2"/>
  <c r="BO20" i="2"/>
  <c r="BN20" i="2"/>
  <c r="BM20" i="2"/>
  <c r="BL20" i="2"/>
  <c r="BK20" i="2"/>
  <c r="BJ20" i="2"/>
  <c r="BI20" i="2"/>
  <c r="BH20" i="2"/>
  <c r="CE19" i="2"/>
  <c r="CD19" i="2"/>
  <c r="CC19" i="2"/>
  <c r="CB19" i="2"/>
  <c r="CA19" i="2"/>
  <c r="BZ19" i="2"/>
  <c r="BY19" i="2"/>
  <c r="BX19" i="2"/>
  <c r="BW19" i="2"/>
  <c r="BV19" i="2"/>
  <c r="BU19" i="2"/>
  <c r="BS19" i="2"/>
  <c r="BR19" i="2"/>
  <c r="BQ19" i="2"/>
  <c r="BP19" i="2"/>
  <c r="BO19" i="2"/>
  <c r="BN19" i="2"/>
  <c r="BM19" i="2"/>
  <c r="BL19" i="2"/>
  <c r="BK19" i="2"/>
  <c r="BJ19" i="2"/>
  <c r="BI19" i="2"/>
  <c r="CE18" i="2"/>
  <c r="CD18" i="2"/>
  <c r="CC18" i="2"/>
  <c r="CB18" i="2"/>
  <c r="CA18" i="2"/>
  <c r="BZ18" i="2"/>
  <c r="BY18" i="2"/>
  <c r="BX18" i="2"/>
  <c r="BW18" i="2"/>
  <c r="BV18" i="2"/>
  <c r="BU18" i="2"/>
  <c r="BS18" i="2"/>
  <c r="BR18" i="2"/>
  <c r="BQ18" i="2"/>
  <c r="BP18" i="2"/>
  <c r="BO18" i="2"/>
  <c r="BN18" i="2"/>
  <c r="BM18" i="2"/>
  <c r="BL18" i="2"/>
  <c r="BK18" i="2"/>
  <c r="BJ18" i="2"/>
  <c r="BI18" i="2"/>
  <c r="BH18" i="2"/>
  <c r="CE17" i="2"/>
  <c r="CD17" i="2"/>
  <c r="CC17" i="2"/>
  <c r="CB17" i="2"/>
  <c r="CA17" i="2"/>
  <c r="BZ17" i="2"/>
  <c r="BY17" i="2"/>
  <c r="BX17" i="2"/>
  <c r="BW17" i="2"/>
  <c r="BV17" i="2"/>
  <c r="BU17" i="2"/>
  <c r="BS17" i="2"/>
  <c r="BR17" i="2"/>
  <c r="BQ17" i="2"/>
  <c r="BP17" i="2"/>
  <c r="BO17" i="2"/>
  <c r="BN17" i="2"/>
  <c r="BM17" i="2"/>
  <c r="BL17" i="2"/>
  <c r="BK17" i="2"/>
  <c r="BJ17" i="2"/>
  <c r="BI17" i="2"/>
  <c r="BH17" i="2"/>
  <c r="CE16" i="2"/>
  <c r="CD16" i="2"/>
  <c r="CC16" i="2"/>
  <c r="CB16" i="2"/>
  <c r="CA16" i="2"/>
  <c r="BZ16" i="2"/>
  <c r="BY16" i="2"/>
  <c r="BX16" i="2"/>
  <c r="BW16" i="2"/>
  <c r="BV16" i="2"/>
  <c r="BU16" i="2"/>
  <c r="BS16" i="2"/>
  <c r="BR16" i="2"/>
  <c r="BQ16" i="2"/>
  <c r="BP16" i="2"/>
  <c r="BO16" i="2"/>
  <c r="BN16" i="2"/>
  <c r="BM16" i="2"/>
  <c r="BL16" i="2"/>
  <c r="BK16" i="2"/>
  <c r="BJ16" i="2"/>
  <c r="BI16" i="2"/>
  <c r="BH16" i="2"/>
  <c r="CE15" i="2"/>
  <c r="CD15" i="2"/>
  <c r="CC15" i="2"/>
  <c r="CB15" i="2"/>
  <c r="CA15" i="2"/>
  <c r="BZ15" i="2"/>
  <c r="BY15" i="2"/>
  <c r="BX15" i="2"/>
  <c r="BW15" i="2"/>
  <c r="BV15" i="2"/>
  <c r="BU15" i="2"/>
  <c r="BS15" i="2"/>
  <c r="BR15" i="2"/>
  <c r="BQ15" i="2"/>
  <c r="BP15" i="2"/>
  <c r="BO15" i="2"/>
  <c r="BN15" i="2"/>
  <c r="BM15" i="2"/>
  <c r="BL15" i="2"/>
  <c r="BK15" i="2"/>
  <c r="BJ15" i="2"/>
  <c r="BI15" i="2"/>
  <c r="BH15" i="2"/>
  <c r="CE14" i="2"/>
  <c r="CD14" i="2"/>
  <c r="CC14" i="2"/>
  <c r="CB14" i="2"/>
  <c r="CA14" i="2"/>
  <c r="BZ14" i="2"/>
  <c r="BY14" i="2"/>
  <c r="BX14" i="2"/>
  <c r="BW14" i="2"/>
  <c r="BV14" i="2"/>
  <c r="BU14" i="2"/>
  <c r="BS14" i="2"/>
  <c r="BR14" i="2"/>
  <c r="BQ14" i="2"/>
  <c r="BP14" i="2"/>
  <c r="BO14" i="2"/>
  <c r="BN14" i="2"/>
  <c r="BM14" i="2"/>
  <c r="BL14" i="2"/>
  <c r="BK14" i="2"/>
  <c r="BJ14" i="2"/>
  <c r="BI14" i="2"/>
  <c r="CE13" i="2"/>
  <c r="CD13" i="2"/>
  <c r="CC13" i="2"/>
  <c r="CB13" i="2"/>
  <c r="CA13" i="2"/>
  <c r="BZ13" i="2"/>
  <c r="BY13" i="2"/>
  <c r="BX13" i="2"/>
  <c r="BW13" i="2"/>
  <c r="BV13" i="2"/>
  <c r="BU13" i="2"/>
  <c r="BS13" i="2"/>
  <c r="BR13" i="2"/>
  <c r="BQ13" i="2"/>
  <c r="BP13" i="2"/>
  <c r="BO13" i="2"/>
  <c r="BN13" i="2"/>
  <c r="BM13" i="2"/>
  <c r="BL13" i="2"/>
  <c r="BK13" i="2"/>
  <c r="BJ13" i="2"/>
  <c r="BI13" i="2"/>
  <c r="BH13" i="2"/>
  <c r="CE12" i="2"/>
  <c r="CD12" i="2"/>
  <c r="CC12" i="2"/>
  <c r="CB12" i="2"/>
  <c r="CA12" i="2"/>
  <c r="BZ12" i="2"/>
  <c r="BY12" i="2"/>
  <c r="BX12" i="2"/>
  <c r="BW12" i="2"/>
  <c r="BV12" i="2"/>
  <c r="BU12" i="2"/>
  <c r="BS12" i="2"/>
  <c r="BR12" i="2"/>
  <c r="BQ12" i="2"/>
  <c r="BP12" i="2"/>
  <c r="BO12" i="2"/>
  <c r="BN12" i="2"/>
  <c r="BM12" i="2"/>
  <c r="BL12" i="2"/>
  <c r="BK12" i="2"/>
  <c r="BJ12" i="2"/>
  <c r="BI12" i="2"/>
  <c r="BH12" i="2"/>
  <c r="CE11" i="2"/>
  <c r="CD11" i="2"/>
  <c r="CC11" i="2"/>
  <c r="CB11" i="2"/>
  <c r="CA11" i="2"/>
  <c r="BZ11" i="2"/>
  <c r="BY11" i="2"/>
  <c r="BX11" i="2"/>
  <c r="BW11" i="2"/>
  <c r="BV11" i="2"/>
  <c r="BU11" i="2"/>
  <c r="BS11" i="2"/>
  <c r="BR11" i="2"/>
  <c r="BQ11" i="2"/>
  <c r="BP11" i="2"/>
  <c r="BO11" i="2"/>
  <c r="BN11" i="2"/>
  <c r="BM11" i="2"/>
  <c r="BL11" i="2"/>
  <c r="BK11" i="2"/>
  <c r="BJ11" i="2"/>
  <c r="BI11" i="2"/>
  <c r="CE10" i="2"/>
  <c r="CD10" i="2"/>
  <c r="CC10" i="2"/>
  <c r="CB10" i="2"/>
  <c r="CA10" i="2"/>
  <c r="BZ10" i="2"/>
  <c r="BY10" i="2"/>
  <c r="BX10" i="2"/>
  <c r="BW10" i="2"/>
  <c r="BV10" i="2"/>
  <c r="BU10" i="2"/>
  <c r="BS10" i="2"/>
  <c r="BR10" i="2"/>
  <c r="BQ10" i="2"/>
  <c r="BP10" i="2"/>
  <c r="BO10" i="2"/>
  <c r="BN10" i="2"/>
  <c r="BM10" i="2"/>
  <c r="BL10" i="2"/>
  <c r="BK10" i="2"/>
  <c r="BJ10" i="2"/>
  <c r="BI10" i="2"/>
  <c r="BH10" i="2"/>
  <c r="CE9" i="2"/>
  <c r="CD9" i="2"/>
  <c r="CC9" i="2"/>
  <c r="CB9" i="2"/>
  <c r="CA9" i="2"/>
  <c r="BZ9" i="2"/>
  <c r="BY9" i="2"/>
  <c r="BX9" i="2"/>
  <c r="BW9" i="2"/>
  <c r="BV9" i="2"/>
  <c r="BU9" i="2"/>
  <c r="BS9" i="2"/>
  <c r="BR9" i="2"/>
  <c r="BQ9" i="2"/>
  <c r="BP9" i="2"/>
  <c r="BO9" i="2"/>
  <c r="BN9" i="2"/>
  <c r="BM9" i="2"/>
  <c r="I37" i="2" s="1"/>
  <c r="BL9" i="2"/>
  <c r="BK9" i="2"/>
  <c r="BJ9" i="2"/>
  <c r="BI9" i="2"/>
  <c r="BH9" i="2"/>
  <c r="CE8" i="2"/>
  <c r="CD8" i="2"/>
  <c r="CC8" i="2"/>
  <c r="CB8" i="2"/>
  <c r="CA8" i="2"/>
  <c r="BZ8" i="2"/>
  <c r="BY8" i="2"/>
  <c r="BX8" i="2"/>
  <c r="BW8" i="2"/>
  <c r="BV8" i="2"/>
  <c r="BU8" i="2"/>
  <c r="BS8" i="2"/>
  <c r="BR8" i="2"/>
  <c r="BQ8" i="2"/>
  <c r="BP8" i="2"/>
  <c r="BO8" i="2"/>
  <c r="BN8" i="2"/>
  <c r="BM8" i="2"/>
  <c r="BL8" i="2"/>
  <c r="BK8" i="2"/>
  <c r="BJ8" i="2"/>
  <c r="BI8" i="2"/>
  <c r="BH8" i="2"/>
  <c r="CE7" i="2"/>
  <c r="CD7" i="2"/>
  <c r="CC7" i="2"/>
  <c r="CB7" i="2"/>
  <c r="CA7" i="2"/>
  <c r="BZ7" i="2"/>
  <c r="BY7" i="2"/>
  <c r="BX7" i="2"/>
  <c r="BW7" i="2"/>
  <c r="BV7" i="2"/>
  <c r="BU7" i="2"/>
  <c r="BS7" i="2"/>
  <c r="BR7" i="2"/>
  <c r="BQ7" i="2"/>
  <c r="BP7" i="2"/>
  <c r="BO7" i="2"/>
  <c r="BN7" i="2"/>
  <c r="BM7" i="2"/>
  <c r="BL7" i="2"/>
  <c r="BK7" i="2"/>
  <c r="BJ7" i="2"/>
  <c r="BI7" i="2"/>
  <c r="BH7" i="2"/>
  <c r="CE6" i="2"/>
  <c r="CD6" i="2"/>
  <c r="CC6" i="2"/>
  <c r="CB6" i="2"/>
  <c r="CA6" i="2"/>
  <c r="BZ6" i="2"/>
  <c r="BY6" i="2"/>
  <c r="BX6" i="2"/>
  <c r="BW6" i="2"/>
  <c r="BV6" i="2"/>
  <c r="BU6" i="2"/>
  <c r="BS6" i="2"/>
  <c r="BR6" i="2"/>
  <c r="BQ6" i="2"/>
  <c r="BP6" i="2"/>
  <c r="BO6" i="2"/>
  <c r="BN6" i="2"/>
  <c r="BM6" i="2"/>
  <c r="BL6" i="2"/>
  <c r="BK6" i="2"/>
  <c r="BJ6" i="2"/>
  <c r="BI6" i="2"/>
  <c r="BH6" i="2"/>
  <c r="CE5" i="2"/>
  <c r="CD5" i="2"/>
  <c r="CC5" i="2"/>
  <c r="CB5" i="2"/>
  <c r="CA5" i="2"/>
  <c r="BZ5" i="2"/>
  <c r="BY5" i="2"/>
  <c r="BX5" i="2"/>
  <c r="BW5" i="2"/>
  <c r="BV5" i="2"/>
  <c r="BU5" i="2"/>
  <c r="BS5" i="2"/>
  <c r="BR5" i="2"/>
  <c r="BQ5" i="2"/>
  <c r="BP5" i="2"/>
  <c r="BO5" i="2"/>
  <c r="BN5" i="2"/>
  <c r="BM5" i="2"/>
  <c r="BL5" i="2"/>
  <c r="BK5" i="2"/>
  <c r="BJ5" i="2"/>
  <c r="BI5" i="2"/>
  <c r="BH5"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45" i="2"/>
  <c r="AY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Z17" i="2"/>
  <c r="AZ16" i="2"/>
  <c r="AZ15" i="2"/>
  <c r="AZ14" i="2"/>
  <c r="AZ13" i="2"/>
  <c r="AZ12" i="2"/>
  <c r="AZ11" i="2"/>
  <c r="AZ10" i="2"/>
  <c r="AZ9" i="2"/>
  <c r="AZ8" i="2"/>
  <c r="AZ7" i="2"/>
  <c r="AZ6" i="2"/>
  <c r="AZ5" i="2"/>
  <c r="Z532" i="1" a="1"/>
  <c r="Z532" i="1"/>
  <c r="Y531" i="1" a="1"/>
  <c r="Y531" i="1"/>
  <c r="W532" i="1" a="1"/>
  <c r="W532" i="1"/>
  <c r="T530" i="1" a="1"/>
  <c r="T530" i="1"/>
  <c r="X530" i="1" a="1"/>
  <c r="X530" i="1"/>
  <c r="Y532" i="1" a="1"/>
  <c r="Y532" i="1"/>
  <c r="T532" i="1" a="1"/>
  <c r="T532" i="1"/>
  <c r="W531" i="1" a="1"/>
  <c r="W531" i="1"/>
  <c r="X531" i="1" a="1"/>
  <c r="X531" i="1"/>
  <c r="AB530" i="1" a="1"/>
  <c r="AB530" i="1"/>
  <c r="AA532" i="1" a="1"/>
  <c r="AA532" i="1"/>
  <c r="V532" i="1" a="1"/>
  <c r="V532" i="1"/>
  <c r="V531" i="1" a="1"/>
  <c r="V531" i="1"/>
  <c r="V530" i="1" a="1"/>
  <c r="V530" i="1"/>
  <c r="U531" i="1" a="1"/>
  <c r="U531" i="1"/>
  <c r="T531" i="1" a="1"/>
  <c r="T531" i="1"/>
  <c r="AA530" i="1" a="1"/>
  <c r="AA530" i="1"/>
  <c r="Y529" i="1" a="1"/>
  <c r="Y529" i="1"/>
  <c r="Z530" i="1" a="1"/>
  <c r="Z530" i="1"/>
  <c r="Y530" i="1" a="1"/>
  <c r="Y530" i="1"/>
  <c r="X529" i="1" a="1"/>
  <c r="X529" i="1"/>
  <c r="AB529" i="1" a="1"/>
  <c r="AB529" i="1"/>
  <c r="W529" i="1" a="1"/>
  <c r="W529" i="1"/>
  <c r="AA529" i="1" a="1"/>
  <c r="AA529" i="1"/>
  <c r="W530" i="1" a="1"/>
  <c r="W530" i="1"/>
  <c r="U532" i="1" a="1"/>
  <c r="U532" i="1"/>
  <c r="AA531" i="1" a="1"/>
  <c r="AA531" i="1"/>
  <c r="U530" i="1" a="1"/>
  <c r="U530" i="1"/>
  <c r="Z531" i="1" a="1"/>
  <c r="Z531" i="1"/>
  <c r="X532" i="1" a="1"/>
  <c r="X532" i="1"/>
  <c r="Z529" i="1" a="1"/>
  <c r="Z529" i="1"/>
  <c r="W528" i="1" a="1"/>
  <c r="W528" i="1"/>
  <c r="T528" i="1" a="1"/>
  <c r="T528" i="1"/>
  <c r="U528" i="1" a="1"/>
  <c r="U528" i="1"/>
  <c r="T529" i="1" a="1"/>
  <c r="T529" i="1"/>
  <c r="V528" i="1" a="1"/>
  <c r="V528" i="1"/>
  <c r="V529" i="1" a="1"/>
  <c r="V529" i="1"/>
  <c r="Y528" i="1" a="1"/>
  <c r="Y528" i="1"/>
  <c r="U529" i="1" a="1"/>
  <c r="U529" i="1"/>
  <c r="AB528" i="1" a="1"/>
  <c r="AB528" i="1"/>
  <c r="Z528" i="1" a="1"/>
  <c r="Z528" i="1"/>
  <c r="AA528" i="1" a="1"/>
  <c r="AA528" i="1"/>
  <c r="X528" i="1" a="1"/>
  <c r="X528" i="1"/>
  <c r="Y376" i="1" a="1"/>
  <c r="Y376" i="1"/>
  <c r="Y377" i="1" a="1"/>
  <c r="Y377" i="1"/>
  <c r="U377" i="1" a="1"/>
  <c r="U377" i="1"/>
  <c r="V376" i="1" a="1"/>
  <c r="V376" i="1"/>
  <c r="Z377" i="1" a="1"/>
  <c r="Z377" i="1"/>
  <c r="T377" i="1" a="1"/>
  <c r="T377" i="1"/>
  <c r="T376" i="1" a="1"/>
  <c r="T376" i="1"/>
  <c r="Z376" i="1" a="1"/>
  <c r="Z376" i="1"/>
  <c r="X376" i="1" a="1"/>
  <c r="X376" i="1"/>
  <c r="U376" i="1" a="1"/>
  <c r="U376" i="1"/>
  <c r="W377" i="1" a="1"/>
  <c r="W377" i="1"/>
  <c r="X377" i="1" a="1"/>
  <c r="X377" i="1"/>
  <c r="W376" i="1" a="1"/>
  <c r="W376" i="1"/>
  <c r="V377" i="1" a="1"/>
  <c r="V377" i="1"/>
  <c r="X374" i="1" a="1"/>
  <c r="X374" i="1"/>
  <c r="W374" i="1" a="1"/>
  <c r="W374" i="1"/>
  <c r="V374" i="1" a="1"/>
  <c r="V374" i="1"/>
  <c r="U374" i="1" a="1"/>
  <c r="U374" i="1"/>
  <c r="T374" i="1" a="1"/>
  <c r="T374" i="1"/>
  <c r="T196" i="1" a="1"/>
  <c r="T196" i="1"/>
  <c r="V373" i="1" a="1"/>
  <c r="V373" i="1"/>
  <c r="X195" i="1" a="1"/>
  <c r="X195" i="1"/>
  <c r="V197" i="1" a="1"/>
  <c r="V197" i="1"/>
  <c r="AB195" i="1" a="1"/>
  <c r="AB195" i="1"/>
  <c r="T195" i="1" a="1"/>
  <c r="T195" i="1"/>
  <c r="T197" i="1" a="1"/>
  <c r="T197" i="1"/>
  <c r="Z373" i="1" a="1"/>
  <c r="Z373" i="1"/>
  <c r="AA194" i="1" a="1"/>
  <c r="AA194" i="1"/>
  <c r="X373" i="1" a="1"/>
  <c r="X373" i="1"/>
  <c r="Z196" i="1" a="1"/>
  <c r="Z196" i="1"/>
  <c r="Y195" i="1" a="1"/>
  <c r="Y195" i="1"/>
  <c r="X196" i="1" a="1"/>
  <c r="X196" i="1"/>
  <c r="AA196" i="1" a="1"/>
  <c r="AA196" i="1"/>
  <c r="AA197" i="1" a="1"/>
  <c r="AA197" i="1"/>
  <c r="W196" i="1" a="1"/>
  <c r="W196" i="1"/>
  <c r="W197" i="1" a="1"/>
  <c r="W197" i="1"/>
  <c r="AA195" i="1" a="1"/>
  <c r="AA195" i="1"/>
  <c r="T375" i="1" a="1"/>
  <c r="T375" i="1"/>
  <c r="Z374" i="1" a="1"/>
  <c r="Z374" i="1"/>
  <c r="Y373" i="1" a="1"/>
  <c r="Y373" i="1"/>
  <c r="T373" i="1" a="1"/>
  <c r="T373" i="1"/>
  <c r="AB196" i="1" a="1"/>
  <c r="AB196" i="1"/>
  <c r="U196" i="1" a="1"/>
  <c r="U196" i="1"/>
  <c r="AB197" i="1" a="1"/>
  <c r="AB197" i="1"/>
  <c r="AB194" i="1" a="1"/>
  <c r="AB194" i="1"/>
  <c r="X375" i="1" a="1"/>
  <c r="X375" i="1"/>
  <c r="W375" i="1" a="1"/>
  <c r="W375" i="1"/>
  <c r="V375" i="1" a="1"/>
  <c r="V375" i="1"/>
  <c r="Z197" i="1" a="1"/>
  <c r="Z197" i="1"/>
  <c r="Y196" i="1" a="1"/>
  <c r="Y196" i="1"/>
  <c r="Y197" i="1" a="1"/>
  <c r="Y197" i="1"/>
  <c r="U197" i="1" a="1"/>
  <c r="U197" i="1"/>
  <c r="V195" i="1" a="1"/>
  <c r="V195" i="1"/>
  <c r="X197" i="1" a="1"/>
  <c r="X197" i="1"/>
  <c r="W373" i="1" a="1"/>
  <c r="W373" i="1"/>
  <c r="V196" i="1" a="1"/>
  <c r="V196" i="1"/>
  <c r="U195" i="1" a="1"/>
  <c r="U195" i="1"/>
  <c r="Z375" i="1" a="1"/>
  <c r="Z375" i="1"/>
  <c r="Z195" i="1" a="1"/>
  <c r="Z195" i="1"/>
  <c r="U373" i="1" a="1"/>
  <c r="U373" i="1"/>
  <c r="Y374" i="1" a="1"/>
  <c r="Y374" i="1"/>
  <c r="Y375" i="1" a="1"/>
  <c r="Y375" i="1"/>
  <c r="W195" i="1" a="1"/>
  <c r="W195" i="1"/>
  <c r="U375" i="1" a="1"/>
  <c r="U375" i="1"/>
  <c r="U193" i="1" a="1"/>
  <c r="U193" i="1"/>
  <c r="T193" i="1" a="1"/>
  <c r="T193" i="1"/>
  <c r="E49" i="1" a="1"/>
  <c r="E49" i="1"/>
  <c r="V194" i="1" a="1"/>
  <c r="V194" i="1"/>
  <c r="U194" i="1" a="1"/>
  <c r="U194" i="1"/>
  <c r="AB193" i="1" a="1"/>
  <c r="AB193" i="1"/>
  <c r="G46" i="1" a="1"/>
  <c r="G46" i="1"/>
  <c r="G47" i="1" a="1"/>
  <c r="G47" i="1"/>
  <c r="Z194" i="1" a="1"/>
  <c r="Z194" i="1"/>
  <c r="V193" i="1" a="1"/>
  <c r="V193" i="1"/>
  <c r="Y194" i="1" a="1"/>
  <c r="Y194" i="1"/>
  <c r="AA193" i="1" a="1"/>
  <c r="AA193" i="1"/>
  <c r="X194" i="1" a="1"/>
  <c r="X194" i="1"/>
  <c r="E50" i="1" a="1"/>
  <c r="E50" i="1"/>
  <c r="X193" i="1" a="1"/>
  <c r="X193" i="1"/>
  <c r="W194" i="1" a="1"/>
  <c r="W194" i="1"/>
  <c r="T194" i="1" a="1"/>
  <c r="T194" i="1"/>
  <c r="W193" i="1" a="1"/>
  <c r="W193" i="1"/>
  <c r="Y193" i="1" a="1"/>
  <c r="Y193" i="1"/>
  <c r="Z193" i="1" a="1"/>
  <c r="Z193" i="1"/>
  <c r="AB5" i="1" a="1"/>
  <c r="AB5" i="1"/>
  <c r="V714" i="1" a="1"/>
  <c r="V714" i="1"/>
  <c r="U713" i="1" a="1"/>
  <c r="U713" i="1"/>
  <c r="Y717" i="1" a="1"/>
  <c r="Y717" i="1"/>
  <c r="W713" i="1" a="1"/>
  <c r="W713" i="1"/>
  <c r="Z716" i="1" a="1"/>
  <c r="Z716" i="1"/>
  <c r="V713" i="1" a="1"/>
  <c r="V713" i="1"/>
  <c r="AA714" i="1" a="1"/>
  <c r="AA714" i="1"/>
  <c r="T714" i="1" a="1"/>
  <c r="T714" i="1"/>
  <c r="Z713" i="1" a="1"/>
  <c r="Z713" i="1"/>
  <c r="W717" i="1" a="1"/>
  <c r="W717" i="1"/>
  <c r="AA717" i="1" a="1"/>
  <c r="AA717" i="1"/>
  <c r="V716" i="1" a="1"/>
  <c r="V716" i="1"/>
  <c r="Y713" i="1" a="1"/>
  <c r="Y713" i="1"/>
  <c r="Z717" i="1" a="1"/>
  <c r="Z717" i="1"/>
  <c r="U716" i="1" a="1"/>
  <c r="U716" i="1"/>
  <c r="AA713" i="1" a="1"/>
  <c r="AA713" i="1"/>
  <c r="X717" i="1" a="1"/>
  <c r="X717" i="1"/>
  <c r="V717" i="1" a="1"/>
  <c r="V717" i="1"/>
  <c r="U717" i="1" a="1"/>
  <c r="U717" i="1"/>
  <c r="T716" i="1" a="1"/>
  <c r="T716" i="1"/>
  <c r="T717" i="1" a="1"/>
  <c r="T717" i="1"/>
  <c r="X716" i="1" a="1"/>
  <c r="X716" i="1"/>
  <c r="W716" i="1" a="1"/>
  <c r="W716" i="1"/>
  <c r="AA715" i="1" a="1"/>
  <c r="AA715" i="1"/>
  <c r="Z715" i="1" a="1"/>
  <c r="Z715" i="1"/>
  <c r="Y715" i="1" a="1"/>
  <c r="Y715" i="1"/>
  <c r="X715" i="1" a="1"/>
  <c r="X715" i="1"/>
  <c r="V715" i="1" a="1"/>
  <c r="V715" i="1"/>
  <c r="Z714" i="1" a="1"/>
  <c r="Z714" i="1"/>
  <c r="W714" i="1" a="1"/>
  <c r="W714" i="1"/>
  <c r="Y714" i="1" a="1"/>
  <c r="Y714" i="1"/>
  <c r="U714" i="1" a="1"/>
  <c r="U714" i="1"/>
  <c r="W715" i="1" a="1"/>
  <c r="W715" i="1"/>
  <c r="T715" i="1" a="1"/>
  <c r="T715" i="1"/>
  <c r="X714" i="1" a="1"/>
  <c r="X714" i="1"/>
  <c r="Y716" i="1" a="1"/>
  <c r="Y716" i="1"/>
  <c r="X713" i="1" a="1"/>
  <c r="X713" i="1"/>
  <c r="T713" i="1" a="1"/>
  <c r="T713" i="1"/>
  <c r="U715" i="1" a="1"/>
  <c r="U715" i="1"/>
  <c r="AA716" i="1" a="1"/>
  <c r="AA716" i="1"/>
  <c r="AB540" i="1" l="1"/>
  <c r="AB385" i="1"/>
  <c r="AB60" i="1"/>
  <c r="B112" i="15"/>
  <c r="B118" i="15"/>
  <c r="C418" i="8"/>
  <c r="C421" i="8"/>
  <c r="C366" i="8"/>
  <c r="C363" i="8"/>
  <c r="C307" i="8"/>
  <c r="C304" i="8"/>
  <c r="C303" i="8"/>
  <c r="B152" i="15"/>
  <c r="C513" i="8"/>
  <c r="C512" i="8"/>
  <c r="C511" i="8"/>
  <c r="C510" i="8"/>
  <c r="C473" i="8"/>
  <c r="C472" i="8"/>
  <c r="C471" i="8"/>
  <c r="C470" i="8"/>
  <c r="C420" i="8"/>
  <c r="C419" i="8"/>
  <c r="C417" i="8"/>
  <c r="C416" i="8"/>
  <c r="C365" i="8"/>
  <c r="C364" i="8"/>
  <c r="C362" i="8"/>
  <c r="C361" i="8"/>
  <c r="C306" i="8"/>
  <c r="C305" i="8"/>
  <c r="C302" i="8"/>
  <c r="C301" i="8"/>
  <c r="B151" i="15"/>
  <c r="B150" i="15"/>
  <c r="B148" i="15"/>
  <c r="B147" i="15"/>
  <c r="B145" i="15"/>
  <c r="B144" i="15"/>
  <c r="B143" i="15"/>
  <c r="B149" i="15"/>
  <c r="B146" i="15"/>
  <c r="B142" i="15"/>
  <c r="B34" i="15"/>
  <c r="B33" i="15"/>
  <c r="B32" i="15"/>
  <c r="C332" i="8"/>
  <c r="C272" i="8"/>
  <c r="C147" i="8"/>
  <c r="C142" i="8"/>
  <c r="C102" i="8"/>
  <c r="C97" i="8"/>
  <c r="C48" i="8"/>
  <c r="C43" i="8"/>
  <c r="B107" i="15"/>
  <c r="B195" i="15"/>
  <c r="B102" i="15"/>
  <c r="B101" i="15"/>
  <c r="B160" i="15"/>
  <c r="B106" i="15"/>
  <c r="B105" i="15"/>
  <c r="B104" i="15"/>
  <c r="B63" i="15"/>
  <c r="B62" i="15"/>
  <c r="B61" i="15"/>
  <c r="B60" i="15"/>
  <c r="B59" i="15"/>
  <c r="B58" i="15"/>
  <c r="B57" i="15"/>
  <c r="B56" i="15"/>
  <c r="B55" i="15"/>
  <c r="B54" i="15"/>
  <c r="B53" i="15"/>
  <c r="B52" i="15"/>
  <c r="B51" i="15"/>
  <c r="B50" i="15"/>
  <c r="Y62" i="2"/>
  <c r="Y63" i="2"/>
  <c r="Y64" i="2"/>
  <c r="Y65" i="2"/>
  <c r="Y66" i="2"/>
  <c r="Y67" i="2"/>
  <c r="Y68" i="2"/>
  <c r="Y69" i="2"/>
  <c r="Y70" i="2"/>
  <c r="Y71" i="2"/>
  <c r="Y72" i="2"/>
  <c r="L1" i="2" a="1"/>
  <c r="L1" i="2"/>
  <c r="I31" i="2"/>
  <c r="I32" i="2" l="1"/>
  <c r="BA525" i="8" l="1"/>
  <c r="AZ525" i="8"/>
  <c r="AY525" i="8"/>
  <c r="AX525" i="8"/>
  <c r="AW525" i="8"/>
  <c r="AU525" i="8"/>
  <c r="U525" i="8"/>
  <c r="AV525" i="8" s="1"/>
  <c r="BA524" i="8"/>
  <c r="AZ524" i="8"/>
  <c r="AY524" i="8"/>
  <c r="AX524" i="8"/>
  <c r="AW524" i="8"/>
  <c r="AU524" i="8"/>
  <c r="U524" i="8"/>
  <c r="AV524" i="8" s="1"/>
  <c r="BA523" i="8"/>
  <c r="AZ523" i="8"/>
  <c r="AY523" i="8"/>
  <c r="AX523" i="8"/>
  <c r="AW523" i="8"/>
  <c r="AV523" i="8"/>
  <c r="AU523" i="8"/>
  <c r="BA522" i="8"/>
  <c r="AZ522" i="8"/>
  <c r="AY522" i="8"/>
  <c r="AX522" i="8"/>
  <c r="AW522" i="8"/>
  <c r="AV522" i="8"/>
  <c r="AU522" i="8"/>
  <c r="BA491" i="8"/>
  <c r="AZ491" i="8"/>
  <c r="AY491" i="8"/>
  <c r="AX491" i="8"/>
  <c r="AW491" i="8"/>
  <c r="AU491" i="8"/>
  <c r="U491" i="8"/>
  <c r="AV491" i="8" s="1"/>
  <c r="BA490" i="8"/>
  <c r="AZ490" i="8"/>
  <c r="AY490" i="8"/>
  <c r="AX490" i="8"/>
  <c r="AW490" i="8"/>
  <c r="AU490" i="8"/>
  <c r="U490" i="8"/>
  <c r="AV490" i="8" s="1"/>
  <c r="BA489" i="8"/>
  <c r="AZ489" i="8"/>
  <c r="AY489" i="8"/>
  <c r="AX489" i="8"/>
  <c r="AW489" i="8"/>
  <c r="AU489" i="8"/>
  <c r="U489" i="8"/>
  <c r="AV489" i="8" s="1"/>
  <c r="BA488" i="8"/>
  <c r="AZ488" i="8"/>
  <c r="AY488" i="8"/>
  <c r="AX488" i="8"/>
  <c r="AW488" i="8"/>
  <c r="AV488" i="8"/>
  <c r="AU488" i="8"/>
  <c r="BA487" i="8"/>
  <c r="AZ487" i="8"/>
  <c r="AY487" i="8"/>
  <c r="AX487" i="8"/>
  <c r="AW487" i="8"/>
  <c r="AV487" i="8"/>
  <c r="AU487" i="8"/>
  <c r="BA486" i="8"/>
  <c r="AZ486" i="8"/>
  <c r="AY486" i="8"/>
  <c r="AX486" i="8"/>
  <c r="AW486" i="8"/>
  <c r="AV486" i="8"/>
  <c r="AU486" i="8"/>
  <c r="BA445" i="8"/>
  <c r="AZ445" i="8"/>
  <c r="AY445" i="8"/>
  <c r="AX445" i="8"/>
  <c r="AW445" i="8"/>
  <c r="AU445" i="8"/>
  <c r="U445" i="8"/>
  <c r="AV445" i="8" s="1"/>
  <c r="BA444" i="8"/>
  <c r="AZ444" i="8"/>
  <c r="AY444" i="8"/>
  <c r="AX444" i="8"/>
  <c r="AW444" i="8"/>
  <c r="AU444" i="8"/>
  <c r="U444" i="8"/>
  <c r="AV444" i="8" s="1"/>
  <c r="BA443" i="8"/>
  <c r="AZ443" i="8"/>
  <c r="AY443" i="8"/>
  <c r="AX443" i="8"/>
  <c r="AW443" i="8"/>
  <c r="AU443" i="8"/>
  <c r="U443" i="8"/>
  <c r="AV443" i="8" s="1"/>
  <c r="BA442" i="8"/>
  <c r="AZ442" i="8"/>
  <c r="AY442" i="8"/>
  <c r="AX442" i="8"/>
  <c r="AW442" i="8"/>
  <c r="AU442" i="8"/>
  <c r="U442" i="8"/>
  <c r="AV442" i="8" s="1"/>
  <c r="BA441" i="8"/>
  <c r="AZ441" i="8"/>
  <c r="AY441" i="8"/>
  <c r="AX441" i="8"/>
  <c r="AW441" i="8"/>
  <c r="AV441" i="8"/>
  <c r="AU441" i="8"/>
  <c r="BA440" i="8"/>
  <c r="AZ440" i="8"/>
  <c r="AY440" i="8"/>
  <c r="AX440" i="8"/>
  <c r="AW440" i="8"/>
  <c r="AV440" i="8"/>
  <c r="AU440" i="8"/>
  <c r="BA439" i="8"/>
  <c r="AZ439" i="8"/>
  <c r="AY439" i="8"/>
  <c r="AX439" i="8"/>
  <c r="AW439" i="8"/>
  <c r="AV439" i="8"/>
  <c r="AU439" i="8"/>
  <c r="BA438" i="8"/>
  <c r="AZ438" i="8"/>
  <c r="AY438" i="8"/>
  <c r="AX438" i="8"/>
  <c r="AW438" i="8"/>
  <c r="AV438" i="8"/>
  <c r="AU438" i="8"/>
  <c r="BA390" i="8"/>
  <c r="AZ390" i="8"/>
  <c r="AY390" i="8"/>
  <c r="AX390" i="8"/>
  <c r="AW390" i="8"/>
  <c r="AU390" i="8"/>
  <c r="U390" i="8"/>
  <c r="AV390" i="8" s="1"/>
  <c r="BA389" i="8"/>
  <c r="AZ389" i="8"/>
  <c r="AY389" i="8"/>
  <c r="AX389" i="8"/>
  <c r="AW389" i="8"/>
  <c r="AU389" i="8"/>
  <c r="U389" i="8"/>
  <c r="AV389" i="8" s="1"/>
  <c r="BA388" i="8"/>
  <c r="AZ388" i="8"/>
  <c r="AY388" i="8"/>
  <c r="AX388" i="8"/>
  <c r="AW388" i="8"/>
  <c r="AU388" i="8"/>
  <c r="U388" i="8"/>
  <c r="AV388" i="8" s="1"/>
  <c r="BA387" i="8"/>
  <c r="AZ387" i="8"/>
  <c r="AY387" i="8"/>
  <c r="AX387" i="8"/>
  <c r="AW387" i="8"/>
  <c r="AU387" i="8"/>
  <c r="U387" i="8"/>
  <c r="AV387" i="8" s="1"/>
  <c r="BA386" i="8"/>
  <c r="AZ386" i="8"/>
  <c r="AY386" i="8"/>
  <c r="AX386" i="8"/>
  <c r="AW386" i="8"/>
  <c r="AV386" i="8"/>
  <c r="AU386" i="8"/>
  <c r="BA385" i="8"/>
  <c r="AZ385" i="8"/>
  <c r="AY385" i="8"/>
  <c r="AX385" i="8"/>
  <c r="AW385" i="8"/>
  <c r="AV385" i="8"/>
  <c r="AU385" i="8"/>
  <c r="BA384" i="8"/>
  <c r="AZ384" i="8"/>
  <c r="AY384" i="8"/>
  <c r="AX384" i="8"/>
  <c r="AW384" i="8"/>
  <c r="AV384" i="8"/>
  <c r="AU384" i="8"/>
  <c r="BA383" i="8"/>
  <c r="AZ383" i="8"/>
  <c r="AY383" i="8"/>
  <c r="AX383" i="8"/>
  <c r="AW383" i="8"/>
  <c r="AV383" i="8"/>
  <c r="AU383" i="8"/>
  <c r="BA331" i="8"/>
  <c r="AZ331" i="8"/>
  <c r="AY331" i="8"/>
  <c r="AX331" i="8"/>
  <c r="AW331" i="8"/>
  <c r="AU331" i="8"/>
  <c r="U331" i="8"/>
  <c r="AV331" i="8" s="1"/>
  <c r="BA330" i="8"/>
  <c r="AZ330" i="8"/>
  <c r="AY330" i="8"/>
  <c r="AX330" i="8"/>
  <c r="AW330" i="8"/>
  <c r="AU330" i="8"/>
  <c r="U330" i="8"/>
  <c r="AV330" i="8" s="1"/>
  <c r="BA329" i="8"/>
  <c r="AZ329" i="8"/>
  <c r="AY329" i="8"/>
  <c r="AX329" i="8"/>
  <c r="AW329" i="8"/>
  <c r="AU329" i="8"/>
  <c r="U329" i="8"/>
  <c r="AV329" i="8" s="1"/>
  <c r="BA328" i="8"/>
  <c r="AZ328" i="8"/>
  <c r="AY328" i="8"/>
  <c r="AX328" i="8"/>
  <c r="AW328" i="8"/>
  <c r="AU328" i="8"/>
  <c r="U328" i="8"/>
  <c r="AV328" i="8" s="1"/>
  <c r="BA327" i="8"/>
  <c r="AZ327" i="8"/>
  <c r="AY327" i="8"/>
  <c r="AX327" i="8"/>
  <c r="AW327" i="8"/>
  <c r="AV327" i="8"/>
  <c r="AU327" i="8"/>
  <c r="BA326" i="8"/>
  <c r="AZ326" i="8"/>
  <c r="AY326" i="8"/>
  <c r="AX326" i="8"/>
  <c r="AW326" i="8"/>
  <c r="AV326" i="8"/>
  <c r="AU326" i="8"/>
  <c r="BA325" i="8"/>
  <c r="AZ325" i="8"/>
  <c r="AY325" i="8"/>
  <c r="AX325" i="8"/>
  <c r="AW325" i="8"/>
  <c r="AV325" i="8"/>
  <c r="AU325" i="8"/>
  <c r="BA324" i="8"/>
  <c r="AZ324" i="8"/>
  <c r="AY324" i="8"/>
  <c r="AX324" i="8"/>
  <c r="AW324" i="8"/>
  <c r="AV324" i="8"/>
  <c r="AU324" i="8"/>
  <c r="BA271" i="8"/>
  <c r="AZ271" i="8"/>
  <c r="AY271" i="8"/>
  <c r="AX271" i="8"/>
  <c r="AW271" i="8"/>
  <c r="AU271" i="8"/>
  <c r="U271" i="8"/>
  <c r="AV271" i="8" s="1"/>
  <c r="BA270" i="8"/>
  <c r="AZ270" i="8"/>
  <c r="AY270" i="8"/>
  <c r="AX270" i="8"/>
  <c r="AW270" i="8"/>
  <c r="AU270" i="8"/>
  <c r="U270" i="8"/>
  <c r="AV270" i="8" s="1"/>
  <c r="BA269" i="8"/>
  <c r="AZ269" i="8"/>
  <c r="AY269" i="8"/>
  <c r="AX269" i="8"/>
  <c r="AW269" i="8"/>
  <c r="AU269" i="8"/>
  <c r="U269" i="8"/>
  <c r="AV269" i="8" s="1"/>
  <c r="BA268" i="8"/>
  <c r="AZ268" i="8"/>
  <c r="AY268" i="8"/>
  <c r="AX268" i="8"/>
  <c r="AW268" i="8"/>
  <c r="AU268" i="8"/>
  <c r="U268" i="8"/>
  <c r="AV268" i="8" s="1"/>
  <c r="BA267" i="8"/>
  <c r="AZ267" i="8"/>
  <c r="AY267" i="8"/>
  <c r="AX267" i="8"/>
  <c r="AW267" i="8"/>
  <c r="AV267" i="8"/>
  <c r="AU267" i="8"/>
  <c r="BA266" i="8"/>
  <c r="AZ266" i="8"/>
  <c r="AY266" i="8"/>
  <c r="AX266" i="8"/>
  <c r="AW266" i="8"/>
  <c r="AV266" i="8"/>
  <c r="AU266" i="8"/>
  <c r="BA265" i="8"/>
  <c r="AZ265" i="8"/>
  <c r="AY265" i="8"/>
  <c r="AX265" i="8"/>
  <c r="AW265" i="8"/>
  <c r="AV265" i="8"/>
  <c r="AU265" i="8"/>
  <c r="BA264" i="8"/>
  <c r="AZ264" i="8"/>
  <c r="AY264" i="8"/>
  <c r="AX264" i="8"/>
  <c r="AW264" i="8"/>
  <c r="AV264" i="8"/>
  <c r="AU264" i="8"/>
  <c r="D45" i="15"/>
  <c r="BA771" i="8"/>
  <c r="AZ771" i="8"/>
  <c r="AY771" i="8"/>
  <c r="AX771" i="8"/>
  <c r="AW771" i="8"/>
  <c r="AU771" i="8"/>
  <c r="U771" i="8"/>
  <c r="AV771" i="8" s="1"/>
  <c r="BA770" i="8"/>
  <c r="AZ770" i="8"/>
  <c r="AY770" i="8"/>
  <c r="AX770" i="8"/>
  <c r="AW770" i="8"/>
  <c r="AU770" i="8"/>
  <c r="U770" i="8"/>
  <c r="AV770" i="8" s="1"/>
  <c r="BA769" i="8"/>
  <c r="AZ769" i="8"/>
  <c r="AY769" i="8"/>
  <c r="AX769" i="8"/>
  <c r="AW769" i="8"/>
  <c r="AU769" i="8"/>
  <c r="U769" i="8"/>
  <c r="AV769" i="8" s="1"/>
  <c r="BA768" i="8"/>
  <c r="AZ768" i="8"/>
  <c r="AY768" i="8"/>
  <c r="AX768" i="8"/>
  <c r="AW768" i="8"/>
  <c r="AU768" i="8"/>
  <c r="U768" i="8"/>
  <c r="AV768" i="8" s="1"/>
  <c r="BA748" i="8"/>
  <c r="AZ748" i="8"/>
  <c r="AY748" i="8"/>
  <c r="AX748" i="8"/>
  <c r="AW748" i="8"/>
  <c r="AU748" i="8"/>
  <c r="U748" i="8"/>
  <c r="AV748" i="8" s="1"/>
  <c r="BA747" i="8"/>
  <c r="AZ747" i="8"/>
  <c r="AY747" i="8"/>
  <c r="AX747" i="8"/>
  <c r="AW747" i="8"/>
  <c r="AU747" i="8"/>
  <c r="U747" i="8"/>
  <c r="AV747" i="8" s="1"/>
  <c r="BA746" i="8"/>
  <c r="AZ746" i="8"/>
  <c r="AY746" i="8"/>
  <c r="AX746" i="8"/>
  <c r="AW746" i="8"/>
  <c r="AU746" i="8"/>
  <c r="U746" i="8"/>
  <c r="AV746" i="8" s="1"/>
  <c r="BA745" i="8"/>
  <c r="AZ745" i="8"/>
  <c r="AY745" i="8"/>
  <c r="AX745" i="8"/>
  <c r="AW745" i="8"/>
  <c r="AU745" i="8"/>
  <c r="U745" i="8"/>
  <c r="AV745" i="8" s="1"/>
  <c r="BA714" i="8"/>
  <c r="AZ714" i="8"/>
  <c r="AY714" i="8"/>
  <c r="AX714" i="8"/>
  <c r="AW714" i="8"/>
  <c r="AU714" i="8"/>
  <c r="U714" i="8"/>
  <c r="AV714" i="8" s="1"/>
  <c r="BA713" i="8"/>
  <c r="AZ713" i="8"/>
  <c r="AY713" i="8"/>
  <c r="AX713" i="8"/>
  <c r="AW713" i="8"/>
  <c r="AU713" i="8"/>
  <c r="U713" i="8"/>
  <c r="AV713" i="8" s="1"/>
  <c r="BA712" i="8"/>
  <c r="AZ712" i="8"/>
  <c r="AY712" i="8"/>
  <c r="AX712" i="8"/>
  <c r="AW712" i="8"/>
  <c r="AU712" i="8"/>
  <c r="U712" i="8"/>
  <c r="AV712" i="8" s="1"/>
  <c r="BA711" i="8"/>
  <c r="AZ711" i="8"/>
  <c r="AY711" i="8"/>
  <c r="AX711" i="8"/>
  <c r="AW711" i="8"/>
  <c r="AU711" i="8"/>
  <c r="U711" i="8"/>
  <c r="AV711" i="8" s="1"/>
  <c r="BA710" i="8"/>
  <c r="AZ710" i="8"/>
  <c r="AY710" i="8"/>
  <c r="AX710" i="8"/>
  <c r="AW710" i="8"/>
  <c r="AU710" i="8"/>
  <c r="U710" i="8"/>
  <c r="AV710" i="8" s="1"/>
  <c r="BA709" i="8"/>
  <c r="AZ709" i="8"/>
  <c r="AY709" i="8"/>
  <c r="AX709" i="8"/>
  <c r="AW709" i="8"/>
  <c r="AU709" i="8"/>
  <c r="U709" i="8"/>
  <c r="AV709" i="8" s="1"/>
  <c r="BA708" i="8"/>
  <c r="AZ708" i="8"/>
  <c r="AY708" i="8"/>
  <c r="AX708" i="8"/>
  <c r="AW708" i="8"/>
  <c r="AU708" i="8"/>
  <c r="U708" i="8"/>
  <c r="AV708" i="8" s="1"/>
  <c r="BA707" i="8"/>
  <c r="AZ707" i="8"/>
  <c r="AY707" i="8"/>
  <c r="AX707" i="8"/>
  <c r="AW707" i="8"/>
  <c r="AU707" i="8"/>
  <c r="U707" i="8"/>
  <c r="AV707" i="8" s="1"/>
  <c r="BA682" i="8"/>
  <c r="AZ682" i="8"/>
  <c r="AY682" i="8"/>
  <c r="AX682" i="8"/>
  <c r="AW682" i="8"/>
  <c r="AU682" i="8"/>
  <c r="U682" i="8"/>
  <c r="AV682" i="8" s="1"/>
  <c r="BA681" i="8"/>
  <c r="AZ681" i="8"/>
  <c r="AY681" i="8"/>
  <c r="AX681" i="8"/>
  <c r="AW681" i="8"/>
  <c r="AU681" i="8"/>
  <c r="U681" i="8"/>
  <c r="AV681" i="8" s="1"/>
  <c r="BA680" i="8"/>
  <c r="AZ680" i="8"/>
  <c r="AY680" i="8"/>
  <c r="AX680" i="8"/>
  <c r="AW680" i="8"/>
  <c r="AU680" i="8"/>
  <c r="U680" i="8"/>
  <c r="AV680" i="8" s="1"/>
  <c r="BA679" i="8"/>
  <c r="AZ679" i="8"/>
  <c r="AY679" i="8"/>
  <c r="AX679" i="8"/>
  <c r="AW679" i="8"/>
  <c r="AU679" i="8"/>
  <c r="U679" i="8"/>
  <c r="AV679" i="8" s="1"/>
  <c r="BA662" i="8"/>
  <c r="AZ662" i="8"/>
  <c r="AY662" i="8"/>
  <c r="AX662" i="8"/>
  <c r="AW662" i="8"/>
  <c r="AU662" i="8"/>
  <c r="U662" i="8"/>
  <c r="AV662" i="8" s="1"/>
  <c r="BA661" i="8"/>
  <c r="AZ661" i="8"/>
  <c r="AY661" i="8"/>
  <c r="AX661" i="8"/>
  <c r="AW661" i="8"/>
  <c r="AU661" i="8"/>
  <c r="U661" i="8"/>
  <c r="AV661" i="8" s="1"/>
  <c r="BA660" i="8"/>
  <c r="AZ660" i="8"/>
  <c r="AY660" i="8"/>
  <c r="AX660" i="8"/>
  <c r="AW660" i="8"/>
  <c r="AU660" i="8"/>
  <c r="U660" i="8"/>
  <c r="AV660" i="8" s="1"/>
  <c r="BA659" i="8"/>
  <c r="AZ659" i="8"/>
  <c r="AY659" i="8"/>
  <c r="AX659" i="8"/>
  <c r="AW659" i="8"/>
  <c r="AU659" i="8"/>
  <c r="U659" i="8"/>
  <c r="AV659" i="8" s="1"/>
  <c r="BA642" i="8"/>
  <c r="AZ642" i="8"/>
  <c r="AY642" i="8"/>
  <c r="AX642" i="8"/>
  <c r="AW642" i="8"/>
  <c r="AU642" i="8"/>
  <c r="U642" i="8"/>
  <c r="AV642" i="8" s="1"/>
  <c r="BA641" i="8"/>
  <c r="AZ641" i="8"/>
  <c r="AY641" i="8"/>
  <c r="AX641" i="8"/>
  <c r="AW641" i="8"/>
  <c r="AU641" i="8"/>
  <c r="U641" i="8"/>
  <c r="AV641" i="8" s="1"/>
  <c r="BA640" i="8"/>
  <c r="AZ640" i="8"/>
  <c r="AY640" i="8"/>
  <c r="AX640" i="8"/>
  <c r="AW640" i="8"/>
  <c r="AU640" i="8"/>
  <c r="U640" i="8"/>
  <c r="AV640" i="8" s="1"/>
  <c r="BA639" i="8"/>
  <c r="AZ639" i="8"/>
  <c r="AY639" i="8"/>
  <c r="AX639" i="8"/>
  <c r="AW639" i="8"/>
  <c r="AU639" i="8"/>
  <c r="U639" i="8"/>
  <c r="AV639" i="8" s="1"/>
  <c r="BA622" i="8"/>
  <c r="AZ622" i="8"/>
  <c r="AY622" i="8"/>
  <c r="AX622" i="8"/>
  <c r="AW622" i="8"/>
  <c r="AU622" i="8"/>
  <c r="U622" i="8"/>
  <c r="AV622" i="8" s="1"/>
  <c r="BA621" i="8"/>
  <c r="AZ621" i="8"/>
  <c r="AY621" i="8"/>
  <c r="AX621" i="8"/>
  <c r="AW621" i="8"/>
  <c r="AU621" i="8"/>
  <c r="U621" i="8"/>
  <c r="AV621" i="8" s="1"/>
  <c r="BA620" i="8"/>
  <c r="AZ620" i="8"/>
  <c r="AY620" i="8"/>
  <c r="AX620" i="8"/>
  <c r="AW620" i="8"/>
  <c r="AU620" i="8"/>
  <c r="U620" i="8"/>
  <c r="AV620" i="8" s="1"/>
  <c r="BA619" i="8"/>
  <c r="AZ619" i="8"/>
  <c r="AY619" i="8"/>
  <c r="AX619" i="8"/>
  <c r="AW619" i="8"/>
  <c r="AU619" i="8"/>
  <c r="U619" i="8"/>
  <c r="AV619" i="8" s="1"/>
  <c r="BA594" i="8"/>
  <c r="AZ594" i="8"/>
  <c r="AY594" i="8"/>
  <c r="AX594" i="8"/>
  <c r="AW594" i="8"/>
  <c r="AU594" i="8"/>
  <c r="U594" i="8"/>
  <c r="AV594" i="8" s="1"/>
  <c r="BA593" i="8"/>
  <c r="AZ593" i="8"/>
  <c r="AY593" i="8"/>
  <c r="AX593" i="8"/>
  <c r="AW593" i="8"/>
  <c r="AU593" i="8"/>
  <c r="U593" i="8"/>
  <c r="AV593" i="8" s="1"/>
  <c r="BA592" i="8"/>
  <c r="AZ592" i="8"/>
  <c r="AY592" i="8"/>
  <c r="AX592" i="8"/>
  <c r="AW592" i="8"/>
  <c r="AU592" i="8"/>
  <c r="U592" i="8"/>
  <c r="AV592" i="8" s="1"/>
  <c r="BA591" i="8"/>
  <c r="AZ591" i="8"/>
  <c r="AY591" i="8"/>
  <c r="AX591" i="8"/>
  <c r="AW591" i="8"/>
  <c r="AU591" i="8"/>
  <c r="U591" i="8"/>
  <c r="AV591" i="8" s="1"/>
  <c r="BA590" i="8"/>
  <c r="AZ590" i="8"/>
  <c r="AY590" i="8"/>
  <c r="AX590" i="8"/>
  <c r="AW590" i="8"/>
  <c r="AU590" i="8"/>
  <c r="U590" i="8"/>
  <c r="AV590" i="8" s="1"/>
  <c r="BA589" i="8"/>
  <c r="AZ589" i="8"/>
  <c r="AY589" i="8"/>
  <c r="AX589" i="8"/>
  <c r="AW589" i="8"/>
  <c r="AU589" i="8"/>
  <c r="U589" i="8"/>
  <c r="AV589" i="8" s="1"/>
  <c r="BA588" i="8"/>
  <c r="AZ588" i="8"/>
  <c r="AY588" i="8"/>
  <c r="AX588" i="8"/>
  <c r="AW588" i="8"/>
  <c r="AU588" i="8"/>
  <c r="U588" i="8"/>
  <c r="AV588" i="8" s="1"/>
  <c r="BA587" i="8"/>
  <c r="AZ587" i="8"/>
  <c r="AY587" i="8"/>
  <c r="AX587" i="8"/>
  <c r="AW587" i="8"/>
  <c r="AU587" i="8"/>
  <c r="U587" i="8"/>
  <c r="AV587" i="8" s="1"/>
  <c r="BA554" i="8"/>
  <c r="AZ554" i="8"/>
  <c r="AY554" i="8"/>
  <c r="AX554" i="8"/>
  <c r="AW554" i="8"/>
  <c r="AU554" i="8"/>
  <c r="U554" i="8"/>
  <c r="AV554" i="8" s="1"/>
  <c r="BA553" i="8"/>
  <c r="AZ553" i="8"/>
  <c r="AY553" i="8"/>
  <c r="AX553" i="8"/>
  <c r="AW553" i="8"/>
  <c r="AU553" i="8"/>
  <c r="U553" i="8"/>
  <c r="AV553" i="8" s="1"/>
  <c r="BA552" i="8"/>
  <c r="AZ552" i="8"/>
  <c r="AY552" i="8"/>
  <c r="AX552" i="8"/>
  <c r="AW552" i="8"/>
  <c r="AU552" i="8"/>
  <c r="U552" i="8"/>
  <c r="AV552" i="8" s="1"/>
  <c r="BA551" i="8"/>
  <c r="AZ551" i="8"/>
  <c r="AY551" i="8"/>
  <c r="AX551" i="8"/>
  <c r="AW551" i="8"/>
  <c r="AU551" i="8"/>
  <c r="U551" i="8"/>
  <c r="AV551" i="8" s="1"/>
  <c r="BA550" i="8"/>
  <c r="AZ550" i="8"/>
  <c r="AY550" i="8"/>
  <c r="AX550" i="8"/>
  <c r="AW550" i="8"/>
  <c r="AU550" i="8"/>
  <c r="U550" i="8"/>
  <c r="AV550" i="8" s="1"/>
  <c r="BA549" i="8"/>
  <c r="AZ549" i="8"/>
  <c r="AY549" i="8"/>
  <c r="AX549" i="8"/>
  <c r="AW549" i="8"/>
  <c r="AU549" i="8"/>
  <c r="U549" i="8"/>
  <c r="AV549" i="8" s="1"/>
  <c r="BA548" i="8"/>
  <c r="AZ548" i="8"/>
  <c r="AY548" i="8"/>
  <c r="AX548" i="8"/>
  <c r="AW548" i="8"/>
  <c r="AU548" i="8"/>
  <c r="U548" i="8"/>
  <c r="AV548" i="8" s="1"/>
  <c r="BA547" i="8"/>
  <c r="AZ547" i="8"/>
  <c r="AY547" i="8"/>
  <c r="AX547" i="8"/>
  <c r="AW547" i="8"/>
  <c r="AU547" i="8"/>
  <c r="U547" i="8"/>
  <c r="AV547" i="8" s="1"/>
  <c r="J2" i="1" l="1"/>
  <c r="B153" i="15"/>
  <c r="B17" i="15"/>
  <c r="B71" i="15" l="1"/>
  <c r="B23" i="15"/>
  <c r="B22" i="15"/>
  <c r="B21" i="15"/>
  <c r="B20" i="15"/>
  <c r="B73" i="15"/>
  <c r="B72" i="15"/>
  <c r="B29" i="15"/>
  <c r="B28" i="15"/>
  <c r="B43" i="15"/>
  <c r="B97" i="15"/>
  <c r="C525" i="8"/>
  <c r="C524" i="8"/>
  <c r="C523" i="8"/>
  <c r="C522" i="8"/>
  <c r="C491" i="8"/>
  <c r="C490" i="8"/>
  <c r="C489" i="8"/>
  <c r="C488" i="8"/>
  <c r="C487" i="8"/>
  <c r="C486" i="8"/>
  <c r="C445" i="8"/>
  <c r="C444" i="8"/>
  <c r="C443" i="8"/>
  <c r="C442" i="8"/>
  <c r="C441" i="8"/>
  <c r="C440" i="8"/>
  <c r="C439" i="8"/>
  <c r="C438" i="8"/>
  <c r="C390" i="8"/>
  <c r="C389" i="8"/>
  <c r="C388" i="8"/>
  <c r="C387" i="8"/>
  <c r="C386" i="8"/>
  <c r="C385" i="8"/>
  <c r="C384" i="8"/>
  <c r="C383" i="8"/>
  <c r="C331" i="8"/>
  <c r="C330" i="8"/>
  <c r="C329" i="8"/>
  <c r="C328" i="8"/>
  <c r="C327" i="8"/>
  <c r="C326" i="8"/>
  <c r="C325" i="8"/>
  <c r="C324" i="8"/>
  <c r="C271" i="8"/>
  <c r="C270" i="8"/>
  <c r="C269" i="8"/>
  <c r="C268" i="8"/>
  <c r="C267" i="8"/>
  <c r="C266" i="8"/>
  <c r="C265" i="8"/>
  <c r="C264" i="8"/>
  <c r="C682" i="8"/>
  <c r="C681" i="8"/>
  <c r="C680" i="8"/>
  <c r="C679" i="8"/>
  <c r="C662" i="8"/>
  <c r="C661" i="8"/>
  <c r="C660" i="8"/>
  <c r="C659" i="8"/>
  <c r="C642" i="8"/>
  <c r="C641" i="8"/>
  <c r="C640" i="8"/>
  <c r="C639" i="8"/>
  <c r="C622" i="8"/>
  <c r="C621" i="8"/>
  <c r="C620" i="8"/>
  <c r="C619" i="8"/>
  <c r="C594" i="8"/>
  <c r="C593" i="8"/>
  <c r="C592" i="8"/>
  <c r="C591" i="8"/>
  <c r="C590" i="8"/>
  <c r="C589" i="8"/>
  <c r="C588" i="8"/>
  <c r="C587" i="8"/>
  <c r="C554" i="8"/>
  <c r="C553" i="8"/>
  <c r="C552" i="8"/>
  <c r="C551" i="8"/>
  <c r="C550" i="8"/>
  <c r="C549" i="8"/>
  <c r="C548" i="8"/>
  <c r="C547" i="8"/>
  <c r="C771" i="8"/>
  <c r="C770" i="8"/>
  <c r="C769" i="8"/>
  <c r="C768" i="8"/>
  <c r="C748" i="8"/>
  <c r="C747" i="8"/>
  <c r="C746" i="8"/>
  <c r="C745" i="8"/>
  <c r="C714" i="8"/>
  <c r="C713" i="8"/>
  <c r="C712" i="8"/>
  <c r="C711" i="8"/>
  <c r="C710" i="8"/>
  <c r="C709" i="8"/>
  <c r="C708" i="8"/>
  <c r="C707" i="8"/>
  <c r="AF101" i="2" l="1" a="1"/>
  <c r="AF101" i="2"/>
  <c r="AG105" i="2"/>
  <c r="AG106" i="2"/>
  <c r="AG107" i="2"/>
  <c r="AG108" i="2"/>
  <c r="AG110" i="2"/>
  <c r="AG111" i="2"/>
  <c r="U690" i="8"/>
  <c r="U689" i="8"/>
  <c r="U688" i="8"/>
  <c r="U687" i="8"/>
  <c r="U686" i="8"/>
  <c r="U685" i="8"/>
  <c r="U684" i="8"/>
  <c r="U683" i="8"/>
  <c r="U678" i="8"/>
  <c r="U677" i="8"/>
  <c r="U676" i="8"/>
  <c r="U675" i="8"/>
  <c r="U674" i="8"/>
  <c r="U673" i="8"/>
  <c r="U672" i="8"/>
  <c r="U671" i="8"/>
  <c r="U670" i="8"/>
  <c r="U669" i="8"/>
  <c r="U668" i="8"/>
  <c r="U667" i="8"/>
  <c r="U666" i="8"/>
  <c r="U665" i="8"/>
  <c r="U664" i="8"/>
  <c r="U663" i="8"/>
  <c r="U658" i="8"/>
  <c r="U657" i="8"/>
  <c r="U656" i="8"/>
  <c r="U655" i="8"/>
  <c r="U654" i="8"/>
  <c r="U653" i="8"/>
  <c r="U652" i="8"/>
  <c r="U651" i="8"/>
  <c r="U650" i="8"/>
  <c r="U649" i="8"/>
  <c r="U648" i="8"/>
  <c r="U647" i="8"/>
  <c r="U646" i="8"/>
  <c r="U645" i="8"/>
  <c r="U644" i="8"/>
  <c r="U643" i="8"/>
  <c r="U638" i="8"/>
  <c r="U637" i="8"/>
  <c r="U636" i="8"/>
  <c r="U635" i="8"/>
  <c r="U634" i="8"/>
  <c r="U633" i="8"/>
  <c r="U632" i="8"/>
  <c r="U631" i="8"/>
  <c r="U630" i="8"/>
  <c r="U629" i="8"/>
  <c r="U628" i="8"/>
  <c r="U627" i="8"/>
  <c r="U626" i="8"/>
  <c r="U625" i="8"/>
  <c r="U624" i="8"/>
  <c r="U623" i="8"/>
  <c r="U618" i="8"/>
  <c r="U617" i="8"/>
  <c r="U616" i="8"/>
  <c r="U615" i="8"/>
  <c r="U614" i="8"/>
  <c r="U613" i="8"/>
  <c r="U612" i="8"/>
  <c r="U611" i="8"/>
  <c r="U610" i="8"/>
  <c r="U609" i="8"/>
  <c r="U608" i="8"/>
  <c r="U607" i="8"/>
  <c r="U606" i="8"/>
  <c r="U605" i="8"/>
  <c r="U604" i="8"/>
  <c r="U603" i="8"/>
  <c r="U602" i="8"/>
  <c r="U601" i="8"/>
  <c r="U600" i="8"/>
  <c r="U599" i="8"/>
  <c r="U598" i="8"/>
  <c r="U597" i="8"/>
  <c r="U596" i="8"/>
  <c r="U595" i="8"/>
  <c r="U586" i="8"/>
  <c r="U585" i="8"/>
  <c r="U584" i="8"/>
  <c r="U583" i="8"/>
  <c r="U582" i="8"/>
  <c r="U581" i="8"/>
  <c r="U580" i="8"/>
  <c r="U579" i="8"/>
  <c r="U578" i="8"/>
  <c r="U577" i="8"/>
  <c r="U576" i="8"/>
  <c r="U575" i="8"/>
  <c r="U574" i="8"/>
  <c r="U573" i="8"/>
  <c r="U572" i="8"/>
  <c r="U571" i="8"/>
  <c r="U570" i="8"/>
  <c r="U569" i="8"/>
  <c r="U568" i="8"/>
  <c r="U567" i="8"/>
  <c r="U566" i="8"/>
  <c r="U565" i="8"/>
  <c r="U564" i="8"/>
  <c r="U563" i="8"/>
  <c r="U562" i="8"/>
  <c r="U561" i="8"/>
  <c r="U560" i="8"/>
  <c r="U559" i="8"/>
  <c r="U558" i="8"/>
  <c r="U557" i="8"/>
  <c r="U556" i="8"/>
  <c r="U555" i="8"/>
  <c r="U546" i="8"/>
  <c r="U545" i="8"/>
  <c r="U544" i="8"/>
  <c r="U543" i="8"/>
  <c r="U542" i="8"/>
  <c r="U541" i="8"/>
  <c r="U540" i="8"/>
  <c r="U539" i="8"/>
  <c r="U538" i="8"/>
  <c r="U537" i="8"/>
  <c r="U536" i="8"/>
  <c r="U535" i="8"/>
  <c r="U534" i="8"/>
  <c r="U533" i="8"/>
  <c r="U532" i="8"/>
  <c r="U531" i="8"/>
  <c r="U782" i="8"/>
  <c r="U781" i="8"/>
  <c r="U780" i="8"/>
  <c r="U779" i="8"/>
  <c r="U778" i="8"/>
  <c r="U777" i="8"/>
  <c r="U776" i="8"/>
  <c r="U775" i="8"/>
  <c r="U774" i="8"/>
  <c r="U773" i="8"/>
  <c r="U772" i="8"/>
  <c r="U767" i="8"/>
  <c r="U766" i="8"/>
  <c r="U765" i="8"/>
  <c r="U764" i="8"/>
  <c r="U763" i="8"/>
  <c r="U762" i="8"/>
  <c r="U761" i="8"/>
  <c r="U760" i="8"/>
  <c r="U759" i="8"/>
  <c r="U758" i="8"/>
  <c r="U757" i="8"/>
  <c r="U756" i="8"/>
  <c r="U755" i="8"/>
  <c r="U754" i="8"/>
  <c r="U753" i="8"/>
  <c r="U752" i="8"/>
  <c r="U751" i="8"/>
  <c r="U750" i="8"/>
  <c r="U749" i="8"/>
  <c r="U744" i="8"/>
  <c r="U743" i="8"/>
  <c r="U742" i="8"/>
  <c r="U741" i="8"/>
  <c r="U740" i="8"/>
  <c r="U739" i="8"/>
  <c r="U738" i="8"/>
  <c r="U737" i="8"/>
  <c r="U736" i="8"/>
  <c r="U735" i="8"/>
  <c r="U734" i="8"/>
  <c r="U733" i="8"/>
  <c r="U732" i="8"/>
  <c r="U731" i="8"/>
  <c r="U730" i="8"/>
  <c r="U729" i="8"/>
  <c r="U728" i="8"/>
  <c r="U727" i="8"/>
  <c r="U726" i="8"/>
  <c r="U725" i="8"/>
  <c r="U724" i="8"/>
  <c r="U723" i="8"/>
  <c r="U722" i="8"/>
  <c r="U721" i="8"/>
  <c r="U720" i="8"/>
  <c r="U719" i="8"/>
  <c r="U718" i="8"/>
  <c r="U717" i="8"/>
  <c r="U716" i="8"/>
  <c r="U715" i="8"/>
  <c r="U706" i="8"/>
  <c r="U705" i="8"/>
  <c r="U704" i="8"/>
  <c r="U703" i="8"/>
  <c r="U702" i="8"/>
  <c r="U701" i="8"/>
  <c r="U700" i="8"/>
  <c r="U699" i="8"/>
  <c r="U698" i="8"/>
  <c r="U697" i="8"/>
  <c r="U696" i="8"/>
  <c r="U695" i="8"/>
  <c r="U694" i="8"/>
  <c r="U693" i="8"/>
  <c r="U692" i="8"/>
  <c r="U691" i="8"/>
  <c r="BA782" i="8"/>
  <c r="AZ782" i="8"/>
  <c r="AY782" i="8"/>
  <c r="AX782" i="8"/>
  <c r="AW782" i="8"/>
  <c r="AV782" i="8"/>
  <c r="AU782" i="8"/>
  <c r="BA781" i="8"/>
  <c r="AZ781" i="8"/>
  <c r="AY781" i="8"/>
  <c r="AX781" i="8"/>
  <c r="AW781" i="8"/>
  <c r="AV781" i="8"/>
  <c r="AU781" i="8"/>
  <c r="BA780" i="8"/>
  <c r="AZ780" i="8"/>
  <c r="AY780" i="8"/>
  <c r="AX780" i="8"/>
  <c r="AW780" i="8"/>
  <c r="AV780" i="8"/>
  <c r="AU780" i="8"/>
  <c r="BA759" i="8"/>
  <c r="AZ759" i="8"/>
  <c r="AY759" i="8"/>
  <c r="AX759" i="8"/>
  <c r="AW759" i="8"/>
  <c r="AV759" i="8"/>
  <c r="AU759" i="8"/>
  <c r="BA758" i="8"/>
  <c r="AZ758" i="8"/>
  <c r="AY758" i="8"/>
  <c r="AX758" i="8"/>
  <c r="AW758" i="8"/>
  <c r="AV758" i="8"/>
  <c r="AU758" i="8"/>
  <c r="BA757" i="8"/>
  <c r="AZ757" i="8"/>
  <c r="AY757" i="8"/>
  <c r="AX757" i="8"/>
  <c r="AW757" i="8"/>
  <c r="AV757" i="8"/>
  <c r="AU757" i="8"/>
  <c r="BA736" i="8"/>
  <c r="AZ736" i="8"/>
  <c r="AY736" i="8"/>
  <c r="AX736" i="8"/>
  <c r="AW736" i="8"/>
  <c r="AV736" i="8"/>
  <c r="AU736" i="8"/>
  <c r="BA735" i="8"/>
  <c r="AZ735" i="8"/>
  <c r="AY735" i="8"/>
  <c r="AX735" i="8"/>
  <c r="AW735" i="8"/>
  <c r="AV735" i="8"/>
  <c r="AU735" i="8"/>
  <c r="BA734" i="8"/>
  <c r="AZ734" i="8"/>
  <c r="AY734" i="8"/>
  <c r="AX734" i="8"/>
  <c r="AW734" i="8"/>
  <c r="AV734" i="8"/>
  <c r="AU734" i="8"/>
  <c r="BA733" i="8"/>
  <c r="AZ733" i="8"/>
  <c r="AY733" i="8"/>
  <c r="AX733" i="8"/>
  <c r="AW733" i="8"/>
  <c r="AV733" i="8"/>
  <c r="AU733" i="8"/>
  <c r="BA732" i="8"/>
  <c r="AZ732" i="8"/>
  <c r="AY732" i="8"/>
  <c r="AX732" i="8"/>
  <c r="AW732" i="8"/>
  <c r="AV732" i="8"/>
  <c r="AU732" i="8"/>
  <c r="BA731" i="8"/>
  <c r="AZ731" i="8"/>
  <c r="AY731" i="8"/>
  <c r="AX731" i="8"/>
  <c r="AW731" i="8"/>
  <c r="AV731" i="8"/>
  <c r="AU731" i="8"/>
  <c r="BA530" i="8"/>
  <c r="AZ530" i="8"/>
  <c r="AY530" i="8"/>
  <c r="AX530" i="8"/>
  <c r="AW530" i="8"/>
  <c r="AV530" i="8"/>
  <c r="AU530" i="8"/>
  <c r="BA529" i="8"/>
  <c r="AZ529" i="8"/>
  <c r="AY529" i="8"/>
  <c r="AX529" i="8"/>
  <c r="AW529" i="8"/>
  <c r="AU529" i="8"/>
  <c r="U529" i="8"/>
  <c r="AV529" i="8" s="1"/>
  <c r="BA528" i="8"/>
  <c r="AZ528" i="8"/>
  <c r="AY528" i="8"/>
  <c r="AX528" i="8"/>
  <c r="AW528" i="8"/>
  <c r="AU528" i="8"/>
  <c r="U528" i="8"/>
  <c r="AV528" i="8" s="1"/>
  <c r="BA527" i="8"/>
  <c r="AZ527" i="8"/>
  <c r="AY527" i="8"/>
  <c r="AX527" i="8"/>
  <c r="AW527" i="8"/>
  <c r="AV527" i="8"/>
  <c r="AU527" i="8"/>
  <c r="BA526" i="8"/>
  <c r="AZ526" i="8"/>
  <c r="AY526" i="8"/>
  <c r="AX526" i="8"/>
  <c r="AW526" i="8"/>
  <c r="AV526" i="8"/>
  <c r="AU526" i="8"/>
  <c r="BA521" i="8"/>
  <c r="AZ521" i="8"/>
  <c r="AY521" i="8"/>
  <c r="AX521" i="8"/>
  <c r="AW521" i="8"/>
  <c r="AU521" i="8"/>
  <c r="U521" i="8"/>
  <c r="AV521" i="8" s="1"/>
  <c r="BA520" i="8"/>
  <c r="AZ520" i="8"/>
  <c r="AY520" i="8"/>
  <c r="AX520" i="8"/>
  <c r="AW520" i="8"/>
  <c r="AU520" i="8"/>
  <c r="U520" i="8"/>
  <c r="AV520" i="8" s="1"/>
  <c r="BA519" i="8"/>
  <c r="AZ519" i="8"/>
  <c r="AY519" i="8"/>
  <c r="AX519" i="8"/>
  <c r="AW519" i="8"/>
  <c r="AV519" i="8"/>
  <c r="AU519" i="8"/>
  <c r="BA518" i="8"/>
  <c r="AZ518" i="8"/>
  <c r="AY518" i="8"/>
  <c r="AX518" i="8"/>
  <c r="AW518" i="8"/>
  <c r="AV518" i="8"/>
  <c r="AU518" i="8"/>
  <c r="BA517" i="8"/>
  <c r="AZ517" i="8"/>
  <c r="AY517" i="8"/>
  <c r="AX517" i="8"/>
  <c r="AW517" i="8"/>
  <c r="AU517" i="8"/>
  <c r="U517" i="8"/>
  <c r="AV517" i="8" s="1"/>
  <c r="BA516" i="8"/>
  <c r="AZ516" i="8"/>
  <c r="AY516" i="8"/>
  <c r="AX516" i="8"/>
  <c r="AW516" i="8"/>
  <c r="AU516" i="8"/>
  <c r="U516" i="8"/>
  <c r="AV516" i="8" s="1"/>
  <c r="BA515" i="8"/>
  <c r="AZ515" i="8"/>
  <c r="AY515" i="8"/>
  <c r="AX515" i="8"/>
  <c r="AW515" i="8"/>
  <c r="AV515" i="8"/>
  <c r="AU515" i="8"/>
  <c r="BA514" i="8"/>
  <c r="AZ514" i="8"/>
  <c r="AY514" i="8"/>
  <c r="AX514" i="8"/>
  <c r="AW514" i="8"/>
  <c r="AV514" i="8"/>
  <c r="AU514" i="8"/>
  <c r="BA468" i="8"/>
  <c r="AZ468" i="8"/>
  <c r="AY468" i="8"/>
  <c r="AX468" i="8"/>
  <c r="AW468" i="8"/>
  <c r="AU468" i="8"/>
  <c r="U468" i="8"/>
  <c r="AV468" i="8" s="1"/>
  <c r="BA464" i="8"/>
  <c r="AZ464" i="8"/>
  <c r="AY464" i="8"/>
  <c r="AX464" i="8"/>
  <c r="AW464" i="8"/>
  <c r="AV464" i="8"/>
  <c r="AU464" i="8"/>
  <c r="BA460" i="8"/>
  <c r="AZ460" i="8"/>
  <c r="AY460" i="8"/>
  <c r="AX460" i="8"/>
  <c r="AW460" i="8"/>
  <c r="AU460" i="8"/>
  <c r="U460" i="8"/>
  <c r="AV460" i="8" s="1"/>
  <c r="BA456" i="8"/>
  <c r="AZ456" i="8"/>
  <c r="AY456" i="8"/>
  <c r="AX456" i="8"/>
  <c r="AW456" i="8"/>
  <c r="AV456" i="8"/>
  <c r="AU456" i="8"/>
  <c r="BA452" i="8"/>
  <c r="AZ452" i="8"/>
  <c r="AY452" i="8"/>
  <c r="AX452" i="8"/>
  <c r="AW452" i="8"/>
  <c r="AU452" i="8"/>
  <c r="U452" i="8"/>
  <c r="AV452" i="8" s="1"/>
  <c r="BA448" i="8"/>
  <c r="AZ448" i="8"/>
  <c r="AY448" i="8"/>
  <c r="AX448" i="8"/>
  <c r="AW448" i="8"/>
  <c r="AV448" i="8"/>
  <c r="AU448" i="8"/>
  <c r="BA436" i="8"/>
  <c r="AZ436" i="8"/>
  <c r="AY436" i="8"/>
  <c r="AX436" i="8"/>
  <c r="AW436" i="8"/>
  <c r="AU436" i="8"/>
  <c r="U436" i="8"/>
  <c r="AV436" i="8" s="1"/>
  <c r="BA432" i="8"/>
  <c r="AZ432" i="8"/>
  <c r="AY432" i="8"/>
  <c r="AX432" i="8"/>
  <c r="AW432" i="8"/>
  <c r="AV432" i="8"/>
  <c r="AU432" i="8"/>
  <c r="BA428" i="8"/>
  <c r="AZ428" i="8"/>
  <c r="AY428" i="8"/>
  <c r="AX428" i="8"/>
  <c r="AW428" i="8"/>
  <c r="AU428" i="8"/>
  <c r="U428" i="8"/>
  <c r="AV428" i="8" s="1"/>
  <c r="BA424" i="8"/>
  <c r="AZ424" i="8"/>
  <c r="AY424" i="8"/>
  <c r="AX424" i="8"/>
  <c r="AW424" i="8"/>
  <c r="AV424" i="8"/>
  <c r="AU424" i="8"/>
  <c r="BA509" i="8"/>
  <c r="AZ509" i="8"/>
  <c r="AY509" i="8"/>
  <c r="AX509" i="8"/>
  <c r="AW509" i="8"/>
  <c r="AU509" i="8"/>
  <c r="U509" i="8"/>
  <c r="AV509" i="8" s="1"/>
  <c r="BA508" i="8"/>
  <c r="AZ508" i="8"/>
  <c r="AY508" i="8"/>
  <c r="AX508" i="8"/>
  <c r="AW508" i="8"/>
  <c r="AU508" i="8"/>
  <c r="U508" i="8"/>
  <c r="AV508" i="8" s="1"/>
  <c r="BA507" i="8"/>
  <c r="AZ507" i="8"/>
  <c r="AY507" i="8"/>
  <c r="AX507" i="8"/>
  <c r="AW507" i="8"/>
  <c r="AU507" i="8"/>
  <c r="U507" i="8"/>
  <c r="AV507" i="8" s="1"/>
  <c r="BA506" i="8"/>
  <c r="AZ506" i="8"/>
  <c r="AY506" i="8"/>
  <c r="AX506" i="8"/>
  <c r="AW506" i="8"/>
  <c r="AV506" i="8"/>
  <c r="AU506" i="8"/>
  <c r="BA505" i="8"/>
  <c r="AZ505" i="8"/>
  <c r="AY505" i="8"/>
  <c r="AX505" i="8"/>
  <c r="AW505" i="8"/>
  <c r="AV505" i="8"/>
  <c r="AU505" i="8"/>
  <c r="BA504" i="8"/>
  <c r="AZ504" i="8"/>
  <c r="AY504" i="8"/>
  <c r="AX504" i="8"/>
  <c r="AW504" i="8"/>
  <c r="AV504" i="8"/>
  <c r="AU504" i="8"/>
  <c r="BA503" i="8"/>
  <c r="AZ503" i="8"/>
  <c r="AY503" i="8"/>
  <c r="AX503" i="8"/>
  <c r="AW503" i="8"/>
  <c r="AU503" i="8"/>
  <c r="U503" i="8"/>
  <c r="AV503" i="8" s="1"/>
  <c r="BA502" i="8"/>
  <c r="AZ502" i="8"/>
  <c r="AY502" i="8"/>
  <c r="AX502" i="8"/>
  <c r="AW502" i="8"/>
  <c r="AU502" i="8"/>
  <c r="U502" i="8"/>
  <c r="AV502" i="8" s="1"/>
  <c r="BA501" i="8"/>
  <c r="AZ501" i="8"/>
  <c r="AY501" i="8"/>
  <c r="AX501" i="8"/>
  <c r="AW501" i="8"/>
  <c r="AU501" i="8"/>
  <c r="U501" i="8"/>
  <c r="AV501" i="8" s="1"/>
  <c r="BA500" i="8"/>
  <c r="AZ500" i="8"/>
  <c r="AY500" i="8"/>
  <c r="AX500" i="8"/>
  <c r="AW500" i="8"/>
  <c r="AV500" i="8"/>
  <c r="AU500" i="8"/>
  <c r="BA499" i="8"/>
  <c r="AZ499" i="8"/>
  <c r="AY499" i="8"/>
  <c r="AX499" i="8"/>
  <c r="AW499" i="8"/>
  <c r="AV499" i="8"/>
  <c r="AU499" i="8"/>
  <c r="BA498" i="8"/>
  <c r="AZ498" i="8"/>
  <c r="AY498" i="8"/>
  <c r="AX498" i="8"/>
  <c r="AW498" i="8"/>
  <c r="AV498" i="8"/>
  <c r="AU498" i="8"/>
  <c r="BA497" i="8"/>
  <c r="AZ497" i="8"/>
  <c r="AY497" i="8"/>
  <c r="AX497" i="8"/>
  <c r="AW497" i="8"/>
  <c r="AU497" i="8"/>
  <c r="U497" i="8"/>
  <c r="AV497" i="8" s="1"/>
  <c r="BA496" i="8"/>
  <c r="AZ496" i="8"/>
  <c r="AY496" i="8"/>
  <c r="AX496" i="8"/>
  <c r="AW496" i="8"/>
  <c r="AU496" i="8"/>
  <c r="U496" i="8"/>
  <c r="AV496" i="8" s="1"/>
  <c r="BA495" i="8"/>
  <c r="AZ495" i="8"/>
  <c r="AY495" i="8"/>
  <c r="AX495" i="8"/>
  <c r="AW495" i="8"/>
  <c r="AU495" i="8"/>
  <c r="U495" i="8"/>
  <c r="AV495" i="8" s="1"/>
  <c r="BA494" i="8"/>
  <c r="AZ494" i="8"/>
  <c r="AY494" i="8"/>
  <c r="AX494" i="8"/>
  <c r="AW494" i="8"/>
  <c r="AV494" i="8"/>
  <c r="AU494" i="8"/>
  <c r="BA493" i="8"/>
  <c r="AZ493" i="8"/>
  <c r="AY493" i="8"/>
  <c r="AX493" i="8"/>
  <c r="AW493" i="8"/>
  <c r="AV493" i="8"/>
  <c r="AU493" i="8"/>
  <c r="BA492" i="8"/>
  <c r="AZ492" i="8"/>
  <c r="AY492" i="8"/>
  <c r="AX492" i="8"/>
  <c r="AW492" i="8"/>
  <c r="AV492" i="8"/>
  <c r="AU492" i="8"/>
  <c r="BA485" i="8"/>
  <c r="AZ485" i="8"/>
  <c r="AY485" i="8"/>
  <c r="AX485" i="8"/>
  <c r="AW485" i="8"/>
  <c r="AU485" i="8"/>
  <c r="U485" i="8"/>
  <c r="AV485" i="8" s="1"/>
  <c r="BA484" i="8"/>
  <c r="AZ484" i="8"/>
  <c r="AY484" i="8"/>
  <c r="AX484" i="8"/>
  <c r="AW484" i="8"/>
  <c r="AU484" i="8"/>
  <c r="U484" i="8"/>
  <c r="AV484" i="8" s="1"/>
  <c r="BA483" i="8"/>
  <c r="AZ483" i="8"/>
  <c r="AY483" i="8"/>
  <c r="AX483" i="8"/>
  <c r="AW483" i="8"/>
  <c r="AU483" i="8"/>
  <c r="U483" i="8"/>
  <c r="AV483" i="8" s="1"/>
  <c r="BA482" i="8"/>
  <c r="AZ482" i="8"/>
  <c r="AY482" i="8"/>
  <c r="AX482" i="8"/>
  <c r="AW482" i="8"/>
  <c r="AV482" i="8"/>
  <c r="AU482" i="8"/>
  <c r="BA481" i="8"/>
  <c r="AZ481" i="8"/>
  <c r="AY481" i="8"/>
  <c r="AX481" i="8"/>
  <c r="AW481" i="8"/>
  <c r="AV481" i="8"/>
  <c r="AU481" i="8"/>
  <c r="BA480" i="8"/>
  <c r="AZ480" i="8"/>
  <c r="AY480" i="8"/>
  <c r="AX480" i="8"/>
  <c r="AW480" i="8"/>
  <c r="AV480" i="8"/>
  <c r="AU480" i="8"/>
  <c r="BA479" i="8"/>
  <c r="AZ479" i="8"/>
  <c r="AY479" i="8"/>
  <c r="AX479" i="8"/>
  <c r="AW479" i="8"/>
  <c r="AU479" i="8"/>
  <c r="U479" i="8"/>
  <c r="AV479" i="8" s="1"/>
  <c r="BA478" i="8"/>
  <c r="AZ478" i="8"/>
  <c r="AY478" i="8"/>
  <c r="AX478" i="8"/>
  <c r="AW478" i="8"/>
  <c r="AU478" i="8"/>
  <c r="U478" i="8"/>
  <c r="AV478" i="8" s="1"/>
  <c r="BA477" i="8"/>
  <c r="AZ477" i="8"/>
  <c r="AY477" i="8"/>
  <c r="AX477" i="8"/>
  <c r="AW477" i="8"/>
  <c r="AU477" i="8"/>
  <c r="U477" i="8"/>
  <c r="AV477" i="8" s="1"/>
  <c r="BA476" i="8"/>
  <c r="AZ476" i="8"/>
  <c r="AY476" i="8"/>
  <c r="AX476" i="8"/>
  <c r="AW476" i="8"/>
  <c r="AV476" i="8"/>
  <c r="AU476" i="8"/>
  <c r="BA475" i="8"/>
  <c r="AZ475" i="8"/>
  <c r="AY475" i="8"/>
  <c r="AX475" i="8"/>
  <c r="AW475" i="8"/>
  <c r="AV475" i="8"/>
  <c r="AU475" i="8"/>
  <c r="BA474" i="8"/>
  <c r="AZ474" i="8"/>
  <c r="AY474" i="8"/>
  <c r="AX474" i="8"/>
  <c r="AW474" i="8"/>
  <c r="AV474" i="8"/>
  <c r="AU474" i="8"/>
  <c r="BA247" i="8"/>
  <c r="AZ247" i="8"/>
  <c r="AY247" i="8"/>
  <c r="AX247" i="8"/>
  <c r="AW247" i="8"/>
  <c r="AU247" i="8"/>
  <c r="U247" i="8"/>
  <c r="AV247" i="8" s="1"/>
  <c r="BA246" i="8"/>
  <c r="AZ246" i="8"/>
  <c r="AY246" i="8"/>
  <c r="AX246" i="8"/>
  <c r="AW246" i="8"/>
  <c r="AV246" i="8"/>
  <c r="AU246" i="8"/>
  <c r="BA245" i="8"/>
  <c r="AZ245" i="8"/>
  <c r="AY245" i="8"/>
  <c r="AX245" i="8"/>
  <c r="AW245" i="8"/>
  <c r="AU245" i="8"/>
  <c r="U245" i="8"/>
  <c r="AV245" i="8" s="1"/>
  <c r="BA244" i="8"/>
  <c r="AZ244" i="8"/>
  <c r="AY244" i="8"/>
  <c r="AX244" i="8"/>
  <c r="AW244" i="8"/>
  <c r="AV244" i="8"/>
  <c r="AU244" i="8"/>
  <c r="BA243" i="8"/>
  <c r="AZ243" i="8"/>
  <c r="AY243" i="8"/>
  <c r="AX243" i="8"/>
  <c r="AW243" i="8"/>
  <c r="AU243" i="8"/>
  <c r="U243" i="8"/>
  <c r="AV243" i="8" s="1"/>
  <c r="BA242" i="8"/>
  <c r="AZ242" i="8"/>
  <c r="AY242" i="8"/>
  <c r="AX242" i="8"/>
  <c r="AW242" i="8"/>
  <c r="AV242" i="8"/>
  <c r="AU242" i="8"/>
  <c r="BA241" i="8"/>
  <c r="AZ241" i="8"/>
  <c r="AY241" i="8"/>
  <c r="AX241" i="8"/>
  <c r="AW241" i="8"/>
  <c r="AU241" i="8"/>
  <c r="U241" i="8"/>
  <c r="AV241" i="8" s="1"/>
  <c r="BA240" i="8"/>
  <c r="AZ240" i="8"/>
  <c r="AY240" i="8"/>
  <c r="AX240" i="8"/>
  <c r="AW240" i="8"/>
  <c r="AU240" i="8"/>
  <c r="U240" i="8"/>
  <c r="AV240" i="8" s="1"/>
  <c r="BA239" i="8"/>
  <c r="AZ239" i="8"/>
  <c r="AY239" i="8"/>
  <c r="AX239" i="8"/>
  <c r="AW239" i="8"/>
  <c r="AV239" i="8"/>
  <c r="AU239" i="8"/>
  <c r="BA238" i="8"/>
  <c r="AZ238" i="8"/>
  <c r="AY238" i="8"/>
  <c r="AX238" i="8"/>
  <c r="AW238" i="8"/>
  <c r="AV238" i="8"/>
  <c r="AU238" i="8"/>
  <c r="BA237" i="8"/>
  <c r="AZ237" i="8"/>
  <c r="AY237" i="8"/>
  <c r="AX237" i="8"/>
  <c r="AW237" i="8"/>
  <c r="AU237" i="8"/>
  <c r="U237" i="8"/>
  <c r="AV237" i="8" s="1"/>
  <c r="BA236" i="8"/>
  <c r="AZ236" i="8"/>
  <c r="AY236" i="8"/>
  <c r="AX236" i="8"/>
  <c r="AW236" i="8"/>
  <c r="AU236" i="8"/>
  <c r="U236" i="8"/>
  <c r="AV236" i="8" s="1"/>
  <c r="BA235" i="8"/>
  <c r="AZ235" i="8"/>
  <c r="AY235" i="8"/>
  <c r="AX235" i="8"/>
  <c r="AW235" i="8"/>
  <c r="AV235" i="8"/>
  <c r="AU235" i="8"/>
  <c r="BA234" i="8"/>
  <c r="AZ234" i="8"/>
  <c r="AY234" i="8"/>
  <c r="AX234" i="8"/>
  <c r="AW234" i="8"/>
  <c r="AV234" i="8"/>
  <c r="AU234" i="8"/>
  <c r="BA233" i="8"/>
  <c r="AZ233" i="8"/>
  <c r="AY233" i="8"/>
  <c r="AX233" i="8"/>
  <c r="AW233" i="8"/>
  <c r="AU233" i="8"/>
  <c r="U233" i="8"/>
  <c r="AV233" i="8" s="1"/>
  <c r="BA232" i="8"/>
  <c r="AZ232" i="8"/>
  <c r="AY232" i="8"/>
  <c r="AX232" i="8"/>
  <c r="AW232" i="8"/>
  <c r="AU232" i="8"/>
  <c r="U232" i="8"/>
  <c r="AV232" i="8" s="1"/>
  <c r="BA231" i="8"/>
  <c r="AZ231" i="8"/>
  <c r="AY231" i="8"/>
  <c r="AX231" i="8"/>
  <c r="AW231" i="8"/>
  <c r="AV231" i="8"/>
  <c r="AU231" i="8"/>
  <c r="BA230" i="8"/>
  <c r="AZ230" i="8"/>
  <c r="AY230" i="8"/>
  <c r="AX230" i="8"/>
  <c r="AW230" i="8"/>
  <c r="AV230" i="8"/>
  <c r="AU230" i="8"/>
  <c r="BA198" i="8"/>
  <c r="AZ198" i="8"/>
  <c r="AY198" i="8"/>
  <c r="AX198" i="8"/>
  <c r="AW198" i="8"/>
  <c r="AU198" i="8"/>
  <c r="U198" i="8"/>
  <c r="AV198" i="8" s="1"/>
  <c r="BA194" i="8"/>
  <c r="AZ194" i="8"/>
  <c r="AY194" i="8"/>
  <c r="AX194" i="8"/>
  <c r="AW194" i="8"/>
  <c r="AV194" i="8"/>
  <c r="AU194" i="8"/>
  <c r="BA190" i="8"/>
  <c r="AZ190" i="8"/>
  <c r="AY190" i="8"/>
  <c r="AX190" i="8"/>
  <c r="AW190" i="8"/>
  <c r="AU190" i="8"/>
  <c r="U190" i="8"/>
  <c r="AV190" i="8" s="1"/>
  <c r="BA186" i="8"/>
  <c r="AZ186" i="8"/>
  <c r="AY186" i="8"/>
  <c r="AX186" i="8"/>
  <c r="AW186" i="8"/>
  <c r="AV186" i="8"/>
  <c r="AU186" i="8"/>
  <c r="BA182" i="8"/>
  <c r="AZ182" i="8"/>
  <c r="AY182" i="8"/>
  <c r="AX182" i="8"/>
  <c r="AW182" i="8"/>
  <c r="AU182" i="8"/>
  <c r="U182" i="8"/>
  <c r="AV182" i="8" s="1"/>
  <c r="BA178" i="8"/>
  <c r="AZ178" i="8"/>
  <c r="AY178" i="8"/>
  <c r="AX178" i="8"/>
  <c r="AW178" i="8"/>
  <c r="AV178" i="8"/>
  <c r="AU178" i="8"/>
  <c r="BA174" i="8"/>
  <c r="AZ174" i="8"/>
  <c r="AY174" i="8"/>
  <c r="AX174" i="8"/>
  <c r="AW174" i="8"/>
  <c r="AU174" i="8"/>
  <c r="U174" i="8"/>
  <c r="AV174" i="8" s="1"/>
  <c r="BA170" i="8"/>
  <c r="AZ170" i="8"/>
  <c r="AY170" i="8"/>
  <c r="AX170" i="8"/>
  <c r="AW170" i="8"/>
  <c r="AV170" i="8"/>
  <c r="AU170" i="8"/>
  <c r="BA166" i="8"/>
  <c r="AZ166" i="8"/>
  <c r="AY166" i="8"/>
  <c r="AX166" i="8"/>
  <c r="AW166" i="8"/>
  <c r="AU166" i="8"/>
  <c r="U166" i="8"/>
  <c r="AV166" i="8" s="1"/>
  <c r="BA162" i="8"/>
  <c r="AZ162" i="8"/>
  <c r="AY162" i="8"/>
  <c r="AX162" i="8"/>
  <c r="AW162" i="8"/>
  <c r="AV162" i="8"/>
  <c r="AU162" i="8"/>
  <c r="BA229" i="8"/>
  <c r="AZ229" i="8"/>
  <c r="AY229" i="8"/>
  <c r="AX229" i="8"/>
  <c r="AW229" i="8"/>
  <c r="AU229" i="8"/>
  <c r="U229" i="8"/>
  <c r="AV229" i="8" s="1"/>
  <c r="BA228" i="8"/>
  <c r="AZ228" i="8"/>
  <c r="AY228" i="8"/>
  <c r="AX228" i="8"/>
  <c r="AW228" i="8"/>
  <c r="AU228" i="8"/>
  <c r="U228" i="8"/>
  <c r="AV228" i="8" s="1"/>
  <c r="BA227" i="8"/>
  <c r="AZ227" i="8"/>
  <c r="AY227" i="8"/>
  <c r="AX227" i="8"/>
  <c r="AW227" i="8"/>
  <c r="AU227" i="8"/>
  <c r="U227" i="8"/>
  <c r="AV227" i="8" s="1"/>
  <c r="BA226" i="8"/>
  <c r="AZ226" i="8"/>
  <c r="AY226" i="8"/>
  <c r="AX226" i="8"/>
  <c r="AW226" i="8"/>
  <c r="AV226" i="8"/>
  <c r="AU226" i="8"/>
  <c r="BA225" i="8"/>
  <c r="AZ225" i="8"/>
  <c r="AY225" i="8"/>
  <c r="AX225" i="8"/>
  <c r="AW225" i="8"/>
  <c r="AV225" i="8"/>
  <c r="AU225" i="8"/>
  <c r="BA224" i="8"/>
  <c r="AZ224" i="8"/>
  <c r="AY224" i="8"/>
  <c r="AX224" i="8"/>
  <c r="AW224" i="8"/>
  <c r="AV224" i="8"/>
  <c r="AU224" i="8"/>
  <c r="BA223" i="8"/>
  <c r="AZ223" i="8"/>
  <c r="AY223" i="8"/>
  <c r="AX223" i="8"/>
  <c r="AW223" i="8"/>
  <c r="AU223" i="8"/>
  <c r="U223" i="8"/>
  <c r="AV223" i="8" s="1"/>
  <c r="BA222" i="8"/>
  <c r="AZ222" i="8"/>
  <c r="AY222" i="8"/>
  <c r="AX222" i="8"/>
  <c r="AW222" i="8"/>
  <c r="AU222" i="8"/>
  <c r="U222" i="8"/>
  <c r="AV222" i="8" s="1"/>
  <c r="BA221" i="8"/>
  <c r="AZ221" i="8"/>
  <c r="AY221" i="8"/>
  <c r="AX221" i="8"/>
  <c r="AW221" i="8"/>
  <c r="AU221" i="8"/>
  <c r="U221" i="8"/>
  <c r="AV221" i="8" s="1"/>
  <c r="BA220" i="8"/>
  <c r="AZ220" i="8"/>
  <c r="AY220" i="8"/>
  <c r="AX220" i="8"/>
  <c r="AW220" i="8"/>
  <c r="AV220" i="8"/>
  <c r="AU220" i="8"/>
  <c r="BA219" i="8"/>
  <c r="AZ219" i="8"/>
  <c r="AY219" i="8"/>
  <c r="AX219" i="8"/>
  <c r="AW219" i="8"/>
  <c r="AV219" i="8"/>
  <c r="AU219" i="8"/>
  <c r="BA218" i="8"/>
  <c r="AZ218" i="8"/>
  <c r="AY218" i="8"/>
  <c r="AX218" i="8"/>
  <c r="AW218" i="8"/>
  <c r="AV218" i="8"/>
  <c r="AU218" i="8"/>
  <c r="BA217" i="8"/>
  <c r="AZ217" i="8"/>
  <c r="AY217" i="8"/>
  <c r="AX217" i="8"/>
  <c r="AW217" i="8"/>
  <c r="AU217" i="8"/>
  <c r="U217" i="8"/>
  <c r="AV217" i="8" s="1"/>
  <c r="BA216" i="8"/>
  <c r="AZ216" i="8"/>
  <c r="AY216" i="8"/>
  <c r="AX216" i="8"/>
  <c r="AW216" i="8"/>
  <c r="AU216" i="8"/>
  <c r="U216" i="8"/>
  <c r="AV216" i="8" s="1"/>
  <c r="BA215" i="8"/>
  <c r="AZ215" i="8"/>
  <c r="AY215" i="8"/>
  <c r="AX215" i="8"/>
  <c r="AW215" i="8"/>
  <c r="AU215" i="8"/>
  <c r="U215" i="8"/>
  <c r="AV215" i="8" s="1"/>
  <c r="BA214" i="8"/>
  <c r="AZ214" i="8"/>
  <c r="AY214" i="8"/>
  <c r="AX214" i="8"/>
  <c r="AW214" i="8"/>
  <c r="AV214" i="8"/>
  <c r="AU214" i="8"/>
  <c r="BA213" i="8"/>
  <c r="AZ213" i="8"/>
  <c r="AY213" i="8"/>
  <c r="AX213" i="8"/>
  <c r="AW213" i="8"/>
  <c r="AV213" i="8"/>
  <c r="AU213" i="8"/>
  <c r="BA212" i="8"/>
  <c r="AZ212" i="8"/>
  <c r="AY212" i="8"/>
  <c r="AX212" i="8"/>
  <c r="AW212" i="8"/>
  <c r="AV212" i="8"/>
  <c r="AU212" i="8"/>
  <c r="BA211" i="8"/>
  <c r="AZ211" i="8"/>
  <c r="AY211" i="8"/>
  <c r="AX211" i="8"/>
  <c r="AW211" i="8"/>
  <c r="AU211" i="8"/>
  <c r="U211" i="8"/>
  <c r="AV211" i="8" s="1"/>
  <c r="BA210" i="8"/>
  <c r="AZ210" i="8"/>
  <c r="AY210" i="8"/>
  <c r="AX210" i="8"/>
  <c r="AW210" i="8"/>
  <c r="AU210" i="8"/>
  <c r="U210" i="8"/>
  <c r="AV210" i="8" s="1"/>
  <c r="BA209" i="8"/>
  <c r="AZ209" i="8"/>
  <c r="AY209" i="8"/>
  <c r="AX209" i="8"/>
  <c r="AW209" i="8"/>
  <c r="AU209" i="8"/>
  <c r="U209" i="8"/>
  <c r="AV209" i="8" s="1"/>
  <c r="BA208" i="8"/>
  <c r="AZ208" i="8"/>
  <c r="AY208" i="8"/>
  <c r="AX208" i="8"/>
  <c r="AW208" i="8"/>
  <c r="AV208" i="8"/>
  <c r="AU208" i="8"/>
  <c r="BA207" i="8"/>
  <c r="AZ207" i="8"/>
  <c r="AY207" i="8"/>
  <c r="AX207" i="8"/>
  <c r="AW207" i="8"/>
  <c r="AV207" i="8"/>
  <c r="AU207" i="8"/>
  <c r="BA206" i="8"/>
  <c r="AZ206" i="8"/>
  <c r="AY206" i="8"/>
  <c r="AX206" i="8"/>
  <c r="AW206" i="8"/>
  <c r="AV206" i="8"/>
  <c r="AU206" i="8"/>
  <c r="BA205" i="8"/>
  <c r="AZ205" i="8"/>
  <c r="AY205" i="8"/>
  <c r="AX205" i="8"/>
  <c r="AW205" i="8"/>
  <c r="AU205" i="8"/>
  <c r="U205" i="8"/>
  <c r="AV205" i="8" s="1"/>
  <c r="BA204" i="8"/>
  <c r="AZ204" i="8"/>
  <c r="AY204" i="8"/>
  <c r="AX204" i="8"/>
  <c r="AW204" i="8"/>
  <c r="AU204" i="8"/>
  <c r="U204" i="8"/>
  <c r="AV204" i="8" s="1"/>
  <c r="BA203" i="8"/>
  <c r="AZ203" i="8"/>
  <c r="AY203" i="8"/>
  <c r="AX203" i="8"/>
  <c r="AW203" i="8"/>
  <c r="AU203" i="8"/>
  <c r="U203" i="8"/>
  <c r="AV203" i="8" s="1"/>
  <c r="BA202" i="8"/>
  <c r="AZ202" i="8"/>
  <c r="AY202" i="8"/>
  <c r="AX202" i="8"/>
  <c r="AW202" i="8"/>
  <c r="AV202" i="8"/>
  <c r="AU202" i="8"/>
  <c r="BA201" i="8"/>
  <c r="AZ201" i="8"/>
  <c r="AY201" i="8"/>
  <c r="AX201" i="8"/>
  <c r="AW201" i="8"/>
  <c r="AV201" i="8"/>
  <c r="AU201" i="8"/>
  <c r="BA200" i="8"/>
  <c r="AZ200" i="8"/>
  <c r="AY200" i="8"/>
  <c r="AX200" i="8"/>
  <c r="AW200" i="8"/>
  <c r="AV200" i="8"/>
  <c r="AU200" i="8"/>
  <c r="H96" i="2"/>
  <c r="I46" i="2"/>
  <c r="CH5" i="2" l="1"/>
  <c r="CK1" i="8"/>
  <c r="B100" i="15" l="1"/>
  <c r="B99" i="15"/>
  <c r="B24" i="15"/>
  <c r="B18" i="15"/>
  <c r="B130" i="15"/>
  <c r="B129" i="15"/>
  <c r="B27" i="15"/>
  <c r="B26" i="15"/>
  <c r="B132" i="15"/>
  <c r="B131" i="15"/>
  <c r="C247" i="8"/>
  <c r="C246" i="8"/>
  <c r="C245" i="8"/>
  <c r="C244" i="8"/>
  <c r="C243" i="8"/>
  <c r="C242" i="8"/>
  <c r="C241" i="8"/>
  <c r="C240" i="8"/>
  <c r="C239" i="8"/>
  <c r="C238" i="8"/>
  <c r="C237" i="8"/>
  <c r="C236" i="8"/>
  <c r="C235" i="8"/>
  <c r="C234" i="8"/>
  <c r="C233" i="8"/>
  <c r="C232" i="8"/>
  <c r="C231" i="8"/>
  <c r="C230" i="8"/>
  <c r="C198" i="8"/>
  <c r="C194" i="8"/>
  <c r="C190" i="8"/>
  <c r="C186" i="8"/>
  <c r="C182" i="8"/>
  <c r="C178" i="8"/>
  <c r="C174" i="8"/>
  <c r="C170" i="8"/>
  <c r="C166" i="8"/>
  <c r="C162"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530" i="8"/>
  <c r="C529" i="8"/>
  <c r="C528" i="8"/>
  <c r="C527" i="8"/>
  <c r="C526" i="8"/>
  <c r="C521" i="8"/>
  <c r="C520" i="8"/>
  <c r="C519" i="8"/>
  <c r="C518" i="8"/>
  <c r="C517" i="8"/>
  <c r="C516" i="8"/>
  <c r="C515" i="8"/>
  <c r="C514" i="8"/>
  <c r="C468" i="8"/>
  <c r="C464" i="8"/>
  <c r="C460" i="8"/>
  <c r="C456" i="8"/>
  <c r="C452" i="8"/>
  <c r="C448" i="8"/>
  <c r="C436" i="8"/>
  <c r="C432" i="8"/>
  <c r="C428" i="8"/>
  <c r="C424" i="8"/>
  <c r="C509" i="8"/>
  <c r="C508" i="8"/>
  <c r="C507" i="8"/>
  <c r="C506" i="8"/>
  <c r="C505" i="8"/>
  <c r="C504" i="8"/>
  <c r="C503" i="8"/>
  <c r="C502" i="8"/>
  <c r="C501" i="8"/>
  <c r="C500" i="8"/>
  <c r="C499" i="8"/>
  <c r="C498" i="8"/>
  <c r="C497" i="8"/>
  <c r="C496" i="8"/>
  <c r="C495" i="8"/>
  <c r="C494" i="8"/>
  <c r="C493" i="8"/>
  <c r="C492" i="8"/>
  <c r="C485" i="8"/>
  <c r="C484" i="8"/>
  <c r="C483" i="8"/>
  <c r="C482" i="8"/>
  <c r="C481" i="8"/>
  <c r="C480" i="8"/>
  <c r="C479" i="8"/>
  <c r="C478" i="8"/>
  <c r="C477" i="8"/>
  <c r="C476" i="8"/>
  <c r="C475" i="8"/>
  <c r="C474" i="8"/>
  <c r="C782" i="8"/>
  <c r="C781" i="8"/>
  <c r="C780" i="8"/>
  <c r="C759" i="8"/>
  <c r="C758" i="8"/>
  <c r="C757" i="8"/>
  <c r="C736" i="8"/>
  <c r="C735" i="8"/>
  <c r="C734" i="8"/>
  <c r="C733" i="8"/>
  <c r="C732" i="8"/>
  <c r="C731" i="8"/>
  <c r="X1" i="2"/>
  <c r="Z42" i="2" l="1"/>
  <c r="Z41" i="2"/>
  <c r="Z40" i="2"/>
  <c r="Z39" i="2"/>
  <c r="Z38" i="2"/>
  <c r="Z20" i="2"/>
  <c r="Z19" i="2"/>
  <c r="Z18" i="2"/>
  <c r="Z17" i="2"/>
  <c r="Z16" i="2"/>
  <c r="M40" i="2"/>
  <c r="M39" i="2"/>
  <c r="T12" i="2"/>
  <c r="M30" i="2" l="1"/>
  <c r="M34" i="2"/>
  <c r="M46" i="2"/>
  <c r="M45" i="2"/>
  <c r="M43" i="2"/>
  <c r="M42" i="2"/>
  <c r="Z27" i="2" l="1"/>
  <c r="Z28" i="2"/>
  <c r="Z26" i="2"/>
  <c r="Z4" i="2"/>
  <c r="Z5" i="2"/>
  <c r="BT55" i="2"/>
  <c r="BT54" i="2"/>
  <c r="BT53" i="2"/>
  <c r="BT52" i="2"/>
  <c r="BT51" i="2"/>
  <c r="BT50" i="2"/>
  <c r="BT49" i="2"/>
  <c r="BT48" i="2"/>
  <c r="BT47" i="2"/>
  <c r="BT46" i="2"/>
  <c r="BT45" i="2"/>
  <c r="BT44" i="2"/>
  <c r="BT43" i="2"/>
  <c r="BT42" i="2"/>
  <c r="BT41" i="2"/>
  <c r="BT40" i="2"/>
  <c r="BT39" i="2"/>
  <c r="BT38" i="2"/>
  <c r="BT37" i="2"/>
  <c r="BT36" i="2"/>
  <c r="BT35" i="2"/>
  <c r="BT34" i="2"/>
  <c r="BT33" i="2"/>
  <c r="BT32" i="2"/>
  <c r="BT31" i="2"/>
  <c r="BT30" i="2"/>
  <c r="BT29" i="2"/>
  <c r="BT28" i="2"/>
  <c r="BT27" i="2"/>
  <c r="BT26" i="2"/>
  <c r="BT25" i="2"/>
  <c r="BT24" i="2"/>
  <c r="BT23" i="2"/>
  <c r="BT22" i="2"/>
  <c r="BT21" i="2"/>
  <c r="BT20" i="2"/>
  <c r="BT19" i="2"/>
  <c r="BT18" i="2"/>
  <c r="BT17" i="2"/>
  <c r="BT16" i="2"/>
  <c r="BT15" i="2"/>
  <c r="BT14" i="2"/>
  <c r="BT13" i="2"/>
  <c r="BT12" i="2"/>
  <c r="BT11" i="2"/>
  <c r="BT10" i="2"/>
  <c r="BT9" i="2"/>
  <c r="BT8" i="2"/>
  <c r="BT7" i="2"/>
  <c r="BT6" i="2"/>
  <c r="CG5" i="2"/>
  <c r="BT5" i="2"/>
  <c r="BA779" i="8"/>
  <c r="AZ779" i="8"/>
  <c r="AY779" i="8"/>
  <c r="AX779" i="8"/>
  <c r="AW779" i="8"/>
  <c r="AV779" i="8"/>
  <c r="AU779" i="8"/>
  <c r="BA778" i="8"/>
  <c r="AZ778" i="8"/>
  <c r="AY778" i="8"/>
  <c r="AX778" i="8"/>
  <c r="AW778" i="8"/>
  <c r="AV778" i="8"/>
  <c r="AU778" i="8"/>
  <c r="BA777" i="8"/>
  <c r="AZ777" i="8"/>
  <c r="AY777" i="8"/>
  <c r="AX777" i="8"/>
  <c r="AW777" i="8"/>
  <c r="AV777" i="8"/>
  <c r="AU777" i="8"/>
  <c r="BA776" i="8"/>
  <c r="AZ776" i="8"/>
  <c r="AY776" i="8"/>
  <c r="AX776" i="8"/>
  <c r="AW776" i="8"/>
  <c r="AV776" i="8"/>
  <c r="AU776" i="8"/>
  <c r="BA775" i="8"/>
  <c r="AZ775" i="8"/>
  <c r="AY775" i="8"/>
  <c r="AX775" i="8"/>
  <c r="AW775" i="8"/>
  <c r="AV775" i="8"/>
  <c r="AU775" i="8"/>
  <c r="BA774" i="8"/>
  <c r="AZ774" i="8"/>
  <c r="AY774" i="8"/>
  <c r="AX774" i="8"/>
  <c r="AW774" i="8"/>
  <c r="AV774" i="8"/>
  <c r="AU774" i="8"/>
  <c r="BA773" i="8"/>
  <c r="AZ773" i="8"/>
  <c r="AY773" i="8"/>
  <c r="AX773" i="8"/>
  <c r="AW773" i="8"/>
  <c r="AV773" i="8"/>
  <c r="AU773" i="8"/>
  <c r="BA772" i="8"/>
  <c r="AZ772" i="8"/>
  <c r="AY772" i="8"/>
  <c r="AX772" i="8"/>
  <c r="AW772" i="8"/>
  <c r="AV772" i="8"/>
  <c r="AU772" i="8"/>
  <c r="BA767" i="8"/>
  <c r="AZ767" i="8"/>
  <c r="AY767" i="8"/>
  <c r="AX767" i="8"/>
  <c r="AW767" i="8"/>
  <c r="AV767" i="8"/>
  <c r="AU767" i="8"/>
  <c r="BA766" i="8"/>
  <c r="AZ766" i="8"/>
  <c r="AY766" i="8"/>
  <c r="AX766" i="8"/>
  <c r="AW766" i="8"/>
  <c r="AV766" i="8"/>
  <c r="AU766" i="8"/>
  <c r="BA765" i="8"/>
  <c r="AZ765" i="8"/>
  <c r="AY765" i="8"/>
  <c r="AX765" i="8"/>
  <c r="AW765" i="8"/>
  <c r="AV765" i="8"/>
  <c r="AU765" i="8"/>
  <c r="BA764" i="8"/>
  <c r="AZ764" i="8"/>
  <c r="AY764" i="8"/>
  <c r="AX764" i="8"/>
  <c r="AW764" i="8"/>
  <c r="AV764" i="8"/>
  <c r="AU764" i="8"/>
  <c r="BA763" i="8"/>
  <c r="AZ763" i="8"/>
  <c r="AY763" i="8"/>
  <c r="AX763" i="8"/>
  <c r="AW763" i="8"/>
  <c r="AV763" i="8"/>
  <c r="AU763" i="8"/>
  <c r="BA762" i="8"/>
  <c r="AZ762" i="8"/>
  <c r="AY762" i="8"/>
  <c r="AX762" i="8"/>
  <c r="AW762" i="8"/>
  <c r="AV762" i="8"/>
  <c r="AU762" i="8"/>
  <c r="BA761" i="8"/>
  <c r="AZ761" i="8"/>
  <c r="AY761" i="8"/>
  <c r="AX761" i="8"/>
  <c r="AW761" i="8"/>
  <c r="AV761" i="8"/>
  <c r="AU761" i="8"/>
  <c r="BA760" i="8"/>
  <c r="AZ760" i="8"/>
  <c r="AY760" i="8"/>
  <c r="AX760" i="8"/>
  <c r="AW760" i="8"/>
  <c r="AV760" i="8"/>
  <c r="AU760" i="8"/>
  <c r="BA756" i="8"/>
  <c r="AZ756" i="8"/>
  <c r="AY756" i="8"/>
  <c r="AX756" i="8"/>
  <c r="AW756" i="8"/>
  <c r="AV756" i="8"/>
  <c r="AU756" i="8"/>
  <c r="BA755" i="8"/>
  <c r="AZ755" i="8"/>
  <c r="AY755" i="8"/>
  <c r="AX755" i="8"/>
  <c r="AW755" i="8"/>
  <c r="AV755" i="8"/>
  <c r="AU755" i="8"/>
  <c r="BA754" i="8"/>
  <c r="AZ754" i="8"/>
  <c r="AY754" i="8"/>
  <c r="AX754" i="8"/>
  <c r="AW754" i="8"/>
  <c r="AV754" i="8"/>
  <c r="AU754" i="8"/>
  <c r="BA753" i="8"/>
  <c r="AZ753" i="8"/>
  <c r="AY753" i="8"/>
  <c r="AX753" i="8"/>
  <c r="AW753" i="8"/>
  <c r="AV753" i="8"/>
  <c r="AU753" i="8"/>
  <c r="BA752" i="8"/>
  <c r="AZ752" i="8"/>
  <c r="AY752" i="8"/>
  <c r="AX752" i="8"/>
  <c r="AW752" i="8"/>
  <c r="AV752" i="8"/>
  <c r="AU752" i="8"/>
  <c r="BA751" i="8"/>
  <c r="AZ751" i="8"/>
  <c r="AY751" i="8"/>
  <c r="AX751" i="8"/>
  <c r="AW751" i="8"/>
  <c r="AV751" i="8"/>
  <c r="AU751" i="8"/>
  <c r="BA750" i="8"/>
  <c r="AZ750" i="8"/>
  <c r="AY750" i="8"/>
  <c r="AX750" i="8"/>
  <c r="AW750" i="8"/>
  <c r="AV750" i="8"/>
  <c r="AU750" i="8"/>
  <c r="BA749" i="8"/>
  <c r="AZ749" i="8"/>
  <c r="AY749" i="8"/>
  <c r="AX749" i="8"/>
  <c r="AW749" i="8"/>
  <c r="AV749" i="8"/>
  <c r="AU749" i="8"/>
  <c r="BA744" i="8"/>
  <c r="AZ744" i="8"/>
  <c r="AY744" i="8"/>
  <c r="AX744" i="8"/>
  <c r="AW744" i="8"/>
  <c r="AV744" i="8"/>
  <c r="AU744" i="8"/>
  <c r="BA743" i="8"/>
  <c r="AZ743" i="8"/>
  <c r="AY743" i="8"/>
  <c r="AX743" i="8"/>
  <c r="AW743" i="8"/>
  <c r="AV743" i="8"/>
  <c r="AU743" i="8"/>
  <c r="BA742" i="8"/>
  <c r="AZ742" i="8"/>
  <c r="AY742" i="8"/>
  <c r="AX742" i="8"/>
  <c r="AW742" i="8"/>
  <c r="AV742" i="8"/>
  <c r="AU742" i="8"/>
  <c r="BA741" i="8"/>
  <c r="AZ741" i="8"/>
  <c r="AY741" i="8"/>
  <c r="AX741" i="8"/>
  <c r="AW741" i="8"/>
  <c r="AV741" i="8"/>
  <c r="AU741" i="8"/>
  <c r="BA740" i="8"/>
  <c r="AZ740" i="8"/>
  <c r="AY740" i="8"/>
  <c r="AX740" i="8"/>
  <c r="AW740" i="8"/>
  <c r="AV740" i="8"/>
  <c r="AU740" i="8"/>
  <c r="BA739" i="8"/>
  <c r="AZ739" i="8"/>
  <c r="AY739" i="8"/>
  <c r="AX739" i="8"/>
  <c r="AW739" i="8"/>
  <c r="AV739" i="8"/>
  <c r="AU739" i="8"/>
  <c r="BA738" i="8"/>
  <c r="AZ738" i="8"/>
  <c r="AY738" i="8"/>
  <c r="AX738" i="8"/>
  <c r="AW738" i="8"/>
  <c r="AV738" i="8"/>
  <c r="AU738" i="8"/>
  <c r="BA737" i="8"/>
  <c r="AZ737" i="8"/>
  <c r="AY737" i="8"/>
  <c r="AX737" i="8"/>
  <c r="AW737" i="8"/>
  <c r="AV737" i="8"/>
  <c r="AU737" i="8"/>
  <c r="BA730" i="8"/>
  <c r="AZ730" i="8"/>
  <c r="AY730" i="8"/>
  <c r="AX730" i="8"/>
  <c r="AW730" i="8"/>
  <c r="AV730" i="8"/>
  <c r="AU730" i="8"/>
  <c r="BA729" i="8"/>
  <c r="AZ729" i="8"/>
  <c r="AY729" i="8"/>
  <c r="AX729" i="8"/>
  <c r="AW729" i="8"/>
  <c r="AV729" i="8"/>
  <c r="AU729" i="8"/>
  <c r="BA728" i="8"/>
  <c r="AZ728" i="8"/>
  <c r="AY728" i="8"/>
  <c r="AX728" i="8"/>
  <c r="AW728" i="8"/>
  <c r="AV728" i="8"/>
  <c r="AU728" i="8"/>
  <c r="BA727" i="8"/>
  <c r="AZ727" i="8"/>
  <c r="AY727" i="8"/>
  <c r="AX727" i="8"/>
  <c r="AW727" i="8"/>
  <c r="AV727" i="8"/>
  <c r="AU727" i="8"/>
  <c r="BA726" i="8"/>
  <c r="AZ726" i="8"/>
  <c r="AY726" i="8"/>
  <c r="AX726" i="8"/>
  <c r="AW726" i="8"/>
  <c r="AV726" i="8"/>
  <c r="AU726" i="8"/>
  <c r="BA725" i="8"/>
  <c r="AZ725" i="8"/>
  <c r="AY725" i="8"/>
  <c r="AX725" i="8"/>
  <c r="AW725" i="8"/>
  <c r="AV725" i="8"/>
  <c r="AU725" i="8"/>
  <c r="BA724" i="8"/>
  <c r="AZ724" i="8"/>
  <c r="AY724" i="8"/>
  <c r="AX724" i="8"/>
  <c r="AW724" i="8"/>
  <c r="AV724" i="8"/>
  <c r="AU724" i="8"/>
  <c r="BA723" i="8"/>
  <c r="AZ723" i="8"/>
  <c r="AY723" i="8"/>
  <c r="AX723" i="8"/>
  <c r="AW723" i="8"/>
  <c r="AV723" i="8"/>
  <c r="AU723" i="8"/>
  <c r="BA722" i="8"/>
  <c r="AZ722" i="8"/>
  <c r="AY722" i="8"/>
  <c r="AX722" i="8"/>
  <c r="AW722" i="8"/>
  <c r="AV722" i="8"/>
  <c r="AU722" i="8"/>
  <c r="BA721" i="8"/>
  <c r="AZ721" i="8"/>
  <c r="AY721" i="8"/>
  <c r="AX721" i="8"/>
  <c r="AW721" i="8"/>
  <c r="AV721" i="8"/>
  <c r="AU721" i="8"/>
  <c r="BA720" i="8"/>
  <c r="AZ720" i="8"/>
  <c r="AY720" i="8"/>
  <c r="AX720" i="8"/>
  <c r="AW720" i="8"/>
  <c r="AV720" i="8"/>
  <c r="AU720" i="8"/>
  <c r="BA719" i="8"/>
  <c r="AZ719" i="8"/>
  <c r="AY719" i="8"/>
  <c r="AX719" i="8"/>
  <c r="AW719" i="8"/>
  <c r="AV719" i="8"/>
  <c r="AU719" i="8"/>
  <c r="BA718" i="8"/>
  <c r="AZ718" i="8"/>
  <c r="AY718" i="8"/>
  <c r="AX718" i="8"/>
  <c r="AW718" i="8"/>
  <c r="AV718" i="8"/>
  <c r="AU718" i="8"/>
  <c r="BA717" i="8"/>
  <c r="AZ717" i="8"/>
  <c r="AY717" i="8"/>
  <c r="AX717" i="8"/>
  <c r="AW717" i="8"/>
  <c r="AV717" i="8"/>
  <c r="AU717" i="8"/>
  <c r="BA716" i="8"/>
  <c r="AZ716" i="8"/>
  <c r="AY716" i="8"/>
  <c r="AX716" i="8"/>
  <c r="AW716" i="8"/>
  <c r="AV716" i="8"/>
  <c r="AU716" i="8"/>
  <c r="BA715" i="8"/>
  <c r="AZ715" i="8"/>
  <c r="AY715" i="8"/>
  <c r="AX715" i="8"/>
  <c r="AW715" i="8"/>
  <c r="AV715" i="8"/>
  <c r="AU715" i="8"/>
  <c r="BA706" i="8"/>
  <c r="AZ706" i="8"/>
  <c r="AY706" i="8"/>
  <c r="AX706" i="8"/>
  <c r="AW706" i="8"/>
  <c r="AV706" i="8"/>
  <c r="AU706" i="8"/>
  <c r="BA705" i="8"/>
  <c r="AZ705" i="8"/>
  <c r="AY705" i="8"/>
  <c r="AX705" i="8"/>
  <c r="AW705" i="8"/>
  <c r="AV705" i="8"/>
  <c r="AU705" i="8"/>
  <c r="BA704" i="8"/>
  <c r="AZ704" i="8"/>
  <c r="AY704" i="8"/>
  <c r="AX704" i="8"/>
  <c r="AW704" i="8"/>
  <c r="AV704" i="8"/>
  <c r="AU704" i="8"/>
  <c r="BA703" i="8"/>
  <c r="AZ703" i="8"/>
  <c r="AY703" i="8"/>
  <c r="AX703" i="8"/>
  <c r="AW703" i="8"/>
  <c r="AV703" i="8"/>
  <c r="AU703" i="8"/>
  <c r="BA702" i="8"/>
  <c r="AZ702" i="8"/>
  <c r="AY702" i="8"/>
  <c r="AX702" i="8"/>
  <c r="AW702" i="8"/>
  <c r="AV702" i="8"/>
  <c r="AU702" i="8"/>
  <c r="BA701" i="8"/>
  <c r="AZ701" i="8"/>
  <c r="AY701" i="8"/>
  <c r="AX701" i="8"/>
  <c r="AW701" i="8"/>
  <c r="AV701" i="8"/>
  <c r="AU701" i="8"/>
  <c r="BA700" i="8"/>
  <c r="AZ700" i="8"/>
  <c r="AY700" i="8"/>
  <c r="AX700" i="8"/>
  <c r="AW700" i="8"/>
  <c r="AV700" i="8"/>
  <c r="AU700" i="8"/>
  <c r="BA699" i="8"/>
  <c r="AZ699" i="8"/>
  <c r="AY699" i="8"/>
  <c r="AX699" i="8"/>
  <c r="AW699" i="8"/>
  <c r="AV699" i="8"/>
  <c r="AU699" i="8"/>
  <c r="BA698" i="8"/>
  <c r="AZ698" i="8"/>
  <c r="AY698" i="8"/>
  <c r="AX698" i="8"/>
  <c r="AW698" i="8"/>
  <c r="AV698" i="8"/>
  <c r="AU698" i="8"/>
  <c r="BA697" i="8"/>
  <c r="AZ697" i="8"/>
  <c r="AY697" i="8"/>
  <c r="AX697" i="8"/>
  <c r="AW697" i="8"/>
  <c r="AV697" i="8"/>
  <c r="AU697" i="8"/>
  <c r="BA696" i="8"/>
  <c r="AZ696" i="8"/>
  <c r="AY696" i="8"/>
  <c r="AX696" i="8"/>
  <c r="AW696" i="8"/>
  <c r="AV696" i="8"/>
  <c r="AU696" i="8"/>
  <c r="BA695" i="8"/>
  <c r="AZ695" i="8"/>
  <c r="AY695" i="8"/>
  <c r="AX695" i="8"/>
  <c r="AW695" i="8"/>
  <c r="AV695" i="8"/>
  <c r="AU695" i="8"/>
  <c r="BA694" i="8"/>
  <c r="AZ694" i="8"/>
  <c r="AY694" i="8"/>
  <c r="AX694" i="8"/>
  <c r="AW694" i="8"/>
  <c r="AV694" i="8"/>
  <c r="AU694" i="8"/>
  <c r="BA693" i="8"/>
  <c r="AZ693" i="8"/>
  <c r="AY693" i="8"/>
  <c r="AX693" i="8"/>
  <c r="AW693" i="8"/>
  <c r="AV693" i="8"/>
  <c r="AU693" i="8"/>
  <c r="BA692" i="8"/>
  <c r="AZ692" i="8"/>
  <c r="AY692" i="8"/>
  <c r="AX692" i="8"/>
  <c r="AW692" i="8"/>
  <c r="AV692" i="8"/>
  <c r="AU692" i="8"/>
  <c r="BA691" i="8"/>
  <c r="AZ691" i="8"/>
  <c r="AY691" i="8"/>
  <c r="AX691" i="8"/>
  <c r="AW691" i="8"/>
  <c r="AV691" i="8"/>
  <c r="AU691" i="8"/>
  <c r="BA690" i="8"/>
  <c r="AZ690" i="8"/>
  <c r="AY690" i="8"/>
  <c r="AX690" i="8"/>
  <c r="AW690" i="8"/>
  <c r="AV690" i="8"/>
  <c r="AU690" i="8"/>
  <c r="BA689" i="8"/>
  <c r="AZ689" i="8"/>
  <c r="AY689" i="8"/>
  <c r="AX689" i="8"/>
  <c r="AW689" i="8"/>
  <c r="AV689" i="8"/>
  <c r="AU689" i="8"/>
  <c r="BA688" i="8"/>
  <c r="AZ688" i="8"/>
  <c r="AY688" i="8"/>
  <c r="AX688" i="8"/>
  <c r="AW688" i="8"/>
  <c r="AV688" i="8"/>
  <c r="AU688" i="8"/>
  <c r="BA687" i="8"/>
  <c r="AZ687" i="8"/>
  <c r="AY687" i="8"/>
  <c r="AX687" i="8"/>
  <c r="AW687" i="8"/>
  <c r="AV687" i="8"/>
  <c r="AU687" i="8"/>
  <c r="BA686" i="8"/>
  <c r="AZ686" i="8"/>
  <c r="AY686" i="8"/>
  <c r="AX686" i="8"/>
  <c r="AW686" i="8"/>
  <c r="AV686" i="8"/>
  <c r="AU686" i="8"/>
  <c r="BA685" i="8"/>
  <c r="AZ685" i="8"/>
  <c r="AY685" i="8"/>
  <c r="AX685" i="8"/>
  <c r="AW685" i="8"/>
  <c r="AV685" i="8"/>
  <c r="AU685" i="8"/>
  <c r="BA684" i="8"/>
  <c r="AZ684" i="8"/>
  <c r="AY684" i="8"/>
  <c r="AX684" i="8"/>
  <c r="AW684" i="8"/>
  <c r="AV684" i="8"/>
  <c r="AU684" i="8"/>
  <c r="BA683" i="8"/>
  <c r="AZ683" i="8"/>
  <c r="AY683" i="8"/>
  <c r="AX683" i="8"/>
  <c r="AW683" i="8"/>
  <c r="AV683" i="8"/>
  <c r="AU683" i="8"/>
  <c r="BA678" i="8"/>
  <c r="AZ678" i="8"/>
  <c r="AY678" i="8"/>
  <c r="AX678" i="8"/>
  <c r="AW678" i="8"/>
  <c r="AV678" i="8"/>
  <c r="AU678" i="8"/>
  <c r="BA677" i="8"/>
  <c r="AZ677" i="8"/>
  <c r="AY677" i="8"/>
  <c r="AX677" i="8"/>
  <c r="AW677" i="8"/>
  <c r="AV677" i="8"/>
  <c r="AU677" i="8"/>
  <c r="BA676" i="8"/>
  <c r="AZ676" i="8"/>
  <c r="AY676" i="8"/>
  <c r="AX676" i="8"/>
  <c r="AW676" i="8"/>
  <c r="AV676" i="8"/>
  <c r="AU676" i="8"/>
  <c r="BA675" i="8"/>
  <c r="AZ675" i="8"/>
  <c r="AY675" i="8"/>
  <c r="AX675" i="8"/>
  <c r="AW675" i="8"/>
  <c r="AV675" i="8"/>
  <c r="AU675" i="8"/>
  <c r="BA674" i="8"/>
  <c r="AZ674" i="8"/>
  <c r="AY674" i="8"/>
  <c r="AX674" i="8"/>
  <c r="AW674" i="8"/>
  <c r="AV674" i="8"/>
  <c r="AU674" i="8"/>
  <c r="BA673" i="8"/>
  <c r="AZ673" i="8"/>
  <c r="AY673" i="8"/>
  <c r="AX673" i="8"/>
  <c r="AW673" i="8"/>
  <c r="AV673" i="8"/>
  <c r="AU673" i="8"/>
  <c r="BA672" i="8"/>
  <c r="AZ672" i="8"/>
  <c r="AY672" i="8"/>
  <c r="AX672" i="8"/>
  <c r="AW672" i="8"/>
  <c r="AV672" i="8"/>
  <c r="AU672" i="8"/>
  <c r="BA671" i="8"/>
  <c r="AZ671" i="8"/>
  <c r="AY671" i="8"/>
  <c r="AX671" i="8"/>
  <c r="AW671" i="8"/>
  <c r="AV671" i="8"/>
  <c r="AU671" i="8"/>
  <c r="BA670" i="8"/>
  <c r="AZ670" i="8"/>
  <c r="AY670" i="8"/>
  <c r="AX670" i="8"/>
  <c r="AW670" i="8"/>
  <c r="AV670" i="8"/>
  <c r="AU670" i="8"/>
  <c r="BA669" i="8"/>
  <c r="AZ669" i="8"/>
  <c r="AY669" i="8"/>
  <c r="AX669" i="8"/>
  <c r="AW669" i="8"/>
  <c r="AV669" i="8"/>
  <c r="AU669" i="8"/>
  <c r="BA668" i="8"/>
  <c r="AZ668" i="8"/>
  <c r="AY668" i="8"/>
  <c r="AX668" i="8"/>
  <c r="AW668" i="8"/>
  <c r="AV668" i="8"/>
  <c r="AU668" i="8"/>
  <c r="BA667" i="8"/>
  <c r="AZ667" i="8"/>
  <c r="AY667" i="8"/>
  <c r="AX667" i="8"/>
  <c r="AW667" i="8"/>
  <c r="AV667" i="8"/>
  <c r="AU667" i="8"/>
  <c r="BA666" i="8"/>
  <c r="AZ666" i="8"/>
  <c r="AY666" i="8"/>
  <c r="AX666" i="8"/>
  <c r="AW666" i="8"/>
  <c r="AV666" i="8"/>
  <c r="AU666" i="8"/>
  <c r="BA665" i="8"/>
  <c r="AZ665" i="8"/>
  <c r="AY665" i="8"/>
  <c r="AX665" i="8"/>
  <c r="AW665" i="8"/>
  <c r="AV665" i="8"/>
  <c r="AU665" i="8"/>
  <c r="BA664" i="8"/>
  <c r="AZ664" i="8"/>
  <c r="AY664" i="8"/>
  <c r="AX664" i="8"/>
  <c r="AW664" i="8"/>
  <c r="AV664" i="8"/>
  <c r="AU664" i="8"/>
  <c r="BA663" i="8"/>
  <c r="AZ663" i="8"/>
  <c r="AY663" i="8"/>
  <c r="AX663" i="8"/>
  <c r="AW663" i="8"/>
  <c r="AV663" i="8"/>
  <c r="AU663" i="8"/>
  <c r="BA658" i="8"/>
  <c r="AZ658" i="8"/>
  <c r="AY658" i="8"/>
  <c r="AX658" i="8"/>
  <c r="AW658" i="8"/>
  <c r="AV658" i="8"/>
  <c r="AU658" i="8"/>
  <c r="BA657" i="8"/>
  <c r="AZ657" i="8"/>
  <c r="AY657" i="8"/>
  <c r="AX657" i="8"/>
  <c r="AW657" i="8"/>
  <c r="AV657" i="8"/>
  <c r="AU657" i="8"/>
  <c r="BA656" i="8"/>
  <c r="AZ656" i="8"/>
  <c r="AY656" i="8"/>
  <c r="AX656" i="8"/>
  <c r="AW656" i="8"/>
  <c r="AV656" i="8"/>
  <c r="AU656" i="8"/>
  <c r="BA655" i="8"/>
  <c r="AZ655" i="8"/>
  <c r="AY655" i="8"/>
  <c r="AX655" i="8"/>
  <c r="AW655" i="8"/>
  <c r="AV655" i="8"/>
  <c r="AU655" i="8"/>
  <c r="BA654" i="8"/>
  <c r="AZ654" i="8"/>
  <c r="AY654" i="8"/>
  <c r="AX654" i="8"/>
  <c r="AW654" i="8"/>
  <c r="AV654" i="8"/>
  <c r="AU654" i="8"/>
  <c r="BA653" i="8"/>
  <c r="AZ653" i="8"/>
  <c r="AY653" i="8"/>
  <c r="AX653" i="8"/>
  <c r="AW653" i="8"/>
  <c r="AV653" i="8"/>
  <c r="AU653" i="8"/>
  <c r="BA652" i="8"/>
  <c r="AZ652" i="8"/>
  <c r="AY652" i="8"/>
  <c r="AX652" i="8"/>
  <c r="AW652" i="8"/>
  <c r="AV652" i="8"/>
  <c r="AU652" i="8"/>
  <c r="BA651" i="8"/>
  <c r="AZ651" i="8"/>
  <c r="AY651" i="8"/>
  <c r="AX651" i="8"/>
  <c r="AW651" i="8"/>
  <c r="AV651" i="8"/>
  <c r="AU651" i="8"/>
  <c r="BA650" i="8"/>
  <c r="AZ650" i="8"/>
  <c r="AY650" i="8"/>
  <c r="AX650" i="8"/>
  <c r="AW650" i="8"/>
  <c r="AV650" i="8"/>
  <c r="AU650" i="8"/>
  <c r="BA649" i="8"/>
  <c r="AZ649" i="8"/>
  <c r="AY649" i="8"/>
  <c r="AX649" i="8"/>
  <c r="AW649" i="8"/>
  <c r="AV649" i="8"/>
  <c r="AU649" i="8"/>
  <c r="BA648" i="8"/>
  <c r="AZ648" i="8"/>
  <c r="AY648" i="8"/>
  <c r="AX648" i="8"/>
  <c r="AW648" i="8"/>
  <c r="AV648" i="8"/>
  <c r="AU648" i="8"/>
  <c r="BA647" i="8"/>
  <c r="AZ647" i="8"/>
  <c r="AY647" i="8"/>
  <c r="AX647" i="8"/>
  <c r="AW647" i="8"/>
  <c r="AV647" i="8"/>
  <c r="AU647" i="8"/>
  <c r="BA646" i="8"/>
  <c r="AZ646" i="8"/>
  <c r="AY646" i="8"/>
  <c r="AX646" i="8"/>
  <c r="AW646" i="8"/>
  <c r="AV646" i="8"/>
  <c r="AU646" i="8"/>
  <c r="BA645" i="8"/>
  <c r="AZ645" i="8"/>
  <c r="AY645" i="8"/>
  <c r="AX645" i="8"/>
  <c r="AW645" i="8"/>
  <c r="AV645" i="8"/>
  <c r="AU645" i="8"/>
  <c r="BA644" i="8"/>
  <c r="AZ644" i="8"/>
  <c r="AY644" i="8"/>
  <c r="AX644" i="8"/>
  <c r="AW644" i="8"/>
  <c r="AV644" i="8"/>
  <c r="AU644" i="8"/>
  <c r="BA643" i="8"/>
  <c r="AZ643" i="8"/>
  <c r="AY643" i="8"/>
  <c r="AX643" i="8"/>
  <c r="AW643" i="8"/>
  <c r="AV643" i="8"/>
  <c r="AU643" i="8"/>
  <c r="BA638" i="8"/>
  <c r="AZ638" i="8"/>
  <c r="AY638" i="8"/>
  <c r="AX638" i="8"/>
  <c r="AW638" i="8"/>
  <c r="AV638" i="8"/>
  <c r="AU638" i="8"/>
  <c r="BA637" i="8"/>
  <c r="AZ637" i="8"/>
  <c r="AY637" i="8"/>
  <c r="AX637" i="8"/>
  <c r="AW637" i="8"/>
  <c r="AV637" i="8"/>
  <c r="AU637" i="8"/>
  <c r="BA636" i="8"/>
  <c r="AZ636" i="8"/>
  <c r="AY636" i="8"/>
  <c r="AX636" i="8"/>
  <c r="AW636" i="8"/>
  <c r="AV636" i="8"/>
  <c r="AU636" i="8"/>
  <c r="BA635" i="8"/>
  <c r="AZ635" i="8"/>
  <c r="AY635" i="8"/>
  <c r="AX635" i="8"/>
  <c r="AW635" i="8"/>
  <c r="AV635" i="8"/>
  <c r="AU635" i="8"/>
  <c r="BA634" i="8"/>
  <c r="AZ634" i="8"/>
  <c r="AY634" i="8"/>
  <c r="AX634" i="8"/>
  <c r="AW634" i="8"/>
  <c r="AV634" i="8"/>
  <c r="AU634" i="8"/>
  <c r="BA633" i="8"/>
  <c r="AZ633" i="8"/>
  <c r="AY633" i="8"/>
  <c r="AX633" i="8"/>
  <c r="AW633" i="8"/>
  <c r="AV633" i="8"/>
  <c r="AU633" i="8"/>
  <c r="BA632" i="8"/>
  <c r="AZ632" i="8"/>
  <c r="AY632" i="8"/>
  <c r="AX632" i="8"/>
  <c r="AW632" i="8"/>
  <c r="AV632" i="8"/>
  <c r="AU632" i="8"/>
  <c r="BA631" i="8"/>
  <c r="AZ631" i="8"/>
  <c r="AY631" i="8"/>
  <c r="AX631" i="8"/>
  <c r="AW631" i="8"/>
  <c r="AV631" i="8"/>
  <c r="AU631" i="8"/>
  <c r="BA630" i="8"/>
  <c r="AZ630" i="8"/>
  <c r="AY630" i="8"/>
  <c r="AX630" i="8"/>
  <c r="AW630" i="8"/>
  <c r="AV630" i="8"/>
  <c r="AU630" i="8"/>
  <c r="BA629" i="8"/>
  <c r="AZ629" i="8"/>
  <c r="AY629" i="8"/>
  <c r="AX629" i="8"/>
  <c r="AW629" i="8"/>
  <c r="AV629" i="8"/>
  <c r="AU629" i="8"/>
  <c r="BA628" i="8"/>
  <c r="AZ628" i="8"/>
  <c r="AY628" i="8"/>
  <c r="AX628" i="8"/>
  <c r="AW628" i="8"/>
  <c r="AV628" i="8"/>
  <c r="AU628" i="8"/>
  <c r="BA627" i="8"/>
  <c r="AZ627" i="8"/>
  <c r="AY627" i="8"/>
  <c r="AX627" i="8"/>
  <c r="AW627" i="8"/>
  <c r="AV627" i="8"/>
  <c r="AU627" i="8"/>
  <c r="BA626" i="8"/>
  <c r="AZ626" i="8"/>
  <c r="AY626" i="8"/>
  <c r="AX626" i="8"/>
  <c r="AW626" i="8"/>
  <c r="AV626" i="8"/>
  <c r="AU626" i="8"/>
  <c r="BA625" i="8"/>
  <c r="AZ625" i="8"/>
  <c r="AY625" i="8"/>
  <c r="AX625" i="8"/>
  <c r="AW625" i="8"/>
  <c r="AV625" i="8"/>
  <c r="AU625" i="8"/>
  <c r="BA624" i="8"/>
  <c r="AZ624" i="8"/>
  <c r="AY624" i="8"/>
  <c r="AX624" i="8"/>
  <c r="AW624" i="8"/>
  <c r="AV624" i="8"/>
  <c r="AU624" i="8"/>
  <c r="BA623" i="8"/>
  <c r="AZ623" i="8"/>
  <c r="AY623" i="8"/>
  <c r="AX623" i="8"/>
  <c r="AW623" i="8"/>
  <c r="AV623" i="8"/>
  <c r="AU623" i="8"/>
  <c r="BA618" i="8"/>
  <c r="AZ618" i="8"/>
  <c r="AY618" i="8"/>
  <c r="AX618" i="8"/>
  <c r="AW618" i="8"/>
  <c r="AV618" i="8"/>
  <c r="AU618" i="8"/>
  <c r="BA617" i="8"/>
  <c r="AZ617" i="8"/>
  <c r="AY617" i="8"/>
  <c r="AX617" i="8"/>
  <c r="AW617" i="8"/>
  <c r="AV617" i="8"/>
  <c r="AU617" i="8"/>
  <c r="BA616" i="8"/>
  <c r="AZ616" i="8"/>
  <c r="AY616" i="8"/>
  <c r="AX616" i="8"/>
  <c r="AW616" i="8"/>
  <c r="AV616" i="8"/>
  <c r="AU616" i="8"/>
  <c r="BA615" i="8"/>
  <c r="AZ615" i="8"/>
  <c r="AY615" i="8"/>
  <c r="AX615" i="8"/>
  <c r="AW615" i="8"/>
  <c r="AV615" i="8"/>
  <c r="AU615" i="8"/>
  <c r="BA614" i="8"/>
  <c r="AZ614" i="8"/>
  <c r="AY614" i="8"/>
  <c r="AX614" i="8"/>
  <c r="AW614" i="8"/>
  <c r="AV614" i="8"/>
  <c r="AU614" i="8"/>
  <c r="BA613" i="8"/>
  <c r="AZ613" i="8"/>
  <c r="AY613" i="8"/>
  <c r="AX613" i="8"/>
  <c r="AW613" i="8"/>
  <c r="AV613" i="8"/>
  <c r="AU613" i="8"/>
  <c r="BA612" i="8"/>
  <c r="AZ612" i="8"/>
  <c r="AY612" i="8"/>
  <c r="AX612" i="8"/>
  <c r="AW612" i="8"/>
  <c r="AV612" i="8"/>
  <c r="AU612" i="8"/>
  <c r="BA611" i="8"/>
  <c r="AZ611" i="8"/>
  <c r="AY611" i="8"/>
  <c r="AX611" i="8"/>
  <c r="AW611" i="8"/>
  <c r="AV611" i="8"/>
  <c r="AU611" i="8"/>
  <c r="BA610" i="8"/>
  <c r="AZ610" i="8"/>
  <c r="AY610" i="8"/>
  <c r="AX610" i="8"/>
  <c r="AW610" i="8"/>
  <c r="AU610" i="8"/>
  <c r="BA609" i="8"/>
  <c r="AZ609" i="8"/>
  <c r="AY609" i="8"/>
  <c r="AX609" i="8"/>
  <c r="AW609" i="8"/>
  <c r="AU609" i="8"/>
  <c r="BA608" i="8"/>
  <c r="AZ608" i="8"/>
  <c r="AY608" i="8"/>
  <c r="AX608" i="8"/>
  <c r="AW608" i="8"/>
  <c r="AU608" i="8"/>
  <c r="BA607" i="8"/>
  <c r="AZ607" i="8"/>
  <c r="AY607" i="8"/>
  <c r="AX607" i="8"/>
  <c r="AW607" i="8"/>
  <c r="AU607" i="8"/>
  <c r="BA606" i="8"/>
  <c r="AZ606" i="8"/>
  <c r="AY606" i="8"/>
  <c r="AX606" i="8"/>
  <c r="AW606" i="8"/>
  <c r="AU606" i="8"/>
  <c r="BA605" i="8"/>
  <c r="AZ605" i="8"/>
  <c r="AY605" i="8"/>
  <c r="AX605" i="8"/>
  <c r="AW605" i="8"/>
  <c r="AU605" i="8"/>
  <c r="BA604" i="8"/>
  <c r="AZ604" i="8"/>
  <c r="AY604" i="8"/>
  <c r="AX604" i="8"/>
  <c r="AW604" i="8"/>
  <c r="AU604" i="8"/>
  <c r="BA603" i="8"/>
  <c r="AZ603" i="8"/>
  <c r="AY603" i="8"/>
  <c r="AX603" i="8"/>
  <c r="AW603" i="8"/>
  <c r="AU603" i="8"/>
  <c r="BA602" i="8"/>
  <c r="AZ602" i="8"/>
  <c r="AY602" i="8"/>
  <c r="AX602" i="8"/>
  <c r="AW602" i="8"/>
  <c r="AU602" i="8"/>
  <c r="BA601" i="8"/>
  <c r="AZ601" i="8"/>
  <c r="AY601" i="8"/>
  <c r="AX601" i="8"/>
  <c r="AW601" i="8"/>
  <c r="AU601" i="8"/>
  <c r="BA600" i="8"/>
  <c r="AZ600" i="8"/>
  <c r="AY600" i="8"/>
  <c r="AX600" i="8"/>
  <c r="AW600" i="8"/>
  <c r="AU600" i="8"/>
  <c r="BA599" i="8"/>
  <c r="AZ599" i="8"/>
  <c r="AY599" i="8"/>
  <c r="AX599" i="8"/>
  <c r="AW599" i="8"/>
  <c r="AU599" i="8"/>
  <c r="BA598" i="8"/>
  <c r="AZ598" i="8"/>
  <c r="AY598" i="8"/>
  <c r="AX598" i="8"/>
  <c r="AW598" i="8"/>
  <c r="AU598" i="8"/>
  <c r="BA597" i="8"/>
  <c r="AZ597" i="8"/>
  <c r="AY597" i="8"/>
  <c r="AX597" i="8"/>
  <c r="AW597" i="8"/>
  <c r="AU597" i="8"/>
  <c r="BA596" i="8"/>
  <c r="AZ596" i="8"/>
  <c r="AY596" i="8"/>
  <c r="AX596" i="8"/>
  <c r="AW596" i="8"/>
  <c r="AU596" i="8"/>
  <c r="BA595" i="8"/>
  <c r="AZ595" i="8"/>
  <c r="AY595" i="8"/>
  <c r="AX595" i="8"/>
  <c r="AW595" i="8"/>
  <c r="AU595" i="8"/>
  <c r="BA586" i="8"/>
  <c r="AZ586" i="8"/>
  <c r="AY586" i="8"/>
  <c r="AX586" i="8"/>
  <c r="AW586" i="8"/>
  <c r="AU586" i="8"/>
  <c r="BA585" i="8"/>
  <c r="AZ585" i="8"/>
  <c r="AY585" i="8"/>
  <c r="AX585" i="8"/>
  <c r="AW585" i="8"/>
  <c r="AU585" i="8"/>
  <c r="BA584" i="8"/>
  <c r="AZ584" i="8"/>
  <c r="AY584" i="8"/>
  <c r="AX584" i="8"/>
  <c r="AW584" i="8"/>
  <c r="AU584" i="8"/>
  <c r="BA583" i="8"/>
  <c r="AZ583" i="8"/>
  <c r="AY583" i="8"/>
  <c r="AX583" i="8"/>
  <c r="AW583" i="8"/>
  <c r="AU583" i="8"/>
  <c r="BA582" i="8"/>
  <c r="AZ582" i="8"/>
  <c r="AY582" i="8"/>
  <c r="AX582" i="8"/>
  <c r="AW582" i="8"/>
  <c r="AU582" i="8"/>
  <c r="BA581" i="8"/>
  <c r="AZ581" i="8"/>
  <c r="AY581" i="8"/>
  <c r="AX581" i="8"/>
  <c r="AW581" i="8"/>
  <c r="AU581" i="8"/>
  <c r="BA580" i="8"/>
  <c r="AZ580" i="8"/>
  <c r="AY580" i="8"/>
  <c r="AX580" i="8"/>
  <c r="AW580" i="8"/>
  <c r="AU580" i="8"/>
  <c r="BA579" i="8"/>
  <c r="AZ579" i="8"/>
  <c r="AY579" i="8"/>
  <c r="AX579" i="8"/>
  <c r="AW579" i="8"/>
  <c r="AU579" i="8"/>
  <c r="BA578" i="8"/>
  <c r="AZ578" i="8"/>
  <c r="AY578" i="8"/>
  <c r="AX578" i="8"/>
  <c r="AW578" i="8"/>
  <c r="AU578" i="8"/>
  <c r="BA577" i="8"/>
  <c r="AZ577" i="8"/>
  <c r="AY577" i="8"/>
  <c r="AX577" i="8"/>
  <c r="AW577" i="8"/>
  <c r="AU577" i="8"/>
  <c r="BA576" i="8"/>
  <c r="AZ576" i="8"/>
  <c r="AY576" i="8"/>
  <c r="AX576" i="8"/>
  <c r="AW576" i="8"/>
  <c r="AU576" i="8"/>
  <c r="BA575" i="8"/>
  <c r="AZ575" i="8"/>
  <c r="AY575" i="8"/>
  <c r="AX575" i="8"/>
  <c r="AW575" i="8"/>
  <c r="AU575" i="8"/>
  <c r="BA574" i="8"/>
  <c r="AZ574" i="8"/>
  <c r="AY574" i="8"/>
  <c r="AX574" i="8"/>
  <c r="AW574" i="8"/>
  <c r="AU574" i="8"/>
  <c r="BA573" i="8"/>
  <c r="AZ573" i="8"/>
  <c r="AY573" i="8"/>
  <c r="AX573" i="8"/>
  <c r="AW573" i="8"/>
  <c r="AU573" i="8"/>
  <c r="BA572" i="8"/>
  <c r="AZ572" i="8"/>
  <c r="AY572" i="8"/>
  <c r="AX572" i="8"/>
  <c r="AW572" i="8"/>
  <c r="AU572" i="8"/>
  <c r="BA571" i="8"/>
  <c r="AZ571" i="8"/>
  <c r="AY571" i="8"/>
  <c r="AX571" i="8"/>
  <c r="AW571" i="8"/>
  <c r="AU571" i="8"/>
  <c r="BA570" i="8"/>
  <c r="AZ570" i="8"/>
  <c r="AY570" i="8"/>
  <c r="AX570" i="8"/>
  <c r="AW570" i="8"/>
  <c r="AU570" i="8"/>
  <c r="BA569" i="8"/>
  <c r="AZ569" i="8"/>
  <c r="AY569" i="8"/>
  <c r="AX569" i="8"/>
  <c r="AW569" i="8"/>
  <c r="AU569" i="8"/>
  <c r="BA568" i="8"/>
  <c r="AZ568" i="8"/>
  <c r="AY568" i="8"/>
  <c r="AX568" i="8"/>
  <c r="AW568" i="8"/>
  <c r="AU568" i="8"/>
  <c r="BA567" i="8"/>
  <c r="AZ567" i="8"/>
  <c r="AY567" i="8"/>
  <c r="AX567" i="8"/>
  <c r="AW567" i="8"/>
  <c r="AU567" i="8"/>
  <c r="BA566" i="8"/>
  <c r="AZ566" i="8"/>
  <c r="AY566" i="8"/>
  <c r="AX566" i="8"/>
  <c r="AW566" i="8"/>
  <c r="AU566" i="8"/>
  <c r="BA565" i="8"/>
  <c r="AZ565" i="8"/>
  <c r="AY565" i="8"/>
  <c r="AX565" i="8"/>
  <c r="AW565" i="8"/>
  <c r="AU565" i="8"/>
  <c r="BA564" i="8"/>
  <c r="AZ564" i="8"/>
  <c r="AY564" i="8"/>
  <c r="AX564" i="8"/>
  <c r="AW564" i="8"/>
  <c r="AU564" i="8"/>
  <c r="BA563" i="8"/>
  <c r="AZ563" i="8"/>
  <c r="AY563" i="8"/>
  <c r="AX563" i="8"/>
  <c r="AW563" i="8"/>
  <c r="AU563" i="8"/>
  <c r="BA562" i="8"/>
  <c r="AZ562" i="8"/>
  <c r="AY562" i="8"/>
  <c r="AX562" i="8"/>
  <c r="AW562" i="8"/>
  <c r="AU562" i="8"/>
  <c r="BA561" i="8"/>
  <c r="AZ561" i="8"/>
  <c r="AY561" i="8"/>
  <c r="AX561" i="8"/>
  <c r="AW561" i="8"/>
  <c r="AU561" i="8"/>
  <c r="BA560" i="8"/>
  <c r="AZ560" i="8"/>
  <c r="AY560" i="8"/>
  <c r="AX560" i="8"/>
  <c r="AW560" i="8"/>
  <c r="AU560" i="8"/>
  <c r="BA559" i="8"/>
  <c r="AZ559" i="8"/>
  <c r="AY559" i="8"/>
  <c r="AX559" i="8"/>
  <c r="AW559" i="8"/>
  <c r="AU559" i="8"/>
  <c r="BA558" i="8"/>
  <c r="AZ558" i="8"/>
  <c r="AY558" i="8"/>
  <c r="AX558" i="8"/>
  <c r="AW558" i="8"/>
  <c r="AU558" i="8"/>
  <c r="BA557" i="8"/>
  <c r="AZ557" i="8"/>
  <c r="AY557" i="8"/>
  <c r="AX557" i="8"/>
  <c r="AW557" i="8"/>
  <c r="AU557" i="8"/>
  <c r="BA556" i="8"/>
  <c r="AZ556" i="8"/>
  <c r="AY556" i="8"/>
  <c r="AX556" i="8"/>
  <c r="AW556" i="8"/>
  <c r="AU556" i="8"/>
  <c r="BA555" i="8"/>
  <c r="AZ555" i="8"/>
  <c r="AY555" i="8"/>
  <c r="AX555" i="8"/>
  <c r="AW555" i="8"/>
  <c r="AU555" i="8"/>
  <c r="BA546" i="8"/>
  <c r="AZ546" i="8"/>
  <c r="AY546" i="8"/>
  <c r="AX546" i="8"/>
  <c r="AW546" i="8"/>
  <c r="AU546" i="8"/>
  <c r="BA545" i="8"/>
  <c r="AZ545" i="8"/>
  <c r="AY545" i="8"/>
  <c r="AX545" i="8"/>
  <c r="AW545" i="8"/>
  <c r="AU545" i="8"/>
  <c r="BA544" i="8"/>
  <c r="AZ544" i="8"/>
  <c r="AY544" i="8"/>
  <c r="AX544" i="8"/>
  <c r="AW544" i="8"/>
  <c r="AU544" i="8"/>
  <c r="BA543" i="8"/>
  <c r="AZ543" i="8"/>
  <c r="AY543" i="8"/>
  <c r="AX543" i="8"/>
  <c r="AW543" i="8"/>
  <c r="AU543" i="8"/>
  <c r="BA542" i="8"/>
  <c r="AZ542" i="8"/>
  <c r="AY542" i="8"/>
  <c r="AX542" i="8"/>
  <c r="AW542" i="8"/>
  <c r="AU542" i="8"/>
  <c r="BA541" i="8"/>
  <c r="AZ541" i="8"/>
  <c r="AY541" i="8"/>
  <c r="AX541" i="8"/>
  <c r="AW541" i="8"/>
  <c r="AU541" i="8"/>
  <c r="BA540" i="8"/>
  <c r="AZ540" i="8"/>
  <c r="AY540" i="8"/>
  <c r="AX540" i="8"/>
  <c r="AW540" i="8"/>
  <c r="AU540" i="8"/>
  <c r="BA539" i="8"/>
  <c r="AZ539" i="8"/>
  <c r="AY539" i="8"/>
  <c r="AX539" i="8"/>
  <c r="AW539" i="8"/>
  <c r="AU539" i="8"/>
  <c r="BA538" i="8"/>
  <c r="AZ538" i="8"/>
  <c r="AY538" i="8"/>
  <c r="AX538" i="8"/>
  <c r="AW538" i="8"/>
  <c r="AU538" i="8"/>
  <c r="BA537" i="8"/>
  <c r="AZ537" i="8"/>
  <c r="AY537" i="8"/>
  <c r="AX537" i="8"/>
  <c r="AW537" i="8"/>
  <c r="AU537" i="8"/>
  <c r="BA536" i="8"/>
  <c r="AZ536" i="8"/>
  <c r="AY536" i="8"/>
  <c r="AX536" i="8"/>
  <c r="AW536" i="8"/>
  <c r="AU536" i="8"/>
  <c r="BA535" i="8"/>
  <c r="AZ535" i="8"/>
  <c r="AY535" i="8"/>
  <c r="AX535" i="8"/>
  <c r="AW535" i="8"/>
  <c r="AU535" i="8"/>
  <c r="BA534" i="8"/>
  <c r="AZ534" i="8"/>
  <c r="AY534" i="8"/>
  <c r="AX534" i="8"/>
  <c r="AW534" i="8"/>
  <c r="AU534" i="8"/>
  <c r="BA533" i="8"/>
  <c r="AZ533" i="8"/>
  <c r="AY533" i="8"/>
  <c r="AX533" i="8"/>
  <c r="AW533" i="8"/>
  <c r="AU533" i="8"/>
  <c r="BA532" i="8"/>
  <c r="AZ532" i="8"/>
  <c r="AY532" i="8"/>
  <c r="AX532" i="8"/>
  <c r="AW532" i="8"/>
  <c r="AU532" i="8"/>
  <c r="AV602" i="8"/>
  <c r="AV601" i="8"/>
  <c r="AV600" i="8"/>
  <c r="AV599" i="8"/>
  <c r="AV598" i="8"/>
  <c r="AV597" i="8"/>
  <c r="AV596" i="8"/>
  <c r="AV595" i="8"/>
  <c r="AV562" i="8"/>
  <c r="AV561" i="8"/>
  <c r="AV560" i="8"/>
  <c r="AV559" i="8"/>
  <c r="AV558" i="8"/>
  <c r="AV557" i="8"/>
  <c r="AV556" i="8"/>
  <c r="AV555" i="8"/>
  <c r="F286" i="1" l="1"/>
  <c r="Z22" i="2"/>
  <c r="Z12" i="2"/>
  <c r="Z7" i="2"/>
  <c r="Z23" i="2"/>
  <c r="Z13" i="2"/>
  <c r="Z8" i="2"/>
  <c r="Z21" i="2"/>
  <c r="Z11" i="2"/>
  <c r="Z6" i="2"/>
  <c r="Z25" i="2"/>
  <c r="Z15" i="2"/>
  <c r="Z10" i="2"/>
  <c r="Z24" i="2"/>
  <c r="Z14" i="2"/>
  <c r="Z9" i="2"/>
  <c r="Z47" i="2"/>
  <c r="Z46" i="2"/>
  <c r="Z45" i="2"/>
  <c r="Z44" i="2"/>
  <c r="Z43" i="2"/>
  <c r="Z37" i="2"/>
  <c r="Z36" i="2"/>
  <c r="Z35" i="2"/>
  <c r="Z34" i="2"/>
  <c r="Z33" i="2"/>
  <c r="Z32" i="2"/>
  <c r="Z31" i="2"/>
  <c r="Z30" i="2"/>
  <c r="Z29" i="2"/>
  <c r="D44" i="15"/>
  <c r="D46" i="15"/>
  <c r="D47" i="15"/>
  <c r="F289" i="1" l="1"/>
  <c r="F290" i="1"/>
  <c r="F291" i="1"/>
  <c r="F292" i="1"/>
  <c r="BA531" i="8"/>
  <c r="AZ531" i="8"/>
  <c r="AY531" i="8"/>
  <c r="AX531" i="8"/>
  <c r="AW531" i="8"/>
  <c r="AU531" i="8"/>
  <c r="BA469" i="8"/>
  <c r="AZ469" i="8"/>
  <c r="AY469" i="8"/>
  <c r="AX469" i="8"/>
  <c r="AW469" i="8"/>
  <c r="AU469" i="8"/>
  <c r="BA467" i="8"/>
  <c r="AZ467" i="8"/>
  <c r="AY467" i="8"/>
  <c r="AX467" i="8"/>
  <c r="AW467" i="8"/>
  <c r="AU467" i="8"/>
  <c r="BA466" i="8"/>
  <c r="AZ466" i="8"/>
  <c r="AY466" i="8"/>
  <c r="AX466" i="8"/>
  <c r="AW466" i="8"/>
  <c r="AU466" i="8"/>
  <c r="BA465" i="8"/>
  <c r="AZ465" i="8"/>
  <c r="AY465" i="8"/>
  <c r="AX465" i="8"/>
  <c r="AW465" i="8"/>
  <c r="AV465" i="8"/>
  <c r="AU465" i="8"/>
  <c r="BA463" i="8"/>
  <c r="AZ463" i="8"/>
  <c r="AY463" i="8"/>
  <c r="AX463" i="8"/>
  <c r="AW463" i="8"/>
  <c r="AV463" i="8"/>
  <c r="AU463" i="8"/>
  <c r="BA462" i="8"/>
  <c r="AZ462" i="8"/>
  <c r="AY462" i="8"/>
  <c r="AX462" i="8"/>
  <c r="AW462" i="8"/>
  <c r="AV462" i="8"/>
  <c r="AU462" i="8"/>
  <c r="BA461" i="8"/>
  <c r="AZ461" i="8"/>
  <c r="AY461" i="8"/>
  <c r="AX461" i="8"/>
  <c r="AW461" i="8"/>
  <c r="AU461" i="8"/>
  <c r="BA459" i="8"/>
  <c r="AZ459" i="8"/>
  <c r="AY459" i="8"/>
  <c r="AX459" i="8"/>
  <c r="AW459" i="8"/>
  <c r="AU459" i="8"/>
  <c r="BA458" i="8"/>
  <c r="AZ458" i="8"/>
  <c r="AY458" i="8"/>
  <c r="AX458" i="8"/>
  <c r="AW458" i="8"/>
  <c r="AU458" i="8"/>
  <c r="BA457" i="8"/>
  <c r="AZ457" i="8"/>
  <c r="AY457" i="8"/>
  <c r="AX457" i="8"/>
  <c r="AW457" i="8"/>
  <c r="AV457" i="8"/>
  <c r="AU457" i="8"/>
  <c r="BA455" i="8"/>
  <c r="AZ455" i="8"/>
  <c r="AY455" i="8"/>
  <c r="AX455" i="8"/>
  <c r="AW455" i="8"/>
  <c r="AV455" i="8"/>
  <c r="AU455" i="8"/>
  <c r="BA454" i="8"/>
  <c r="AZ454" i="8"/>
  <c r="AY454" i="8"/>
  <c r="AX454" i="8"/>
  <c r="AW454" i="8"/>
  <c r="AV454" i="8"/>
  <c r="AU454" i="8"/>
  <c r="BA453" i="8"/>
  <c r="AZ453" i="8"/>
  <c r="AY453" i="8"/>
  <c r="AX453" i="8"/>
  <c r="AW453" i="8"/>
  <c r="AU453" i="8"/>
  <c r="BA451" i="8"/>
  <c r="AZ451" i="8"/>
  <c r="AY451" i="8"/>
  <c r="AX451" i="8"/>
  <c r="AW451" i="8"/>
  <c r="AU451" i="8"/>
  <c r="BA450" i="8"/>
  <c r="AZ450" i="8"/>
  <c r="AY450" i="8"/>
  <c r="AX450" i="8"/>
  <c r="AW450" i="8"/>
  <c r="AU450" i="8"/>
  <c r="BA449" i="8"/>
  <c r="AZ449" i="8"/>
  <c r="AY449" i="8"/>
  <c r="AX449" i="8"/>
  <c r="AW449" i="8"/>
  <c r="AV449" i="8"/>
  <c r="AU449" i="8"/>
  <c r="BA447" i="8"/>
  <c r="AZ447" i="8"/>
  <c r="AY447" i="8"/>
  <c r="AX447" i="8"/>
  <c r="AW447" i="8"/>
  <c r="AV447" i="8"/>
  <c r="AU447" i="8"/>
  <c r="BA446" i="8"/>
  <c r="AZ446" i="8"/>
  <c r="AY446" i="8"/>
  <c r="AX446" i="8"/>
  <c r="AW446" i="8"/>
  <c r="AV446" i="8"/>
  <c r="AU446" i="8"/>
  <c r="BA437" i="8"/>
  <c r="AZ437" i="8"/>
  <c r="AY437" i="8"/>
  <c r="AX437" i="8"/>
  <c r="AW437" i="8"/>
  <c r="AU437" i="8"/>
  <c r="BA435" i="8"/>
  <c r="AZ435" i="8"/>
  <c r="AY435" i="8"/>
  <c r="AX435" i="8"/>
  <c r="AW435" i="8"/>
  <c r="AU435" i="8"/>
  <c r="BA434" i="8"/>
  <c r="AZ434" i="8"/>
  <c r="AY434" i="8"/>
  <c r="AX434" i="8"/>
  <c r="AW434" i="8"/>
  <c r="AU434" i="8"/>
  <c r="BA433" i="8"/>
  <c r="AZ433" i="8"/>
  <c r="AY433" i="8"/>
  <c r="AX433" i="8"/>
  <c r="AW433" i="8"/>
  <c r="AV433" i="8"/>
  <c r="AU433" i="8"/>
  <c r="BA431" i="8"/>
  <c r="AZ431" i="8"/>
  <c r="AY431" i="8"/>
  <c r="AX431" i="8"/>
  <c r="AW431" i="8"/>
  <c r="AV431" i="8"/>
  <c r="AU431" i="8"/>
  <c r="BA430" i="8"/>
  <c r="AZ430" i="8"/>
  <c r="AY430" i="8"/>
  <c r="AX430" i="8"/>
  <c r="AW430" i="8"/>
  <c r="AV430" i="8"/>
  <c r="AU430" i="8"/>
  <c r="BA429" i="8"/>
  <c r="AZ429" i="8"/>
  <c r="AY429" i="8"/>
  <c r="AX429" i="8"/>
  <c r="AW429" i="8"/>
  <c r="AU429" i="8"/>
  <c r="BA427" i="8"/>
  <c r="AZ427" i="8"/>
  <c r="AY427" i="8"/>
  <c r="AX427" i="8"/>
  <c r="AW427" i="8"/>
  <c r="AU427" i="8"/>
  <c r="BA426" i="8"/>
  <c r="AZ426" i="8"/>
  <c r="AY426" i="8"/>
  <c r="AX426" i="8"/>
  <c r="AW426" i="8"/>
  <c r="AU426" i="8"/>
  <c r="BA425" i="8"/>
  <c r="AZ425" i="8"/>
  <c r="AY425" i="8"/>
  <c r="AX425" i="8"/>
  <c r="AW425" i="8"/>
  <c r="AV425" i="8"/>
  <c r="AU425" i="8"/>
  <c r="BA423" i="8"/>
  <c r="AZ423" i="8"/>
  <c r="AY423" i="8"/>
  <c r="AX423" i="8"/>
  <c r="AW423" i="8"/>
  <c r="AV423" i="8"/>
  <c r="AU423" i="8"/>
  <c r="BA422" i="8"/>
  <c r="AZ422" i="8"/>
  <c r="AY422" i="8"/>
  <c r="AX422" i="8"/>
  <c r="AW422" i="8"/>
  <c r="AV422" i="8"/>
  <c r="AU422" i="8"/>
  <c r="BA415" i="8"/>
  <c r="AZ415" i="8"/>
  <c r="AY415" i="8"/>
  <c r="AX415" i="8"/>
  <c r="AW415" i="8"/>
  <c r="AU415" i="8"/>
  <c r="BA414" i="8"/>
  <c r="AZ414" i="8"/>
  <c r="AY414" i="8"/>
  <c r="AX414" i="8"/>
  <c r="AW414" i="8"/>
  <c r="AU414" i="8"/>
  <c r="BA413" i="8"/>
  <c r="AZ413" i="8"/>
  <c r="AY413" i="8"/>
  <c r="AX413" i="8"/>
  <c r="AW413" i="8"/>
  <c r="AU413" i="8"/>
  <c r="BA412" i="8"/>
  <c r="AZ412" i="8"/>
  <c r="AY412" i="8"/>
  <c r="AX412" i="8"/>
  <c r="AW412" i="8"/>
  <c r="AU412" i="8"/>
  <c r="BA411" i="8"/>
  <c r="AZ411" i="8"/>
  <c r="AY411" i="8"/>
  <c r="AX411" i="8"/>
  <c r="AW411" i="8"/>
  <c r="AV411" i="8"/>
  <c r="AU411" i="8"/>
  <c r="BA410" i="8"/>
  <c r="AZ410" i="8"/>
  <c r="AY410" i="8"/>
  <c r="AX410" i="8"/>
  <c r="AW410" i="8"/>
  <c r="AV410" i="8"/>
  <c r="AU410" i="8"/>
  <c r="BA409" i="8"/>
  <c r="AZ409" i="8"/>
  <c r="AY409" i="8"/>
  <c r="AX409" i="8"/>
  <c r="AW409" i="8"/>
  <c r="AV409" i="8"/>
  <c r="AU409" i="8"/>
  <c r="BA408" i="8"/>
  <c r="AZ408" i="8"/>
  <c r="AY408" i="8"/>
  <c r="AX408" i="8"/>
  <c r="AW408" i="8"/>
  <c r="AV408" i="8"/>
  <c r="AU408" i="8"/>
  <c r="BA407" i="8"/>
  <c r="AZ407" i="8"/>
  <c r="AY407" i="8"/>
  <c r="AX407" i="8"/>
  <c r="AW407" i="8"/>
  <c r="AV407" i="8"/>
  <c r="AU407" i="8"/>
  <c r="BA406" i="8"/>
  <c r="AZ406" i="8"/>
  <c r="AY406" i="8"/>
  <c r="AX406" i="8"/>
  <c r="AW406" i="8"/>
  <c r="AU406" i="8"/>
  <c r="BA405" i="8"/>
  <c r="AZ405" i="8"/>
  <c r="AY405" i="8"/>
  <c r="AX405" i="8"/>
  <c r="AW405" i="8"/>
  <c r="AU405" i="8"/>
  <c r="BA404" i="8"/>
  <c r="AZ404" i="8"/>
  <c r="AY404" i="8"/>
  <c r="AX404" i="8"/>
  <c r="AW404" i="8"/>
  <c r="AU404" i="8"/>
  <c r="BA403" i="8"/>
  <c r="AZ403" i="8"/>
  <c r="AY403" i="8"/>
  <c r="AX403" i="8"/>
  <c r="AW403" i="8"/>
  <c r="AU403" i="8"/>
  <c r="BA402" i="8"/>
  <c r="AZ402" i="8"/>
  <c r="AY402" i="8"/>
  <c r="AX402" i="8"/>
  <c r="AW402" i="8"/>
  <c r="AV402" i="8"/>
  <c r="AU402" i="8"/>
  <c r="BA401" i="8"/>
  <c r="AZ401" i="8"/>
  <c r="AY401" i="8"/>
  <c r="AX401" i="8"/>
  <c r="AW401" i="8"/>
  <c r="AV401" i="8"/>
  <c r="AU401" i="8"/>
  <c r="BA400" i="8"/>
  <c r="AZ400" i="8"/>
  <c r="AY400" i="8"/>
  <c r="AX400" i="8"/>
  <c r="AW400" i="8"/>
  <c r="AV400" i="8"/>
  <c r="AU400" i="8"/>
  <c r="BA399" i="8"/>
  <c r="AZ399" i="8"/>
  <c r="AY399" i="8"/>
  <c r="AX399" i="8"/>
  <c r="AW399" i="8"/>
  <c r="AV399" i="8"/>
  <c r="AU399" i="8"/>
  <c r="BA398" i="8"/>
  <c r="AZ398" i="8"/>
  <c r="AY398" i="8"/>
  <c r="AX398" i="8"/>
  <c r="AW398" i="8"/>
  <c r="AU398" i="8"/>
  <c r="BA397" i="8"/>
  <c r="AZ397" i="8"/>
  <c r="AY397" i="8"/>
  <c r="AX397" i="8"/>
  <c r="AW397" i="8"/>
  <c r="AU397" i="8"/>
  <c r="BA396" i="8"/>
  <c r="AZ396" i="8"/>
  <c r="AY396" i="8"/>
  <c r="AX396" i="8"/>
  <c r="AW396" i="8"/>
  <c r="AU396" i="8"/>
  <c r="BA395" i="8"/>
  <c r="AZ395" i="8"/>
  <c r="AY395" i="8"/>
  <c r="AX395" i="8"/>
  <c r="AW395" i="8"/>
  <c r="AU395" i="8"/>
  <c r="BA394" i="8"/>
  <c r="AZ394" i="8"/>
  <c r="AY394" i="8"/>
  <c r="AX394" i="8"/>
  <c r="AW394" i="8"/>
  <c r="AV394" i="8"/>
  <c r="AU394" i="8"/>
  <c r="BA393" i="8"/>
  <c r="AZ393" i="8"/>
  <c r="AY393" i="8"/>
  <c r="AX393" i="8"/>
  <c r="AW393" i="8"/>
  <c r="AV393" i="8"/>
  <c r="AU393" i="8"/>
  <c r="BA392" i="8"/>
  <c r="AZ392" i="8"/>
  <c r="AY392" i="8"/>
  <c r="AX392" i="8"/>
  <c r="AW392" i="8"/>
  <c r="AV392" i="8"/>
  <c r="AU392" i="8"/>
  <c r="BA391" i="8"/>
  <c r="AZ391" i="8"/>
  <c r="AY391" i="8"/>
  <c r="AX391" i="8"/>
  <c r="AW391" i="8"/>
  <c r="AV391" i="8"/>
  <c r="AU391" i="8"/>
  <c r="BA382" i="8"/>
  <c r="AZ382" i="8"/>
  <c r="AY382" i="8"/>
  <c r="AX382" i="8"/>
  <c r="AW382" i="8"/>
  <c r="AU382" i="8"/>
  <c r="BA381" i="8"/>
  <c r="AZ381" i="8"/>
  <c r="AY381" i="8"/>
  <c r="AX381" i="8"/>
  <c r="AW381" i="8"/>
  <c r="AU381" i="8"/>
  <c r="BA380" i="8"/>
  <c r="AZ380" i="8"/>
  <c r="AY380" i="8"/>
  <c r="AX380" i="8"/>
  <c r="AW380" i="8"/>
  <c r="AU380" i="8"/>
  <c r="BA379" i="8"/>
  <c r="AZ379" i="8"/>
  <c r="AY379" i="8"/>
  <c r="AX379" i="8"/>
  <c r="AW379" i="8"/>
  <c r="AU379" i="8"/>
  <c r="BA378" i="8"/>
  <c r="AZ378" i="8"/>
  <c r="AY378" i="8"/>
  <c r="AX378" i="8"/>
  <c r="AW378" i="8"/>
  <c r="AV378" i="8"/>
  <c r="AU378" i="8"/>
  <c r="BA377" i="8"/>
  <c r="AZ377" i="8"/>
  <c r="AY377" i="8"/>
  <c r="AX377" i="8"/>
  <c r="AW377" i="8"/>
  <c r="AV377" i="8"/>
  <c r="AU377" i="8"/>
  <c r="BA376" i="8"/>
  <c r="AZ376" i="8"/>
  <c r="AY376" i="8"/>
  <c r="AX376" i="8"/>
  <c r="AW376" i="8"/>
  <c r="AV376" i="8"/>
  <c r="AU376" i="8"/>
  <c r="BA375" i="8"/>
  <c r="AZ375" i="8"/>
  <c r="AY375" i="8"/>
  <c r="AX375" i="8"/>
  <c r="AW375" i="8"/>
  <c r="AV375" i="8"/>
  <c r="AU375" i="8"/>
  <c r="BA374" i="8"/>
  <c r="AZ374" i="8"/>
  <c r="AY374" i="8"/>
  <c r="AX374" i="8"/>
  <c r="AW374" i="8"/>
  <c r="AU374" i="8"/>
  <c r="BA373" i="8"/>
  <c r="AZ373" i="8"/>
  <c r="AY373" i="8"/>
  <c r="AX373" i="8"/>
  <c r="AW373" i="8"/>
  <c r="AU373" i="8"/>
  <c r="BA372" i="8"/>
  <c r="AZ372" i="8"/>
  <c r="AY372" i="8"/>
  <c r="AX372" i="8"/>
  <c r="AW372" i="8"/>
  <c r="AU372" i="8"/>
  <c r="BA371" i="8"/>
  <c r="AZ371" i="8"/>
  <c r="AY371" i="8"/>
  <c r="AX371" i="8"/>
  <c r="AW371" i="8"/>
  <c r="AU371" i="8"/>
  <c r="BA370" i="8"/>
  <c r="AZ370" i="8"/>
  <c r="AY370" i="8"/>
  <c r="AX370" i="8"/>
  <c r="AW370" i="8"/>
  <c r="AV370" i="8"/>
  <c r="AU370" i="8"/>
  <c r="BA369" i="8"/>
  <c r="AZ369" i="8"/>
  <c r="AY369" i="8"/>
  <c r="AX369" i="8"/>
  <c r="AW369" i="8"/>
  <c r="AV369" i="8"/>
  <c r="AU369" i="8"/>
  <c r="BA368" i="8"/>
  <c r="AZ368" i="8"/>
  <c r="AY368" i="8"/>
  <c r="AX368" i="8"/>
  <c r="AW368" i="8"/>
  <c r="AV368" i="8"/>
  <c r="AU368" i="8"/>
  <c r="BA367" i="8"/>
  <c r="AZ367" i="8"/>
  <c r="AY367" i="8"/>
  <c r="AX367" i="8"/>
  <c r="AW367" i="8"/>
  <c r="AV367" i="8"/>
  <c r="AU367" i="8"/>
  <c r="BA360" i="8"/>
  <c r="AZ360" i="8"/>
  <c r="AY360" i="8"/>
  <c r="AX360" i="8"/>
  <c r="AW360" i="8"/>
  <c r="AU360" i="8"/>
  <c r="BA359" i="8"/>
  <c r="AZ359" i="8"/>
  <c r="AY359" i="8"/>
  <c r="AX359" i="8"/>
  <c r="AW359" i="8"/>
  <c r="AU359" i="8"/>
  <c r="BA358" i="8"/>
  <c r="AZ358" i="8"/>
  <c r="AY358" i="8"/>
  <c r="AX358" i="8"/>
  <c r="AW358" i="8"/>
  <c r="AU358" i="8"/>
  <c r="BA357" i="8"/>
  <c r="AZ357" i="8"/>
  <c r="AY357" i="8"/>
  <c r="AX357" i="8"/>
  <c r="AW357" i="8"/>
  <c r="AU357" i="8"/>
  <c r="BA356" i="8"/>
  <c r="AZ356" i="8"/>
  <c r="AY356" i="8"/>
  <c r="AX356" i="8"/>
  <c r="AW356" i="8"/>
  <c r="AU356" i="8"/>
  <c r="BA355" i="8"/>
  <c r="AZ355" i="8"/>
  <c r="AY355" i="8"/>
  <c r="AX355" i="8"/>
  <c r="AW355" i="8"/>
  <c r="AU355" i="8"/>
  <c r="BA354" i="8"/>
  <c r="AZ354" i="8"/>
  <c r="AY354" i="8"/>
  <c r="AX354" i="8"/>
  <c r="AW354" i="8"/>
  <c r="AV354" i="8"/>
  <c r="AU354" i="8"/>
  <c r="BA353" i="8"/>
  <c r="AZ353" i="8"/>
  <c r="AY353" i="8"/>
  <c r="AX353" i="8"/>
  <c r="AW353" i="8"/>
  <c r="AV353" i="8"/>
  <c r="AU353" i="8"/>
  <c r="BA352" i="8"/>
  <c r="AZ352" i="8"/>
  <c r="AY352" i="8"/>
  <c r="AX352" i="8"/>
  <c r="AW352" i="8"/>
  <c r="AV352" i="8"/>
  <c r="AU352" i="8"/>
  <c r="BA351" i="8"/>
  <c r="AZ351" i="8"/>
  <c r="AY351" i="8"/>
  <c r="AX351" i="8"/>
  <c r="AW351" i="8"/>
  <c r="AV351" i="8"/>
  <c r="AU351" i="8"/>
  <c r="BA350" i="8"/>
  <c r="AZ350" i="8"/>
  <c r="AY350" i="8"/>
  <c r="AX350" i="8"/>
  <c r="AW350" i="8"/>
  <c r="AV350" i="8"/>
  <c r="AU350" i="8"/>
  <c r="BA349" i="8"/>
  <c r="AZ349" i="8"/>
  <c r="AY349" i="8"/>
  <c r="AX349" i="8"/>
  <c r="AW349" i="8"/>
  <c r="AV349" i="8"/>
  <c r="AU349" i="8"/>
  <c r="BA348" i="8"/>
  <c r="AZ348" i="8"/>
  <c r="AY348" i="8"/>
  <c r="AX348" i="8"/>
  <c r="AW348" i="8"/>
  <c r="AU348" i="8"/>
  <c r="BA347" i="8"/>
  <c r="AZ347" i="8"/>
  <c r="AY347" i="8"/>
  <c r="AX347" i="8"/>
  <c r="AW347" i="8"/>
  <c r="AU347" i="8"/>
  <c r="BA346" i="8"/>
  <c r="AZ346" i="8"/>
  <c r="AY346" i="8"/>
  <c r="AX346" i="8"/>
  <c r="AW346" i="8"/>
  <c r="AU346" i="8"/>
  <c r="BA345" i="8"/>
  <c r="AZ345" i="8"/>
  <c r="AY345" i="8"/>
  <c r="AX345" i="8"/>
  <c r="AW345" i="8"/>
  <c r="AU345" i="8"/>
  <c r="BA344" i="8"/>
  <c r="AZ344" i="8"/>
  <c r="AY344" i="8"/>
  <c r="AX344" i="8"/>
  <c r="AW344" i="8"/>
  <c r="AV344" i="8"/>
  <c r="AU344" i="8"/>
  <c r="BA343" i="8"/>
  <c r="AZ343" i="8"/>
  <c r="AY343" i="8"/>
  <c r="AX343" i="8"/>
  <c r="AW343" i="8"/>
  <c r="AV343" i="8"/>
  <c r="AU343" i="8"/>
  <c r="BA342" i="8"/>
  <c r="AZ342" i="8"/>
  <c r="AY342" i="8"/>
  <c r="AX342" i="8"/>
  <c r="AW342" i="8"/>
  <c r="AV342" i="8"/>
  <c r="AU342" i="8"/>
  <c r="BA341" i="8"/>
  <c r="AZ341" i="8"/>
  <c r="AY341" i="8"/>
  <c r="AX341" i="8"/>
  <c r="AW341" i="8"/>
  <c r="AV341" i="8"/>
  <c r="AU341" i="8"/>
  <c r="BA340" i="8"/>
  <c r="AZ340" i="8"/>
  <c r="AY340" i="8"/>
  <c r="AX340" i="8"/>
  <c r="AW340" i="8"/>
  <c r="AU340" i="8"/>
  <c r="BA339" i="8"/>
  <c r="AZ339" i="8"/>
  <c r="AY339" i="8"/>
  <c r="AX339" i="8"/>
  <c r="AW339" i="8"/>
  <c r="AU339" i="8"/>
  <c r="BA338" i="8"/>
  <c r="AZ338" i="8"/>
  <c r="AY338" i="8"/>
  <c r="AX338" i="8"/>
  <c r="AW338" i="8"/>
  <c r="AU338" i="8"/>
  <c r="BA337" i="8"/>
  <c r="AZ337" i="8"/>
  <c r="AY337" i="8"/>
  <c r="AX337" i="8"/>
  <c r="AW337" i="8"/>
  <c r="AU337" i="8"/>
  <c r="BA336" i="8"/>
  <c r="AZ336" i="8"/>
  <c r="AY336" i="8"/>
  <c r="AX336" i="8"/>
  <c r="AW336" i="8"/>
  <c r="AV336" i="8"/>
  <c r="AU336" i="8"/>
  <c r="BA335" i="8"/>
  <c r="AZ335" i="8"/>
  <c r="AY335" i="8"/>
  <c r="AX335" i="8"/>
  <c r="AW335" i="8"/>
  <c r="AV335" i="8"/>
  <c r="AU335" i="8"/>
  <c r="BA334" i="8"/>
  <c r="AZ334" i="8"/>
  <c r="AY334" i="8"/>
  <c r="AX334" i="8"/>
  <c r="AW334" i="8"/>
  <c r="AV334" i="8"/>
  <c r="AU334" i="8"/>
  <c r="BA333" i="8"/>
  <c r="AZ333" i="8"/>
  <c r="AY333" i="8"/>
  <c r="AX333" i="8"/>
  <c r="AW333" i="8"/>
  <c r="AV333" i="8"/>
  <c r="AU333" i="8"/>
  <c r="BA323" i="8"/>
  <c r="AZ323" i="8"/>
  <c r="AY323" i="8"/>
  <c r="AX323" i="8"/>
  <c r="AW323" i="8"/>
  <c r="AU323" i="8"/>
  <c r="BA322" i="8"/>
  <c r="AZ322" i="8"/>
  <c r="AY322" i="8"/>
  <c r="AX322" i="8"/>
  <c r="AW322" i="8"/>
  <c r="AU322" i="8"/>
  <c r="BA321" i="8"/>
  <c r="AZ321" i="8"/>
  <c r="AY321" i="8"/>
  <c r="AX321" i="8"/>
  <c r="AW321" i="8"/>
  <c r="AU321" i="8"/>
  <c r="BA320" i="8"/>
  <c r="AZ320" i="8"/>
  <c r="AY320" i="8"/>
  <c r="AX320" i="8"/>
  <c r="AW320" i="8"/>
  <c r="AU320" i="8"/>
  <c r="BA319" i="8"/>
  <c r="AZ319" i="8"/>
  <c r="AY319" i="8"/>
  <c r="AX319" i="8"/>
  <c r="AW319" i="8"/>
  <c r="AV319" i="8"/>
  <c r="AU319" i="8"/>
  <c r="BA318" i="8"/>
  <c r="AZ318" i="8"/>
  <c r="AY318" i="8"/>
  <c r="AX318" i="8"/>
  <c r="AW318" i="8"/>
  <c r="AV318" i="8"/>
  <c r="AU318" i="8"/>
  <c r="BA317" i="8"/>
  <c r="AZ317" i="8"/>
  <c r="AY317" i="8"/>
  <c r="AX317" i="8"/>
  <c r="AW317" i="8"/>
  <c r="AV317" i="8"/>
  <c r="AU317" i="8"/>
  <c r="BA316" i="8"/>
  <c r="AZ316" i="8"/>
  <c r="AY316" i="8"/>
  <c r="AX316" i="8"/>
  <c r="AW316" i="8"/>
  <c r="AV316" i="8"/>
  <c r="AU316" i="8"/>
  <c r="BA315" i="8"/>
  <c r="AZ315" i="8"/>
  <c r="AY315" i="8"/>
  <c r="AX315" i="8"/>
  <c r="AW315" i="8"/>
  <c r="AU315" i="8"/>
  <c r="BA314" i="8"/>
  <c r="AZ314" i="8"/>
  <c r="AY314" i="8"/>
  <c r="AX314" i="8"/>
  <c r="AW314" i="8"/>
  <c r="AU314" i="8"/>
  <c r="BA313" i="8"/>
  <c r="AZ313" i="8"/>
  <c r="AY313" i="8"/>
  <c r="AX313" i="8"/>
  <c r="AW313" i="8"/>
  <c r="AU313" i="8"/>
  <c r="BA312" i="8"/>
  <c r="AZ312" i="8"/>
  <c r="AY312" i="8"/>
  <c r="AX312" i="8"/>
  <c r="AW312" i="8"/>
  <c r="AU312" i="8"/>
  <c r="BA311" i="8"/>
  <c r="AZ311" i="8"/>
  <c r="AY311" i="8"/>
  <c r="AX311" i="8"/>
  <c r="AW311" i="8"/>
  <c r="AV311" i="8"/>
  <c r="AU311" i="8"/>
  <c r="BA310" i="8"/>
  <c r="AZ310" i="8"/>
  <c r="AY310" i="8"/>
  <c r="AX310" i="8"/>
  <c r="AW310" i="8"/>
  <c r="AV310" i="8"/>
  <c r="AU310" i="8"/>
  <c r="BA309" i="8"/>
  <c r="AZ309" i="8"/>
  <c r="AY309" i="8"/>
  <c r="AX309" i="8"/>
  <c r="AW309" i="8"/>
  <c r="AV309" i="8"/>
  <c r="AU309" i="8"/>
  <c r="BA308" i="8"/>
  <c r="AZ308" i="8"/>
  <c r="AY308" i="8"/>
  <c r="AX308" i="8"/>
  <c r="AW308" i="8"/>
  <c r="AV308" i="8"/>
  <c r="AU308" i="8"/>
  <c r="BA300" i="8"/>
  <c r="AZ300" i="8"/>
  <c r="AY300" i="8"/>
  <c r="AX300" i="8"/>
  <c r="AW300" i="8"/>
  <c r="AU300" i="8"/>
  <c r="BA299" i="8"/>
  <c r="AZ299" i="8"/>
  <c r="AY299" i="8"/>
  <c r="AX299" i="8"/>
  <c r="AW299" i="8"/>
  <c r="AU299" i="8"/>
  <c r="BA298" i="8"/>
  <c r="AZ298" i="8"/>
  <c r="AY298" i="8"/>
  <c r="AX298" i="8"/>
  <c r="AW298" i="8"/>
  <c r="AU298" i="8"/>
  <c r="BA297" i="8"/>
  <c r="AZ297" i="8"/>
  <c r="AY297" i="8"/>
  <c r="AX297" i="8"/>
  <c r="AW297" i="8"/>
  <c r="AU297" i="8"/>
  <c r="BA296" i="8"/>
  <c r="AZ296" i="8"/>
  <c r="AY296" i="8"/>
  <c r="AX296" i="8"/>
  <c r="AW296" i="8"/>
  <c r="AU296" i="8"/>
  <c r="BA295" i="8"/>
  <c r="AZ295" i="8"/>
  <c r="AY295" i="8"/>
  <c r="AX295" i="8"/>
  <c r="AW295" i="8"/>
  <c r="AU295" i="8"/>
  <c r="BA294" i="8"/>
  <c r="AZ294" i="8"/>
  <c r="AY294" i="8"/>
  <c r="AX294" i="8"/>
  <c r="AW294" i="8"/>
  <c r="AV294" i="8"/>
  <c r="AU294" i="8"/>
  <c r="BA293" i="8"/>
  <c r="AZ293" i="8"/>
  <c r="AY293" i="8"/>
  <c r="AX293" i="8"/>
  <c r="AW293" i="8"/>
  <c r="AV293" i="8"/>
  <c r="AU293" i="8"/>
  <c r="BA292" i="8"/>
  <c r="AZ292" i="8"/>
  <c r="AY292" i="8"/>
  <c r="AX292" i="8"/>
  <c r="AW292" i="8"/>
  <c r="AV292" i="8"/>
  <c r="AU292" i="8"/>
  <c r="BA291" i="8"/>
  <c r="AZ291" i="8"/>
  <c r="AY291" i="8"/>
  <c r="AX291" i="8"/>
  <c r="AW291" i="8"/>
  <c r="AV291" i="8"/>
  <c r="AU291" i="8"/>
  <c r="BA290" i="8"/>
  <c r="AZ290" i="8"/>
  <c r="AY290" i="8"/>
  <c r="AX290" i="8"/>
  <c r="AW290" i="8"/>
  <c r="AV290" i="8"/>
  <c r="AU290" i="8"/>
  <c r="BA289" i="8"/>
  <c r="AZ289" i="8"/>
  <c r="AY289" i="8"/>
  <c r="AX289" i="8"/>
  <c r="AW289" i="8"/>
  <c r="AV289" i="8"/>
  <c r="AU289" i="8"/>
  <c r="BA288" i="8"/>
  <c r="AZ288" i="8"/>
  <c r="AY288" i="8"/>
  <c r="AX288" i="8"/>
  <c r="AW288" i="8"/>
  <c r="AU288" i="8"/>
  <c r="BA287" i="8"/>
  <c r="AZ287" i="8"/>
  <c r="AY287" i="8"/>
  <c r="AX287" i="8"/>
  <c r="AW287" i="8"/>
  <c r="AU287" i="8"/>
  <c r="BA286" i="8"/>
  <c r="AZ286" i="8"/>
  <c r="AY286" i="8"/>
  <c r="AX286" i="8"/>
  <c r="AW286" i="8"/>
  <c r="AU286" i="8"/>
  <c r="BA285" i="8"/>
  <c r="AZ285" i="8"/>
  <c r="AY285" i="8"/>
  <c r="AX285" i="8"/>
  <c r="AW285" i="8"/>
  <c r="AU285" i="8"/>
  <c r="BA284" i="8"/>
  <c r="AZ284" i="8"/>
  <c r="AY284" i="8"/>
  <c r="AX284" i="8"/>
  <c r="AW284" i="8"/>
  <c r="AV284" i="8"/>
  <c r="AU284" i="8"/>
  <c r="BA283" i="8"/>
  <c r="AZ283" i="8"/>
  <c r="AY283" i="8"/>
  <c r="AX283" i="8"/>
  <c r="AW283" i="8"/>
  <c r="AV283" i="8"/>
  <c r="AU283" i="8"/>
  <c r="BA282" i="8"/>
  <c r="AZ282" i="8"/>
  <c r="AY282" i="8"/>
  <c r="AX282" i="8"/>
  <c r="AW282" i="8"/>
  <c r="AV282" i="8"/>
  <c r="AU282" i="8"/>
  <c r="BA281" i="8"/>
  <c r="AZ281" i="8"/>
  <c r="AY281" i="8"/>
  <c r="AX281" i="8"/>
  <c r="AW281" i="8"/>
  <c r="AV281" i="8"/>
  <c r="AU281" i="8"/>
  <c r="BA280" i="8"/>
  <c r="AZ280" i="8"/>
  <c r="AY280" i="8"/>
  <c r="AX280" i="8"/>
  <c r="AW280" i="8"/>
  <c r="AU280" i="8"/>
  <c r="BA279" i="8"/>
  <c r="AZ279" i="8"/>
  <c r="AY279" i="8"/>
  <c r="AX279" i="8"/>
  <c r="AW279" i="8"/>
  <c r="AU279" i="8"/>
  <c r="BA278" i="8"/>
  <c r="AZ278" i="8"/>
  <c r="AY278" i="8"/>
  <c r="AX278" i="8"/>
  <c r="AW278" i="8"/>
  <c r="AU278" i="8"/>
  <c r="BA277" i="8"/>
  <c r="AZ277" i="8"/>
  <c r="AY277" i="8"/>
  <c r="AX277" i="8"/>
  <c r="AW277" i="8"/>
  <c r="AU277" i="8"/>
  <c r="BA276" i="8"/>
  <c r="AZ276" i="8"/>
  <c r="AY276" i="8"/>
  <c r="AX276" i="8"/>
  <c r="AW276" i="8"/>
  <c r="AV276" i="8"/>
  <c r="AU276" i="8"/>
  <c r="BA275" i="8"/>
  <c r="AZ275" i="8"/>
  <c r="AY275" i="8"/>
  <c r="AX275" i="8"/>
  <c r="AW275" i="8"/>
  <c r="AV275" i="8"/>
  <c r="AU275" i="8"/>
  <c r="BA274" i="8"/>
  <c r="AZ274" i="8"/>
  <c r="AY274" i="8"/>
  <c r="AX274" i="8"/>
  <c r="AW274" i="8"/>
  <c r="AV274" i="8"/>
  <c r="AU274" i="8"/>
  <c r="BA273" i="8"/>
  <c r="AZ273" i="8"/>
  <c r="AY273" i="8"/>
  <c r="AX273" i="8"/>
  <c r="AW273" i="8"/>
  <c r="AV273" i="8"/>
  <c r="AU273" i="8"/>
  <c r="BA263" i="8"/>
  <c r="AZ263" i="8"/>
  <c r="AY263" i="8"/>
  <c r="AX263" i="8"/>
  <c r="AW263" i="8"/>
  <c r="AU263" i="8"/>
  <c r="BA262" i="8"/>
  <c r="AZ262" i="8"/>
  <c r="AY262" i="8"/>
  <c r="AX262" i="8"/>
  <c r="AW262" i="8"/>
  <c r="AU262" i="8"/>
  <c r="BA261" i="8"/>
  <c r="AZ261" i="8"/>
  <c r="AY261" i="8"/>
  <c r="AX261" i="8"/>
  <c r="AW261" i="8"/>
  <c r="AU261" i="8"/>
  <c r="BA260" i="8"/>
  <c r="AZ260" i="8"/>
  <c r="AY260" i="8"/>
  <c r="AX260" i="8"/>
  <c r="AW260" i="8"/>
  <c r="AU260" i="8"/>
  <c r="BA259" i="8"/>
  <c r="AZ259" i="8"/>
  <c r="AY259" i="8"/>
  <c r="AX259" i="8"/>
  <c r="AW259" i="8"/>
  <c r="AV259" i="8"/>
  <c r="AU259" i="8"/>
  <c r="BA258" i="8"/>
  <c r="AZ258" i="8"/>
  <c r="AY258" i="8"/>
  <c r="AX258" i="8"/>
  <c r="AW258" i="8"/>
  <c r="AV258" i="8"/>
  <c r="AU258" i="8"/>
  <c r="BA257" i="8"/>
  <c r="AZ257" i="8"/>
  <c r="AY257" i="8"/>
  <c r="AX257" i="8"/>
  <c r="AW257" i="8"/>
  <c r="AV257" i="8"/>
  <c r="AU257" i="8"/>
  <c r="BA256" i="8"/>
  <c r="AZ256" i="8"/>
  <c r="AY256" i="8"/>
  <c r="AX256" i="8"/>
  <c r="AW256" i="8"/>
  <c r="AV256" i="8"/>
  <c r="AU256" i="8"/>
  <c r="BA255" i="8"/>
  <c r="AZ255" i="8"/>
  <c r="AY255" i="8"/>
  <c r="AX255" i="8"/>
  <c r="AW255" i="8"/>
  <c r="AU255" i="8"/>
  <c r="BA254" i="8"/>
  <c r="AZ254" i="8"/>
  <c r="AY254" i="8"/>
  <c r="AX254" i="8"/>
  <c r="AW254" i="8"/>
  <c r="AU254" i="8"/>
  <c r="BA253" i="8"/>
  <c r="AZ253" i="8"/>
  <c r="AY253" i="8"/>
  <c r="AX253" i="8"/>
  <c r="AW253" i="8"/>
  <c r="AU253" i="8"/>
  <c r="BA252" i="8"/>
  <c r="AZ252" i="8"/>
  <c r="AY252" i="8"/>
  <c r="AX252" i="8"/>
  <c r="AW252" i="8"/>
  <c r="AU252" i="8"/>
  <c r="BA251" i="8"/>
  <c r="AZ251" i="8"/>
  <c r="AY251" i="8"/>
  <c r="AX251" i="8"/>
  <c r="AW251" i="8"/>
  <c r="AV251" i="8"/>
  <c r="AU251" i="8"/>
  <c r="BA250" i="8"/>
  <c r="AZ250" i="8"/>
  <c r="AY250" i="8"/>
  <c r="AX250" i="8"/>
  <c r="AW250" i="8"/>
  <c r="AV250" i="8"/>
  <c r="AU250" i="8"/>
  <c r="BA249" i="8"/>
  <c r="AZ249" i="8"/>
  <c r="AY249" i="8"/>
  <c r="AX249" i="8"/>
  <c r="AW249" i="8"/>
  <c r="AV249" i="8"/>
  <c r="AU249" i="8"/>
  <c r="BA248" i="8"/>
  <c r="AZ248" i="8"/>
  <c r="AY248" i="8"/>
  <c r="AX248" i="8"/>
  <c r="AW248" i="8"/>
  <c r="AV248" i="8"/>
  <c r="AU248" i="8"/>
  <c r="BA199" i="8"/>
  <c r="AZ199" i="8"/>
  <c r="AY199" i="8"/>
  <c r="AX199" i="8"/>
  <c r="AW199" i="8"/>
  <c r="AU199" i="8"/>
  <c r="BA197" i="8"/>
  <c r="AZ197" i="8"/>
  <c r="AY197" i="8"/>
  <c r="AX197" i="8"/>
  <c r="AW197" i="8"/>
  <c r="AU197" i="8"/>
  <c r="BA196" i="8"/>
  <c r="AZ196" i="8"/>
  <c r="AY196" i="8"/>
  <c r="AX196" i="8"/>
  <c r="AW196" i="8"/>
  <c r="AU196" i="8"/>
  <c r="BA195" i="8"/>
  <c r="AZ195" i="8"/>
  <c r="AY195" i="8"/>
  <c r="AX195" i="8"/>
  <c r="AW195" i="8"/>
  <c r="AV195" i="8"/>
  <c r="AU195" i="8"/>
  <c r="BA193" i="8"/>
  <c r="AZ193" i="8"/>
  <c r="AY193" i="8"/>
  <c r="AX193" i="8"/>
  <c r="AW193" i="8"/>
  <c r="AV193" i="8"/>
  <c r="AU193" i="8"/>
  <c r="BA192" i="8"/>
  <c r="AZ192" i="8"/>
  <c r="AY192" i="8"/>
  <c r="AX192" i="8"/>
  <c r="AW192" i="8"/>
  <c r="AV192" i="8"/>
  <c r="AU192" i="8"/>
  <c r="BA191" i="8"/>
  <c r="AZ191" i="8"/>
  <c r="AY191" i="8"/>
  <c r="AX191" i="8"/>
  <c r="AW191" i="8"/>
  <c r="AU191" i="8"/>
  <c r="BA189" i="8"/>
  <c r="AZ189" i="8"/>
  <c r="AY189" i="8"/>
  <c r="AX189" i="8"/>
  <c r="AW189" i="8"/>
  <c r="AU189" i="8"/>
  <c r="BA188" i="8"/>
  <c r="AZ188" i="8"/>
  <c r="AY188" i="8"/>
  <c r="AX188" i="8"/>
  <c r="AW188" i="8"/>
  <c r="AU188" i="8"/>
  <c r="BA187" i="8"/>
  <c r="AZ187" i="8"/>
  <c r="AY187" i="8"/>
  <c r="AX187" i="8"/>
  <c r="AW187" i="8"/>
  <c r="AV187" i="8"/>
  <c r="AU187" i="8"/>
  <c r="BA185" i="8"/>
  <c r="AZ185" i="8"/>
  <c r="AY185" i="8"/>
  <c r="AX185" i="8"/>
  <c r="AW185" i="8"/>
  <c r="AV185" i="8"/>
  <c r="AU185" i="8"/>
  <c r="BA184" i="8"/>
  <c r="AZ184" i="8"/>
  <c r="AY184" i="8"/>
  <c r="AX184" i="8"/>
  <c r="AW184" i="8"/>
  <c r="AV184" i="8"/>
  <c r="AU184" i="8"/>
  <c r="BA183" i="8"/>
  <c r="AZ183" i="8"/>
  <c r="AY183" i="8"/>
  <c r="AX183" i="8"/>
  <c r="AW183" i="8"/>
  <c r="AU183" i="8"/>
  <c r="BA181" i="8"/>
  <c r="AZ181" i="8"/>
  <c r="AY181" i="8"/>
  <c r="AX181" i="8"/>
  <c r="AW181" i="8"/>
  <c r="AU181" i="8"/>
  <c r="BA180" i="8"/>
  <c r="AZ180" i="8"/>
  <c r="AY180" i="8"/>
  <c r="AX180" i="8"/>
  <c r="AW180" i="8"/>
  <c r="AU180" i="8"/>
  <c r="BA179" i="8"/>
  <c r="AZ179" i="8"/>
  <c r="AY179" i="8"/>
  <c r="AX179" i="8"/>
  <c r="AW179" i="8"/>
  <c r="AV179" i="8"/>
  <c r="AU179" i="8"/>
  <c r="BA177" i="8"/>
  <c r="AZ177" i="8"/>
  <c r="AY177" i="8"/>
  <c r="AX177" i="8"/>
  <c r="AW177" i="8"/>
  <c r="AV177" i="8"/>
  <c r="AU177" i="8"/>
  <c r="BA176" i="8"/>
  <c r="AZ176" i="8"/>
  <c r="AY176" i="8"/>
  <c r="AX176" i="8"/>
  <c r="AW176" i="8"/>
  <c r="AV176" i="8"/>
  <c r="AU176" i="8"/>
  <c r="BA175" i="8"/>
  <c r="AZ175" i="8"/>
  <c r="AY175" i="8"/>
  <c r="AX175" i="8"/>
  <c r="AW175" i="8"/>
  <c r="AU175" i="8"/>
  <c r="BA173" i="8"/>
  <c r="AZ173" i="8"/>
  <c r="AY173" i="8"/>
  <c r="AX173" i="8"/>
  <c r="AW173" i="8"/>
  <c r="AU173" i="8"/>
  <c r="BA172" i="8"/>
  <c r="AZ172" i="8"/>
  <c r="AY172" i="8"/>
  <c r="AX172" i="8"/>
  <c r="AW172" i="8"/>
  <c r="AU172" i="8"/>
  <c r="BA171" i="8"/>
  <c r="AZ171" i="8"/>
  <c r="AY171" i="8"/>
  <c r="AX171" i="8"/>
  <c r="AW171" i="8"/>
  <c r="AV171" i="8"/>
  <c r="AU171" i="8"/>
  <c r="BA169" i="8"/>
  <c r="AZ169" i="8"/>
  <c r="AY169" i="8"/>
  <c r="AX169" i="8"/>
  <c r="AW169" i="8"/>
  <c r="AV169" i="8"/>
  <c r="AU169" i="8"/>
  <c r="BA168" i="8"/>
  <c r="AZ168" i="8"/>
  <c r="AY168" i="8"/>
  <c r="AX168" i="8"/>
  <c r="AW168" i="8"/>
  <c r="AV168" i="8"/>
  <c r="AU168" i="8"/>
  <c r="BA167" i="8"/>
  <c r="AZ167" i="8"/>
  <c r="AY167" i="8"/>
  <c r="AX167" i="8"/>
  <c r="AW167" i="8"/>
  <c r="AU167" i="8"/>
  <c r="BA165" i="8"/>
  <c r="AZ165" i="8"/>
  <c r="AY165" i="8"/>
  <c r="AX165" i="8"/>
  <c r="AW165" i="8"/>
  <c r="AU165" i="8"/>
  <c r="BA164" i="8"/>
  <c r="AZ164" i="8"/>
  <c r="AY164" i="8"/>
  <c r="AX164" i="8"/>
  <c r="AW164" i="8"/>
  <c r="AU164" i="8"/>
  <c r="BA163" i="8"/>
  <c r="AZ163" i="8"/>
  <c r="AY163" i="8"/>
  <c r="AX163" i="8"/>
  <c r="AW163" i="8"/>
  <c r="AV163" i="8"/>
  <c r="AU163" i="8"/>
  <c r="BA161" i="8"/>
  <c r="AZ161" i="8"/>
  <c r="AY161" i="8"/>
  <c r="AX161" i="8"/>
  <c r="AW161" i="8"/>
  <c r="AV161" i="8"/>
  <c r="AU161" i="8"/>
  <c r="BA160" i="8"/>
  <c r="AZ160" i="8"/>
  <c r="AY160" i="8"/>
  <c r="AX160" i="8"/>
  <c r="AW160" i="8"/>
  <c r="AV160" i="8"/>
  <c r="AU160" i="8"/>
  <c r="BA159" i="8"/>
  <c r="AZ159" i="8"/>
  <c r="AY159" i="8"/>
  <c r="AX159" i="8"/>
  <c r="AW159" i="8"/>
  <c r="AU159" i="8"/>
  <c r="BA158" i="8"/>
  <c r="AZ158" i="8"/>
  <c r="AY158" i="8"/>
  <c r="AX158" i="8"/>
  <c r="AW158" i="8"/>
  <c r="AU158" i="8"/>
  <c r="BA157" i="8"/>
  <c r="AZ157" i="8"/>
  <c r="AY157" i="8"/>
  <c r="AX157" i="8"/>
  <c r="AW157" i="8"/>
  <c r="AU157" i="8"/>
  <c r="BA156" i="8"/>
  <c r="AZ156" i="8"/>
  <c r="AY156" i="8"/>
  <c r="AX156" i="8"/>
  <c r="AW156" i="8"/>
  <c r="AU156" i="8"/>
  <c r="BA155" i="8"/>
  <c r="AZ155" i="8"/>
  <c r="AY155" i="8"/>
  <c r="AX155" i="8"/>
  <c r="AW155" i="8"/>
  <c r="AV155" i="8"/>
  <c r="AU155" i="8"/>
  <c r="BA154" i="8"/>
  <c r="AZ154" i="8"/>
  <c r="AY154" i="8"/>
  <c r="AX154" i="8"/>
  <c r="AW154" i="8"/>
  <c r="AV154" i="8"/>
  <c r="AU154" i="8"/>
  <c r="BA153" i="8"/>
  <c r="AZ153" i="8"/>
  <c r="AY153" i="8"/>
  <c r="AX153" i="8"/>
  <c r="AW153" i="8"/>
  <c r="AV153" i="8"/>
  <c r="AU153" i="8"/>
  <c r="BA152" i="8"/>
  <c r="AZ152" i="8"/>
  <c r="AY152" i="8"/>
  <c r="AX152" i="8"/>
  <c r="AW152" i="8"/>
  <c r="AV152" i="8"/>
  <c r="AU152" i="8"/>
  <c r="BA151" i="8"/>
  <c r="AZ151" i="8"/>
  <c r="AY151" i="8"/>
  <c r="AX151" i="8"/>
  <c r="AW151" i="8"/>
  <c r="AU151" i="8"/>
  <c r="BA150" i="8"/>
  <c r="AZ150" i="8"/>
  <c r="AY150" i="8"/>
  <c r="AX150" i="8"/>
  <c r="AW150" i="8"/>
  <c r="AU150" i="8"/>
  <c r="BA149" i="8"/>
  <c r="AZ149" i="8"/>
  <c r="AY149" i="8"/>
  <c r="AX149" i="8"/>
  <c r="AW149" i="8"/>
  <c r="AU149" i="8"/>
  <c r="BA148" i="8"/>
  <c r="AZ148" i="8"/>
  <c r="AY148" i="8"/>
  <c r="AX148" i="8"/>
  <c r="AW148" i="8"/>
  <c r="AU148" i="8"/>
  <c r="BA146" i="8"/>
  <c r="AZ146" i="8"/>
  <c r="AY146" i="8"/>
  <c r="AX146" i="8"/>
  <c r="AW146" i="8"/>
  <c r="AV146" i="8"/>
  <c r="AU146" i="8"/>
  <c r="BA145" i="8"/>
  <c r="AZ145" i="8"/>
  <c r="AY145" i="8"/>
  <c r="AX145" i="8"/>
  <c r="AW145" i="8"/>
  <c r="AV145" i="8"/>
  <c r="AU145" i="8"/>
  <c r="BA144" i="8"/>
  <c r="AZ144" i="8"/>
  <c r="AY144" i="8"/>
  <c r="AX144" i="8"/>
  <c r="AW144" i="8"/>
  <c r="AV144" i="8"/>
  <c r="AU144" i="8"/>
  <c r="BA143" i="8"/>
  <c r="AZ143" i="8"/>
  <c r="AY143" i="8"/>
  <c r="AX143" i="8"/>
  <c r="AW143" i="8"/>
  <c r="AV143" i="8"/>
  <c r="AU143" i="8"/>
  <c r="BA141" i="8"/>
  <c r="AZ141" i="8"/>
  <c r="AY141" i="8"/>
  <c r="AX141" i="8"/>
  <c r="AW141" i="8"/>
  <c r="AU141" i="8"/>
  <c r="BA140" i="8"/>
  <c r="AZ140" i="8"/>
  <c r="AY140" i="8"/>
  <c r="AX140" i="8"/>
  <c r="AW140" i="8"/>
  <c r="AU140" i="8"/>
  <c r="BA139" i="8"/>
  <c r="AZ139" i="8"/>
  <c r="AY139" i="8"/>
  <c r="AX139" i="8"/>
  <c r="AW139" i="8"/>
  <c r="AU139" i="8"/>
  <c r="BA138" i="8"/>
  <c r="AZ138" i="8"/>
  <c r="AY138" i="8"/>
  <c r="AX138" i="8"/>
  <c r="AW138" i="8"/>
  <c r="AU138" i="8"/>
  <c r="BA137" i="8"/>
  <c r="AZ137" i="8"/>
  <c r="AY137" i="8"/>
  <c r="AX137" i="8"/>
  <c r="AW137" i="8"/>
  <c r="AV137" i="8"/>
  <c r="AU137" i="8"/>
  <c r="BA136" i="8"/>
  <c r="AZ136" i="8"/>
  <c r="AY136" i="8"/>
  <c r="AX136" i="8"/>
  <c r="AW136" i="8"/>
  <c r="AV136" i="8"/>
  <c r="AU136" i="8"/>
  <c r="BA135" i="8"/>
  <c r="AZ135" i="8"/>
  <c r="AY135" i="8"/>
  <c r="AX135" i="8"/>
  <c r="AW135" i="8"/>
  <c r="AV135" i="8"/>
  <c r="AU135" i="8"/>
  <c r="BA134" i="8"/>
  <c r="AZ134" i="8"/>
  <c r="AY134" i="8"/>
  <c r="AX134" i="8"/>
  <c r="AW134" i="8"/>
  <c r="AV134" i="8"/>
  <c r="AU134" i="8"/>
  <c r="BA133" i="8"/>
  <c r="AZ133" i="8"/>
  <c r="AY133" i="8"/>
  <c r="AX133" i="8"/>
  <c r="AW133" i="8"/>
  <c r="AV133" i="8"/>
  <c r="AU133" i="8"/>
  <c r="BA132" i="8"/>
  <c r="AZ132" i="8"/>
  <c r="AY132" i="8"/>
  <c r="AX132" i="8"/>
  <c r="AW132" i="8"/>
  <c r="AU132" i="8"/>
  <c r="BA131" i="8"/>
  <c r="AZ131" i="8"/>
  <c r="AY131" i="8"/>
  <c r="AX131" i="8"/>
  <c r="AW131" i="8"/>
  <c r="AU131" i="8"/>
  <c r="BA130" i="8"/>
  <c r="AZ130" i="8"/>
  <c r="AY130" i="8"/>
  <c r="AX130" i="8"/>
  <c r="AW130" i="8"/>
  <c r="AU130" i="8"/>
  <c r="BA129" i="8"/>
  <c r="AZ129" i="8"/>
  <c r="AY129" i="8"/>
  <c r="AX129" i="8"/>
  <c r="AW129" i="8"/>
  <c r="AU129" i="8"/>
  <c r="BA128" i="8"/>
  <c r="AZ128" i="8"/>
  <c r="AY128" i="8"/>
  <c r="AX128" i="8"/>
  <c r="AW128" i="8"/>
  <c r="AV128" i="8"/>
  <c r="AU128" i="8"/>
  <c r="BA127" i="8"/>
  <c r="AZ127" i="8"/>
  <c r="AY127" i="8"/>
  <c r="AX127" i="8"/>
  <c r="AW127" i="8"/>
  <c r="AV127" i="8"/>
  <c r="AU127" i="8"/>
  <c r="BA126" i="8"/>
  <c r="AZ126" i="8"/>
  <c r="AY126" i="8"/>
  <c r="AX126" i="8"/>
  <c r="AW126" i="8"/>
  <c r="AV126" i="8"/>
  <c r="AU126" i="8"/>
  <c r="BA125" i="8"/>
  <c r="AZ125" i="8"/>
  <c r="AY125" i="8"/>
  <c r="AX125" i="8"/>
  <c r="AW125" i="8"/>
  <c r="AV125" i="8"/>
  <c r="AU125" i="8"/>
  <c r="BA124" i="8"/>
  <c r="AZ124" i="8"/>
  <c r="AY124" i="8"/>
  <c r="AX124" i="8"/>
  <c r="AW124" i="8"/>
  <c r="AV124" i="8"/>
  <c r="AU124" i="8"/>
  <c r="BA123" i="8"/>
  <c r="AZ123" i="8"/>
  <c r="AY123" i="8"/>
  <c r="AX123" i="8"/>
  <c r="AW123" i="8"/>
  <c r="AU123" i="8"/>
  <c r="BA122" i="8"/>
  <c r="AZ122" i="8"/>
  <c r="AY122" i="8"/>
  <c r="AX122" i="8"/>
  <c r="AW122" i="8"/>
  <c r="AU122" i="8"/>
  <c r="BA121" i="8"/>
  <c r="AZ121" i="8"/>
  <c r="AY121" i="8"/>
  <c r="AX121" i="8"/>
  <c r="AW121" i="8"/>
  <c r="AU121" i="8"/>
  <c r="BA120" i="8"/>
  <c r="AZ120" i="8"/>
  <c r="AY120" i="8"/>
  <c r="AX120" i="8"/>
  <c r="AW120" i="8"/>
  <c r="AU120" i="8"/>
  <c r="BA119" i="8"/>
  <c r="AZ119" i="8"/>
  <c r="AY119" i="8"/>
  <c r="AX119" i="8"/>
  <c r="AW119" i="8"/>
  <c r="AV119" i="8"/>
  <c r="AU119" i="8"/>
  <c r="BA118" i="8"/>
  <c r="AZ118" i="8"/>
  <c r="AY118" i="8"/>
  <c r="AX118" i="8"/>
  <c r="AW118" i="8"/>
  <c r="AV118" i="8"/>
  <c r="AU118" i="8"/>
  <c r="BA117" i="8"/>
  <c r="AZ117" i="8"/>
  <c r="AY117" i="8"/>
  <c r="AX117" i="8"/>
  <c r="AW117" i="8"/>
  <c r="AV117" i="8"/>
  <c r="AU117" i="8"/>
  <c r="BA116" i="8"/>
  <c r="AZ116" i="8"/>
  <c r="AY116" i="8"/>
  <c r="AX116" i="8"/>
  <c r="AW116" i="8"/>
  <c r="AV116" i="8"/>
  <c r="AU116" i="8"/>
  <c r="BA115" i="8"/>
  <c r="AZ115" i="8"/>
  <c r="AY115" i="8"/>
  <c r="AX115" i="8"/>
  <c r="AW115" i="8"/>
  <c r="AV115" i="8"/>
  <c r="AU115" i="8"/>
  <c r="BA114" i="8"/>
  <c r="AZ114" i="8"/>
  <c r="AY114" i="8"/>
  <c r="AX114" i="8"/>
  <c r="AW114" i="8"/>
  <c r="AU114" i="8"/>
  <c r="BA113" i="8"/>
  <c r="AZ113" i="8"/>
  <c r="AY113" i="8"/>
  <c r="AX113" i="8"/>
  <c r="AW113" i="8"/>
  <c r="AU113" i="8"/>
  <c r="BA112" i="8"/>
  <c r="AZ112" i="8"/>
  <c r="AY112" i="8"/>
  <c r="AX112" i="8"/>
  <c r="AW112" i="8"/>
  <c r="AU112" i="8"/>
  <c r="BA111" i="8"/>
  <c r="AZ111" i="8"/>
  <c r="AY111" i="8"/>
  <c r="AX111" i="8"/>
  <c r="AW111" i="8"/>
  <c r="AU111" i="8"/>
  <c r="BA110" i="8"/>
  <c r="AZ110" i="8"/>
  <c r="AY110" i="8"/>
  <c r="AX110" i="8"/>
  <c r="AW110" i="8"/>
  <c r="AV110" i="8"/>
  <c r="AU110" i="8"/>
  <c r="BA109" i="8"/>
  <c r="AZ109" i="8"/>
  <c r="AY109" i="8"/>
  <c r="AX109" i="8"/>
  <c r="AW109" i="8"/>
  <c r="AV109" i="8"/>
  <c r="AU109" i="8"/>
  <c r="BA108" i="8"/>
  <c r="AZ108" i="8"/>
  <c r="AY108" i="8"/>
  <c r="AX108" i="8"/>
  <c r="AW108" i="8"/>
  <c r="AV108" i="8"/>
  <c r="AU108" i="8"/>
  <c r="BA107" i="8"/>
  <c r="AZ107" i="8"/>
  <c r="AY107" i="8"/>
  <c r="AX107" i="8"/>
  <c r="AW107" i="8"/>
  <c r="AV107" i="8"/>
  <c r="AU107" i="8"/>
  <c r="BA106" i="8"/>
  <c r="AZ106" i="8"/>
  <c r="AY106" i="8"/>
  <c r="AX106" i="8"/>
  <c r="AW106" i="8"/>
  <c r="AU106" i="8"/>
  <c r="BA105" i="8"/>
  <c r="AZ105" i="8"/>
  <c r="AY105" i="8"/>
  <c r="AX105" i="8"/>
  <c r="AW105" i="8"/>
  <c r="AU105" i="8"/>
  <c r="BA104" i="8"/>
  <c r="AZ104" i="8"/>
  <c r="AY104" i="8"/>
  <c r="AX104" i="8"/>
  <c r="AW104" i="8"/>
  <c r="AU104" i="8"/>
  <c r="BA103" i="8"/>
  <c r="AZ103" i="8"/>
  <c r="AY103" i="8"/>
  <c r="AX103" i="8"/>
  <c r="AW103" i="8"/>
  <c r="AU103" i="8"/>
  <c r="BA101" i="8"/>
  <c r="AZ101" i="8"/>
  <c r="AY101" i="8"/>
  <c r="AX101" i="8"/>
  <c r="AW101" i="8"/>
  <c r="AV101" i="8"/>
  <c r="AU101" i="8"/>
  <c r="BA100" i="8"/>
  <c r="AZ100" i="8"/>
  <c r="AY100" i="8"/>
  <c r="AX100" i="8"/>
  <c r="AW100" i="8"/>
  <c r="AV100" i="8"/>
  <c r="AU100" i="8"/>
  <c r="BA99" i="8"/>
  <c r="AZ99" i="8"/>
  <c r="AY99" i="8"/>
  <c r="AX99" i="8"/>
  <c r="AW99" i="8"/>
  <c r="AV99" i="8"/>
  <c r="AU99" i="8"/>
  <c r="BA98" i="8"/>
  <c r="AZ98" i="8"/>
  <c r="AY98" i="8"/>
  <c r="AX98" i="8"/>
  <c r="AW98" i="8"/>
  <c r="AV98" i="8"/>
  <c r="AU98" i="8"/>
  <c r="BA96" i="8"/>
  <c r="AZ96" i="8"/>
  <c r="AY96" i="8"/>
  <c r="AX96" i="8"/>
  <c r="AW96" i="8"/>
  <c r="AU96" i="8"/>
  <c r="BA95" i="8"/>
  <c r="AZ95" i="8"/>
  <c r="AY95" i="8"/>
  <c r="AX95" i="8"/>
  <c r="AW95" i="8"/>
  <c r="AU95" i="8"/>
  <c r="BA94" i="8"/>
  <c r="AZ94" i="8"/>
  <c r="AY94" i="8"/>
  <c r="AX94" i="8"/>
  <c r="AW94" i="8"/>
  <c r="AU94" i="8"/>
  <c r="BA93" i="8"/>
  <c r="AZ93" i="8"/>
  <c r="AY93" i="8"/>
  <c r="AX93" i="8"/>
  <c r="AW93" i="8"/>
  <c r="AU93" i="8"/>
  <c r="BA92" i="8"/>
  <c r="AZ92" i="8"/>
  <c r="AY92" i="8"/>
  <c r="AX92" i="8"/>
  <c r="AW92" i="8"/>
  <c r="AU92" i="8"/>
  <c r="BA91" i="8"/>
  <c r="AZ91" i="8"/>
  <c r="AY91" i="8"/>
  <c r="AX91" i="8"/>
  <c r="AW91" i="8"/>
  <c r="AU91" i="8"/>
  <c r="BA90" i="8"/>
  <c r="AZ90" i="8"/>
  <c r="AY90" i="8"/>
  <c r="AX90" i="8"/>
  <c r="AW90" i="8"/>
  <c r="AV90" i="8"/>
  <c r="AU90" i="8"/>
  <c r="BA89" i="8"/>
  <c r="AZ89" i="8"/>
  <c r="AY89" i="8"/>
  <c r="AX89" i="8"/>
  <c r="AW89" i="8"/>
  <c r="AV89" i="8"/>
  <c r="AU89" i="8"/>
  <c r="BA88" i="8"/>
  <c r="AZ88" i="8"/>
  <c r="AY88" i="8"/>
  <c r="AX88" i="8"/>
  <c r="AW88" i="8"/>
  <c r="AV88" i="8"/>
  <c r="AU88" i="8"/>
  <c r="BA87" i="8"/>
  <c r="AZ87" i="8"/>
  <c r="AY87" i="8"/>
  <c r="AX87" i="8"/>
  <c r="AW87" i="8"/>
  <c r="AV87" i="8"/>
  <c r="AU87" i="8"/>
  <c r="BA86" i="8"/>
  <c r="AZ86" i="8"/>
  <c r="AY86" i="8"/>
  <c r="AX86" i="8"/>
  <c r="AW86" i="8"/>
  <c r="AV86" i="8"/>
  <c r="AU86" i="8"/>
  <c r="BA85" i="8"/>
  <c r="AZ85" i="8"/>
  <c r="AY85" i="8"/>
  <c r="AX85" i="8"/>
  <c r="AW85" i="8"/>
  <c r="AV85" i="8"/>
  <c r="AU85" i="8"/>
  <c r="BA84" i="8"/>
  <c r="AZ84" i="8"/>
  <c r="AY84" i="8"/>
  <c r="AX84" i="8"/>
  <c r="AW84" i="8"/>
  <c r="AU84" i="8"/>
  <c r="BA83" i="8"/>
  <c r="AZ83" i="8"/>
  <c r="AY83" i="8"/>
  <c r="AX83" i="8"/>
  <c r="AW83" i="8"/>
  <c r="AU83" i="8"/>
  <c r="BA82" i="8"/>
  <c r="AZ82" i="8"/>
  <c r="AY82" i="8"/>
  <c r="AX82" i="8"/>
  <c r="AW82" i="8"/>
  <c r="AU82" i="8"/>
  <c r="BA81" i="8"/>
  <c r="AZ81" i="8"/>
  <c r="AY81" i="8"/>
  <c r="AX81" i="8"/>
  <c r="AW81" i="8"/>
  <c r="AU81" i="8"/>
  <c r="BA80" i="8"/>
  <c r="AZ80" i="8"/>
  <c r="AY80" i="8"/>
  <c r="AX80" i="8"/>
  <c r="AW80" i="8"/>
  <c r="AU80" i="8"/>
  <c r="BA79" i="8"/>
  <c r="AZ79" i="8"/>
  <c r="AY79" i="8"/>
  <c r="AX79" i="8"/>
  <c r="AW79" i="8"/>
  <c r="AU79" i="8"/>
  <c r="BA78" i="8"/>
  <c r="AZ78" i="8"/>
  <c r="AY78" i="8"/>
  <c r="AX78" i="8"/>
  <c r="AW78" i="8"/>
  <c r="AV78" i="8"/>
  <c r="AU78" i="8"/>
  <c r="BA77" i="8"/>
  <c r="AZ77" i="8"/>
  <c r="AY77" i="8"/>
  <c r="AX77" i="8"/>
  <c r="AW77" i="8"/>
  <c r="AV77" i="8"/>
  <c r="AU77" i="8"/>
  <c r="BA76" i="8"/>
  <c r="AZ76" i="8"/>
  <c r="AY76" i="8"/>
  <c r="AX76" i="8"/>
  <c r="AW76" i="8"/>
  <c r="AV76" i="8"/>
  <c r="AU76" i="8"/>
  <c r="BA75" i="8"/>
  <c r="AZ75" i="8"/>
  <c r="AY75" i="8"/>
  <c r="AX75" i="8"/>
  <c r="AW75" i="8"/>
  <c r="AV75" i="8"/>
  <c r="AU75" i="8"/>
  <c r="BA74" i="8"/>
  <c r="AZ74" i="8"/>
  <c r="AY74" i="8"/>
  <c r="AX74" i="8"/>
  <c r="AW74" i="8"/>
  <c r="AV74" i="8"/>
  <c r="AU74" i="8"/>
  <c r="BA73" i="8"/>
  <c r="AZ73" i="8"/>
  <c r="AY73" i="8"/>
  <c r="AX73" i="8"/>
  <c r="AW73" i="8"/>
  <c r="AV73" i="8"/>
  <c r="AU73" i="8"/>
  <c r="BA72" i="8"/>
  <c r="AZ72" i="8"/>
  <c r="AY72" i="8"/>
  <c r="AX72" i="8"/>
  <c r="AW72" i="8"/>
  <c r="AU72" i="8"/>
  <c r="BA71" i="8"/>
  <c r="AZ71" i="8"/>
  <c r="AY71" i="8"/>
  <c r="AX71" i="8"/>
  <c r="AW71" i="8"/>
  <c r="AU71" i="8"/>
  <c r="BA70" i="8"/>
  <c r="AZ70" i="8"/>
  <c r="AY70" i="8"/>
  <c r="AX70" i="8"/>
  <c r="AW70" i="8"/>
  <c r="AU70" i="8"/>
  <c r="BA69" i="8"/>
  <c r="AZ69" i="8"/>
  <c r="AY69" i="8"/>
  <c r="AX69" i="8"/>
  <c r="AW69" i="8"/>
  <c r="AU69" i="8"/>
  <c r="BA68" i="8"/>
  <c r="AZ68" i="8"/>
  <c r="AY68" i="8"/>
  <c r="AX68" i="8"/>
  <c r="AW68" i="8"/>
  <c r="AU68" i="8"/>
  <c r="BA67" i="8"/>
  <c r="AZ67" i="8"/>
  <c r="AY67" i="8"/>
  <c r="AX67" i="8"/>
  <c r="AW67" i="8"/>
  <c r="AU67" i="8"/>
  <c r="BA66" i="8"/>
  <c r="AZ66" i="8"/>
  <c r="AY66" i="8"/>
  <c r="AX66" i="8"/>
  <c r="AW66" i="8"/>
  <c r="AV66" i="8"/>
  <c r="AU66" i="8"/>
  <c r="BA65" i="8"/>
  <c r="AZ65" i="8"/>
  <c r="AY65" i="8"/>
  <c r="AX65" i="8"/>
  <c r="AW65" i="8"/>
  <c r="AV65" i="8"/>
  <c r="AU65" i="8"/>
  <c r="BA64" i="8"/>
  <c r="AZ64" i="8"/>
  <c r="AY64" i="8"/>
  <c r="AX64" i="8"/>
  <c r="AW64" i="8"/>
  <c r="AV64" i="8"/>
  <c r="AU64" i="8"/>
  <c r="BA63" i="8"/>
  <c r="AZ63" i="8"/>
  <c r="AY63" i="8"/>
  <c r="AX63" i="8"/>
  <c r="AW63" i="8"/>
  <c r="AV63" i="8"/>
  <c r="AU63" i="8"/>
  <c r="BA62" i="8"/>
  <c r="AZ62" i="8"/>
  <c r="AY62" i="8"/>
  <c r="AX62" i="8"/>
  <c r="AW62" i="8"/>
  <c r="AV62" i="8"/>
  <c r="AU62" i="8"/>
  <c r="BA61" i="8"/>
  <c r="AZ61" i="8"/>
  <c r="AY61" i="8"/>
  <c r="AX61" i="8"/>
  <c r="AW61" i="8"/>
  <c r="AV61" i="8"/>
  <c r="AU61" i="8"/>
  <c r="BA60" i="8"/>
  <c r="AZ60" i="8"/>
  <c r="AY60" i="8"/>
  <c r="AX60" i="8"/>
  <c r="AW60" i="8"/>
  <c r="AU60" i="8"/>
  <c r="BA59" i="8"/>
  <c r="AZ59" i="8"/>
  <c r="AY59" i="8"/>
  <c r="AX59" i="8"/>
  <c r="AW59" i="8"/>
  <c r="AU59" i="8"/>
  <c r="BA58" i="8"/>
  <c r="AZ58" i="8"/>
  <c r="AY58" i="8"/>
  <c r="AX58" i="8"/>
  <c r="AW58" i="8"/>
  <c r="AU58" i="8"/>
  <c r="BA57" i="8"/>
  <c r="AZ57" i="8"/>
  <c r="AY57" i="8"/>
  <c r="AX57" i="8"/>
  <c r="AW57" i="8"/>
  <c r="AU57" i="8"/>
  <c r="BA56" i="8"/>
  <c r="AZ56" i="8"/>
  <c r="AY56" i="8"/>
  <c r="AX56" i="8"/>
  <c r="AW56" i="8"/>
  <c r="AV56" i="8"/>
  <c r="AU56" i="8"/>
  <c r="BA55" i="8"/>
  <c r="AZ55" i="8"/>
  <c r="AY55" i="8"/>
  <c r="AX55" i="8"/>
  <c r="AW55" i="8"/>
  <c r="AV55" i="8"/>
  <c r="AU55" i="8"/>
  <c r="BA54" i="8"/>
  <c r="AZ54" i="8"/>
  <c r="AY54" i="8"/>
  <c r="AX54" i="8"/>
  <c r="AW54" i="8"/>
  <c r="AV54" i="8"/>
  <c r="AU54" i="8"/>
  <c r="BA53" i="8"/>
  <c r="AZ53" i="8"/>
  <c r="AY53" i="8"/>
  <c r="AX53" i="8"/>
  <c r="AW53" i="8"/>
  <c r="AV53" i="8"/>
  <c r="AU53" i="8"/>
  <c r="BA52" i="8"/>
  <c r="AZ52" i="8"/>
  <c r="AY52" i="8"/>
  <c r="AX52" i="8"/>
  <c r="AW52" i="8"/>
  <c r="AU52" i="8"/>
  <c r="BA51" i="8"/>
  <c r="AZ51" i="8"/>
  <c r="AY51" i="8"/>
  <c r="AX51" i="8"/>
  <c r="AW51" i="8"/>
  <c r="AU51" i="8"/>
  <c r="BA50" i="8"/>
  <c r="AZ50" i="8"/>
  <c r="AY50" i="8"/>
  <c r="AX50" i="8"/>
  <c r="AW50" i="8"/>
  <c r="AU50" i="8"/>
  <c r="BA49" i="8"/>
  <c r="AZ49" i="8"/>
  <c r="AY49" i="8"/>
  <c r="AX49" i="8"/>
  <c r="AW49" i="8"/>
  <c r="AU49" i="8"/>
  <c r="BA47" i="8"/>
  <c r="AZ47" i="8"/>
  <c r="AY47" i="8"/>
  <c r="AX47" i="8"/>
  <c r="AW47" i="8"/>
  <c r="AV47" i="8"/>
  <c r="AU47" i="8"/>
  <c r="BA46" i="8"/>
  <c r="AZ46" i="8"/>
  <c r="AY46" i="8"/>
  <c r="AX46" i="8"/>
  <c r="AW46" i="8"/>
  <c r="AV46" i="8"/>
  <c r="AU46" i="8"/>
  <c r="BA45" i="8"/>
  <c r="AZ45" i="8"/>
  <c r="AY45" i="8"/>
  <c r="AX45" i="8"/>
  <c r="AW45" i="8"/>
  <c r="AV45" i="8"/>
  <c r="AU45" i="8"/>
  <c r="BA44" i="8"/>
  <c r="AZ44" i="8"/>
  <c r="AY44" i="8"/>
  <c r="AX44" i="8"/>
  <c r="AW44" i="8"/>
  <c r="AV44" i="8"/>
  <c r="AU44" i="8"/>
  <c r="BA42" i="8"/>
  <c r="AZ42" i="8"/>
  <c r="AY42" i="8"/>
  <c r="AX42" i="8"/>
  <c r="AW42" i="8"/>
  <c r="AU42" i="8"/>
  <c r="BA41" i="8"/>
  <c r="AZ41" i="8"/>
  <c r="AY41" i="8"/>
  <c r="AX41" i="8"/>
  <c r="AW41" i="8"/>
  <c r="AU41" i="8"/>
  <c r="BA40" i="8"/>
  <c r="AZ40" i="8"/>
  <c r="AY40" i="8"/>
  <c r="AX40" i="8"/>
  <c r="AW40" i="8"/>
  <c r="AU40" i="8"/>
  <c r="BA39" i="8"/>
  <c r="AZ39" i="8"/>
  <c r="AY39" i="8"/>
  <c r="AX39" i="8"/>
  <c r="AW39" i="8"/>
  <c r="AU39" i="8"/>
  <c r="BA38" i="8"/>
  <c r="AZ38" i="8"/>
  <c r="AY38" i="8"/>
  <c r="AX38" i="8"/>
  <c r="AW38" i="8"/>
  <c r="AU38" i="8"/>
  <c r="BA37" i="8"/>
  <c r="AZ37" i="8"/>
  <c r="AY37" i="8"/>
  <c r="AX37" i="8"/>
  <c r="AW37" i="8"/>
  <c r="AU37" i="8"/>
  <c r="BA36" i="8"/>
  <c r="AZ36" i="8"/>
  <c r="AY36" i="8"/>
  <c r="AX36" i="8"/>
  <c r="AW36" i="8"/>
  <c r="AV36" i="8"/>
  <c r="AU36" i="8"/>
  <c r="BA35" i="8"/>
  <c r="AZ35" i="8"/>
  <c r="AY35" i="8"/>
  <c r="AX35" i="8"/>
  <c r="AW35" i="8"/>
  <c r="AV35" i="8"/>
  <c r="AU35" i="8"/>
  <c r="BA34" i="8"/>
  <c r="AZ34" i="8"/>
  <c r="AY34" i="8"/>
  <c r="AX34" i="8"/>
  <c r="AW34" i="8"/>
  <c r="AV34" i="8"/>
  <c r="AU34" i="8"/>
  <c r="BA33" i="8"/>
  <c r="AZ33" i="8"/>
  <c r="AY33" i="8"/>
  <c r="AX33" i="8"/>
  <c r="AW33" i="8"/>
  <c r="AV33" i="8"/>
  <c r="AU33" i="8"/>
  <c r="BA32" i="8"/>
  <c r="AZ32" i="8"/>
  <c r="AY32" i="8"/>
  <c r="AX32" i="8"/>
  <c r="AW32" i="8"/>
  <c r="AV32" i="8"/>
  <c r="AU32" i="8"/>
  <c r="BA31" i="8"/>
  <c r="AZ31" i="8"/>
  <c r="AY31" i="8"/>
  <c r="AX31" i="8"/>
  <c r="AW31" i="8"/>
  <c r="AV31" i="8"/>
  <c r="AU31" i="8"/>
  <c r="BA30" i="8"/>
  <c r="AZ30" i="8"/>
  <c r="AY30" i="8"/>
  <c r="AX30" i="8"/>
  <c r="AW30" i="8"/>
  <c r="AU30" i="8"/>
  <c r="BA29" i="8"/>
  <c r="AZ29" i="8"/>
  <c r="AY29" i="8"/>
  <c r="AX29" i="8"/>
  <c r="AW29" i="8"/>
  <c r="AU29" i="8"/>
  <c r="BA28" i="8"/>
  <c r="AZ28" i="8"/>
  <c r="AY28" i="8"/>
  <c r="AX28" i="8"/>
  <c r="AW28" i="8"/>
  <c r="AU28" i="8"/>
  <c r="BA27" i="8"/>
  <c r="AZ27" i="8"/>
  <c r="AY27" i="8"/>
  <c r="AX27" i="8"/>
  <c r="AW27" i="8"/>
  <c r="AU27" i="8"/>
  <c r="BA26" i="8"/>
  <c r="AZ26" i="8"/>
  <c r="AY26" i="8"/>
  <c r="AX26" i="8"/>
  <c r="AW26" i="8"/>
  <c r="AU26" i="8"/>
  <c r="BA25" i="8"/>
  <c r="AZ25" i="8"/>
  <c r="AY25" i="8"/>
  <c r="AX25" i="8"/>
  <c r="AW25" i="8"/>
  <c r="AU25" i="8"/>
  <c r="BA24" i="8"/>
  <c r="AZ24" i="8"/>
  <c r="AY24" i="8"/>
  <c r="AX24" i="8"/>
  <c r="AW24" i="8"/>
  <c r="AV24" i="8"/>
  <c r="AU24" i="8"/>
  <c r="BA23" i="8"/>
  <c r="AZ23" i="8"/>
  <c r="AY23" i="8"/>
  <c r="AX23" i="8"/>
  <c r="AW23" i="8"/>
  <c r="AV23" i="8"/>
  <c r="AU23" i="8"/>
  <c r="BA22" i="8"/>
  <c r="AZ22" i="8"/>
  <c r="AY22" i="8"/>
  <c r="AX22" i="8"/>
  <c r="AW22" i="8"/>
  <c r="AV22" i="8"/>
  <c r="AU22" i="8"/>
  <c r="BA21" i="8"/>
  <c r="AZ21" i="8"/>
  <c r="AY21" i="8"/>
  <c r="AX21" i="8"/>
  <c r="AW21" i="8"/>
  <c r="AV21" i="8"/>
  <c r="AU21" i="8"/>
  <c r="BA20" i="8"/>
  <c r="AZ20" i="8"/>
  <c r="AY20" i="8"/>
  <c r="AX20" i="8"/>
  <c r="AW20" i="8"/>
  <c r="AV20" i="8"/>
  <c r="AU20" i="8"/>
  <c r="BA19" i="8"/>
  <c r="AZ19" i="8"/>
  <c r="AY19" i="8"/>
  <c r="AX19" i="8"/>
  <c r="AW19" i="8"/>
  <c r="AV19" i="8"/>
  <c r="AU19" i="8"/>
  <c r="BA18" i="8"/>
  <c r="AZ18" i="8"/>
  <c r="AY18" i="8"/>
  <c r="AX18" i="8"/>
  <c r="AW18" i="8"/>
  <c r="AU18" i="8"/>
  <c r="BA17" i="8"/>
  <c r="AZ17" i="8"/>
  <c r="AY17" i="8"/>
  <c r="AX17" i="8"/>
  <c r="AW17" i="8"/>
  <c r="AU17" i="8"/>
  <c r="BA16" i="8"/>
  <c r="AZ16" i="8"/>
  <c r="AY16" i="8"/>
  <c r="AX16" i="8"/>
  <c r="AW16" i="8"/>
  <c r="AU16" i="8"/>
  <c r="BA15" i="8"/>
  <c r="AZ15" i="8"/>
  <c r="AY15" i="8"/>
  <c r="AX15" i="8"/>
  <c r="AW15" i="8"/>
  <c r="AU15" i="8"/>
  <c r="BA14" i="8"/>
  <c r="AZ14" i="8"/>
  <c r="AY14" i="8"/>
  <c r="AX14" i="8"/>
  <c r="AW14" i="8"/>
  <c r="AU14" i="8"/>
  <c r="AV610" i="8"/>
  <c r="AV609" i="8"/>
  <c r="AV608" i="8"/>
  <c r="AV607" i="8"/>
  <c r="AV606" i="8"/>
  <c r="AV605" i="8"/>
  <c r="AV604" i="8"/>
  <c r="AV603" i="8"/>
  <c r="AV570" i="8"/>
  <c r="AV569" i="8"/>
  <c r="AV568" i="8"/>
  <c r="AV567" i="8"/>
  <c r="AV566" i="8"/>
  <c r="AV565" i="8"/>
  <c r="AV564" i="8"/>
  <c r="AV563" i="8"/>
  <c r="O3" i="2"/>
  <c r="N34" i="2" s="1"/>
  <c r="G14" i="13"/>
  <c r="M33" i="2" l="1"/>
  <c r="AU8" i="8" l="1"/>
  <c r="AV8" i="8"/>
  <c r="AW8" i="8"/>
  <c r="AX8" i="8"/>
  <c r="AY8" i="8"/>
  <c r="AZ8" i="8"/>
  <c r="BA8" i="8"/>
  <c r="AU9" i="8"/>
  <c r="AV9" i="8"/>
  <c r="AW9" i="8"/>
  <c r="AX9" i="8"/>
  <c r="AY9" i="8"/>
  <c r="AZ9" i="8"/>
  <c r="BA9" i="8"/>
  <c r="AU10" i="8"/>
  <c r="AV10" i="8"/>
  <c r="AW10" i="8"/>
  <c r="AX10" i="8"/>
  <c r="AY10" i="8"/>
  <c r="AZ10" i="8"/>
  <c r="BA10" i="8"/>
  <c r="AU11" i="8"/>
  <c r="AV11" i="8"/>
  <c r="AW11" i="8"/>
  <c r="AX11" i="8"/>
  <c r="AY11" i="8"/>
  <c r="AZ11" i="8"/>
  <c r="BA11" i="8"/>
  <c r="AU12" i="8"/>
  <c r="AV12" i="8"/>
  <c r="AW12" i="8"/>
  <c r="AX12" i="8"/>
  <c r="AY12" i="8"/>
  <c r="AZ12" i="8"/>
  <c r="BA12" i="8"/>
  <c r="AU13" i="8"/>
  <c r="AW13" i="8"/>
  <c r="AX13" i="8"/>
  <c r="AY13" i="8"/>
  <c r="AZ13" i="8"/>
  <c r="BA13" i="8"/>
  <c r="AG112" i="2" l="1"/>
  <c r="AG113" i="2"/>
  <c r="AN113" i="2" l="1"/>
  <c r="AL113" i="2"/>
  <c r="AH113" i="2"/>
  <c r="AG128" i="2"/>
  <c r="AG127" i="2"/>
  <c r="AG126" i="2"/>
  <c r="AG125" i="2"/>
  <c r="AG124" i="2"/>
  <c r="AG123" i="2"/>
  <c r="AG122" i="2"/>
  <c r="AG121" i="2"/>
  <c r="AG120" i="2"/>
  <c r="AG119" i="2"/>
  <c r="AG118" i="2"/>
  <c r="AG117" i="2"/>
  <c r="AG116" i="2"/>
  <c r="AG115" i="2"/>
  <c r="AG114" i="2"/>
  <c r="AS178" i="2" l="1"/>
  <c r="I41" i="2"/>
  <c r="C775" i="8" l="1"/>
  <c r="C774" i="8"/>
  <c r="C773" i="8"/>
  <c r="C772" i="8"/>
  <c r="C752" i="8"/>
  <c r="C751" i="8"/>
  <c r="C750" i="8"/>
  <c r="C749" i="8"/>
  <c r="C722" i="8"/>
  <c r="C721" i="8"/>
  <c r="C720" i="8"/>
  <c r="C719" i="8"/>
  <c r="C718" i="8"/>
  <c r="C717" i="8"/>
  <c r="C716" i="8"/>
  <c r="C715" i="8"/>
  <c r="C686" i="8"/>
  <c r="C685" i="8"/>
  <c r="C684" i="8"/>
  <c r="C683" i="8"/>
  <c r="C666" i="8"/>
  <c r="C665" i="8"/>
  <c r="C664" i="8"/>
  <c r="C663" i="8"/>
  <c r="C646" i="8"/>
  <c r="C645" i="8"/>
  <c r="C644" i="8"/>
  <c r="C643" i="8"/>
  <c r="C626" i="8"/>
  <c r="C625" i="8"/>
  <c r="C624" i="8"/>
  <c r="C623" i="8"/>
  <c r="C602" i="8"/>
  <c r="C601" i="8"/>
  <c r="C600" i="8"/>
  <c r="C599" i="8"/>
  <c r="C598" i="8"/>
  <c r="C597" i="8"/>
  <c r="C596" i="8"/>
  <c r="C595" i="8"/>
  <c r="C562" i="8"/>
  <c r="C561" i="8"/>
  <c r="C560" i="8"/>
  <c r="C559" i="8"/>
  <c r="C558" i="8"/>
  <c r="C557" i="8"/>
  <c r="C556" i="8"/>
  <c r="C555" i="8"/>
  <c r="B25" i="15"/>
  <c r="B30" i="15"/>
  <c r="B31" i="15"/>
  <c r="B44" i="15"/>
  <c r="B45" i="15"/>
  <c r="B77" i="15"/>
  <c r="B83" i="15"/>
  <c r="B89" i="15"/>
  <c r="B103" i="15"/>
  <c r="B113" i="15"/>
  <c r="B117" i="15"/>
  <c r="B141" i="15"/>
  <c r="B193" i="15"/>
  <c r="B194"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16" i="15"/>
  <c r="B19" i="15"/>
  <c r="B41" i="15"/>
  <c r="B42" i="15"/>
  <c r="B70" i="15"/>
  <c r="B76" i="15"/>
  <c r="B82" i="15"/>
  <c r="B88" i="15"/>
  <c r="B98" i="15"/>
  <c r="B110" i="15"/>
  <c r="B111" i="15"/>
  <c r="B116" i="15"/>
  <c r="B121" i="15"/>
  <c r="B122" i="15"/>
  <c r="B123" i="15"/>
  <c r="B135" i="15"/>
  <c r="B158" i="15"/>
  <c r="B159"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47" i="15"/>
  <c r="B67" i="15"/>
  <c r="B79" i="15"/>
  <c r="B85" i="15"/>
  <c r="B91" i="15"/>
  <c r="B137" i="15"/>
  <c r="B189" i="15"/>
  <c r="B190" i="15"/>
  <c r="B191" i="15"/>
  <c r="B192" i="15"/>
  <c r="B46" i="15"/>
  <c r="B66" i="15"/>
  <c r="B78" i="15"/>
  <c r="B84" i="15"/>
  <c r="B90" i="15"/>
  <c r="B124" i="15"/>
  <c r="B125" i="15"/>
  <c r="B126" i="15"/>
  <c r="B136" i="15"/>
  <c r="B138" i="15"/>
  <c r="B185" i="15"/>
  <c r="B186" i="15"/>
  <c r="B187" i="15"/>
  <c r="B188" i="15"/>
  <c r="C779" i="8"/>
  <c r="C778" i="8"/>
  <c r="C777" i="8"/>
  <c r="C776" i="8"/>
  <c r="C756" i="8"/>
  <c r="C755" i="8"/>
  <c r="C754" i="8"/>
  <c r="C753" i="8"/>
  <c r="C730" i="8"/>
  <c r="C729" i="8"/>
  <c r="C728" i="8"/>
  <c r="C727" i="8"/>
  <c r="C726" i="8"/>
  <c r="C725" i="8"/>
  <c r="C724" i="8"/>
  <c r="C723" i="8"/>
  <c r="C690" i="8"/>
  <c r="C689" i="8"/>
  <c r="C688" i="8"/>
  <c r="C687" i="8"/>
  <c r="C670" i="8"/>
  <c r="C669" i="8"/>
  <c r="C668" i="8"/>
  <c r="C667" i="8"/>
  <c r="C650" i="8"/>
  <c r="C649" i="8"/>
  <c r="C648" i="8"/>
  <c r="C647" i="8"/>
  <c r="C630" i="8"/>
  <c r="C629" i="8"/>
  <c r="C628" i="8"/>
  <c r="C627" i="8"/>
  <c r="C610" i="8"/>
  <c r="C609" i="8"/>
  <c r="C608" i="8"/>
  <c r="C607" i="8"/>
  <c r="C606" i="8"/>
  <c r="C605" i="8"/>
  <c r="C604" i="8"/>
  <c r="C603" i="8"/>
  <c r="C570" i="8"/>
  <c r="C569" i="8"/>
  <c r="C568" i="8"/>
  <c r="C567" i="8"/>
  <c r="C566" i="8"/>
  <c r="C565" i="8"/>
  <c r="C564" i="8"/>
  <c r="C563" i="8"/>
  <c r="D719" i="1"/>
  <c r="P10" i="2"/>
  <c r="AD54" i="2" l="1"/>
  <c r="AD53" i="2"/>
  <c r="W206" i="1" l="1"/>
  <c r="W205" i="1"/>
  <c r="W204" i="1"/>
  <c r="W203" i="1"/>
  <c r="W202" i="1"/>
  <c r="AN198" i="2" l="1"/>
  <c r="AL198" i="2"/>
  <c r="AJ198" i="2"/>
  <c r="AH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L171" i="2" l="1"/>
  <c r="AJ171" i="2"/>
  <c r="AH171" i="2"/>
  <c r="AL172" i="2"/>
  <c r="AJ172" i="2"/>
  <c r="AH172" i="2"/>
  <c r="AL173" i="2"/>
  <c r="AJ173" i="2"/>
  <c r="AH173" i="2"/>
  <c r="AL175" i="2"/>
  <c r="AJ175" i="2"/>
  <c r="AH175" i="2"/>
  <c r="AL176" i="2"/>
  <c r="AJ176" i="2"/>
  <c r="AH176" i="2"/>
  <c r="AL177" i="2"/>
  <c r="AJ177" i="2"/>
  <c r="AH177" i="2"/>
  <c r="AL179" i="2"/>
  <c r="AJ179" i="2"/>
  <c r="AH179" i="2"/>
  <c r="AL180" i="2"/>
  <c r="AJ180" i="2"/>
  <c r="AH180" i="2"/>
  <c r="AL181" i="2"/>
  <c r="AJ181" i="2"/>
  <c r="AH181" i="2"/>
  <c r="AL182" i="2"/>
  <c r="AJ182" i="2"/>
  <c r="AH182" i="2"/>
  <c r="AL183" i="2"/>
  <c r="AJ183" i="2"/>
  <c r="AH183" i="2"/>
  <c r="AL184" i="2"/>
  <c r="AJ184" i="2"/>
  <c r="AH184" i="2"/>
  <c r="AL186" i="2"/>
  <c r="AJ186" i="2"/>
  <c r="AH186" i="2"/>
  <c r="AL188" i="2"/>
  <c r="AJ188" i="2"/>
  <c r="AH188" i="2"/>
  <c r="AL190" i="2"/>
  <c r="AJ190" i="2"/>
  <c r="AH190" i="2"/>
  <c r="AL191" i="2"/>
  <c r="AJ191" i="2"/>
  <c r="AH191" i="2"/>
  <c r="AL192" i="2"/>
  <c r="AJ192" i="2"/>
  <c r="AH192" i="2"/>
  <c r="AL193" i="2"/>
  <c r="AJ193" i="2"/>
  <c r="AH193" i="2"/>
  <c r="AL196" i="2"/>
  <c r="AJ196" i="2"/>
  <c r="AH196" i="2"/>
  <c r="AL194" i="2"/>
  <c r="AJ194" i="2"/>
  <c r="AH194" i="2"/>
  <c r="AL187" i="2"/>
  <c r="AJ187" i="2"/>
  <c r="AH187" i="2"/>
  <c r="AL185" i="2"/>
  <c r="AJ185" i="2"/>
  <c r="AH185" i="2"/>
  <c r="AL178" i="2"/>
  <c r="AJ178" i="2"/>
  <c r="AH178" i="2"/>
  <c r="AL174" i="2"/>
  <c r="AJ174" i="2"/>
  <c r="AH174" i="2"/>
  <c r="AL197" i="2"/>
  <c r="AJ197" i="2"/>
  <c r="AH197" i="2"/>
  <c r="AL195" i="2"/>
  <c r="AJ195" i="2"/>
  <c r="AH195" i="2"/>
  <c r="AL189" i="2"/>
  <c r="AJ189" i="2"/>
  <c r="AH189" i="2"/>
  <c r="AG148" i="2" l="1"/>
  <c r="AG170" i="2"/>
  <c r="AG136" i="2"/>
  <c r="AG137" i="2"/>
  <c r="AG138" i="2"/>
  <c r="AG139" i="2"/>
  <c r="AG140" i="2"/>
  <c r="AG169" i="2"/>
  <c r="AG168" i="2"/>
  <c r="AG167" i="2"/>
  <c r="AG157" i="2"/>
  <c r="AG166" i="2"/>
  <c r="AG165" i="2"/>
  <c r="AG164" i="2"/>
  <c r="AG163" i="2"/>
  <c r="AG162" i="2"/>
  <c r="AG161" i="2"/>
  <c r="AG141" i="2"/>
  <c r="AG160" i="2"/>
  <c r="AG159" i="2"/>
  <c r="AG158" i="2"/>
  <c r="AG156" i="2"/>
  <c r="AG155" i="2"/>
  <c r="AG154" i="2"/>
  <c r="AG144" i="2"/>
  <c r="AG143" i="2"/>
  <c r="AG142" i="2"/>
  <c r="AG153" i="2"/>
  <c r="AG152" i="2"/>
  <c r="AG151" i="2"/>
  <c r="AG150" i="2"/>
  <c r="AG149" i="2"/>
  <c r="AG147" i="2"/>
  <c r="AG146" i="2"/>
  <c r="AG145" i="2"/>
  <c r="AG135" i="2"/>
  <c r="AG134" i="2"/>
  <c r="AG133" i="2"/>
  <c r="AG132" i="2"/>
  <c r="AG131" i="2"/>
  <c r="AG130" i="2"/>
  <c r="AG129" i="2"/>
  <c r="AN127" i="2" l="1"/>
  <c r="AL127" i="2"/>
  <c r="AH127" i="2"/>
  <c r="AN128" i="2"/>
  <c r="AL128" i="2"/>
  <c r="AH128" i="2"/>
  <c r="AN129" i="2"/>
  <c r="AL129" i="2"/>
  <c r="AH129" i="2"/>
  <c r="AN149" i="2"/>
  <c r="AJ149" i="2"/>
  <c r="AH149" i="2"/>
  <c r="AN150" i="2"/>
  <c r="AJ150" i="2"/>
  <c r="AH150" i="2"/>
  <c r="AN151" i="2"/>
  <c r="AJ151" i="2"/>
  <c r="AH151" i="2"/>
  <c r="AN152" i="2"/>
  <c r="AJ152" i="2"/>
  <c r="AH152" i="2"/>
  <c r="AN142" i="2"/>
  <c r="AJ142" i="2"/>
  <c r="AH142" i="2"/>
  <c r="AN143" i="2"/>
  <c r="AJ143" i="2"/>
  <c r="AH143" i="2"/>
  <c r="AN154" i="2"/>
  <c r="AJ154" i="2"/>
  <c r="AH154" i="2"/>
  <c r="AN155" i="2"/>
  <c r="AJ155" i="2"/>
  <c r="AH155" i="2"/>
  <c r="AN156" i="2"/>
  <c r="AJ156" i="2"/>
  <c r="AH156" i="2"/>
  <c r="AN159" i="2"/>
  <c r="AJ159" i="2"/>
  <c r="AH159" i="2"/>
  <c r="AN162" i="2"/>
  <c r="AJ162" i="2"/>
  <c r="AH162" i="2"/>
  <c r="AN163" i="2"/>
  <c r="AJ163" i="2"/>
  <c r="AH163" i="2"/>
  <c r="AN164" i="2"/>
  <c r="AJ164" i="2"/>
  <c r="AH164" i="2"/>
  <c r="AN165" i="2"/>
  <c r="AJ165" i="2"/>
  <c r="AH165" i="2"/>
  <c r="AN166" i="2"/>
  <c r="AJ166" i="2"/>
  <c r="AH166" i="2"/>
  <c r="AN157" i="2"/>
  <c r="AJ157" i="2"/>
  <c r="AH157" i="2"/>
  <c r="AN167" i="2"/>
  <c r="AJ167" i="2"/>
  <c r="AH167" i="2"/>
  <c r="AN140" i="2"/>
  <c r="AJ140" i="2"/>
  <c r="AH140" i="2"/>
  <c r="AN139" i="2"/>
  <c r="AJ139" i="2"/>
  <c r="AH139" i="2"/>
  <c r="AN138" i="2"/>
  <c r="AJ138" i="2"/>
  <c r="AH138" i="2"/>
  <c r="AN137" i="2"/>
  <c r="AJ137" i="2"/>
  <c r="AH137" i="2"/>
  <c r="AN110" i="2"/>
  <c r="AL110" i="2"/>
  <c r="AH110" i="2"/>
  <c r="AN111" i="2"/>
  <c r="AL111" i="2"/>
  <c r="AH111" i="2"/>
  <c r="AN112" i="2"/>
  <c r="AL112" i="2"/>
  <c r="AH112" i="2"/>
  <c r="AN114" i="2"/>
  <c r="AL114" i="2"/>
  <c r="AH114" i="2"/>
  <c r="AN115" i="2"/>
  <c r="AL115" i="2"/>
  <c r="AH115" i="2"/>
  <c r="AN116" i="2"/>
  <c r="AL116" i="2"/>
  <c r="AH116" i="2"/>
  <c r="AN117" i="2"/>
  <c r="AL117" i="2"/>
  <c r="AH117" i="2"/>
  <c r="AN118" i="2"/>
  <c r="AL118" i="2"/>
  <c r="AH118" i="2"/>
  <c r="AN119" i="2"/>
  <c r="AL119" i="2"/>
  <c r="AH119" i="2"/>
  <c r="AN120" i="2"/>
  <c r="AL120" i="2"/>
  <c r="AH120" i="2"/>
  <c r="AN121" i="2"/>
  <c r="AL121" i="2"/>
  <c r="AH121" i="2"/>
  <c r="AN122" i="2"/>
  <c r="AL122" i="2"/>
  <c r="AH122" i="2"/>
  <c r="AN123" i="2"/>
  <c r="AL123" i="2"/>
  <c r="AH123" i="2"/>
  <c r="AN124" i="2"/>
  <c r="AL124" i="2"/>
  <c r="AH124" i="2"/>
  <c r="AN125" i="2"/>
  <c r="AL125" i="2"/>
  <c r="AH125" i="2"/>
  <c r="AN130" i="2"/>
  <c r="AJ130" i="2"/>
  <c r="AH130" i="2"/>
  <c r="AN131" i="2"/>
  <c r="AJ131" i="2"/>
  <c r="AH131" i="2"/>
  <c r="AN132" i="2"/>
  <c r="AJ132" i="2"/>
  <c r="AH132" i="2"/>
  <c r="AN133" i="2"/>
  <c r="AJ133" i="2"/>
  <c r="AH133" i="2"/>
  <c r="AN134" i="2"/>
  <c r="AJ134" i="2"/>
  <c r="AH134" i="2"/>
  <c r="AN135" i="2"/>
  <c r="AJ135" i="2"/>
  <c r="AH135" i="2"/>
  <c r="AN145" i="2"/>
  <c r="AJ145" i="2"/>
  <c r="AH145" i="2"/>
  <c r="AN146" i="2"/>
  <c r="AJ146" i="2"/>
  <c r="AH146" i="2"/>
  <c r="AN147" i="2"/>
  <c r="AJ147" i="2"/>
  <c r="AH147" i="2"/>
  <c r="AN153" i="2"/>
  <c r="AJ153" i="2"/>
  <c r="AH153" i="2"/>
  <c r="AN144" i="2"/>
  <c r="AJ144" i="2"/>
  <c r="AH144" i="2"/>
  <c r="AN158" i="2"/>
  <c r="AJ158" i="2"/>
  <c r="AH158" i="2"/>
  <c r="AN160" i="2"/>
  <c r="AJ160" i="2"/>
  <c r="AH160" i="2"/>
  <c r="AN141" i="2"/>
  <c r="AJ141" i="2"/>
  <c r="AH141" i="2"/>
  <c r="AN161" i="2"/>
  <c r="AJ161" i="2"/>
  <c r="AH161" i="2"/>
  <c r="AN168" i="2"/>
  <c r="AJ168" i="2"/>
  <c r="AH168" i="2"/>
  <c r="AN169" i="2"/>
  <c r="AJ169" i="2"/>
  <c r="AH169" i="2"/>
  <c r="AN136" i="2"/>
  <c r="AJ136" i="2"/>
  <c r="AH136" i="2"/>
  <c r="AN170" i="2"/>
  <c r="AJ170" i="2"/>
  <c r="AH170" i="2"/>
  <c r="AN148" i="2"/>
  <c r="AJ148" i="2"/>
  <c r="AH148" i="2"/>
  <c r="AG109" i="2"/>
  <c r="AN106" i="2"/>
  <c r="AN105" i="2" l="1"/>
  <c r="AL105" i="2"/>
  <c r="AN107" i="2"/>
  <c r="AL107" i="2"/>
  <c r="AJ107" i="2"/>
  <c r="AN108" i="2"/>
  <c r="AL108" i="2"/>
  <c r="AJ108" i="2"/>
  <c r="AN109" i="2"/>
  <c r="AL109" i="2"/>
  <c r="AJ109" i="2"/>
  <c r="M38" i="2" l="1"/>
  <c r="M36" i="2"/>
  <c r="M37" i="2"/>
  <c r="M35" i="2"/>
  <c r="S29" i="13" l="1"/>
  <c r="V19" i="1" l="1"/>
  <c r="W21" i="1"/>
  <c r="W22" i="1"/>
  <c r="W23" i="1"/>
  <c r="M47" i="2" l="1"/>
  <c r="U47" i="2" s="1"/>
  <c r="M44" i="2"/>
  <c r="U44" i="2" s="1"/>
  <c r="M41" i="2"/>
  <c r="U41" i="2" s="1"/>
  <c r="I40" i="2"/>
  <c r="I37" i="1" a="1"/>
  <c r="I37" i="1"/>
  <c r="H40" i="2"/>
  <c r="D40" i="2" a="1"/>
  <c r="D40" i="2"/>
  <c r="Z32" i="1"/>
  <c r="S28" i="2" l="1"/>
  <c r="I18" i="2"/>
  <c r="H13" i="13"/>
  <c r="Q26" i="13" l="1"/>
  <c r="R26" i="13"/>
  <c r="Q24" i="13" l="1"/>
  <c r="R24" i="13"/>
  <c r="C24" i="13" l="1"/>
  <c r="C23" i="13"/>
  <c r="C22" i="13"/>
  <c r="B20" i="13"/>
  <c r="C20" i="13"/>
  <c r="B22" i="13"/>
  <c r="B23" i="13"/>
  <c r="U18" i="13"/>
  <c r="U16" i="13"/>
  <c r="U9" i="13"/>
  <c r="U17" i="13" l="1"/>
  <c r="V16" i="13"/>
  <c r="AA22" i="1" s="1"/>
  <c r="B26" i="13"/>
  <c r="B24" i="13"/>
  <c r="R10" i="13" l="1"/>
  <c r="R15" i="13" l="1"/>
  <c r="H11" i="13" l="1"/>
  <c r="K13" i="13"/>
  <c r="U13" i="13" s="1"/>
  <c r="V13" i="13" s="1"/>
  <c r="AA21" i="1" s="1"/>
  <c r="O11" i="13"/>
  <c r="P11" i="13"/>
  <c r="H14" i="13"/>
  <c r="V11" i="13" l="1"/>
  <c r="J12" i="13"/>
  <c r="J11" i="13"/>
  <c r="P13" i="13"/>
  <c r="P12" i="13"/>
  <c r="O13" i="13"/>
  <c r="O12" i="13"/>
  <c r="I13" i="13"/>
  <c r="AE4" i="2"/>
  <c r="AH51" i="2" s="1" a="1"/>
  <c r="AH51" i="2" s="1"/>
  <c r="N12" i="13" l="1"/>
  <c r="N13" i="13"/>
  <c r="N11" i="13"/>
  <c r="D33" i="2"/>
  <c r="AJ105" i="2" l="1"/>
  <c r="AL106" i="2"/>
  <c r="AJ106" i="2"/>
  <c r="AH105" i="2"/>
  <c r="AH106" i="2"/>
  <c r="AH107" i="2" l="1"/>
  <c r="AH108" i="2"/>
  <c r="AH109" i="2"/>
  <c r="AJ110" i="2"/>
  <c r="AJ111" i="2"/>
  <c r="AJ112" i="2" l="1"/>
  <c r="AJ113" i="2" s="1"/>
  <c r="AJ114" i="2"/>
  <c r="U469" i="8"/>
  <c r="AV469" i="8" s="1"/>
  <c r="U467" i="8"/>
  <c r="AV467" i="8" s="1"/>
  <c r="U466" i="8"/>
  <c r="AV466" i="8" s="1"/>
  <c r="U461" i="8"/>
  <c r="AV461" i="8" s="1"/>
  <c r="U459" i="8"/>
  <c r="AV459" i="8" s="1"/>
  <c r="U458" i="8"/>
  <c r="AV458" i="8" s="1"/>
  <c r="U453" i="8"/>
  <c r="AV453" i="8" s="1"/>
  <c r="U451" i="8"/>
  <c r="AV451" i="8" s="1"/>
  <c r="U450" i="8"/>
  <c r="AV450" i="8" s="1"/>
  <c r="U437" i="8"/>
  <c r="AV437" i="8" s="1"/>
  <c r="U435" i="8"/>
  <c r="AV435" i="8" s="1"/>
  <c r="U434" i="8"/>
  <c r="AV434" i="8" s="1"/>
  <c r="U429" i="8"/>
  <c r="AV429" i="8" s="1"/>
  <c r="U427" i="8"/>
  <c r="AV427" i="8" s="1"/>
  <c r="U426" i="8"/>
  <c r="AV426" i="8" s="1"/>
  <c r="U415" i="8"/>
  <c r="AV415" i="8" s="1"/>
  <c r="U414" i="8"/>
  <c r="AV414" i="8" s="1"/>
  <c r="U413" i="8"/>
  <c r="AV413" i="8" s="1"/>
  <c r="U412" i="8"/>
  <c r="AV412" i="8" s="1"/>
  <c r="U406" i="8"/>
  <c r="AV406" i="8" s="1"/>
  <c r="U405" i="8"/>
  <c r="AV405" i="8" s="1"/>
  <c r="U404" i="8"/>
  <c r="AV404" i="8" s="1"/>
  <c r="U403" i="8"/>
  <c r="AV403" i="8" s="1"/>
  <c r="U398" i="8"/>
  <c r="AV398" i="8" s="1"/>
  <c r="U397" i="8"/>
  <c r="AV397" i="8" s="1"/>
  <c r="U396" i="8"/>
  <c r="AV396" i="8" s="1"/>
  <c r="U395" i="8"/>
  <c r="AV395" i="8" s="1"/>
  <c r="U382" i="8"/>
  <c r="AV382" i="8" s="1"/>
  <c r="U381" i="8"/>
  <c r="AV381" i="8" s="1"/>
  <c r="U380" i="8"/>
  <c r="AV380" i="8" s="1"/>
  <c r="U379" i="8"/>
  <c r="AV379" i="8" s="1"/>
  <c r="U374" i="8"/>
  <c r="AV374" i="8" s="1"/>
  <c r="U373" i="8"/>
  <c r="AV373" i="8" s="1"/>
  <c r="U372" i="8"/>
  <c r="AV372" i="8" s="1"/>
  <c r="U371" i="8"/>
  <c r="AV371" i="8" s="1"/>
  <c r="U360" i="8"/>
  <c r="AV360" i="8" s="1"/>
  <c r="U359" i="8"/>
  <c r="AV359" i="8" s="1"/>
  <c r="U358" i="8"/>
  <c r="AV358" i="8" s="1"/>
  <c r="U357" i="8"/>
  <c r="AV357" i="8" s="1"/>
  <c r="U356" i="8"/>
  <c r="AV356" i="8" s="1"/>
  <c r="U355" i="8"/>
  <c r="AV355" i="8" s="1"/>
  <c r="U348" i="8"/>
  <c r="AV348" i="8" s="1"/>
  <c r="U347" i="8"/>
  <c r="AV347" i="8" s="1"/>
  <c r="U346" i="8"/>
  <c r="AV346" i="8" s="1"/>
  <c r="U345" i="8"/>
  <c r="AV345" i="8" s="1"/>
  <c r="U340" i="8"/>
  <c r="AV340" i="8" s="1"/>
  <c r="U339" i="8"/>
  <c r="AV339" i="8" s="1"/>
  <c r="U338" i="8"/>
  <c r="AV338" i="8" s="1"/>
  <c r="U337" i="8"/>
  <c r="AV337" i="8" s="1"/>
  <c r="U323" i="8"/>
  <c r="AV323" i="8" s="1"/>
  <c r="U322" i="8"/>
  <c r="AV322" i="8" s="1"/>
  <c r="U321" i="8"/>
  <c r="AV321" i="8" s="1"/>
  <c r="U320" i="8"/>
  <c r="AV320" i="8" s="1"/>
  <c r="U315" i="8"/>
  <c r="AV315" i="8" s="1"/>
  <c r="U314" i="8"/>
  <c r="AV314" i="8" s="1"/>
  <c r="U313" i="8"/>
  <c r="AV313" i="8" s="1"/>
  <c r="U312" i="8"/>
  <c r="AV312" i="8" s="1"/>
  <c r="U300" i="8"/>
  <c r="AV300" i="8" s="1"/>
  <c r="U299" i="8"/>
  <c r="AV299" i="8" s="1"/>
  <c r="U298" i="8"/>
  <c r="AV298" i="8" s="1"/>
  <c r="U297" i="8"/>
  <c r="AV297" i="8" s="1"/>
  <c r="U296" i="8"/>
  <c r="AV296" i="8" s="1"/>
  <c r="U295" i="8"/>
  <c r="AV295" i="8" s="1"/>
  <c r="U288" i="8"/>
  <c r="AV288" i="8" s="1"/>
  <c r="U287" i="8"/>
  <c r="AV287" i="8" s="1"/>
  <c r="U286" i="8"/>
  <c r="AV286" i="8" s="1"/>
  <c r="U285" i="8"/>
  <c r="AV285" i="8" s="1"/>
  <c r="U280" i="8"/>
  <c r="AV280" i="8" s="1"/>
  <c r="U279" i="8"/>
  <c r="AV279" i="8" s="1"/>
  <c r="U278" i="8"/>
  <c r="AV278" i="8" s="1"/>
  <c r="U277" i="8"/>
  <c r="AV277" i="8" s="1"/>
  <c r="U263" i="8"/>
  <c r="AV263" i="8" s="1"/>
  <c r="U262" i="8"/>
  <c r="AV262" i="8" s="1"/>
  <c r="U261" i="8"/>
  <c r="AV261" i="8" s="1"/>
  <c r="U260" i="8"/>
  <c r="AV260" i="8" s="1"/>
  <c r="U255" i="8"/>
  <c r="AV255" i="8" s="1"/>
  <c r="U254" i="8"/>
  <c r="AV254" i="8" s="1"/>
  <c r="U253" i="8"/>
  <c r="AV253" i="8" s="1"/>
  <c r="U252" i="8"/>
  <c r="AV252" i="8" s="1"/>
  <c r="U199" i="8"/>
  <c r="AV199" i="8" s="1"/>
  <c r="U197" i="8"/>
  <c r="AV197" i="8" s="1"/>
  <c r="U196" i="8"/>
  <c r="AV196" i="8" s="1"/>
  <c r="U191" i="8"/>
  <c r="AV191" i="8" s="1"/>
  <c r="U189" i="8"/>
  <c r="AV189" i="8" s="1"/>
  <c r="U188" i="8"/>
  <c r="AV188" i="8" s="1"/>
  <c r="U183" i="8"/>
  <c r="AV183" i="8" s="1"/>
  <c r="U181" i="8"/>
  <c r="AV181" i="8" s="1"/>
  <c r="U180" i="8"/>
  <c r="AV180" i="8" s="1"/>
  <c r="U175" i="8"/>
  <c r="AV175" i="8" s="1"/>
  <c r="U173" i="8"/>
  <c r="AV173" i="8" s="1"/>
  <c r="U172" i="8"/>
  <c r="AV172" i="8" s="1"/>
  <c r="U167" i="8"/>
  <c r="AV167" i="8" s="1"/>
  <c r="U165" i="8"/>
  <c r="AV165" i="8" s="1"/>
  <c r="U164" i="8"/>
  <c r="AV164" i="8" s="1"/>
  <c r="U159" i="8"/>
  <c r="AV159" i="8" s="1"/>
  <c r="U158" i="8"/>
  <c r="AV158" i="8" s="1"/>
  <c r="U157" i="8"/>
  <c r="AV157" i="8" s="1"/>
  <c r="U156" i="8"/>
  <c r="AV156" i="8" s="1"/>
  <c r="U151" i="8"/>
  <c r="AV151" i="8" s="1"/>
  <c r="U150" i="8"/>
  <c r="AV150" i="8" s="1"/>
  <c r="U149" i="8"/>
  <c r="AV149" i="8" s="1"/>
  <c r="U148" i="8"/>
  <c r="AV148" i="8" s="1"/>
  <c r="U141" i="8"/>
  <c r="AV141" i="8" s="1"/>
  <c r="U140" i="8"/>
  <c r="AV140" i="8" s="1"/>
  <c r="U139" i="8"/>
  <c r="AV139" i="8" s="1"/>
  <c r="U138" i="8"/>
  <c r="AV138" i="8" s="1"/>
  <c r="U132" i="8"/>
  <c r="AV132" i="8" s="1"/>
  <c r="U131" i="8"/>
  <c r="AV131" i="8" s="1"/>
  <c r="U130" i="8"/>
  <c r="AV130" i="8" s="1"/>
  <c r="U129" i="8"/>
  <c r="AV129" i="8" s="1"/>
  <c r="U123" i="8"/>
  <c r="AV123" i="8" s="1"/>
  <c r="U122" i="8"/>
  <c r="AV122" i="8" s="1"/>
  <c r="U121" i="8"/>
  <c r="AV121" i="8" s="1"/>
  <c r="U120" i="8"/>
  <c r="AV120" i="8" s="1"/>
  <c r="U114" i="8"/>
  <c r="AV114" i="8" s="1"/>
  <c r="U113" i="8"/>
  <c r="AV113" i="8" s="1"/>
  <c r="U112" i="8"/>
  <c r="AV112" i="8" s="1"/>
  <c r="U111" i="8"/>
  <c r="AV111" i="8" s="1"/>
  <c r="U106" i="8"/>
  <c r="AV106" i="8" s="1"/>
  <c r="U105" i="8"/>
  <c r="AV105" i="8" s="1"/>
  <c r="U104" i="8"/>
  <c r="AV104" i="8" s="1"/>
  <c r="U103" i="8"/>
  <c r="AV103" i="8" s="1"/>
  <c r="U96" i="8"/>
  <c r="AV96" i="8" s="1"/>
  <c r="U95" i="8"/>
  <c r="AV95" i="8" s="1"/>
  <c r="U94" i="8"/>
  <c r="AV94" i="8" s="1"/>
  <c r="U93" i="8"/>
  <c r="AV93" i="8" s="1"/>
  <c r="U92" i="8"/>
  <c r="AV92" i="8" s="1"/>
  <c r="U91" i="8"/>
  <c r="AV91" i="8" s="1"/>
  <c r="U84" i="8"/>
  <c r="AV84" i="8" s="1"/>
  <c r="U83" i="8"/>
  <c r="AV83" i="8" s="1"/>
  <c r="U82" i="8"/>
  <c r="AV82" i="8" s="1"/>
  <c r="U81" i="8"/>
  <c r="AV81" i="8" s="1"/>
  <c r="U80" i="8"/>
  <c r="AV80" i="8" s="1"/>
  <c r="U79" i="8"/>
  <c r="AV79" i="8" s="1"/>
  <c r="U72" i="8"/>
  <c r="AV72" i="8" s="1"/>
  <c r="U71" i="8"/>
  <c r="AV71" i="8" s="1"/>
  <c r="U70" i="8"/>
  <c r="AV70" i="8" s="1"/>
  <c r="U69" i="8"/>
  <c r="AV69" i="8" s="1"/>
  <c r="U68" i="8"/>
  <c r="AV68" i="8" s="1"/>
  <c r="U67" i="8"/>
  <c r="AV67" i="8" s="1"/>
  <c r="U60" i="8"/>
  <c r="AV60" i="8" s="1"/>
  <c r="U59" i="8"/>
  <c r="AV59" i="8" s="1"/>
  <c r="U58" i="8"/>
  <c r="AV58" i="8" s="1"/>
  <c r="U57" i="8"/>
  <c r="AV57" i="8" s="1"/>
  <c r="U52" i="8"/>
  <c r="AV52" i="8" s="1"/>
  <c r="U51" i="8"/>
  <c r="AV51" i="8" s="1"/>
  <c r="U50" i="8"/>
  <c r="AV50" i="8" s="1"/>
  <c r="U49" i="8"/>
  <c r="AV49" i="8" s="1"/>
  <c r="U42" i="8"/>
  <c r="AV42" i="8" s="1"/>
  <c r="U41" i="8"/>
  <c r="AV41" i="8" s="1"/>
  <c r="U40" i="8"/>
  <c r="AV40" i="8" s="1"/>
  <c r="U39" i="8"/>
  <c r="AV39" i="8" s="1"/>
  <c r="U38" i="8"/>
  <c r="AV38" i="8" s="1"/>
  <c r="U37" i="8"/>
  <c r="AV37" i="8" s="1"/>
  <c r="U30" i="8"/>
  <c r="AV30" i="8" s="1"/>
  <c r="U29" i="8"/>
  <c r="AV29" i="8" s="1"/>
  <c r="U28" i="8"/>
  <c r="AV28" i="8" s="1"/>
  <c r="U27" i="8"/>
  <c r="AV27" i="8" s="1"/>
  <c r="U26" i="8"/>
  <c r="AV26" i="8" s="1"/>
  <c r="U25" i="8"/>
  <c r="AV25" i="8" s="1"/>
  <c r="U18" i="8"/>
  <c r="AV18" i="8" s="1"/>
  <c r="U17" i="8"/>
  <c r="AV17" i="8" s="1"/>
  <c r="U16" i="8"/>
  <c r="AV16" i="8" s="1"/>
  <c r="U15" i="8"/>
  <c r="AV15" i="8" s="1"/>
  <c r="U14" i="8"/>
  <c r="AV14" i="8" s="1"/>
  <c r="U13" i="8"/>
  <c r="AV13" i="8" s="1"/>
  <c r="AJ115" i="2" l="1"/>
  <c r="AJ116" i="2"/>
  <c r="AJ117" i="2"/>
  <c r="AJ118" i="2" l="1"/>
  <c r="AJ119" i="2"/>
  <c r="AJ120" i="2"/>
  <c r="AJ121" i="2" l="1"/>
  <c r="AJ122" i="2"/>
  <c r="AJ123" i="2"/>
  <c r="AB205" i="1"/>
  <c r="AJ124" i="2" l="1"/>
  <c r="AJ125" i="2"/>
  <c r="D113" i="1" l="1"/>
  <c r="N8" i="2" l="1"/>
  <c r="M8" i="2"/>
  <c r="J57" i="1"/>
  <c r="AE2" i="1" s="1"/>
  <c r="C767" i="8"/>
  <c r="D199" i="1"/>
  <c r="C678" i="8"/>
  <c r="C677" i="8"/>
  <c r="C676" i="8"/>
  <c r="C675" i="8"/>
  <c r="C674" i="8"/>
  <c r="C673" i="8"/>
  <c r="C672" i="8"/>
  <c r="C671" i="8"/>
  <c r="C658" i="8"/>
  <c r="C657" i="8"/>
  <c r="C656" i="8"/>
  <c r="C655" i="8"/>
  <c r="C654" i="8"/>
  <c r="C653" i="8"/>
  <c r="C652" i="8"/>
  <c r="C651" i="8"/>
  <c r="C744" i="8"/>
  <c r="C743" i="8"/>
  <c r="C742" i="8"/>
  <c r="C741" i="8"/>
  <c r="C740" i="8"/>
  <c r="C739" i="8"/>
  <c r="C738" i="8"/>
  <c r="C737" i="8"/>
  <c r="C359" i="8"/>
  <c r="C353" i="8"/>
  <c r="C299" i="8"/>
  <c r="C293" i="8"/>
  <c r="N5" i="2"/>
  <c r="C638" i="8"/>
  <c r="C637" i="8"/>
  <c r="C636" i="8"/>
  <c r="C635" i="8"/>
  <c r="C634" i="8"/>
  <c r="C633" i="8"/>
  <c r="C632" i="8"/>
  <c r="C631" i="8"/>
  <c r="C618" i="8"/>
  <c r="C617" i="8"/>
  <c r="C616" i="8"/>
  <c r="C615" i="8"/>
  <c r="C614" i="8"/>
  <c r="C613" i="8"/>
  <c r="C612" i="8"/>
  <c r="C611" i="8"/>
  <c r="C706" i="8"/>
  <c r="C705" i="8"/>
  <c r="C704" i="8"/>
  <c r="C703" i="8"/>
  <c r="C702" i="8"/>
  <c r="C701" i="8"/>
  <c r="C700" i="8"/>
  <c r="C699" i="8"/>
  <c r="C698" i="8"/>
  <c r="C697" i="8"/>
  <c r="C696" i="8"/>
  <c r="C695" i="8"/>
  <c r="C694" i="8"/>
  <c r="C693" i="8"/>
  <c r="C692" i="8"/>
  <c r="C691" i="8"/>
  <c r="C586" i="8"/>
  <c r="C585" i="8"/>
  <c r="C584" i="8"/>
  <c r="C583" i="8"/>
  <c r="C582" i="8"/>
  <c r="C581" i="8"/>
  <c r="C580" i="8"/>
  <c r="C579" i="8"/>
  <c r="C578" i="8"/>
  <c r="C577" i="8"/>
  <c r="C576" i="8"/>
  <c r="C575" i="8"/>
  <c r="C574" i="8"/>
  <c r="C573" i="8"/>
  <c r="C572" i="8"/>
  <c r="C571" i="8"/>
  <c r="C546" i="8"/>
  <c r="C545" i="8"/>
  <c r="C544" i="8"/>
  <c r="C543" i="8"/>
  <c r="C542" i="8"/>
  <c r="C541" i="8"/>
  <c r="C540" i="8"/>
  <c r="C539" i="8"/>
  <c r="C538" i="8"/>
  <c r="C537" i="8"/>
  <c r="C536" i="8"/>
  <c r="C535" i="8"/>
  <c r="C534" i="8"/>
  <c r="C533" i="8"/>
  <c r="C532" i="8"/>
  <c r="C531" i="8"/>
  <c r="C766" i="8"/>
  <c r="C765" i="8"/>
  <c r="C764" i="8"/>
  <c r="C763" i="8"/>
  <c r="C762" i="8"/>
  <c r="C761" i="8"/>
  <c r="C760" i="8"/>
  <c r="T14" i="2"/>
  <c r="AV586" i="8"/>
  <c r="AV585" i="8"/>
  <c r="AV584" i="8"/>
  <c r="AV583" i="8"/>
  <c r="AV582" i="8"/>
  <c r="AV581" i="8"/>
  <c r="AV580" i="8"/>
  <c r="AV579" i="8"/>
  <c r="AV578" i="8"/>
  <c r="AV577" i="8"/>
  <c r="AV576" i="8"/>
  <c r="AV575" i="8"/>
  <c r="AV574" i="8"/>
  <c r="AV573" i="8"/>
  <c r="AV572" i="8"/>
  <c r="AV571" i="8"/>
  <c r="AV546" i="8"/>
  <c r="AV545" i="8"/>
  <c r="AV544" i="8"/>
  <c r="AV543" i="8"/>
  <c r="AV542" i="8"/>
  <c r="AV541" i="8"/>
  <c r="AV540" i="8"/>
  <c r="AV539" i="8"/>
  <c r="AV538" i="8"/>
  <c r="AV537" i="8"/>
  <c r="AV536" i="8"/>
  <c r="AV535" i="8"/>
  <c r="AV534" i="8"/>
  <c r="AV533" i="8"/>
  <c r="AV532" i="8"/>
  <c r="AV531" i="8"/>
  <c r="W12" i="1"/>
  <c r="F24" i="2" l="1"/>
  <c r="AM7" i="8" l="1" a="1"/>
  <c r="AM7" i="8"/>
  <c r="J3" i="8" a="1"/>
  <c r="J3" i="8"/>
  <c r="AX45" i="2" l="1"/>
  <c r="I42" i="1" l="1"/>
  <c r="I41" i="1"/>
  <c r="I40" i="1"/>
  <c r="I39" i="1"/>
  <c r="I38" i="1"/>
  <c r="I33" i="1"/>
  <c r="I32" i="1"/>
  <c r="I28" i="1"/>
  <c r="I27" i="1"/>
  <c r="I25" i="1"/>
  <c r="I24" i="1"/>
  <c r="I22" i="1"/>
  <c r="E17" i="1"/>
  <c r="M5" i="2" l="1"/>
  <c r="M6" i="2"/>
  <c r="M7" i="2"/>
  <c r="J202" i="1"/>
  <c r="AE3" i="1" s="1"/>
  <c r="N7" i="2"/>
  <c r="K16" i="2"/>
  <c r="F427" i="1" a="1"/>
  <c r="F427" i="1"/>
  <c r="F578" i="1"/>
  <c r="D55" i="1"/>
  <c r="F19" i="2"/>
  <c r="Y51" i="2"/>
  <c r="Z51" i="2"/>
  <c r="Y61" i="2"/>
  <c r="Y59" i="2"/>
  <c r="Y57" i="2"/>
  <c r="Y55" i="2"/>
  <c r="Y53" i="2"/>
  <c r="Y60" i="2"/>
  <c r="Y58" i="2"/>
  <c r="Y56" i="2"/>
  <c r="Y54" i="2"/>
  <c r="CI6" i="8"/>
  <c r="CG6" i="8"/>
  <c r="CE6" i="8"/>
  <c r="CC6" i="8"/>
  <c r="CA6" i="8"/>
  <c r="BY6" i="8"/>
  <c r="BW6" i="8"/>
  <c r="Q3" i="8" a="1"/>
  <c r="Q3" i="8"/>
  <c r="P3" i="8" a="1"/>
  <c r="P3" i="8"/>
  <c r="O3" i="8" a="1"/>
  <c r="O3" i="8"/>
  <c r="N3" i="8" a="1"/>
  <c r="N3" i="8"/>
  <c r="L3" i="8" a="1"/>
  <c r="L3" i="8"/>
  <c r="M3" i="8" a="1"/>
  <c r="M3" i="8"/>
  <c r="K3" i="8" a="1"/>
  <c r="K3" i="8"/>
  <c r="H3" i="8" a="1"/>
  <c r="H3" i="8"/>
  <c r="E3" i="8" a="1"/>
  <c r="E3" i="8"/>
  <c r="D3" i="8" a="1"/>
  <c r="D3" i="8"/>
  <c r="AK7" i="8" a="1"/>
  <c r="AK7" i="8"/>
  <c r="D28" i="2" a="1"/>
  <c r="D28" i="2"/>
  <c r="F285" i="1"/>
  <c r="D379" i="1"/>
  <c r="D39" i="2" a="1"/>
  <c r="D39" i="2"/>
  <c r="AX7" i="8"/>
  <c r="AD4" i="2"/>
  <c r="AN7" i="8" a="1"/>
  <c r="AN7" i="8"/>
  <c r="AO7" i="8" a="1"/>
  <c r="AO7" i="8"/>
  <c r="N6" i="2"/>
  <c r="AI7" i="8" a="1"/>
  <c r="AI7" i="8"/>
  <c r="BE6" i="8"/>
  <c r="AE37" i="2"/>
  <c r="AE26" i="2"/>
  <c r="F6" i="2"/>
  <c r="AT7" i="8" a="1"/>
  <c r="AT7" i="8"/>
  <c r="AS7" i="8" a="1"/>
  <c r="AR7" i="8" a="1"/>
  <c r="AQ7" i="8" a="1"/>
  <c r="AP7" i="8" a="1"/>
  <c r="AP7" i="8"/>
  <c r="AL7" i="8" a="1"/>
  <c r="AH7" i="8" a="1"/>
  <c r="AH7" i="8"/>
  <c r="AG7" i="8" a="1"/>
  <c r="AL7" i="8"/>
  <c r="AS7" i="8"/>
  <c r="AR7" i="8"/>
  <c r="AQ7" i="8"/>
  <c r="AG7" i="8"/>
  <c r="D534" i="1"/>
  <c r="J537" i="1"/>
  <c r="AE5" i="1"/>
  <c r="J382" i="1"/>
  <c r="AE4" i="1"/>
  <c r="U3" i="8" a="1"/>
  <c r="U3" i="8"/>
  <c r="T3" i="8" a="1"/>
  <c r="T3" i="8"/>
  <c r="Y3" i="8" a="1"/>
  <c r="Y3" i="8"/>
  <c r="X3" i="8" a="1"/>
  <c r="X3" i="8"/>
  <c r="R3" i="8" a="1"/>
  <c r="R3" i="8"/>
  <c r="B3" i="8" a="1"/>
  <c r="B3" i="8"/>
  <c r="AD3" i="8" a="1"/>
  <c r="AD3" i="8"/>
  <c r="AC3" i="8" a="1"/>
  <c r="AC3" i="8"/>
  <c r="AB3" i="8" a="1"/>
  <c r="AB3" i="8"/>
  <c r="AE3" i="8" a="1"/>
  <c r="AE3" i="8"/>
  <c r="AA3" i="8" a="1"/>
  <c r="AA3" i="8"/>
  <c r="Z3" i="8" a="1"/>
  <c r="Z3" i="8"/>
  <c r="W3" i="8" a="1"/>
  <c r="W3" i="8"/>
  <c r="V3" i="8" a="1"/>
  <c r="V3" i="8"/>
  <c r="S3" i="8" a="1"/>
  <c r="S3" i="8"/>
  <c r="I3" i="8" a="1"/>
  <c r="I3" i="8"/>
  <c r="F3" i="8" a="1"/>
  <c r="F3" i="8"/>
  <c r="G3" i="8" a="1"/>
  <c r="G3" i="8"/>
  <c r="AW7" i="8"/>
  <c r="D16" i="2"/>
  <c r="BA7" i="8"/>
  <c r="D17" i="2"/>
  <c r="AU7" i="8"/>
  <c r="AJ7" i="8" a="1"/>
  <c r="F22" i="2"/>
  <c r="D15" i="2"/>
  <c r="AY7" i="8"/>
  <c r="AJ7" i="8"/>
  <c r="D43" i="2"/>
  <c r="H43" i="2"/>
  <c r="D31" i="2"/>
  <c r="D21" i="2"/>
  <c r="D38" i="2"/>
  <c r="D36" i="2"/>
  <c r="D30" i="2"/>
  <c r="D14" i="2"/>
  <c r="D27" i="2"/>
  <c r="D25" i="2"/>
  <c r="D18" i="2"/>
  <c r="D20" i="2"/>
  <c r="F23" i="2"/>
  <c r="F21" i="2"/>
  <c r="D19" i="2"/>
  <c r="I19" i="2"/>
  <c r="D35" i="2"/>
  <c r="D23" i="2"/>
  <c r="D24" i="2"/>
  <c r="F37" i="2"/>
  <c r="D37" i="2"/>
  <c r="D29" i="2"/>
  <c r="D32" i="2"/>
  <c r="AV7" i="8"/>
  <c r="D26" i="2"/>
  <c r="D34" i="2" a="1"/>
  <c r="D34" i="2"/>
  <c r="D22" i="2"/>
  <c r="AZ7" i="8"/>
  <c r="BD7" i="8"/>
  <c r="BD418" i="8" l="1"/>
  <c r="BE418" i="8" s="1"/>
  <c r="BD421" i="8"/>
  <c r="BE421" i="8" s="1"/>
  <c r="BD366" i="8"/>
  <c r="BE366" i="8" s="1"/>
  <c r="BD363" i="8"/>
  <c r="BE363" i="8" s="1"/>
  <c r="BD307" i="8"/>
  <c r="BE307" i="8" s="1"/>
  <c r="BD303" i="8"/>
  <c r="BE303" i="8" s="1"/>
  <c r="BD304" i="8"/>
  <c r="BE304" i="8" s="1"/>
  <c r="BD510" i="8"/>
  <c r="BE510" i="8" s="1"/>
  <c r="BD511" i="8"/>
  <c r="BE511" i="8" s="1"/>
  <c r="BD512" i="8"/>
  <c r="BE512" i="8" s="1"/>
  <c r="BD513" i="8"/>
  <c r="BE513" i="8" s="1"/>
  <c r="BD470" i="8"/>
  <c r="BE470" i="8" s="1"/>
  <c r="BD471" i="8"/>
  <c r="BE471" i="8" s="1"/>
  <c r="BD472" i="8"/>
  <c r="BE472" i="8" s="1"/>
  <c r="BD473" i="8"/>
  <c r="BE473" i="8" s="1"/>
  <c r="BD416" i="8"/>
  <c r="BE416" i="8" s="1"/>
  <c r="BD417" i="8"/>
  <c r="BE417" i="8" s="1"/>
  <c r="BD419" i="8"/>
  <c r="BE419" i="8" s="1"/>
  <c r="BD420" i="8"/>
  <c r="BE420" i="8" s="1"/>
  <c r="BD361" i="8"/>
  <c r="BE361" i="8" s="1"/>
  <c r="BD362" i="8"/>
  <c r="BE362" i="8" s="1"/>
  <c r="BD364" i="8"/>
  <c r="BE364" i="8" s="1"/>
  <c r="BD365" i="8"/>
  <c r="BE365" i="8" s="1"/>
  <c r="BD301" i="8"/>
  <c r="BE301" i="8" s="1"/>
  <c r="BD302" i="8"/>
  <c r="BE302" i="8" s="1"/>
  <c r="BD305" i="8"/>
  <c r="BE305" i="8" s="1"/>
  <c r="BD306" i="8"/>
  <c r="BE306" i="8" s="1"/>
  <c r="BD332" i="8"/>
  <c r="BE332" i="8" s="1"/>
  <c r="BD272" i="8"/>
  <c r="BE272" i="8" s="1"/>
  <c r="BD147" i="8"/>
  <c r="BE147" i="8" s="1"/>
  <c r="BD142" i="8"/>
  <c r="BE142" i="8" s="1"/>
  <c r="BD102" i="8"/>
  <c r="BE102" i="8" s="1"/>
  <c r="BD97" i="8"/>
  <c r="BE97" i="8" s="1"/>
  <c r="BD48" i="8"/>
  <c r="BE48" i="8" s="1"/>
  <c r="BD43" i="8"/>
  <c r="BE43" i="8" s="1"/>
  <c r="M4" i="2"/>
  <c r="BD522" i="8"/>
  <c r="BE522" i="8" s="1"/>
  <c r="BD523" i="8"/>
  <c r="BE523" i="8" s="1"/>
  <c r="BD524" i="8"/>
  <c r="BE524" i="8" s="1"/>
  <c r="BD525" i="8"/>
  <c r="BE525" i="8" s="1"/>
  <c r="BD486" i="8"/>
  <c r="BE486" i="8" s="1"/>
  <c r="BD487" i="8"/>
  <c r="BE487" i="8" s="1"/>
  <c r="BD488" i="8"/>
  <c r="BE488" i="8" s="1"/>
  <c r="BD489" i="8"/>
  <c r="BE489" i="8" s="1"/>
  <c r="BD490" i="8"/>
  <c r="BE490" i="8" s="1"/>
  <c r="BD491" i="8"/>
  <c r="BE491" i="8" s="1"/>
  <c r="BD438" i="8"/>
  <c r="BE438" i="8" s="1"/>
  <c r="BD439" i="8"/>
  <c r="BE439" i="8" s="1"/>
  <c r="BD440" i="8"/>
  <c r="BE440" i="8" s="1"/>
  <c r="BD441" i="8"/>
  <c r="BE441" i="8" s="1"/>
  <c r="BD442" i="8"/>
  <c r="BE442" i="8" s="1"/>
  <c r="BD443" i="8"/>
  <c r="BE443" i="8" s="1"/>
  <c r="BD444" i="8"/>
  <c r="BE444" i="8" s="1"/>
  <c r="BD445" i="8"/>
  <c r="BE445" i="8" s="1"/>
  <c r="BD383" i="8"/>
  <c r="BE383" i="8" s="1"/>
  <c r="BD384" i="8"/>
  <c r="BE384" i="8" s="1"/>
  <c r="BD385" i="8"/>
  <c r="BE385" i="8" s="1"/>
  <c r="BD386" i="8"/>
  <c r="BE386" i="8" s="1"/>
  <c r="BD387" i="8"/>
  <c r="BE387" i="8" s="1"/>
  <c r="BD388" i="8"/>
  <c r="BE388" i="8" s="1"/>
  <c r="BD389" i="8"/>
  <c r="BE389" i="8" s="1"/>
  <c r="BD390" i="8"/>
  <c r="BE390" i="8" s="1"/>
  <c r="BD324" i="8"/>
  <c r="BE324" i="8" s="1"/>
  <c r="BD325" i="8"/>
  <c r="BE325" i="8" s="1"/>
  <c r="BD326" i="8"/>
  <c r="BE326" i="8" s="1"/>
  <c r="BD327" i="8"/>
  <c r="BE327" i="8" s="1"/>
  <c r="BD328" i="8"/>
  <c r="BE328" i="8" s="1"/>
  <c r="BD329" i="8"/>
  <c r="BE329" i="8" s="1"/>
  <c r="BD330" i="8"/>
  <c r="BE330" i="8" s="1"/>
  <c r="BD331" i="8"/>
  <c r="BE331" i="8" s="1"/>
  <c r="BD264" i="8"/>
  <c r="BE264" i="8" s="1"/>
  <c r="BD265" i="8"/>
  <c r="BE265" i="8" s="1"/>
  <c r="BD266" i="8"/>
  <c r="BE266" i="8" s="1"/>
  <c r="BD267" i="8"/>
  <c r="BE267" i="8" s="1"/>
  <c r="BD268" i="8"/>
  <c r="BE268" i="8" s="1"/>
  <c r="BD269" i="8"/>
  <c r="BE269" i="8" s="1"/>
  <c r="BD270" i="8"/>
  <c r="BE270" i="8" s="1"/>
  <c r="BD271" i="8"/>
  <c r="BE271" i="8" s="1"/>
  <c r="BD768" i="8"/>
  <c r="BE768" i="8" s="1"/>
  <c r="BD769" i="8"/>
  <c r="BE769" i="8" s="1"/>
  <c r="BD770" i="8"/>
  <c r="BE770" i="8" s="1"/>
  <c r="BD771" i="8"/>
  <c r="BE771" i="8" s="1"/>
  <c r="BD745" i="8"/>
  <c r="BE745" i="8" s="1"/>
  <c r="BD746" i="8"/>
  <c r="BE746" i="8" s="1"/>
  <c r="BD747" i="8"/>
  <c r="BE747" i="8" s="1"/>
  <c r="BD748" i="8"/>
  <c r="BE748" i="8" s="1"/>
  <c r="BD707" i="8"/>
  <c r="BE707" i="8" s="1"/>
  <c r="BD708" i="8"/>
  <c r="BE708" i="8" s="1"/>
  <c r="BD709" i="8"/>
  <c r="BE709" i="8" s="1"/>
  <c r="BD710" i="8"/>
  <c r="BE710" i="8" s="1"/>
  <c r="BD711" i="8"/>
  <c r="BE711" i="8" s="1"/>
  <c r="BD712" i="8"/>
  <c r="BE712" i="8" s="1"/>
  <c r="BD713" i="8"/>
  <c r="BE713" i="8" s="1"/>
  <c r="BD714" i="8"/>
  <c r="BE714" i="8" s="1"/>
  <c r="BD679" i="8"/>
  <c r="BE679" i="8" s="1"/>
  <c r="BD680" i="8"/>
  <c r="BE680" i="8" s="1"/>
  <c r="BD681" i="8"/>
  <c r="BE681" i="8" s="1"/>
  <c r="BD682" i="8"/>
  <c r="BE682" i="8" s="1"/>
  <c r="BD659" i="8"/>
  <c r="BE659" i="8" s="1"/>
  <c r="BD660" i="8"/>
  <c r="BE660" i="8" s="1"/>
  <c r="BD661" i="8"/>
  <c r="BE661" i="8" s="1"/>
  <c r="BD662" i="8"/>
  <c r="BE662" i="8" s="1"/>
  <c r="BD639" i="8"/>
  <c r="BE639" i="8" s="1"/>
  <c r="BD640" i="8"/>
  <c r="BE640" i="8" s="1"/>
  <c r="BD641" i="8"/>
  <c r="BE641" i="8" s="1"/>
  <c r="BD642" i="8"/>
  <c r="BE642" i="8" s="1"/>
  <c r="BD619" i="8"/>
  <c r="BE619" i="8" s="1"/>
  <c r="BD620" i="8"/>
  <c r="BE620" i="8" s="1"/>
  <c r="BD621" i="8"/>
  <c r="BE621" i="8" s="1"/>
  <c r="BD622" i="8"/>
  <c r="BE622" i="8" s="1"/>
  <c r="BD587" i="8"/>
  <c r="BE587" i="8" s="1"/>
  <c r="BD588" i="8"/>
  <c r="BE588" i="8" s="1"/>
  <c r="BD589" i="8"/>
  <c r="BE589" i="8" s="1"/>
  <c r="BD590" i="8"/>
  <c r="BE590" i="8" s="1"/>
  <c r="BD591" i="8"/>
  <c r="BE591" i="8" s="1"/>
  <c r="BD592" i="8"/>
  <c r="BE592" i="8" s="1"/>
  <c r="BD593" i="8"/>
  <c r="BE593" i="8" s="1"/>
  <c r="BD594" i="8"/>
  <c r="BE594" i="8" s="1"/>
  <c r="BD547" i="8"/>
  <c r="BE547" i="8" s="1"/>
  <c r="BD548" i="8"/>
  <c r="BE548" i="8" s="1"/>
  <c r="BD549" i="8"/>
  <c r="BE549" i="8" s="1"/>
  <c r="BD550" i="8"/>
  <c r="BE550" i="8" s="1"/>
  <c r="BD551" i="8"/>
  <c r="BE551" i="8" s="1"/>
  <c r="BD552" i="8"/>
  <c r="BE552" i="8" s="1"/>
  <c r="BD553" i="8"/>
  <c r="BE553" i="8" s="1"/>
  <c r="BD554" i="8"/>
  <c r="BE554" i="8" s="1"/>
  <c r="BD780" i="8"/>
  <c r="BE780" i="8" s="1"/>
  <c r="BD781" i="8"/>
  <c r="BE781" i="8" s="1"/>
  <c r="BD782" i="8"/>
  <c r="BE782" i="8" s="1"/>
  <c r="BD757" i="8"/>
  <c r="BE757" i="8" s="1"/>
  <c r="BD758" i="8"/>
  <c r="BE758" i="8" s="1"/>
  <c r="BD759" i="8"/>
  <c r="BE759" i="8" s="1"/>
  <c r="BD731" i="8"/>
  <c r="BE731" i="8" s="1"/>
  <c r="BD732" i="8"/>
  <c r="BE732" i="8" s="1"/>
  <c r="BD733" i="8"/>
  <c r="BE733" i="8" s="1"/>
  <c r="BD734" i="8"/>
  <c r="BE734" i="8" s="1"/>
  <c r="BD735" i="8"/>
  <c r="BE735" i="8" s="1"/>
  <c r="BD736" i="8"/>
  <c r="BE736" i="8" s="1"/>
  <c r="BD530" i="8"/>
  <c r="BE530" i="8" s="1"/>
  <c r="BD514" i="8"/>
  <c r="BE514" i="8" s="1"/>
  <c r="BD515" i="8"/>
  <c r="BE515" i="8" s="1"/>
  <c r="BD516" i="8"/>
  <c r="BE516" i="8" s="1"/>
  <c r="BD517" i="8"/>
  <c r="BE517" i="8" s="1"/>
  <c r="BD518" i="8"/>
  <c r="BE518" i="8" s="1"/>
  <c r="BD519" i="8"/>
  <c r="BE519" i="8" s="1"/>
  <c r="BD520" i="8"/>
  <c r="BE520" i="8" s="1"/>
  <c r="BD521" i="8"/>
  <c r="BE521" i="8" s="1"/>
  <c r="BD526" i="8"/>
  <c r="BE526" i="8" s="1"/>
  <c r="BD527" i="8"/>
  <c r="BE527" i="8" s="1"/>
  <c r="BD528" i="8"/>
  <c r="BE528" i="8" s="1"/>
  <c r="BD529" i="8"/>
  <c r="BE529" i="8" s="1"/>
  <c r="BD468" i="8"/>
  <c r="BE468" i="8" s="1"/>
  <c r="BD464" i="8"/>
  <c r="BE464" i="8" s="1"/>
  <c r="BD460" i="8"/>
  <c r="BE460" i="8" s="1"/>
  <c r="BD456" i="8"/>
  <c r="BE456" i="8" s="1"/>
  <c r="BD452" i="8"/>
  <c r="BE452" i="8" s="1"/>
  <c r="BD448" i="8"/>
  <c r="BE448" i="8" s="1"/>
  <c r="BD436" i="8"/>
  <c r="BE436" i="8" s="1"/>
  <c r="BD432" i="8"/>
  <c r="BE432" i="8" s="1"/>
  <c r="BD428" i="8"/>
  <c r="BE428" i="8" s="1"/>
  <c r="BD424" i="8"/>
  <c r="BE424" i="8" s="1"/>
  <c r="BD474" i="8"/>
  <c r="BE474" i="8" s="1"/>
  <c r="BD475" i="8"/>
  <c r="BE475" i="8" s="1"/>
  <c r="BD476" i="8"/>
  <c r="BE476" i="8" s="1"/>
  <c r="BD477" i="8"/>
  <c r="BE477" i="8" s="1"/>
  <c r="BD478" i="8"/>
  <c r="BE478" i="8" s="1"/>
  <c r="BD479" i="8"/>
  <c r="BE479" i="8" s="1"/>
  <c r="BD480" i="8"/>
  <c r="BE480" i="8" s="1"/>
  <c r="BD481" i="8"/>
  <c r="BE481" i="8" s="1"/>
  <c r="BD482" i="8"/>
  <c r="BE482" i="8" s="1"/>
  <c r="BD483" i="8"/>
  <c r="BE483" i="8" s="1"/>
  <c r="BD484" i="8"/>
  <c r="BE484" i="8" s="1"/>
  <c r="BD485" i="8"/>
  <c r="BE485" i="8" s="1"/>
  <c r="BD492" i="8"/>
  <c r="BE492" i="8" s="1"/>
  <c r="BD493" i="8"/>
  <c r="BE493" i="8" s="1"/>
  <c r="BD494" i="8"/>
  <c r="BE494" i="8" s="1"/>
  <c r="BD495" i="8"/>
  <c r="BE495" i="8" s="1"/>
  <c r="BD496" i="8"/>
  <c r="BE496" i="8" s="1"/>
  <c r="BD497" i="8"/>
  <c r="BE497" i="8" s="1"/>
  <c r="BD498" i="8"/>
  <c r="BE498" i="8" s="1"/>
  <c r="BD499" i="8"/>
  <c r="BE499" i="8" s="1"/>
  <c r="BD500" i="8"/>
  <c r="BE500" i="8" s="1"/>
  <c r="BD501" i="8"/>
  <c r="BE501" i="8" s="1"/>
  <c r="BD502" i="8"/>
  <c r="BE502" i="8" s="1"/>
  <c r="BD503" i="8"/>
  <c r="BE503" i="8" s="1"/>
  <c r="BD504" i="8"/>
  <c r="BE504" i="8" s="1"/>
  <c r="BD505" i="8"/>
  <c r="BE505" i="8" s="1"/>
  <c r="BD506" i="8"/>
  <c r="BE506" i="8" s="1"/>
  <c r="BD507" i="8"/>
  <c r="BE507" i="8" s="1"/>
  <c r="BD508" i="8"/>
  <c r="BE508" i="8" s="1"/>
  <c r="BD509" i="8"/>
  <c r="BE509" i="8" s="1"/>
  <c r="BD242" i="8"/>
  <c r="BE242" i="8" s="1"/>
  <c r="BD243" i="8"/>
  <c r="BE243" i="8" s="1"/>
  <c r="BD244" i="8"/>
  <c r="BE244" i="8" s="1"/>
  <c r="BD245" i="8"/>
  <c r="BE245" i="8" s="1"/>
  <c r="BD246" i="8"/>
  <c r="BE246" i="8" s="1"/>
  <c r="BD247" i="8"/>
  <c r="BE247" i="8" s="1"/>
  <c r="BD230" i="8"/>
  <c r="BE230" i="8" s="1"/>
  <c r="BD231" i="8"/>
  <c r="BE231" i="8" s="1"/>
  <c r="BD232" i="8"/>
  <c r="BE232" i="8" s="1"/>
  <c r="BD233" i="8"/>
  <c r="BE233" i="8" s="1"/>
  <c r="BD234" i="8"/>
  <c r="BE234" i="8" s="1"/>
  <c r="BD235" i="8"/>
  <c r="BE235" i="8" s="1"/>
  <c r="BD236" i="8"/>
  <c r="BE236" i="8" s="1"/>
  <c r="BD237" i="8"/>
  <c r="BE237" i="8" s="1"/>
  <c r="BD238" i="8"/>
  <c r="BE238" i="8" s="1"/>
  <c r="BD239" i="8"/>
  <c r="BE239" i="8" s="1"/>
  <c r="BD240" i="8"/>
  <c r="BE240" i="8" s="1"/>
  <c r="BD241" i="8"/>
  <c r="BE241" i="8" s="1"/>
  <c r="BD198" i="8"/>
  <c r="BE198" i="8" s="1"/>
  <c r="BD194" i="8"/>
  <c r="BE194" i="8" s="1"/>
  <c r="BD190" i="8"/>
  <c r="BE190" i="8" s="1"/>
  <c r="BD186" i="8"/>
  <c r="BE186" i="8" s="1"/>
  <c r="BD182" i="8"/>
  <c r="BE182" i="8" s="1"/>
  <c r="BD178" i="8"/>
  <c r="BE178" i="8" s="1"/>
  <c r="BD174" i="8"/>
  <c r="BE174" i="8" s="1"/>
  <c r="BD170" i="8"/>
  <c r="BE170" i="8" s="1"/>
  <c r="BD166" i="8"/>
  <c r="BE166" i="8" s="1"/>
  <c r="BD162" i="8"/>
  <c r="BE162" i="8" s="1"/>
  <c r="BD200" i="8"/>
  <c r="BE200" i="8" s="1"/>
  <c r="BD201" i="8"/>
  <c r="BE201" i="8" s="1"/>
  <c r="BD202" i="8"/>
  <c r="BE202" i="8" s="1"/>
  <c r="BD203" i="8"/>
  <c r="BE203" i="8" s="1"/>
  <c r="BD204" i="8"/>
  <c r="BE204" i="8" s="1"/>
  <c r="BD205" i="8"/>
  <c r="BE205" i="8" s="1"/>
  <c r="BD206" i="8"/>
  <c r="BE206" i="8" s="1"/>
  <c r="BD207" i="8"/>
  <c r="BE207" i="8" s="1"/>
  <c r="BD208" i="8"/>
  <c r="BE208" i="8" s="1"/>
  <c r="BD209" i="8"/>
  <c r="BE209" i="8" s="1"/>
  <c r="BD210" i="8"/>
  <c r="BE210" i="8" s="1"/>
  <c r="BD211" i="8"/>
  <c r="BE211" i="8" s="1"/>
  <c r="BD212" i="8"/>
  <c r="BE212" i="8" s="1"/>
  <c r="BD213" i="8"/>
  <c r="BE213" i="8" s="1"/>
  <c r="BD214" i="8"/>
  <c r="BE214" i="8" s="1"/>
  <c r="BD215" i="8"/>
  <c r="BE215" i="8" s="1"/>
  <c r="BD216" i="8"/>
  <c r="BE216" i="8" s="1"/>
  <c r="BD217" i="8"/>
  <c r="BE217" i="8" s="1"/>
  <c r="BD218" i="8"/>
  <c r="BE218" i="8" s="1"/>
  <c r="BD219" i="8"/>
  <c r="BE219" i="8" s="1"/>
  <c r="BD220" i="8"/>
  <c r="BE220" i="8" s="1"/>
  <c r="BD221" i="8"/>
  <c r="BE221" i="8" s="1"/>
  <c r="BD222" i="8"/>
  <c r="BE222" i="8" s="1"/>
  <c r="BD223" i="8"/>
  <c r="BE223" i="8" s="1"/>
  <c r="BD224" i="8"/>
  <c r="BE224" i="8" s="1"/>
  <c r="BD225" i="8"/>
  <c r="BE225" i="8" s="1"/>
  <c r="BD226" i="8"/>
  <c r="BE226" i="8" s="1"/>
  <c r="BD227" i="8"/>
  <c r="BE227" i="8" s="1"/>
  <c r="BD228" i="8"/>
  <c r="BE228" i="8" s="1"/>
  <c r="BD229" i="8"/>
  <c r="BE229" i="8" s="1"/>
  <c r="BD532" i="8"/>
  <c r="BE532" i="8" s="1"/>
  <c r="BD533" i="8"/>
  <c r="BE533" i="8" s="1"/>
  <c r="BD534" i="8"/>
  <c r="BE534" i="8" s="1"/>
  <c r="BD535" i="8"/>
  <c r="BE535" i="8" s="1"/>
  <c r="BD536" i="8"/>
  <c r="BE536" i="8" s="1"/>
  <c r="BD537" i="8"/>
  <c r="BE537" i="8" s="1"/>
  <c r="BD538" i="8"/>
  <c r="BE538" i="8" s="1"/>
  <c r="BD539" i="8"/>
  <c r="BE539" i="8" s="1"/>
  <c r="BD540" i="8"/>
  <c r="BE540" i="8" s="1"/>
  <c r="BD541" i="8"/>
  <c r="BE541" i="8" s="1"/>
  <c r="BD542" i="8"/>
  <c r="BE542" i="8" s="1"/>
  <c r="BD543" i="8"/>
  <c r="BE543" i="8" s="1"/>
  <c r="BD544" i="8"/>
  <c r="BE544" i="8" s="1"/>
  <c r="BD545" i="8"/>
  <c r="BE545" i="8" s="1"/>
  <c r="BD546" i="8"/>
  <c r="BE546" i="8" s="1"/>
  <c r="BD555" i="8"/>
  <c r="BE555" i="8" s="1"/>
  <c r="BD556" i="8"/>
  <c r="BE556" i="8" s="1"/>
  <c r="BD557" i="8"/>
  <c r="BE557" i="8" s="1"/>
  <c r="BD558" i="8"/>
  <c r="BE558" i="8" s="1"/>
  <c r="BD559" i="8"/>
  <c r="BE559" i="8" s="1"/>
  <c r="BD560" i="8"/>
  <c r="BE560" i="8" s="1"/>
  <c r="BD561" i="8"/>
  <c r="BE561" i="8" s="1"/>
  <c r="BD562" i="8"/>
  <c r="BE562" i="8" s="1"/>
  <c r="BD563" i="8"/>
  <c r="BE563" i="8" s="1"/>
  <c r="BD564" i="8"/>
  <c r="BE564" i="8" s="1"/>
  <c r="BD565" i="8"/>
  <c r="BE565" i="8" s="1"/>
  <c r="BD566" i="8"/>
  <c r="BE566" i="8" s="1"/>
  <c r="BD567" i="8"/>
  <c r="BE567" i="8" s="1"/>
  <c r="BD568" i="8"/>
  <c r="BE568" i="8" s="1"/>
  <c r="BD569" i="8"/>
  <c r="BE569" i="8" s="1"/>
  <c r="BD570" i="8"/>
  <c r="BE570" i="8" s="1"/>
  <c r="BD571" i="8"/>
  <c r="BE571" i="8" s="1"/>
  <c r="BD572" i="8"/>
  <c r="BE572" i="8" s="1"/>
  <c r="BD573" i="8"/>
  <c r="BE573" i="8" s="1"/>
  <c r="BD574" i="8"/>
  <c r="BE574" i="8" s="1"/>
  <c r="BD575" i="8"/>
  <c r="BE575" i="8" s="1"/>
  <c r="BD576" i="8"/>
  <c r="BE576" i="8" s="1"/>
  <c r="BD577" i="8"/>
  <c r="BE577" i="8" s="1"/>
  <c r="BD578" i="8"/>
  <c r="BE578" i="8" s="1"/>
  <c r="BD579" i="8"/>
  <c r="BE579" i="8" s="1"/>
  <c r="BD580" i="8"/>
  <c r="BE580" i="8" s="1"/>
  <c r="BD581" i="8"/>
  <c r="BE581" i="8" s="1"/>
  <c r="BD582" i="8"/>
  <c r="BE582" i="8" s="1"/>
  <c r="BD583" i="8"/>
  <c r="BE583" i="8" s="1"/>
  <c r="BD584" i="8"/>
  <c r="BE584" i="8" s="1"/>
  <c r="BD585" i="8"/>
  <c r="BE585" i="8" s="1"/>
  <c r="BD586" i="8"/>
  <c r="BE586" i="8" s="1"/>
  <c r="BD595" i="8"/>
  <c r="BE595" i="8" s="1"/>
  <c r="BD596" i="8"/>
  <c r="BE596" i="8" s="1"/>
  <c r="BD597" i="8"/>
  <c r="BE597" i="8" s="1"/>
  <c r="BD598" i="8"/>
  <c r="BE598" i="8" s="1"/>
  <c r="BD599" i="8"/>
  <c r="BE599" i="8" s="1"/>
  <c r="BD600" i="8"/>
  <c r="BE600" i="8" s="1"/>
  <c r="BD601" i="8"/>
  <c r="BE601" i="8" s="1"/>
  <c r="BD602" i="8"/>
  <c r="BE602" i="8" s="1"/>
  <c r="BD603" i="8"/>
  <c r="BE603" i="8" s="1"/>
  <c r="BD604" i="8"/>
  <c r="BE604" i="8" s="1"/>
  <c r="BD605" i="8"/>
  <c r="BE605" i="8" s="1"/>
  <c r="BD606" i="8"/>
  <c r="BE606" i="8" s="1"/>
  <c r="BD607" i="8"/>
  <c r="BE607" i="8" s="1"/>
  <c r="BD608" i="8"/>
  <c r="BE608" i="8" s="1"/>
  <c r="BD609" i="8"/>
  <c r="BE609" i="8" s="1"/>
  <c r="BD610" i="8"/>
  <c r="BE610" i="8" s="1"/>
  <c r="BD611" i="8"/>
  <c r="BE611" i="8" s="1"/>
  <c r="BD612" i="8"/>
  <c r="BE612" i="8" s="1"/>
  <c r="BD613" i="8"/>
  <c r="BE613" i="8" s="1"/>
  <c r="BD614" i="8"/>
  <c r="BE614" i="8" s="1"/>
  <c r="BD615" i="8"/>
  <c r="BE615" i="8" s="1"/>
  <c r="BD616" i="8"/>
  <c r="BE616" i="8" s="1"/>
  <c r="BD617" i="8"/>
  <c r="BE617" i="8" s="1"/>
  <c r="BD618" i="8"/>
  <c r="BE618" i="8" s="1"/>
  <c r="BD623" i="8"/>
  <c r="BE623" i="8" s="1"/>
  <c r="BD624" i="8"/>
  <c r="BE624" i="8" s="1"/>
  <c r="BD625" i="8"/>
  <c r="BE625" i="8" s="1"/>
  <c r="BD626" i="8"/>
  <c r="BE626" i="8" s="1"/>
  <c r="BD627" i="8"/>
  <c r="BE627" i="8" s="1"/>
  <c r="BD628" i="8"/>
  <c r="BE628" i="8" s="1"/>
  <c r="BD629" i="8"/>
  <c r="BE629" i="8" s="1"/>
  <c r="BD630" i="8"/>
  <c r="BE630" i="8" s="1"/>
  <c r="BD631" i="8"/>
  <c r="BE631" i="8" s="1"/>
  <c r="BD632" i="8"/>
  <c r="BE632" i="8" s="1"/>
  <c r="BD633" i="8"/>
  <c r="BE633" i="8" s="1"/>
  <c r="BD634" i="8"/>
  <c r="BE634" i="8" s="1"/>
  <c r="BD635" i="8"/>
  <c r="BE635" i="8" s="1"/>
  <c r="BD636" i="8"/>
  <c r="BE636" i="8" s="1"/>
  <c r="BD637" i="8"/>
  <c r="BE637" i="8" s="1"/>
  <c r="BD638" i="8"/>
  <c r="BE638" i="8" s="1"/>
  <c r="BD643" i="8"/>
  <c r="BE643" i="8" s="1"/>
  <c r="BD644" i="8"/>
  <c r="BE644" i="8" s="1"/>
  <c r="BD645" i="8"/>
  <c r="BE645" i="8" s="1"/>
  <c r="BD646" i="8"/>
  <c r="BE646" i="8" s="1"/>
  <c r="BD647" i="8"/>
  <c r="BE647" i="8" s="1"/>
  <c r="BD648" i="8"/>
  <c r="BE648" i="8" s="1"/>
  <c r="BD649" i="8"/>
  <c r="BE649" i="8" s="1"/>
  <c r="BD650" i="8"/>
  <c r="BE650" i="8" s="1"/>
  <c r="BD651" i="8"/>
  <c r="BE651" i="8" s="1"/>
  <c r="BD652" i="8"/>
  <c r="BE652" i="8" s="1"/>
  <c r="BD653" i="8"/>
  <c r="BE653" i="8" s="1"/>
  <c r="BD654" i="8"/>
  <c r="BE654" i="8" s="1"/>
  <c r="BD655" i="8"/>
  <c r="BE655" i="8" s="1"/>
  <c r="BD656" i="8"/>
  <c r="BE656" i="8" s="1"/>
  <c r="BD657" i="8"/>
  <c r="BE657" i="8" s="1"/>
  <c r="BD658" i="8"/>
  <c r="BE658" i="8" s="1"/>
  <c r="BD663" i="8"/>
  <c r="BE663" i="8" s="1"/>
  <c r="BD664" i="8"/>
  <c r="BE664" i="8" s="1"/>
  <c r="BD665" i="8"/>
  <c r="BE665" i="8" s="1"/>
  <c r="BD666" i="8"/>
  <c r="BE666" i="8" s="1"/>
  <c r="BD667" i="8"/>
  <c r="BE667" i="8" s="1"/>
  <c r="BD668" i="8"/>
  <c r="BE668" i="8" s="1"/>
  <c r="BD669" i="8"/>
  <c r="BE669" i="8" s="1"/>
  <c r="BD670" i="8"/>
  <c r="BE670" i="8" s="1"/>
  <c r="BD671" i="8"/>
  <c r="BE671" i="8" s="1"/>
  <c r="BD672" i="8"/>
  <c r="BE672" i="8" s="1"/>
  <c r="BD673" i="8"/>
  <c r="BE673" i="8" s="1"/>
  <c r="BD674" i="8"/>
  <c r="BE674" i="8" s="1"/>
  <c r="BD675" i="8"/>
  <c r="BE675" i="8" s="1"/>
  <c r="BD676" i="8"/>
  <c r="BE676" i="8" s="1"/>
  <c r="BD677" i="8"/>
  <c r="BE677" i="8" s="1"/>
  <c r="BD678" i="8"/>
  <c r="BE678" i="8" s="1"/>
  <c r="BD683" i="8"/>
  <c r="BE683" i="8" s="1"/>
  <c r="BD684" i="8"/>
  <c r="BE684" i="8" s="1"/>
  <c r="BD685" i="8"/>
  <c r="BE685" i="8" s="1"/>
  <c r="BD686" i="8"/>
  <c r="BE686" i="8" s="1"/>
  <c r="BD687" i="8"/>
  <c r="BE687" i="8" s="1"/>
  <c r="BD688" i="8"/>
  <c r="BE688" i="8" s="1"/>
  <c r="BD689" i="8"/>
  <c r="BE689" i="8" s="1"/>
  <c r="BD690" i="8"/>
  <c r="BE690" i="8" s="1"/>
  <c r="BD691" i="8"/>
  <c r="BE691" i="8" s="1"/>
  <c r="BD692" i="8"/>
  <c r="BE692" i="8" s="1"/>
  <c r="BD693" i="8"/>
  <c r="BE693" i="8" s="1"/>
  <c r="BD694" i="8"/>
  <c r="BE694" i="8" s="1"/>
  <c r="BD695" i="8"/>
  <c r="BE695" i="8" s="1"/>
  <c r="BD696" i="8"/>
  <c r="BE696" i="8" s="1"/>
  <c r="BD697" i="8"/>
  <c r="BE697" i="8" s="1"/>
  <c r="BD698" i="8"/>
  <c r="BE698" i="8" s="1"/>
  <c r="BD699" i="8"/>
  <c r="BE699" i="8" s="1"/>
  <c r="BD700" i="8"/>
  <c r="BE700" i="8" s="1"/>
  <c r="BD701" i="8"/>
  <c r="BE701" i="8" s="1"/>
  <c r="BD702" i="8"/>
  <c r="BE702" i="8" s="1"/>
  <c r="BD703" i="8"/>
  <c r="BE703" i="8" s="1"/>
  <c r="BD704" i="8"/>
  <c r="BE704" i="8" s="1"/>
  <c r="BD705" i="8"/>
  <c r="BE705" i="8" s="1"/>
  <c r="BD706" i="8"/>
  <c r="BE706" i="8" s="1"/>
  <c r="BD715" i="8"/>
  <c r="BE715" i="8" s="1"/>
  <c r="BD716" i="8"/>
  <c r="BE716" i="8" s="1"/>
  <c r="BD717" i="8"/>
  <c r="BE717" i="8" s="1"/>
  <c r="BD718" i="8"/>
  <c r="BE718" i="8" s="1"/>
  <c r="BD719" i="8"/>
  <c r="BE719" i="8" s="1"/>
  <c r="BD720" i="8"/>
  <c r="BE720" i="8" s="1"/>
  <c r="BD721" i="8"/>
  <c r="BE721" i="8" s="1"/>
  <c r="BD722" i="8"/>
  <c r="BE722" i="8" s="1"/>
  <c r="BD723" i="8"/>
  <c r="BE723" i="8" s="1"/>
  <c r="BD724" i="8"/>
  <c r="BE724" i="8" s="1"/>
  <c r="BD725" i="8"/>
  <c r="BE725" i="8" s="1"/>
  <c r="BD726" i="8"/>
  <c r="BE726" i="8" s="1"/>
  <c r="BD727" i="8"/>
  <c r="BE727" i="8" s="1"/>
  <c r="BD728" i="8"/>
  <c r="BE728" i="8" s="1"/>
  <c r="BD729" i="8"/>
  <c r="BE729" i="8" s="1"/>
  <c r="BD730" i="8"/>
  <c r="BE730" i="8" s="1"/>
  <c r="BD737" i="8"/>
  <c r="BE737" i="8" s="1"/>
  <c r="BD738" i="8"/>
  <c r="BE738" i="8" s="1"/>
  <c r="BD739" i="8"/>
  <c r="BE739" i="8" s="1"/>
  <c r="BD740" i="8"/>
  <c r="BE740" i="8" s="1"/>
  <c r="BD741" i="8"/>
  <c r="BE741" i="8" s="1"/>
  <c r="BD742" i="8"/>
  <c r="BE742" i="8" s="1"/>
  <c r="BD743" i="8"/>
  <c r="BE743" i="8" s="1"/>
  <c r="BD744" i="8"/>
  <c r="BE744" i="8" s="1"/>
  <c r="BD749" i="8"/>
  <c r="BE749" i="8" s="1"/>
  <c r="BD750" i="8"/>
  <c r="BE750" i="8" s="1"/>
  <c r="BD751" i="8"/>
  <c r="BE751" i="8" s="1"/>
  <c r="BD752" i="8"/>
  <c r="BE752" i="8" s="1"/>
  <c r="BD753" i="8"/>
  <c r="BE753" i="8" s="1"/>
  <c r="BD754" i="8"/>
  <c r="BE754" i="8" s="1"/>
  <c r="BD755" i="8"/>
  <c r="BE755" i="8" s="1"/>
  <c r="BD756" i="8"/>
  <c r="BE756" i="8" s="1"/>
  <c r="BD760" i="8"/>
  <c r="BE760" i="8" s="1"/>
  <c r="BD761" i="8"/>
  <c r="BE761" i="8" s="1"/>
  <c r="BD762" i="8"/>
  <c r="BE762" i="8" s="1"/>
  <c r="BD763" i="8"/>
  <c r="BE763" i="8" s="1"/>
  <c r="BD764" i="8"/>
  <c r="BE764" i="8" s="1"/>
  <c r="BD765" i="8"/>
  <c r="BE765" i="8" s="1"/>
  <c r="BD766" i="8"/>
  <c r="BE766" i="8" s="1"/>
  <c r="BD767" i="8"/>
  <c r="BE767" i="8" s="1"/>
  <c r="BD772" i="8"/>
  <c r="BE772" i="8" s="1"/>
  <c r="BD773" i="8"/>
  <c r="BE773" i="8" s="1"/>
  <c r="BD774" i="8"/>
  <c r="BE774" i="8" s="1"/>
  <c r="BD775" i="8"/>
  <c r="BE775" i="8" s="1"/>
  <c r="BD776" i="8"/>
  <c r="BE776" i="8" s="1"/>
  <c r="BD777" i="8"/>
  <c r="BE777" i="8" s="1"/>
  <c r="BD778" i="8"/>
  <c r="BE778" i="8" s="1"/>
  <c r="BD779" i="8"/>
  <c r="BE779" i="8" s="1"/>
  <c r="BD14" i="8"/>
  <c r="BE14" i="8" s="1"/>
  <c r="BD15" i="8"/>
  <c r="BE15" i="8" s="1"/>
  <c r="BD16" i="8"/>
  <c r="BE16" i="8" s="1"/>
  <c r="BD17" i="8"/>
  <c r="BE17" i="8" s="1"/>
  <c r="BD18" i="8"/>
  <c r="BE18" i="8" s="1"/>
  <c r="BD19" i="8"/>
  <c r="BE19" i="8" s="1"/>
  <c r="BD20" i="8"/>
  <c r="BE20" i="8" s="1"/>
  <c r="BD21" i="8"/>
  <c r="BE21" i="8" s="1"/>
  <c r="BD22" i="8"/>
  <c r="BD23" i="8"/>
  <c r="BE23" i="8" s="1"/>
  <c r="BD24" i="8"/>
  <c r="BE24" i="8" s="1"/>
  <c r="BD25" i="8"/>
  <c r="BD26" i="8"/>
  <c r="BE26" i="8" s="1"/>
  <c r="BD27" i="8"/>
  <c r="BE27" i="8" s="1"/>
  <c r="BD28" i="8"/>
  <c r="BE28" i="8" s="1"/>
  <c r="BD29" i="8"/>
  <c r="BE29" i="8" s="1"/>
  <c r="BD30" i="8"/>
  <c r="BE30" i="8" s="1"/>
  <c r="BD31" i="8"/>
  <c r="BE31" i="8" s="1"/>
  <c r="BD32" i="8"/>
  <c r="BE32" i="8" s="1"/>
  <c r="BD33" i="8"/>
  <c r="BE33" i="8" s="1"/>
  <c r="BD34" i="8"/>
  <c r="BE34" i="8" s="1"/>
  <c r="BD35" i="8"/>
  <c r="BE35" i="8" s="1"/>
  <c r="BD36" i="8"/>
  <c r="BE36" i="8" s="1"/>
  <c r="BD37" i="8"/>
  <c r="BE37" i="8" s="1"/>
  <c r="BD38" i="8"/>
  <c r="BE38" i="8" s="1"/>
  <c r="BD39" i="8"/>
  <c r="BE39" i="8" s="1"/>
  <c r="BD40" i="8"/>
  <c r="BE40" i="8" s="1"/>
  <c r="BD41" i="8"/>
  <c r="BE41" i="8" s="1"/>
  <c r="BD42" i="8"/>
  <c r="BE42" i="8" s="1"/>
  <c r="BD44" i="8"/>
  <c r="BD45" i="8"/>
  <c r="BE45" i="8" s="1"/>
  <c r="BD46" i="8"/>
  <c r="BE46" i="8" s="1"/>
  <c r="BD47" i="8"/>
  <c r="BE47" i="8" s="1"/>
  <c r="BD49" i="8"/>
  <c r="BD50" i="8"/>
  <c r="BE50" i="8" s="1"/>
  <c r="BD51" i="8"/>
  <c r="BE51" i="8" s="1"/>
  <c r="BD52" i="8"/>
  <c r="BE52" i="8" s="1"/>
  <c r="BD53" i="8"/>
  <c r="BE53" i="8" s="1"/>
  <c r="BD54" i="8"/>
  <c r="BE54" i="8" s="1"/>
  <c r="BD55" i="8"/>
  <c r="BE55" i="8" s="1"/>
  <c r="BD56" i="8"/>
  <c r="BE56" i="8" s="1"/>
  <c r="BD57" i="8"/>
  <c r="BE57" i="8" s="1"/>
  <c r="BD58" i="8"/>
  <c r="BD59" i="8"/>
  <c r="BE59" i="8" s="1"/>
  <c r="BD60" i="8"/>
  <c r="BE60" i="8" s="1"/>
  <c r="BD61" i="8"/>
  <c r="BE61" i="8" s="1"/>
  <c r="BD62" i="8"/>
  <c r="BE62" i="8" s="1"/>
  <c r="BD63" i="8"/>
  <c r="BE63" i="8" s="1"/>
  <c r="BD64" i="8"/>
  <c r="BE64" i="8" s="1"/>
  <c r="BD65" i="8"/>
  <c r="BE65" i="8" s="1"/>
  <c r="BD66" i="8"/>
  <c r="BE66" i="8" s="1"/>
  <c r="BD67" i="8"/>
  <c r="BD68" i="8"/>
  <c r="BE68" i="8" s="1"/>
  <c r="BD69" i="8"/>
  <c r="BE69" i="8" s="1"/>
  <c r="BD70" i="8"/>
  <c r="BE70" i="8" s="1"/>
  <c r="BD71" i="8"/>
  <c r="BE71" i="8" s="1"/>
  <c r="BD72" i="8"/>
  <c r="BE72" i="8" s="1"/>
  <c r="BD73" i="8"/>
  <c r="BE73" i="8" s="1"/>
  <c r="BD74" i="8"/>
  <c r="BE74" i="8" s="1"/>
  <c r="BD75" i="8"/>
  <c r="BE75" i="8" s="1"/>
  <c r="BD76" i="8"/>
  <c r="BE76" i="8" s="1"/>
  <c r="BD77" i="8"/>
  <c r="BE77" i="8" s="1"/>
  <c r="BD78" i="8"/>
  <c r="BE78" i="8" s="1"/>
  <c r="BD79" i="8"/>
  <c r="BE79" i="8" s="1"/>
  <c r="BD80" i="8"/>
  <c r="BE80" i="8" s="1"/>
  <c r="BD81" i="8"/>
  <c r="BE81" i="8" s="1"/>
  <c r="BD82" i="8"/>
  <c r="BE82" i="8" s="1"/>
  <c r="BD83" i="8"/>
  <c r="BE83" i="8" s="1"/>
  <c r="BD84" i="8"/>
  <c r="BE84" i="8" s="1"/>
  <c r="BD85" i="8"/>
  <c r="BE85" i="8" s="1"/>
  <c r="BD86" i="8"/>
  <c r="BE86" i="8" s="1"/>
  <c r="BD87" i="8"/>
  <c r="BE87" i="8" s="1"/>
  <c r="BD88" i="8"/>
  <c r="BE88" i="8" s="1"/>
  <c r="BD89" i="8"/>
  <c r="BE89" i="8" s="1"/>
  <c r="BD90" i="8"/>
  <c r="BE90" i="8" s="1"/>
  <c r="BD91" i="8"/>
  <c r="BE91" i="8" s="1"/>
  <c r="BD92" i="8"/>
  <c r="BE92" i="8" s="1"/>
  <c r="BD93" i="8"/>
  <c r="BE93" i="8" s="1"/>
  <c r="BD94" i="8"/>
  <c r="BE94" i="8" s="1"/>
  <c r="BD95" i="8"/>
  <c r="BE95" i="8" s="1"/>
  <c r="BD96" i="8"/>
  <c r="BE96" i="8" s="1"/>
  <c r="BD98" i="8"/>
  <c r="BE98" i="8" s="1"/>
  <c r="BD99" i="8"/>
  <c r="BE99" i="8" s="1"/>
  <c r="BD100" i="8"/>
  <c r="BE100" i="8" s="1"/>
  <c r="BD101" i="8"/>
  <c r="BE101" i="8" s="1"/>
  <c r="BD103" i="8"/>
  <c r="BE103" i="8" s="1"/>
  <c r="BD104" i="8"/>
  <c r="BE104" i="8" s="1"/>
  <c r="BD105" i="8"/>
  <c r="BE105" i="8" s="1"/>
  <c r="BD106" i="8"/>
  <c r="BE106" i="8" s="1"/>
  <c r="BD107" i="8"/>
  <c r="BE107" i="8" s="1"/>
  <c r="BD108" i="8"/>
  <c r="BE108" i="8" s="1"/>
  <c r="BD109" i="8"/>
  <c r="BE109" i="8" s="1"/>
  <c r="BD110" i="8"/>
  <c r="BE110" i="8" s="1"/>
  <c r="BD111" i="8"/>
  <c r="BE111" i="8" s="1"/>
  <c r="BD112" i="8"/>
  <c r="BE112" i="8" s="1"/>
  <c r="BD113" i="8"/>
  <c r="BE113" i="8" s="1"/>
  <c r="BD114" i="8"/>
  <c r="BE114" i="8" s="1"/>
  <c r="BD115" i="8"/>
  <c r="BD116" i="8"/>
  <c r="BE116" i="8" s="1"/>
  <c r="BD117" i="8"/>
  <c r="BE117" i="8" s="1"/>
  <c r="BD118" i="8"/>
  <c r="BE118" i="8" s="1"/>
  <c r="BD119" i="8"/>
  <c r="BE119" i="8" s="1"/>
  <c r="BD120" i="8"/>
  <c r="BE120" i="8" s="1"/>
  <c r="BD121" i="8"/>
  <c r="BE121" i="8" s="1"/>
  <c r="BD122" i="8"/>
  <c r="BE122" i="8" s="1"/>
  <c r="BD123" i="8"/>
  <c r="BE123" i="8" s="1"/>
  <c r="BD124" i="8"/>
  <c r="BE124" i="8" s="1"/>
  <c r="BD125" i="8"/>
  <c r="BE125" i="8" s="1"/>
  <c r="BD126" i="8"/>
  <c r="BE126" i="8" s="1"/>
  <c r="BD127" i="8"/>
  <c r="BE127" i="8" s="1"/>
  <c r="BD128" i="8"/>
  <c r="BE128" i="8" s="1"/>
  <c r="BD129" i="8"/>
  <c r="BE129" i="8" s="1"/>
  <c r="BD130" i="8"/>
  <c r="BE130" i="8" s="1"/>
  <c r="BD131" i="8"/>
  <c r="BE131" i="8" s="1"/>
  <c r="BD132" i="8"/>
  <c r="BE132" i="8" s="1"/>
  <c r="BD133" i="8"/>
  <c r="BE133" i="8" s="1"/>
  <c r="BD134" i="8"/>
  <c r="BE134" i="8" s="1"/>
  <c r="BD135" i="8"/>
  <c r="BE135" i="8" s="1"/>
  <c r="BD136" i="8"/>
  <c r="BE136" i="8" s="1"/>
  <c r="BD137" i="8"/>
  <c r="BE137" i="8" s="1"/>
  <c r="BD138" i="8"/>
  <c r="BE138" i="8" s="1"/>
  <c r="BD139" i="8"/>
  <c r="BE139" i="8" s="1"/>
  <c r="BD140" i="8"/>
  <c r="BE140" i="8" s="1"/>
  <c r="BD141" i="8"/>
  <c r="BE141" i="8" s="1"/>
  <c r="BD143" i="8"/>
  <c r="BE143" i="8" s="1"/>
  <c r="BD144" i="8"/>
  <c r="BE144" i="8" s="1"/>
  <c r="BD145" i="8"/>
  <c r="BE145" i="8" s="1"/>
  <c r="BD146" i="8"/>
  <c r="BE146" i="8" s="1"/>
  <c r="BD148" i="8"/>
  <c r="BE148" i="8" s="1"/>
  <c r="BD149" i="8"/>
  <c r="BE149" i="8" s="1"/>
  <c r="BD150" i="8"/>
  <c r="BE150" i="8" s="1"/>
  <c r="BD151" i="8"/>
  <c r="BE151" i="8" s="1"/>
  <c r="BD152" i="8"/>
  <c r="BE152" i="8" s="1"/>
  <c r="BD153" i="8"/>
  <c r="BE153" i="8" s="1"/>
  <c r="BD154" i="8"/>
  <c r="BE154" i="8" s="1"/>
  <c r="BD155" i="8"/>
  <c r="BE155" i="8" s="1"/>
  <c r="BD156" i="8"/>
  <c r="BE156" i="8" s="1"/>
  <c r="BD157" i="8"/>
  <c r="BE157" i="8" s="1"/>
  <c r="BD158" i="8"/>
  <c r="BE158" i="8" s="1"/>
  <c r="BD159" i="8"/>
  <c r="BE159" i="8" s="1"/>
  <c r="BD160" i="8"/>
  <c r="BE160" i="8" s="1"/>
  <c r="BD161" i="8"/>
  <c r="BE161" i="8" s="1"/>
  <c r="BD163" i="8"/>
  <c r="BD164" i="8"/>
  <c r="BE164" i="8" s="1"/>
  <c r="BD165" i="8"/>
  <c r="BE165" i="8" s="1"/>
  <c r="BD167" i="8"/>
  <c r="BE167" i="8" s="1"/>
  <c r="BD168" i="8"/>
  <c r="BE168" i="8" s="1"/>
  <c r="BD169" i="8"/>
  <c r="BE169" i="8" s="1"/>
  <c r="BD171" i="8"/>
  <c r="BE171" i="8" s="1"/>
  <c r="BD172" i="8"/>
  <c r="BD173" i="8"/>
  <c r="BE173" i="8" s="1"/>
  <c r="BD175" i="8"/>
  <c r="BE175" i="8" s="1"/>
  <c r="BD176" i="8"/>
  <c r="BE176" i="8" s="1"/>
  <c r="BD177" i="8"/>
  <c r="BE177" i="8" s="1"/>
  <c r="BD179" i="8"/>
  <c r="BE179" i="8" s="1"/>
  <c r="BD180" i="8"/>
  <c r="BE180" i="8" s="1"/>
  <c r="BD181" i="8"/>
  <c r="BE181" i="8" s="1"/>
  <c r="BD183" i="8"/>
  <c r="BE183" i="8" s="1"/>
  <c r="BD184" i="8"/>
  <c r="BE184" i="8" s="1"/>
  <c r="BD185" i="8"/>
  <c r="BE185" i="8" s="1"/>
  <c r="BD187" i="8"/>
  <c r="BE187" i="8" s="1"/>
  <c r="BD188" i="8"/>
  <c r="BE188" i="8" s="1"/>
  <c r="BD189" i="8"/>
  <c r="BE189" i="8" s="1"/>
  <c r="BD191" i="8"/>
  <c r="BE191" i="8" s="1"/>
  <c r="BD192" i="8"/>
  <c r="BE192" i="8" s="1"/>
  <c r="BD193" i="8"/>
  <c r="BE193" i="8" s="1"/>
  <c r="BD195" i="8"/>
  <c r="BE195" i="8" s="1"/>
  <c r="BD196" i="8"/>
  <c r="BE196" i="8" s="1"/>
  <c r="BD197" i="8"/>
  <c r="BE197" i="8" s="1"/>
  <c r="BD199" i="8"/>
  <c r="BE199" i="8" s="1"/>
  <c r="BD248" i="8"/>
  <c r="BE248" i="8" s="1"/>
  <c r="BD249" i="8"/>
  <c r="BD250" i="8"/>
  <c r="BE250" i="8" s="1"/>
  <c r="BD251" i="8"/>
  <c r="BE251" i="8" s="1"/>
  <c r="BD252" i="8"/>
  <c r="BD253" i="8"/>
  <c r="BE253" i="8" s="1"/>
  <c r="BD254" i="8"/>
  <c r="BE254" i="8" s="1"/>
  <c r="BD255" i="8"/>
  <c r="BE255" i="8" s="1"/>
  <c r="BD256" i="8"/>
  <c r="BD257" i="8"/>
  <c r="BD258" i="8"/>
  <c r="BE258" i="8" s="1"/>
  <c r="BD259" i="8"/>
  <c r="BE259" i="8" s="1"/>
  <c r="BD260" i="8"/>
  <c r="BD261" i="8"/>
  <c r="BE261" i="8" s="1"/>
  <c r="BD262" i="8"/>
  <c r="BE262" i="8" s="1"/>
  <c r="BD263" i="8"/>
  <c r="BE263" i="8" s="1"/>
  <c r="BD273" i="8"/>
  <c r="BE273" i="8" s="1"/>
  <c r="BD274" i="8"/>
  <c r="BE274" i="8" s="1"/>
  <c r="BD275" i="8"/>
  <c r="BE275" i="8" s="1"/>
  <c r="BD276" i="8"/>
  <c r="BE276" i="8" s="1"/>
  <c r="BD277" i="8"/>
  <c r="BE277" i="8" s="1"/>
  <c r="BD278" i="8"/>
  <c r="BE278" i="8" s="1"/>
  <c r="BD279" i="8"/>
  <c r="BE279" i="8" s="1"/>
  <c r="BD280" i="8"/>
  <c r="BE280" i="8" s="1"/>
  <c r="BD281" i="8"/>
  <c r="BE281" i="8" s="1"/>
  <c r="BD282" i="8"/>
  <c r="BE282" i="8" s="1"/>
  <c r="BD283" i="8"/>
  <c r="BE283" i="8" s="1"/>
  <c r="BD284" i="8"/>
  <c r="BE284" i="8" s="1"/>
  <c r="BD285" i="8"/>
  <c r="BE285" i="8" s="1"/>
  <c r="BD286" i="8"/>
  <c r="BE286" i="8" s="1"/>
  <c r="BD287" i="8"/>
  <c r="BE287" i="8" s="1"/>
  <c r="BD288" i="8"/>
  <c r="BE288" i="8" s="1"/>
  <c r="BD289" i="8"/>
  <c r="BD290" i="8"/>
  <c r="BD291" i="8"/>
  <c r="BE291" i="8" s="1"/>
  <c r="BD292" i="8"/>
  <c r="BE292" i="8" s="1"/>
  <c r="BD293" i="8"/>
  <c r="BE293" i="8" s="1"/>
  <c r="BD294" i="8"/>
  <c r="BE294" i="8" s="1"/>
  <c r="BD295" i="8"/>
  <c r="BD296" i="8"/>
  <c r="BE296" i="8" s="1"/>
  <c r="BD297" i="8"/>
  <c r="BD298" i="8"/>
  <c r="BD299" i="8"/>
  <c r="BE299" i="8" s="1"/>
  <c r="BD300" i="8"/>
  <c r="BE300" i="8" s="1"/>
  <c r="BD308" i="8"/>
  <c r="BE308" i="8" s="1"/>
  <c r="BD309" i="8"/>
  <c r="BE309" i="8" s="1"/>
  <c r="BD310" i="8"/>
  <c r="BE310" i="8" s="1"/>
  <c r="BD311" i="8"/>
  <c r="BE311" i="8" s="1"/>
  <c r="BD312" i="8"/>
  <c r="BE312" i="8" s="1"/>
  <c r="BD313" i="8"/>
  <c r="BE313" i="8" s="1"/>
  <c r="BD314" i="8"/>
  <c r="BE314" i="8" s="1"/>
  <c r="BD315" i="8"/>
  <c r="BE315" i="8" s="1"/>
  <c r="BD316" i="8"/>
  <c r="BE316" i="8" s="1"/>
  <c r="BD317" i="8"/>
  <c r="BE317" i="8" s="1"/>
  <c r="BD318" i="8"/>
  <c r="BE318" i="8" s="1"/>
  <c r="BD319" i="8"/>
  <c r="BE319" i="8" s="1"/>
  <c r="BD320" i="8"/>
  <c r="BE320" i="8" s="1"/>
  <c r="BD321" i="8"/>
  <c r="BE321" i="8" s="1"/>
  <c r="BD322" i="8"/>
  <c r="BE322" i="8" s="1"/>
  <c r="BD323" i="8"/>
  <c r="BE323" i="8" s="1"/>
  <c r="BD333" i="8"/>
  <c r="BE333" i="8" s="1"/>
  <c r="BD334" i="8"/>
  <c r="BE334" i="8" s="1"/>
  <c r="BD335" i="8"/>
  <c r="BE335" i="8" s="1"/>
  <c r="BD336" i="8"/>
  <c r="BE336" i="8" s="1"/>
  <c r="BD337" i="8"/>
  <c r="BE337" i="8" s="1"/>
  <c r="BD338" i="8"/>
  <c r="BE338" i="8" s="1"/>
  <c r="BD339" i="8"/>
  <c r="BE339" i="8" s="1"/>
  <c r="BD340" i="8"/>
  <c r="BE340" i="8" s="1"/>
  <c r="BD341" i="8"/>
  <c r="BE341" i="8" s="1"/>
  <c r="BD342" i="8"/>
  <c r="BE342" i="8" s="1"/>
  <c r="BD343" i="8"/>
  <c r="BE343" i="8" s="1"/>
  <c r="BD344" i="8"/>
  <c r="BE344" i="8" s="1"/>
  <c r="BD345" i="8"/>
  <c r="BE345" i="8" s="1"/>
  <c r="BD346" i="8"/>
  <c r="BE346" i="8" s="1"/>
  <c r="BD347" i="8"/>
  <c r="BE347" i="8" s="1"/>
  <c r="BD348" i="8"/>
  <c r="BE348" i="8" s="1"/>
  <c r="BD349" i="8"/>
  <c r="BE349" i="8" s="1"/>
  <c r="BD350" i="8"/>
  <c r="BD351" i="8"/>
  <c r="BE351" i="8" s="1"/>
  <c r="BD352" i="8"/>
  <c r="BE352" i="8" s="1"/>
  <c r="BD353" i="8"/>
  <c r="BE353" i="8" s="1"/>
  <c r="BD354" i="8"/>
  <c r="BE354" i="8" s="1"/>
  <c r="BD355" i="8"/>
  <c r="BE355" i="8" s="1"/>
  <c r="BD356" i="8"/>
  <c r="BE356" i="8" s="1"/>
  <c r="BD357" i="8"/>
  <c r="BE357" i="8" s="1"/>
  <c r="BD358" i="8"/>
  <c r="BE358" i="8" s="1"/>
  <c r="BD359" i="8"/>
  <c r="BE359" i="8" s="1"/>
  <c r="BD360" i="8"/>
  <c r="BE360" i="8" s="1"/>
  <c r="BD367" i="8"/>
  <c r="BE367" i="8" s="1"/>
  <c r="BD368" i="8"/>
  <c r="BE368" i="8" s="1"/>
  <c r="BD369" i="8"/>
  <c r="BE369" i="8" s="1"/>
  <c r="BD370" i="8"/>
  <c r="BE370" i="8" s="1"/>
  <c r="BD371" i="8"/>
  <c r="BE371" i="8" s="1"/>
  <c r="BD372" i="8"/>
  <c r="BE372" i="8" s="1"/>
  <c r="BD373" i="8"/>
  <c r="BE373" i="8" s="1"/>
  <c r="BD374" i="8"/>
  <c r="BE374" i="8" s="1"/>
  <c r="BD375" i="8"/>
  <c r="BE375" i="8" s="1"/>
  <c r="BD376" i="8"/>
  <c r="BE376" i="8" s="1"/>
  <c r="BD377" i="8"/>
  <c r="BE377" i="8" s="1"/>
  <c r="BD378" i="8"/>
  <c r="BE378" i="8" s="1"/>
  <c r="BD379" i="8"/>
  <c r="BE379" i="8" s="1"/>
  <c r="BD380" i="8"/>
  <c r="BE380" i="8" s="1"/>
  <c r="BD381" i="8"/>
  <c r="BE381" i="8" s="1"/>
  <c r="BD382" i="8"/>
  <c r="BE382" i="8" s="1"/>
  <c r="BD391" i="8"/>
  <c r="BE391" i="8" s="1"/>
  <c r="BD392" i="8"/>
  <c r="BE392" i="8" s="1"/>
  <c r="BD393" i="8"/>
  <c r="BE393" i="8" s="1"/>
  <c r="BD394" i="8"/>
  <c r="BE394" i="8" s="1"/>
  <c r="BD395" i="8"/>
  <c r="BE395" i="8" s="1"/>
  <c r="BD396" i="8"/>
  <c r="BE396" i="8" s="1"/>
  <c r="BD397" i="8"/>
  <c r="BE397" i="8" s="1"/>
  <c r="BD398" i="8"/>
  <c r="BE398" i="8" s="1"/>
  <c r="BD399" i="8"/>
  <c r="BE399" i="8" s="1"/>
  <c r="BD400" i="8"/>
  <c r="BE400" i="8" s="1"/>
  <c r="BD401" i="8"/>
  <c r="BE401" i="8" s="1"/>
  <c r="BD402" i="8"/>
  <c r="BE402" i="8" s="1"/>
  <c r="BD403" i="8"/>
  <c r="BE403" i="8" s="1"/>
  <c r="BD404" i="8"/>
  <c r="BE404" i="8" s="1"/>
  <c r="BD405" i="8"/>
  <c r="BE405" i="8" s="1"/>
  <c r="BD406" i="8"/>
  <c r="BE406" i="8" s="1"/>
  <c r="BD407" i="8"/>
  <c r="BE407" i="8" s="1"/>
  <c r="BD408" i="8"/>
  <c r="BE408" i="8" s="1"/>
  <c r="BD409" i="8"/>
  <c r="BE409" i="8" s="1"/>
  <c r="BD410" i="8"/>
  <c r="BE410" i="8" s="1"/>
  <c r="BD411" i="8"/>
  <c r="BE411" i="8" s="1"/>
  <c r="BD412" i="8"/>
  <c r="BE412" i="8" s="1"/>
  <c r="BD413" i="8"/>
  <c r="BE413" i="8" s="1"/>
  <c r="BD414" i="8"/>
  <c r="BE414" i="8" s="1"/>
  <c r="BD415" i="8"/>
  <c r="BE415" i="8" s="1"/>
  <c r="BD422" i="8"/>
  <c r="BE422" i="8" s="1"/>
  <c r="BD423" i="8"/>
  <c r="BE423" i="8" s="1"/>
  <c r="BD425" i="8"/>
  <c r="BE425" i="8" s="1"/>
  <c r="BD426" i="8"/>
  <c r="BE426" i="8" s="1"/>
  <c r="BD427" i="8"/>
  <c r="BE427" i="8" s="1"/>
  <c r="BD429" i="8"/>
  <c r="BE429" i="8" s="1"/>
  <c r="BD430" i="8"/>
  <c r="BE430" i="8" s="1"/>
  <c r="BD431" i="8"/>
  <c r="BE431" i="8" s="1"/>
  <c r="BD433" i="8"/>
  <c r="BE433" i="8" s="1"/>
  <c r="BD434" i="8"/>
  <c r="BE434" i="8" s="1"/>
  <c r="BD435" i="8"/>
  <c r="BE435" i="8" s="1"/>
  <c r="BD437" i="8"/>
  <c r="BE437" i="8" s="1"/>
  <c r="BD446" i="8"/>
  <c r="BE446" i="8" s="1"/>
  <c r="BD447" i="8"/>
  <c r="BE447" i="8" s="1"/>
  <c r="BD449" i="8"/>
  <c r="BE449" i="8" s="1"/>
  <c r="BD450" i="8"/>
  <c r="BE450" i="8" s="1"/>
  <c r="BD451" i="8"/>
  <c r="BE451" i="8" s="1"/>
  <c r="BD453" i="8"/>
  <c r="BE453" i="8" s="1"/>
  <c r="BD454" i="8"/>
  <c r="BE454" i="8" s="1"/>
  <c r="BD455" i="8"/>
  <c r="BE455" i="8" s="1"/>
  <c r="BD457" i="8"/>
  <c r="BE457" i="8" s="1"/>
  <c r="BD458" i="8"/>
  <c r="BE458" i="8" s="1"/>
  <c r="BD459" i="8"/>
  <c r="BE459" i="8" s="1"/>
  <c r="BD461" i="8"/>
  <c r="BE461" i="8" s="1"/>
  <c r="BD462" i="8"/>
  <c r="BE462" i="8" s="1"/>
  <c r="BD463" i="8"/>
  <c r="BE463" i="8" s="1"/>
  <c r="BD465" i="8"/>
  <c r="BE465" i="8" s="1"/>
  <c r="BD466" i="8"/>
  <c r="BE466" i="8" s="1"/>
  <c r="BD467" i="8"/>
  <c r="BE467" i="8" s="1"/>
  <c r="BD469" i="8"/>
  <c r="BE469" i="8" s="1"/>
  <c r="BD531" i="8"/>
  <c r="BE531" i="8" s="1"/>
  <c r="BD8" i="8"/>
  <c r="BD9" i="8"/>
  <c r="BE9" i="8" s="1"/>
  <c r="BD10" i="8"/>
  <c r="BD11" i="8"/>
  <c r="BE11" i="8" s="1"/>
  <c r="BD12" i="8"/>
  <c r="BE12" i="8" s="1"/>
  <c r="BD13" i="8"/>
  <c r="I17" i="1"/>
  <c r="I16" i="1"/>
  <c r="I34" i="1"/>
  <c r="F130" i="1"/>
  <c r="I38" i="2"/>
  <c r="Y52" i="2"/>
  <c r="Z52" i="2" s="1"/>
  <c r="B9" i="2"/>
  <c r="I29" i="1"/>
  <c r="C199" i="8"/>
  <c r="C197" i="8"/>
  <c r="C196" i="8"/>
  <c r="C195" i="8"/>
  <c r="C193" i="8"/>
  <c r="C192" i="8"/>
  <c r="C191" i="8"/>
  <c r="C189" i="8"/>
  <c r="C188" i="8"/>
  <c r="C187" i="8"/>
  <c r="C185" i="8"/>
  <c r="C184" i="8"/>
  <c r="C183" i="8"/>
  <c r="C181" i="8"/>
  <c r="C180" i="8"/>
  <c r="C179" i="8"/>
  <c r="C177" i="8"/>
  <c r="C176" i="8"/>
  <c r="C175" i="8"/>
  <c r="C173" i="8"/>
  <c r="C172" i="8"/>
  <c r="C171" i="8"/>
  <c r="C169" i="8"/>
  <c r="C168" i="8"/>
  <c r="C167" i="8"/>
  <c r="C165" i="8"/>
  <c r="C164" i="8"/>
  <c r="C163" i="8"/>
  <c r="C161" i="8"/>
  <c r="C160" i="8"/>
  <c r="C159" i="8"/>
  <c r="C158" i="8"/>
  <c r="C157" i="8"/>
  <c r="C156" i="8"/>
  <c r="C155" i="8"/>
  <c r="C154" i="8"/>
  <c r="C153" i="8"/>
  <c r="C152" i="8"/>
  <c r="C151" i="8"/>
  <c r="C150" i="8"/>
  <c r="C149" i="8"/>
  <c r="C148" i="8"/>
  <c r="C146" i="8"/>
  <c r="C145" i="8"/>
  <c r="C144" i="8"/>
  <c r="C143"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1" i="8"/>
  <c r="C100" i="8"/>
  <c r="C99" i="8"/>
  <c r="C98"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7" i="8"/>
  <c r="C46" i="8"/>
  <c r="C45" i="8"/>
  <c r="C44"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C9" i="8"/>
  <c r="C8" i="8"/>
  <c r="C7" i="8"/>
  <c r="C469" i="8"/>
  <c r="C467" i="8"/>
  <c r="C466" i="8"/>
  <c r="C465" i="8"/>
  <c r="C463" i="8"/>
  <c r="C462" i="8"/>
  <c r="C461" i="8"/>
  <c r="C459" i="8"/>
  <c r="C458" i="8"/>
  <c r="C457" i="8"/>
  <c r="C455" i="8"/>
  <c r="C454" i="8"/>
  <c r="C453" i="8"/>
  <c r="C451" i="8"/>
  <c r="C450" i="8"/>
  <c r="C449" i="8"/>
  <c r="C447" i="8"/>
  <c r="C446" i="8"/>
  <c r="C437" i="8"/>
  <c r="C435" i="8"/>
  <c r="C434" i="8"/>
  <c r="C433" i="8"/>
  <c r="C431" i="8"/>
  <c r="C430" i="8"/>
  <c r="C429" i="8"/>
  <c r="C427" i="8"/>
  <c r="C426" i="8"/>
  <c r="C425" i="8"/>
  <c r="C423" i="8"/>
  <c r="C422"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82" i="8"/>
  <c r="C381" i="8"/>
  <c r="C380" i="8"/>
  <c r="C379" i="8"/>
  <c r="C378" i="8"/>
  <c r="C377" i="8"/>
  <c r="C376" i="8"/>
  <c r="C375" i="8"/>
  <c r="C374" i="8"/>
  <c r="C373" i="8"/>
  <c r="C372" i="8"/>
  <c r="C371" i="8"/>
  <c r="C370" i="8"/>
  <c r="C369" i="8"/>
  <c r="C368" i="8"/>
  <c r="C367" i="8"/>
  <c r="C360" i="8"/>
  <c r="C358" i="8"/>
  <c r="C357" i="8"/>
  <c r="C356" i="8"/>
  <c r="C355" i="8"/>
  <c r="C354" i="8"/>
  <c r="C352" i="8"/>
  <c r="C351" i="8"/>
  <c r="C350" i="8"/>
  <c r="C349" i="8"/>
  <c r="C348" i="8"/>
  <c r="C347" i="8"/>
  <c r="C346" i="8"/>
  <c r="C345" i="8"/>
  <c r="C344" i="8"/>
  <c r="C343" i="8"/>
  <c r="C342" i="8"/>
  <c r="C341" i="8"/>
  <c r="C340" i="8"/>
  <c r="C339" i="8"/>
  <c r="C338" i="8"/>
  <c r="C337" i="8"/>
  <c r="C336" i="8"/>
  <c r="C335" i="8"/>
  <c r="C334" i="8"/>
  <c r="C333" i="8"/>
  <c r="C323" i="8"/>
  <c r="C322" i="8"/>
  <c r="C321" i="8"/>
  <c r="C320" i="8"/>
  <c r="C319" i="8"/>
  <c r="C318" i="8"/>
  <c r="C317" i="8"/>
  <c r="C316" i="8"/>
  <c r="C315" i="8"/>
  <c r="C314" i="8"/>
  <c r="C313" i="8"/>
  <c r="C312" i="8"/>
  <c r="C311" i="8"/>
  <c r="C310" i="8"/>
  <c r="C309" i="8"/>
  <c r="C308" i="8"/>
  <c r="C300" i="8"/>
  <c r="C298" i="8"/>
  <c r="C297" i="8"/>
  <c r="C296" i="8"/>
  <c r="C295" i="8"/>
  <c r="C294" i="8"/>
  <c r="C292" i="8"/>
  <c r="C291" i="8"/>
  <c r="C290" i="8"/>
  <c r="C289" i="8"/>
  <c r="C288" i="8"/>
  <c r="C287" i="8"/>
  <c r="C286" i="8"/>
  <c r="C285" i="8"/>
  <c r="C284" i="8"/>
  <c r="C283" i="8"/>
  <c r="C282" i="8"/>
  <c r="C281" i="8"/>
  <c r="C280" i="8"/>
  <c r="C279" i="8"/>
  <c r="C278" i="8"/>
  <c r="C277" i="8"/>
  <c r="C276" i="8"/>
  <c r="C275" i="8"/>
  <c r="C274" i="8"/>
  <c r="C273" i="8"/>
  <c r="C263" i="8"/>
  <c r="C262" i="8"/>
  <c r="C261" i="8"/>
  <c r="C260" i="8"/>
  <c r="C259" i="8"/>
  <c r="C258" i="8"/>
  <c r="C257" i="8"/>
  <c r="C256" i="8"/>
  <c r="C255" i="8"/>
  <c r="C254" i="8"/>
  <c r="C253" i="8"/>
  <c r="C252" i="8"/>
  <c r="C251" i="8"/>
  <c r="C250" i="8"/>
  <c r="C249" i="8"/>
  <c r="C248" i="8"/>
  <c r="P118" i="15" l="1"/>
  <c r="BE44" i="8"/>
  <c r="M113" i="15"/>
  <c r="Q112" i="15"/>
  <c r="P112" i="15"/>
  <c r="O112" i="15"/>
  <c r="M112" i="15"/>
  <c r="M152" i="15"/>
  <c r="O32" i="15"/>
  <c r="O33" i="15"/>
  <c r="O34" i="15"/>
  <c r="O142" i="15"/>
  <c r="M146" i="15"/>
  <c r="M149" i="15"/>
  <c r="M143" i="15"/>
  <c r="M144" i="15"/>
  <c r="M145" i="15"/>
  <c r="M147" i="15"/>
  <c r="M148" i="15"/>
  <c r="M150" i="15"/>
  <c r="M151" i="15"/>
  <c r="O31" i="15"/>
  <c r="S107" i="15"/>
  <c r="S104" i="15"/>
  <c r="BE257" i="8"/>
  <c r="BE8" i="8"/>
  <c r="BE249" i="8"/>
  <c r="Q107" i="15"/>
  <c r="P107" i="15"/>
  <c r="P101" i="15"/>
  <c r="O107" i="15"/>
  <c r="M107" i="15"/>
  <c r="P102" i="15"/>
  <c r="O160" i="15"/>
  <c r="O195" i="15"/>
  <c r="BE350" i="8"/>
  <c r="P97" i="15"/>
  <c r="O105" i="15"/>
  <c r="O106" i="15"/>
  <c r="M100" i="15"/>
  <c r="M99" i="15"/>
  <c r="O100" i="15"/>
  <c r="O99" i="15"/>
  <c r="S100" i="15"/>
  <c r="R100" i="15"/>
  <c r="R99" i="15"/>
  <c r="R98" i="15"/>
  <c r="O98" i="15"/>
  <c r="P100" i="15"/>
  <c r="M98" i="15"/>
  <c r="M103" i="15"/>
  <c r="P103" i="15"/>
  <c r="Q104" i="15"/>
  <c r="P104" i="15"/>
  <c r="O104" i="15"/>
  <c r="M104" i="15"/>
  <c r="H34" i="2"/>
  <c r="H33" i="2"/>
  <c r="Q63" i="15"/>
  <c r="Q62" i="15"/>
  <c r="Q61" i="15"/>
  <c r="Q60" i="15"/>
  <c r="Q59" i="15"/>
  <c r="Q58" i="15"/>
  <c r="Q57" i="15"/>
  <c r="Q54" i="15"/>
  <c r="Q55" i="15"/>
  <c r="Q56" i="15"/>
  <c r="Q50" i="15"/>
  <c r="Q51" i="15"/>
  <c r="Q52" i="15"/>
  <c r="Q53" i="15"/>
  <c r="AF24" i="2"/>
  <c r="AF23" i="2"/>
  <c r="AF22" i="2"/>
  <c r="AF21" i="2"/>
  <c r="AF20" i="2"/>
  <c r="AF19" i="2"/>
  <c r="AF18" i="2"/>
  <c r="AF17" i="2"/>
  <c r="AF16" i="2"/>
  <c r="AF15" i="2"/>
  <c r="AF14" i="2"/>
  <c r="AF13" i="2"/>
  <c r="AF12" i="2"/>
  <c r="AF11" i="2"/>
  <c r="AF10" i="2"/>
  <c r="AF9" i="2"/>
  <c r="AF8" i="2"/>
  <c r="AF7" i="2"/>
  <c r="AF6" i="2"/>
  <c r="AF5" i="2"/>
  <c r="AG24" i="2"/>
  <c r="AG23" i="2"/>
  <c r="AG22" i="2"/>
  <c r="AG21" i="2"/>
  <c r="AG20" i="2"/>
  <c r="BE163" i="8"/>
  <c r="BE10" i="8"/>
  <c r="BE49" i="8"/>
  <c r="BE297" i="8"/>
  <c r="BE22" i="8"/>
  <c r="BE295" i="8"/>
  <c r="BE290" i="8"/>
  <c r="BE115" i="8"/>
  <c r="BE260" i="8"/>
  <c r="BE25" i="8"/>
  <c r="BE252" i="8"/>
  <c r="BE67" i="8"/>
  <c r="BE289" i="8"/>
  <c r="BE298" i="8"/>
  <c r="BE172" i="8"/>
  <c r="BE256" i="8"/>
  <c r="BE58" i="8"/>
  <c r="F29" i="2"/>
  <c r="BE13" i="8"/>
  <c r="I35" i="1"/>
  <c r="Z53" i="2"/>
  <c r="Z54" i="2"/>
  <c r="Z55" i="2"/>
  <c r="Z56" i="2"/>
  <c r="Z57" i="2"/>
  <c r="Z58" i="2"/>
  <c r="Z59" i="2"/>
  <c r="Z60" i="2"/>
  <c r="Z61" i="2"/>
  <c r="F583" i="1"/>
  <c r="F582" i="1"/>
  <c r="F581" i="1"/>
  <c r="F580" i="1"/>
  <c r="F579" i="1"/>
  <c r="BE7" i="8"/>
  <c r="BH1" i="8" s="1" a="1"/>
  <c r="BH1" i="8" s="1"/>
  <c r="BD5" i="8"/>
  <c r="BD6" i="8"/>
  <c r="H30" i="1" l="1" a="1"/>
  <c r="H30" i="1" s="1"/>
  <c r="H31" i="1"/>
  <c r="Z62" i="2"/>
  <c r="Y1" i="2"/>
  <c r="A1" i="8" a="1"/>
  <c r="A1" i="8" s="1"/>
  <c r="C3" i="8" a="1"/>
  <c r="C3" i="8" s="1"/>
  <c r="Z63" i="2" l="1"/>
  <c r="O17" i="15"/>
  <c r="O28" i="15"/>
  <c r="O29" i="15"/>
  <c r="O72" i="15"/>
  <c r="O73" i="15"/>
  <c r="O21" i="15"/>
  <c r="O22" i="15"/>
  <c r="O23" i="15"/>
  <c r="O71" i="15"/>
  <c r="O19" i="15"/>
  <c r="O20" i="15"/>
  <c r="N43" i="15"/>
  <c r="O153" i="15"/>
  <c r="O138" i="15"/>
  <c r="O194" i="15"/>
  <c r="O27" i="15"/>
  <c r="O26" i="15"/>
  <c r="O24" i="15"/>
  <c r="CK217" i="8"/>
  <c r="O132" i="15"/>
  <c r="O18" i="15"/>
  <c r="O131" i="15"/>
  <c r="M131" i="15"/>
  <c r="O16" i="15"/>
  <c r="O25" i="15"/>
  <c r="O30" i="15"/>
  <c r="N41" i="15"/>
  <c r="N42" i="15"/>
  <c r="N44" i="15"/>
  <c r="N45" i="15"/>
  <c r="N46" i="15"/>
  <c r="N47" i="15"/>
  <c r="M66" i="15"/>
  <c r="M67" i="15"/>
  <c r="O70" i="15"/>
  <c r="O82" i="15"/>
  <c r="O83" i="15"/>
  <c r="O84" i="15"/>
  <c r="O85" i="15"/>
  <c r="O88" i="15"/>
  <c r="O89" i="15"/>
  <c r="O90" i="15"/>
  <c r="O91" i="15"/>
  <c r="M110" i="15"/>
  <c r="O110" i="15"/>
  <c r="P110" i="15"/>
  <c r="M111" i="15"/>
  <c r="O111" i="15"/>
  <c r="P111" i="15"/>
  <c r="Q111" i="15"/>
  <c r="O116" i="15"/>
  <c r="O117" i="15"/>
  <c r="O121" i="15"/>
  <c r="O122" i="15"/>
  <c r="O123" i="15"/>
  <c r="O124" i="15"/>
  <c r="O125" i="15"/>
  <c r="O126" i="15"/>
  <c r="M129" i="15"/>
  <c r="O129" i="15"/>
  <c r="O130" i="15"/>
  <c r="O135" i="15"/>
  <c r="O136" i="15"/>
  <c r="O137" i="15"/>
  <c r="P141" i="15"/>
  <c r="O159" i="15"/>
  <c r="O163" i="15"/>
  <c r="O164" i="15"/>
  <c r="O165" i="15"/>
  <c r="O166" i="15"/>
  <c r="O167" i="15"/>
  <c r="O168" i="15"/>
  <c r="M169" i="15"/>
  <c r="O169" i="15"/>
  <c r="O170" i="15"/>
  <c r="O171" i="15"/>
  <c r="O172" i="15"/>
  <c r="O173" i="15"/>
  <c r="O174" i="15"/>
  <c r="O175" i="15"/>
  <c r="O176" i="15"/>
  <c r="O177" i="15"/>
  <c r="O178" i="15"/>
  <c r="O179" i="15"/>
  <c r="O180" i="15"/>
  <c r="O181" i="15"/>
  <c r="O182" i="15"/>
  <c r="O183" i="15"/>
  <c r="O184" i="15"/>
  <c r="O185" i="15"/>
  <c r="O186" i="15"/>
  <c r="O187" i="15"/>
  <c r="O188" i="15"/>
  <c r="O189" i="15"/>
  <c r="O190" i="15"/>
  <c r="O191" i="15"/>
  <c r="O192" i="15"/>
  <c r="O198" i="15"/>
  <c r="O199" i="15"/>
  <c r="O200" i="15"/>
  <c r="O201" i="15"/>
  <c r="O202" i="15"/>
  <c r="O203" i="15"/>
  <c r="M204" i="15"/>
  <c r="O204" i="15"/>
  <c r="O205" i="15"/>
  <c r="O206" i="15"/>
  <c r="O207" i="15"/>
  <c r="O208" i="15"/>
  <c r="O209" i="15"/>
  <c r="O210" i="15"/>
  <c r="O211" i="15"/>
  <c r="O212" i="15"/>
  <c r="O213" i="15"/>
  <c r="O214" i="15"/>
  <c r="O215" i="15"/>
  <c r="O216" i="15"/>
  <c r="O217" i="15"/>
  <c r="O218" i="15"/>
  <c r="O219" i="15"/>
  <c r="H22" i="2" a="1"/>
  <c r="H22" i="2" s="1"/>
  <c r="H19" i="1"/>
  <c r="CK183" i="8"/>
  <c r="P3" i="2"/>
  <c r="H25" i="2"/>
  <c r="D12" i="2"/>
  <c r="I31" i="1" s="1"/>
  <c r="AG5" i="2"/>
  <c r="AF7" i="8" a="1"/>
  <c r="H27" i="2"/>
  <c r="K14" i="2"/>
  <c r="H32" i="2"/>
  <c r="K20" i="2"/>
  <c r="H39" i="2"/>
  <c r="K25" i="2"/>
  <c r="K30" i="2"/>
  <c r="K19" i="2"/>
  <c r="H30" i="2"/>
  <c r="H36" i="2"/>
  <c r="K23" i="2"/>
  <c r="K28" i="2"/>
  <c r="K32" i="2"/>
  <c r="H19" i="2"/>
  <c r="K18" i="2"/>
  <c r="H28" i="2"/>
  <c r="H31" i="2"/>
  <c r="H35" i="2"/>
  <c r="H38" i="2"/>
  <c r="H14" i="2"/>
  <c r="K21" i="2"/>
  <c r="K24" i="2"/>
  <c r="K27" i="2"/>
  <c r="K29" i="2"/>
  <c r="K31" i="2"/>
  <c r="K35" i="2"/>
  <c r="K36" i="2"/>
  <c r="K37" i="2"/>
  <c r="K39" i="2"/>
  <c r="K38" i="2"/>
  <c r="G46" i="2"/>
  <c r="H45" i="2" s="1"/>
  <c r="H23" i="2"/>
  <c r="H21" i="2"/>
  <c r="H37" i="2"/>
  <c r="H24" i="2"/>
  <c r="K33" i="2"/>
  <c r="Q3" i="2"/>
  <c r="AQ20" i="2" s="1"/>
  <c r="H29" i="2"/>
  <c r="R28" i="2"/>
  <c r="P28" i="2"/>
  <c r="Q25" i="13" s="1"/>
  <c r="R25" i="13" s="1"/>
  <c r="T28" i="2"/>
  <c r="Q28" i="2"/>
  <c r="S16" i="13" s="1"/>
  <c r="G18" i="2"/>
  <c r="H18" i="2" s="1"/>
  <c r="U30" i="2"/>
  <c r="K12" i="2"/>
  <c r="H12" i="2"/>
  <c r="H25" i="1" l="1" a="1"/>
  <c r="H25" i="1" s="1"/>
  <c r="H36" i="1" a="1"/>
  <c r="H36" i="1" s="1"/>
  <c r="BC418" i="8"/>
  <c r="BB418" i="8"/>
  <c r="BC421" i="8"/>
  <c r="BB421" i="8"/>
  <c r="BC366" i="8"/>
  <c r="BB366" i="8"/>
  <c r="BC363" i="8"/>
  <c r="BB363" i="8"/>
  <c r="BC307" i="8"/>
  <c r="BB307" i="8"/>
  <c r="BC303" i="8"/>
  <c r="BB303" i="8"/>
  <c r="BC304" i="8"/>
  <c r="BB304" i="8"/>
  <c r="BC510" i="8"/>
  <c r="BB510" i="8"/>
  <c r="BC511" i="8"/>
  <c r="BB511" i="8"/>
  <c r="BC512" i="8"/>
  <c r="BB512" i="8"/>
  <c r="BC513" i="8"/>
  <c r="BB513" i="8"/>
  <c r="BC470" i="8"/>
  <c r="BB470" i="8"/>
  <c r="BC471" i="8"/>
  <c r="BB471" i="8"/>
  <c r="BC472" i="8"/>
  <c r="BB472" i="8"/>
  <c r="BC473" i="8"/>
  <c r="BB473" i="8"/>
  <c r="BC416" i="8"/>
  <c r="BB416" i="8"/>
  <c r="BC417" i="8"/>
  <c r="BB417" i="8"/>
  <c r="BC419" i="8"/>
  <c r="BB419" i="8"/>
  <c r="BC420" i="8"/>
  <c r="BB420" i="8"/>
  <c r="BC361" i="8"/>
  <c r="BB361" i="8"/>
  <c r="BC362" i="8"/>
  <c r="BB362" i="8"/>
  <c r="BC364" i="8"/>
  <c r="BB364" i="8"/>
  <c r="BC365" i="8"/>
  <c r="BB365" i="8"/>
  <c r="BC301" i="8"/>
  <c r="BB301" i="8"/>
  <c r="BC302" i="8"/>
  <c r="BB302" i="8"/>
  <c r="BC305" i="8"/>
  <c r="BB305" i="8"/>
  <c r="BC306" i="8"/>
  <c r="BB306" i="8"/>
  <c r="BC332" i="8"/>
  <c r="BB332" i="8"/>
  <c r="BC272" i="8"/>
  <c r="BB272" i="8"/>
  <c r="BC147" i="8"/>
  <c r="BB147" i="8"/>
  <c r="BC142" i="8"/>
  <c r="BB142" i="8"/>
  <c r="BC102" i="8"/>
  <c r="BB102" i="8"/>
  <c r="BC97" i="8"/>
  <c r="BB97" i="8"/>
  <c r="BC48" i="8"/>
  <c r="BB48" i="8"/>
  <c r="BC43" i="8"/>
  <c r="BB43" i="8"/>
  <c r="H17" i="2" a="1"/>
  <c r="H17" i="2" s="1"/>
  <c r="K17" i="2"/>
  <c r="Z64" i="2"/>
  <c r="M8" i="15"/>
  <c r="R8" i="15"/>
  <c r="R9" i="15" s="1"/>
  <c r="BC522" i="8"/>
  <c r="BB522" i="8"/>
  <c r="BC523" i="8"/>
  <c r="BB523" i="8"/>
  <c r="BC524" i="8"/>
  <c r="BB524" i="8"/>
  <c r="BC525" i="8"/>
  <c r="BB525" i="8"/>
  <c r="BC486" i="8"/>
  <c r="BB486" i="8"/>
  <c r="BC487" i="8"/>
  <c r="BB487" i="8"/>
  <c r="BC488" i="8"/>
  <c r="BB488" i="8"/>
  <c r="BC489" i="8"/>
  <c r="BB489" i="8"/>
  <c r="BC490" i="8"/>
  <c r="BB490" i="8"/>
  <c r="BC491" i="8"/>
  <c r="BB491" i="8"/>
  <c r="BC438" i="8"/>
  <c r="BB438" i="8"/>
  <c r="BC439" i="8"/>
  <c r="BB439" i="8"/>
  <c r="BC440" i="8"/>
  <c r="BB440" i="8"/>
  <c r="BC441" i="8"/>
  <c r="BB441" i="8"/>
  <c r="BC442" i="8"/>
  <c r="BB442" i="8"/>
  <c r="BC443" i="8"/>
  <c r="BB443" i="8"/>
  <c r="BC444" i="8"/>
  <c r="BB444" i="8"/>
  <c r="BC445" i="8"/>
  <c r="BB445" i="8"/>
  <c r="BC383" i="8"/>
  <c r="BB383" i="8"/>
  <c r="BC384" i="8"/>
  <c r="BB384" i="8"/>
  <c r="BC385" i="8"/>
  <c r="BB385" i="8"/>
  <c r="BC386" i="8"/>
  <c r="BB386" i="8"/>
  <c r="BC387" i="8"/>
  <c r="BB387" i="8"/>
  <c r="BC388" i="8"/>
  <c r="BB388" i="8"/>
  <c r="BC389" i="8"/>
  <c r="BB389" i="8"/>
  <c r="BC390" i="8"/>
  <c r="BB390" i="8"/>
  <c r="BC324" i="8"/>
  <c r="BB324" i="8"/>
  <c r="BC325" i="8"/>
  <c r="BB325" i="8"/>
  <c r="BC326" i="8"/>
  <c r="BB326" i="8"/>
  <c r="BC327" i="8"/>
  <c r="BB327" i="8"/>
  <c r="BC328" i="8"/>
  <c r="BB328" i="8"/>
  <c r="BC329" i="8"/>
  <c r="BB329" i="8"/>
  <c r="BC330" i="8"/>
  <c r="BB330" i="8"/>
  <c r="BC331" i="8"/>
  <c r="BB331" i="8"/>
  <c r="BC264" i="8"/>
  <c r="BB264" i="8"/>
  <c r="BC265" i="8"/>
  <c r="BB265" i="8"/>
  <c r="BC266" i="8"/>
  <c r="BB266" i="8"/>
  <c r="BC267" i="8"/>
  <c r="BB267" i="8"/>
  <c r="BC268" i="8"/>
  <c r="BB268" i="8"/>
  <c r="BC269" i="8"/>
  <c r="BB269" i="8"/>
  <c r="BC270" i="8"/>
  <c r="BB270" i="8"/>
  <c r="BC271" i="8"/>
  <c r="BB271" i="8"/>
  <c r="BC768" i="8"/>
  <c r="BB768" i="8"/>
  <c r="BC769" i="8"/>
  <c r="BB769" i="8"/>
  <c r="BC770" i="8"/>
  <c r="BB770" i="8"/>
  <c r="BC771" i="8"/>
  <c r="BB771" i="8"/>
  <c r="BC745" i="8"/>
  <c r="BB745" i="8"/>
  <c r="BC746" i="8"/>
  <c r="BB746" i="8"/>
  <c r="BC747" i="8"/>
  <c r="BB747" i="8"/>
  <c r="BC748" i="8"/>
  <c r="BB748" i="8"/>
  <c r="BC707" i="8"/>
  <c r="BB707" i="8"/>
  <c r="BC708" i="8"/>
  <c r="BB708" i="8"/>
  <c r="BC709" i="8"/>
  <c r="BB709" i="8"/>
  <c r="BC710" i="8"/>
  <c r="BB710" i="8"/>
  <c r="BC711" i="8"/>
  <c r="BB711" i="8"/>
  <c r="BC712" i="8"/>
  <c r="BB712" i="8"/>
  <c r="BC713" i="8"/>
  <c r="BB713" i="8"/>
  <c r="BC714" i="8"/>
  <c r="BB714" i="8"/>
  <c r="BC679" i="8"/>
  <c r="BB679" i="8"/>
  <c r="BC680" i="8"/>
  <c r="BB680" i="8"/>
  <c r="BC681" i="8"/>
  <c r="BB681" i="8"/>
  <c r="BC682" i="8"/>
  <c r="BB682" i="8"/>
  <c r="BC659" i="8"/>
  <c r="BB659" i="8"/>
  <c r="BC660" i="8"/>
  <c r="BB660" i="8"/>
  <c r="BC661" i="8"/>
  <c r="BB661" i="8"/>
  <c r="BC662" i="8"/>
  <c r="BB662" i="8"/>
  <c r="BC639" i="8"/>
  <c r="BB639" i="8"/>
  <c r="BC640" i="8"/>
  <c r="BB640" i="8"/>
  <c r="BC641" i="8"/>
  <c r="BB641" i="8"/>
  <c r="BC642" i="8"/>
  <c r="BB642" i="8"/>
  <c r="BC619" i="8"/>
  <c r="BB619" i="8"/>
  <c r="BC620" i="8"/>
  <c r="BB620" i="8"/>
  <c r="BC621" i="8"/>
  <c r="BB621" i="8"/>
  <c r="BC622" i="8"/>
  <c r="BB622" i="8"/>
  <c r="BC587" i="8"/>
  <c r="BB587" i="8"/>
  <c r="BC588" i="8"/>
  <c r="BB588" i="8"/>
  <c r="BC589" i="8"/>
  <c r="BB589" i="8"/>
  <c r="BC590" i="8"/>
  <c r="BB590" i="8"/>
  <c r="BC591" i="8"/>
  <c r="BB591" i="8"/>
  <c r="BC592" i="8"/>
  <c r="BB592" i="8"/>
  <c r="BC593" i="8"/>
  <c r="BB593" i="8"/>
  <c r="BC594" i="8"/>
  <c r="BB594" i="8"/>
  <c r="BC547" i="8"/>
  <c r="BB547" i="8"/>
  <c r="BC548" i="8"/>
  <c r="BB548" i="8"/>
  <c r="BC549" i="8"/>
  <c r="BB549" i="8"/>
  <c r="BC550" i="8"/>
  <c r="BB550" i="8"/>
  <c r="BC551" i="8"/>
  <c r="BB551" i="8"/>
  <c r="BC552" i="8"/>
  <c r="BB552" i="8"/>
  <c r="BC553" i="8"/>
  <c r="BB553" i="8"/>
  <c r="BC554" i="8"/>
  <c r="BB554" i="8"/>
  <c r="BC780" i="8"/>
  <c r="BB780" i="8"/>
  <c r="BC781" i="8"/>
  <c r="BB781" i="8"/>
  <c r="BC782" i="8"/>
  <c r="BB782" i="8"/>
  <c r="BC757" i="8"/>
  <c r="BB757" i="8"/>
  <c r="BC758" i="8"/>
  <c r="BB758" i="8"/>
  <c r="BC759" i="8"/>
  <c r="BB759" i="8"/>
  <c r="BC731" i="8"/>
  <c r="BB731" i="8"/>
  <c r="BC732" i="8"/>
  <c r="BB732" i="8"/>
  <c r="BC733" i="8"/>
  <c r="BB733" i="8"/>
  <c r="BC734" i="8"/>
  <c r="BB734" i="8"/>
  <c r="BC735" i="8"/>
  <c r="BB735" i="8"/>
  <c r="BC736" i="8"/>
  <c r="BB736" i="8"/>
  <c r="BC530" i="8"/>
  <c r="BB530" i="8"/>
  <c r="BC514" i="8"/>
  <c r="BB514" i="8"/>
  <c r="BC515" i="8"/>
  <c r="BB515" i="8"/>
  <c r="BC516" i="8"/>
  <c r="BB516" i="8"/>
  <c r="BC517" i="8"/>
  <c r="BB517" i="8"/>
  <c r="BC518" i="8"/>
  <c r="BB518" i="8"/>
  <c r="BC519" i="8"/>
  <c r="BB519" i="8"/>
  <c r="BC520" i="8"/>
  <c r="BB520" i="8"/>
  <c r="BC521" i="8"/>
  <c r="BB521" i="8"/>
  <c r="BC526" i="8"/>
  <c r="BB526" i="8"/>
  <c r="BC527" i="8"/>
  <c r="BB527" i="8"/>
  <c r="BC528" i="8"/>
  <c r="BB528" i="8"/>
  <c r="BC529" i="8"/>
  <c r="BB529" i="8"/>
  <c r="BC468" i="8"/>
  <c r="BB468" i="8"/>
  <c r="BC464" i="8"/>
  <c r="BB464" i="8"/>
  <c r="BC460" i="8"/>
  <c r="BB460" i="8"/>
  <c r="BC456" i="8"/>
  <c r="BB456" i="8"/>
  <c r="BC452" i="8"/>
  <c r="BB452" i="8"/>
  <c r="BC448" i="8"/>
  <c r="BB448" i="8"/>
  <c r="BC436" i="8"/>
  <c r="BB436" i="8"/>
  <c r="BC432" i="8"/>
  <c r="BB432" i="8"/>
  <c r="BC428" i="8"/>
  <c r="BB428" i="8"/>
  <c r="BC424" i="8"/>
  <c r="BB424" i="8"/>
  <c r="BC474" i="8"/>
  <c r="BB474" i="8"/>
  <c r="BC475" i="8"/>
  <c r="BB475" i="8"/>
  <c r="BC476" i="8"/>
  <c r="BB476" i="8"/>
  <c r="BC477" i="8"/>
  <c r="BB477" i="8"/>
  <c r="BC478" i="8"/>
  <c r="BB478" i="8"/>
  <c r="BC479" i="8"/>
  <c r="BB479" i="8"/>
  <c r="BC480" i="8"/>
  <c r="BB480" i="8"/>
  <c r="BC481" i="8"/>
  <c r="BB481" i="8"/>
  <c r="BC482" i="8"/>
  <c r="BB482" i="8"/>
  <c r="BC483" i="8"/>
  <c r="BB483" i="8"/>
  <c r="BC484" i="8"/>
  <c r="BB484" i="8"/>
  <c r="BC485" i="8"/>
  <c r="BB485" i="8"/>
  <c r="BC492" i="8"/>
  <c r="BB492" i="8"/>
  <c r="BC493" i="8"/>
  <c r="BB493" i="8"/>
  <c r="BC494" i="8"/>
  <c r="BB494" i="8"/>
  <c r="BC495" i="8"/>
  <c r="BB495" i="8"/>
  <c r="BC496" i="8"/>
  <c r="BB496" i="8"/>
  <c r="BC497" i="8"/>
  <c r="BB497" i="8"/>
  <c r="BC498" i="8"/>
  <c r="BB498" i="8"/>
  <c r="BC499" i="8"/>
  <c r="BB499" i="8"/>
  <c r="BC500" i="8"/>
  <c r="BB500" i="8"/>
  <c r="BC501" i="8"/>
  <c r="BB501" i="8"/>
  <c r="BC502" i="8"/>
  <c r="BB502" i="8"/>
  <c r="BC503" i="8"/>
  <c r="BB503" i="8"/>
  <c r="BC504" i="8"/>
  <c r="BB504" i="8"/>
  <c r="BC505" i="8"/>
  <c r="BB505" i="8"/>
  <c r="BC506" i="8"/>
  <c r="BB506" i="8"/>
  <c r="BC507" i="8"/>
  <c r="BB507" i="8"/>
  <c r="BC508" i="8"/>
  <c r="BB508" i="8"/>
  <c r="BC509" i="8"/>
  <c r="BB509" i="8"/>
  <c r="BC242" i="8"/>
  <c r="BB242" i="8"/>
  <c r="BC243" i="8"/>
  <c r="BB243" i="8"/>
  <c r="BC244" i="8"/>
  <c r="BB244" i="8"/>
  <c r="BC245" i="8"/>
  <c r="BB245" i="8"/>
  <c r="BC246" i="8"/>
  <c r="BB246" i="8"/>
  <c r="BC247" i="8"/>
  <c r="BB247" i="8"/>
  <c r="BC230" i="8"/>
  <c r="BB230" i="8"/>
  <c r="BC231" i="8"/>
  <c r="BB231" i="8"/>
  <c r="BC232" i="8"/>
  <c r="BB232" i="8"/>
  <c r="BC233" i="8"/>
  <c r="BB233" i="8"/>
  <c r="BC234" i="8"/>
  <c r="BB234" i="8"/>
  <c r="BC235" i="8"/>
  <c r="BB235" i="8"/>
  <c r="BC236" i="8"/>
  <c r="BB236" i="8"/>
  <c r="BC237" i="8"/>
  <c r="BB237" i="8"/>
  <c r="BC238" i="8"/>
  <c r="BB238" i="8"/>
  <c r="BC239" i="8"/>
  <c r="BB239" i="8"/>
  <c r="BC240" i="8"/>
  <c r="BB240" i="8"/>
  <c r="BC241" i="8"/>
  <c r="BB241" i="8"/>
  <c r="BC198" i="8"/>
  <c r="BB198" i="8"/>
  <c r="BC194" i="8"/>
  <c r="BB194" i="8"/>
  <c r="BC190" i="8"/>
  <c r="BB190" i="8"/>
  <c r="BC186" i="8"/>
  <c r="BB186" i="8"/>
  <c r="BC182" i="8"/>
  <c r="BB182" i="8"/>
  <c r="BC178" i="8"/>
  <c r="BB178" i="8"/>
  <c r="BC174" i="8"/>
  <c r="BB174" i="8"/>
  <c r="BC170" i="8"/>
  <c r="BB170" i="8"/>
  <c r="BC166" i="8"/>
  <c r="BB166" i="8"/>
  <c r="BC162" i="8"/>
  <c r="BB162" i="8"/>
  <c r="BC200" i="8"/>
  <c r="BB200" i="8"/>
  <c r="BC201" i="8"/>
  <c r="BB201" i="8"/>
  <c r="BC202" i="8"/>
  <c r="BB202" i="8"/>
  <c r="BC203" i="8"/>
  <c r="BB203" i="8"/>
  <c r="BC204" i="8"/>
  <c r="BB204" i="8"/>
  <c r="BC205" i="8"/>
  <c r="BB205" i="8"/>
  <c r="BC206" i="8"/>
  <c r="BB206" i="8"/>
  <c r="BC207" i="8"/>
  <c r="BB207" i="8"/>
  <c r="BC208" i="8"/>
  <c r="BB208" i="8"/>
  <c r="BC209" i="8"/>
  <c r="BB209" i="8"/>
  <c r="BC210" i="8"/>
  <c r="BB210" i="8"/>
  <c r="BC211" i="8"/>
  <c r="BB211" i="8"/>
  <c r="BC212" i="8"/>
  <c r="BB212" i="8"/>
  <c r="BC213" i="8"/>
  <c r="BB213" i="8"/>
  <c r="BC214" i="8"/>
  <c r="BB214" i="8"/>
  <c r="BC215" i="8"/>
  <c r="BB215" i="8"/>
  <c r="BC216" i="8"/>
  <c r="BB216" i="8"/>
  <c r="BC217" i="8"/>
  <c r="BB217" i="8"/>
  <c r="BC218" i="8"/>
  <c r="BB218" i="8"/>
  <c r="BC219" i="8"/>
  <c r="BB219" i="8"/>
  <c r="BC220" i="8"/>
  <c r="BB220" i="8"/>
  <c r="BC221" i="8"/>
  <c r="BB221" i="8"/>
  <c r="BC222" i="8"/>
  <c r="BB222" i="8"/>
  <c r="BC223" i="8"/>
  <c r="BB223" i="8"/>
  <c r="BC224" i="8"/>
  <c r="BB224" i="8"/>
  <c r="BC225" i="8"/>
  <c r="BB225" i="8"/>
  <c r="BC226" i="8"/>
  <c r="BB226" i="8"/>
  <c r="BC227" i="8"/>
  <c r="BB227" i="8"/>
  <c r="BC228" i="8"/>
  <c r="BB228" i="8"/>
  <c r="BC229" i="8"/>
  <c r="BB229" i="8"/>
  <c r="F5" i="14"/>
  <c r="V20" i="1" s="1"/>
  <c r="BC532" i="8"/>
  <c r="BB532" i="8"/>
  <c r="BC533" i="8"/>
  <c r="BB533" i="8"/>
  <c r="BC534" i="8"/>
  <c r="BB534" i="8"/>
  <c r="BC535" i="8"/>
  <c r="BB535" i="8"/>
  <c r="BC536" i="8"/>
  <c r="BB536" i="8"/>
  <c r="BC537" i="8"/>
  <c r="BB537" i="8"/>
  <c r="BC538" i="8"/>
  <c r="BB538" i="8"/>
  <c r="BC539" i="8"/>
  <c r="BB539" i="8"/>
  <c r="BC540" i="8"/>
  <c r="BB540" i="8"/>
  <c r="BC541" i="8"/>
  <c r="BB541" i="8"/>
  <c r="BC542" i="8"/>
  <c r="BB542" i="8"/>
  <c r="BC543" i="8"/>
  <c r="BB543" i="8"/>
  <c r="BC544" i="8"/>
  <c r="BB544" i="8"/>
  <c r="BC545" i="8"/>
  <c r="BB545" i="8"/>
  <c r="BC546" i="8"/>
  <c r="BB546" i="8"/>
  <c r="BC555" i="8"/>
  <c r="BB555" i="8"/>
  <c r="BC556" i="8"/>
  <c r="BB556" i="8"/>
  <c r="BC557" i="8"/>
  <c r="BB557" i="8"/>
  <c r="BC558" i="8"/>
  <c r="BB558" i="8"/>
  <c r="BC559" i="8"/>
  <c r="BB559" i="8"/>
  <c r="BC560" i="8"/>
  <c r="BB560" i="8"/>
  <c r="BC561" i="8"/>
  <c r="BB561" i="8"/>
  <c r="BC562" i="8"/>
  <c r="BB562" i="8"/>
  <c r="BC563" i="8"/>
  <c r="BB563" i="8"/>
  <c r="BC564" i="8"/>
  <c r="BB564" i="8"/>
  <c r="BC565" i="8"/>
  <c r="BB565" i="8"/>
  <c r="BC566" i="8"/>
  <c r="BB566" i="8"/>
  <c r="BC567" i="8"/>
  <c r="BB567" i="8"/>
  <c r="BC568" i="8"/>
  <c r="BB568" i="8"/>
  <c r="BC569" i="8"/>
  <c r="BB569" i="8"/>
  <c r="BC570" i="8"/>
  <c r="BB570" i="8"/>
  <c r="BC571" i="8"/>
  <c r="BB571" i="8"/>
  <c r="BC572" i="8"/>
  <c r="BB572" i="8"/>
  <c r="BC573" i="8"/>
  <c r="BB573" i="8"/>
  <c r="BC574" i="8"/>
  <c r="BB574" i="8"/>
  <c r="BC575" i="8"/>
  <c r="BB575" i="8"/>
  <c r="BC576" i="8"/>
  <c r="BB576" i="8"/>
  <c r="BC577" i="8"/>
  <c r="BB577" i="8"/>
  <c r="BC578" i="8"/>
  <c r="BB578" i="8"/>
  <c r="BC579" i="8"/>
  <c r="BB579" i="8"/>
  <c r="BC580" i="8"/>
  <c r="BB580" i="8"/>
  <c r="BC581" i="8"/>
  <c r="BB581" i="8"/>
  <c r="BC582" i="8"/>
  <c r="BB582" i="8"/>
  <c r="BC583" i="8"/>
  <c r="BB583" i="8"/>
  <c r="BC584" i="8"/>
  <c r="BB584" i="8"/>
  <c r="BC585" i="8"/>
  <c r="BB585" i="8"/>
  <c r="BC586" i="8"/>
  <c r="BB586" i="8"/>
  <c r="BC595" i="8"/>
  <c r="BB595" i="8"/>
  <c r="BC596" i="8"/>
  <c r="BB596" i="8"/>
  <c r="BC597" i="8"/>
  <c r="BB597" i="8"/>
  <c r="BC598" i="8"/>
  <c r="BB598" i="8"/>
  <c r="BC599" i="8"/>
  <c r="BB599" i="8"/>
  <c r="BC600" i="8"/>
  <c r="BB600" i="8"/>
  <c r="BC601" i="8"/>
  <c r="BB601" i="8"/>
  <c r="BC602" i="8"/>
  <c r="BB602" i="8"/>
  <c r="BC603" i="8"/>
  <c r="BB603" i="8"/>
  <c r="BC604" i="8"/>
  <c r="BB604" i="8"/>
  <c r="BC605" i="8"/>
  <c r="BB605" i="8"/>
  <c r="BC606" i="8"/>
  <c r="BB606" i="8"/>
  <c r="BC607" i="8"/>
  <c r="BB607" i="8"/>
  <c r="BC608" i="8"/>
  <c r="BB608" i="8"/>
  <c r="BC609" i="8"/>
  <c r="BB609" i="8"/>
  <c r="BC610" i="8"/>
  <c r="BB610" i="8"/>
  <c r="BC611" i="8"/>
  <c r="BB611" i="8"/>
  <c r="BC612" i="8"/>
  <c r="BB612" i="8"/>
  <c r="BC613" i="8"/>
  <c r="BB613" i="8"/>
  <c r="BC614" i="8"/>
  <c r="BB614" i="8"/>
  <c r="BC615" i="8"/>
  <c r="BB615" i="8"/>
  <c r="BC616" i="8"/>
  <c r="BB616" i="8"/>
  <c r="BC617" i="8"/>
  <c r="BB617" i="8"/>
  <c r="BC618" i="8"/>
  <c r="BB618" i="8"/>
  <c r="BC623" i="8"/>
  <c r="BB623" i="8"/>
  <c r="BC624" i="8"/>
  <c r="BB624" i="8"/>
  <c r="BC625" i="8"/>
  <c r="BB625" i="8"/>
  <c r="BC626" i="8"/>
  <c r="BB626" i="8"/>
  <c r="BC627" i="8"/>
  <c r="BB627" i="8"/>
  <c r="BC628" i="8"/>
  <c r="BB628" i="8"/>
  <c r="BC629" i="8"/>
  <c r="BB629" i="8"/>
  <c r="BC630" i="8"/>
  <c r="BB630" i="8"/>
  <c r="BC631" i="8"/>
  <c r="BB631" i="8"/>
  <c r="BC632" i="8"/>
  <c r="BB632" i="8"/>
  <c r="BC633" i="8"/>
  <c r="BB633" i="8"/>
  <c r="BC634" i="8"/>
  <c r="BB634" i="8"/>
  <c r="BC635" i="8"/>
  <c r="BB635" i="8"/>
  <c r="BC636" i="8"/>
  <c r="BB636" i="8"/>
  <c r="BC637" i="8"/>
  <c r="BB637" i="8"/>
  <c r="BC638" i="8"/>
  <c r="BB638" i="8"/>
  <c r="BC643" i="8"/>
  <c r="BB643" i="8"/>
  <c r="BC644" i="8"/>
  <c r="BB644" i="8"/>
  <c r="BC645" i="8"/>
  <c r="BB645" i="8"/>
  <c r="BC646" i="8"/>
  <c r="BB646" i="8"/>
  <c r="BC647" i="8"/>
  <c r="BB647" i="8"/>
  <c r="BC648" i="8"/>
  <c r="BB648" i="8"/>
  <c r="BC649" i="8"/>
  <c r="BB649" i="8"/>
  <c r="BC650" i="8"/>
  <c r="BB650" i="8"/>
  <c r="BC651" i="8"/>
  <c r="BB651" i="8"/>
  <c r="BC652" i="8"/>
  <c r="BB652" i="8"/>
  <c r="BC653" i="8"/>
  <c r="BB653" i="8"/>
  <c r="BC654" i="8"/>
  <c r="BB654" i="8"/>
  <c r="BC655" i="8"/>
  <c r="BB655" i="8"/>
  <c r="BC656" i="8"/>
  <c r="BB656" i="8"/>
  <c r="BC657" i="8"/>
  <c r="BB657" i="8"/>
  <c r="BC658" i="8"/>
  <c r="BB658" i="8"/>
  <c r="BC663" i="8"/>
  <c r="BB663" i="8"/>
  <c r="BC664" i="8"/>
  <c r="BB664" i="8"/>
  <c r="BC665" i="8"/>
  <c r="BB665" i="8"/>
  <c r="BC666" i="8"/>
  <c r="BB666" i="8"/>
  <c r="BC667" i="8"/>
  <c r="BB667" i="8"/>
  <c r="BC668" i="8"/>
  <c r="BB668" i="8"/>
  <c r="BC669" i="8"/>
  <c r="BB669" i="8"/>
  <c r="BC670" i="8"/>
  <c r="BB670" i="8"/>
  <c r="BC671" i="8"/>
  <c r="BB671" i="8"/>
  <c r="BC672" i="8"/>
  <c r="BB672" i="8"/>
  <c r="BC673" i="8"/>
  <c r="BB673" i="8"/>
  <c r="BC674" i="8"/>
  <c r="BB674" i="8"/>
  <c r="BC675" i="8"/>
  <c r="BB675" i="8"/>
  <c r="BC676" i="8"/>
  <c r="BB676" i="8"/>
  <c r="BC677" i="8"/>
  <c r="BB677" i="8"/>
  <c r="BC678" i="8"/>
  <c r="BB678" i="8"/>
  <c r="BC683" i="8"/>
  <c r="BB683" i="8"/>
  <c r="BC684" i="8"/>
  <c r="BB684" i="8"/>
  <c r="BC685" i="8"/>
  <c r="BB685" i="8"/>
  <c r="BC686" i="8"/>
  <c r="BB686" i="8"/>
  <c r="BC687" i="8"/>
  <c r="BB687" i="8"/>
  <c r="BC688" i="8"/>
  <c r="BB688" i="8"/>
  <c r="BC689" i="8"/>
  <c r="BB689" i="8"/>
  <c r="BC690" i="8"/>
  <c r="BB690" i="8"/>
  <c r="BC691" i="8"/>
  <c r="BB691" i="8"/>
  <c r="BC692" i="8"/>
  <c r="BB692" i="8"/>
  <c r="BC693" i="8"/>
  <c r="BB693" i="8"/>
  <c r="BC694" i="8"/>
  <c r="BB694" i="8"/>
  <c r="BC695" i="8"/>
  <c r="BB695" i="8"/>
  <c r="BC696" i="8"/>
  <c r="BB696" i="8"/>
  <c r="BC697" i="8"/>
  <c r="BB697" i="8"/>
  <c r="BC698" i="8"/>
  <c r="BB698" i="8"/>
  <c r="BC699" i="8"/>
  <c r="BB699" i="8"/>
  <c r="BC700" i="8"/>
  <c r="BB700" i="8"/>
  <c r="BC701" i="8"/>
  <c r="BB701" i="8"/>
  <c r="BC702" i="8"/>
  <c r="BB702" i="8"/>
  <c r="BC703" i="8"/>
  <c r="BB703" i="8"/>
  <c r="BC704" i="8"/>
  <c r="BB704" i="8"/>
  <c r="BC705" i="8"/>
  <c r="BB705" i="8"/>
  <c r="BC706" i="8"/>
  <c r="BB706" i="8"/>
  <c r="BC715" i="8"/>
  <c r="BB715" i="8"/>
  <c r="BC716" i="8"/>
  <c r="BB716" i="8"/>
  <c r="BC717" i="8"/>
  <c r="BB717" i="8"/>
  <c r="BC718" i="8"/>
  <c r="BB718" i="8"/>
  <c r="BC719" i="8"/>
  <c r="BB719" i="8"/>
  <c r="BC720" i="8"/>
  <c r="BB720" i="8"/>
  <c r="BC721" i="8"/>
  <c r="BB721" i="8"/>
  <c r="BC722" i="8"/>
  <c r="BB722" i="8"/>
  <c r="BC723" i="8"/>
  <c r="BB723" i="8"/>
  <c r="BC724" i="8"/>
  <c r="BB724" i="8"/>
  <c r="BC725" i="8"/>
  <c r="BB725" i="8"/>
  <c r="BC726" i="8"/>
  <c r="BB726" i="8"/>
  <c r="BC727" i="8"/>
  <c r="BB727" i="8"/>
  <c r="BC728" i="8"/>
  <c r="BB728" i="8"/>
  <c r="BC729" i="8"/>
  <c r="BB729" i="8"/>
  <c r="BC730" i="8"/>
  <c r="BB730" i="8"/>
  <c r="BC737" i="8"/>
  <c r="BB737" i="8"/>
  <c r="BC738" i="8"/>
  <c r="BB738" i="8"/>
  <c r="BC739" i="8"/>
  <c r="BB739" i="8"/>
  <c r="BC740" i="8"/>
  <c r="BB740" i="8"/>
  <c r="BC741" i="8"/>
  <c r="BB741" i="8"/>
  <c r="BC742" i="8"/>
  <c r="BB742" i="8"/>
  <c r="BC743" i="8"/>
  <c r="BB743" i="8"/>
  <c r="BC744" i="8"/>
  <c r="BB744" i="8"/>
  <c r="BC749" i="8"/>
  <c r="BB749" i="8"/>
  <c r="BC750" i="8"/>
  <c r="BB750" i="8"/>
  <c r="BC751" i="8"/>
  <c r="BB751" i="8"/>
  <c r="BC752" i="8"/>
  <c r="BB752" i="8"/>
  <c r="BC753" i="8"/>
  <c r="BB753" i="8"/>
  <c r="BC754" i="8"/>
  <c r="BB754" i="8"/>
  <c r="BC755" i="8"/>
  <c r="BB755" i="8"/>
  <c r="BC756" i="8"/>
  <c r="BB756" i="8"/>
  <c r="BC760" i="8"/>
  <c r="BB760" i="8"/>
  <c r="BC761" i="8"/>
  <c r="BB761" i="8"/>
  <c r="BC762" i="8"/>
  <c r="BB762" i="8"/>
  <c r="BC763" i="8"/>
  <c r="BB763" i="8"/>
  <c r="BC764" i="8"/>
  <c r="BB764" i="8"/>
  <c r="BC765" i="8"/>
  <c r="BB765" i="8"/>
  <c r="BC766" i="8"/>
  <c r="BB766" i="8"/>
  <c r="BC767" i="8"/>
  <c r="BB767" i="8"/>
  <c r="BC772" i="8"/>
  <c r="BB772" i="8"/>
  <c r="BC773" i="8"/>
  <c r="BB773" i="8"/>
  <c r="BC774" i="8"/>
  <c r="BB774" i="8"/>
  <c r="BC775" i="8"/>
  <c r="BB775" i="8"/>
  <c r="BC776" i="8"/>
  <c r="BB776" i="8"/>
  <c r="BC777" i="8"/>
  <c r="BB777" i="8"/>
  <c r="BC778" i="8"/>
  <c r="BB778" i="8"/>
  <c r="BC779" i="8"/>
  <c r="BB779" i="8"/>
  <c r="P8" i="15"/>
  <c r="P9" i="15" s="1"/>
  <c r="N8" i="15"/>
  <c r="N9" i="15" s="1"/>
  <c r="BC14" i="8"/>
  <c r="BB14" i="8"/>
  <c r="BC15" i="8"/>
  <c r="BB15" i="8"/>
  <c r="BC16" i="8"/>
  <c r="BB16" i="8"/>
  <c r="BC17" i="8"/>
  <c r="BB17" i="8"/>
  <c r="BC18" i="8"/>
  <c r="BB18" i="8"/>
  <c r="BC19" i="8"/>
  <c r="BB19" i="8"/>
  <c r="BC20" i="8"/>
  <c r="BB20" i="8"/>
  <c r="BC21" i="8"/>
  <c r="BB21" i="8"/>
  <c r="BC22" i="8"/>
  <c r="BB22" i="8"/>
  <c r="BC23" i="8"/>
  <c r="BB23" i="8"/>
  <c r="BC24" i="8"/>
  <c r="BB24" i="8"/>
  <c r="BC25" i="8"/>
  <c r="BB25" i="8"/>
  <c r="BC26" i="8"/>
  <c r="BB26" i="8"/>
  <c r="BC27" i="8"/>
  <c r="BB27" i="8"/>
  <c r="BC28" i="8"/>
  <c r="BB28" i="8"/>
  <c r="BC29" i="8"/>
  <c r="BB29" i="8"/>
  <c r="BC30" i="8"/>
  <c r="BB30" i="8"/>
  <c r="BC31" i="8"/>
  <c r="BB31" i="8"/>
  <c r="BC32" i="8"/>
  <c r="BB32" i="8"/>
  <c r="BC33" i="8"/>
  <c r="BB33" i="8"/>
  <c r="BC34" i="8"/>
  <c r="BB34" i="8"/>
  <c r="BC35" i="8"/>
  <c r="BB35" i="8"/>
  <c r="BC36" i="8"/>
  <c r="BB36" i="8"/>
  <c r="BC37" i="8"/>
  <c r="BB37" i="8"/>
  <c r="BC38" i="8"/>
  <c r="BB38" i="8"/>
  <c r="BC39" i="8"/>
  <c r="BB39" i="8"/>
  <c r="BC40" i="8"/>
  <c r="BB40" i="8"/>
  <c r="BC41" i="8"/>
  <c r="BB41" i="8"/>
  <c r="BC42" i="8"/>
  <c r="BB42" i="8"/>
  <c r="BC44" i="8"/>
  <c r="BB44" i="8"/>
  <c r="BC45" i="8"/>
  <c r="BB45" i="8"/>
  <c r="BC46" i="8"/>
  <c r="BB46" i="8"/>
  <c r="BC47" i="8"/>
  <c r="BB47" i="8"/>
  <c r="BC49" i="8"/>
  <c r="BB49" i="8"/>
  <c r="BC50" i="8"/>
  <c r="BB50" i="8"/>
  <c r="BC51" i="8"/>
  <c r="BB51" i="8"/>
  <c r="BC52" i="8"/>
  <c r="BB52" i="8"/>
  <c r="BC53" i="8"/>
  <c r="BB53" i="8"/>
  <c r="BC54" i="8"/>
  <c r="BB54" i="8"/>
  <c r="BC55" i="8"/>
  <c r="BB55" i="8"/>
  <c r="BC56" i="8"/>
  <c r="BB56" i="8"/>
  <c r="BC57" i="8"/>
  <c r="BB57" i="8"/>
  <c r="BC58" i="8"/>
  <c r="BB58" i="8"/>
  <c r="BC59" i="8"/>
  <c r="BB59" i="8"/>
  <c r="BC60" i="8"/>
  <c r="BB60" i="8"/>
  <c r="BC61" i="8"/>
  <c r="BB61" i="8"/>
  <c r="BC62" i="8"/>
  <c r="BB62" i="8"/>
  <c r="BC63" i="8"/>
  <c r="BB63" i="8"/>
  <c r="BC64" i="8"/>
  <c r="BB64" i="8"/>
  <c r="BC65" i="8"/>
  <c r="BB65" i="8"/>
  <c r="BC66" i="8"/>
  <c r="BB66" i="8"/>
  <c r="BC67" i="8"/>
  <c r="BB67" i="8"/>
  <c r="BC68" i="8"/>
  <c r="BB68" i="8"/>
  <c r="BC69" i="8"/>
  <c r="BB69" i="8"/>
  <c r="BC70" i="8"/>
  <c r="BB70" i="8"/>
  <c r="BC71" i="8"/>
  <c r="BB71" i="8"/>
  <c r="BC72" i="8"/>
  <c r="BB72" i="8"/>
  <c r="BC73" i="8"/>
  <c r="BB73" i="8"/>
  <c r="BC74" i="8"/>
  <c r="BB74" i="8"/>
  <c r="BC75" i="8"/>
  <c r="BB75" i="8"/>
  <c r="BC76" i="8"/>
  <c r="BB76" i="8"/>
  <c r="BC77" i="8"/>
  <c r="BB77" i="8"/>
  <c r="BC78" i="8"/>
  <c r="BB78" i="8"/>
  <c r="BC79" i="8"/>
  <c r="BB79" i="8"/>
  <c r="BC80" i="8"/>
  <c r="BB80" i="8"/>
  <c r="BC81" i="8"/>
  <c r="BB81" i="8"/>
  <c r="BC82" i="8"/>
  <c r="BB82" i="8"/>
  <c r="BC83" i="8"/>
  <c r="BB83" i="8"/>
  <c r="BC84" i="8"/>
  <c r="BB84" i="8"/>
  <c r="BC85" i="8"/>
  <c r="BB85" i="8"/>
  <c r="BC86" i="8"/>
  <c r="BB86" i="8"/>
  <c r="BC87" i="8"/>
  <c r="BB87" i="8"/>
  <c r="BC88" i="8"/>
  <c r="BB88" i="8"/>
  <c r="BC89" i="8"/>
  <c r="BB89" i="8"/>
  <c r="BC90" i="8"/>
  <c r="BB90" i="8"/>
  <c r="BC91" i="8"/>
  <c r="BB91" i="8"/>
  <c r="BC92" i="8"/>
  <c r="BB92" i="8"/>
  <c r="BC93" i="8"/>
  <c r="BB93" i="8"/>
  <c r="BC94" i="8"/>
  <c r="BB94" i="8"/>
  <c r="BC95" i="8"/>
  <c r="BB95" i="8"/>
  <c r="BC96" i="8"/>
  <c r="BB96" i="8"/>
  <c r="BC98" i="8"/>
  <c r="BB98" i="8"/>
  <c r="BC99" i="8"/>
  <c r="BB99" i="8"/>
  <c r="BC100" i="8"/>
  <c r="BB100" i="8"/>
  <c r="BC101" i="8"/>
  <c r="BB101" i="8"/>
  <c r="BC103" i="8"/>
  <c r="BB103" i="8"/>
  <c r="BC104" i="8"/>
  <c r="BB104" i="8"/>
  <c r="BC105" i="8"/>
  <c r="BB105" i="8"/>
  <c r="BC106" i="8"/>
  <c r="BB106" i="8"/>
  <c r="BC107" i="8"/>
  <c r="BB107" i="8"/>
  <c r="BC108" i="8"/>
  <c r="BB108" i="8"/>
  <c r="BC109" i="8"/>
  <c r="BB109" i="8"/>
  <c r="BC110" i="8"/>
  <c r="BB110" i="8"/>
  <c r="BC111" i="8"/>
  <c r="BB111" i="8"/>
  <c r="BC112" i="8"/>
  <c r="BB112" i="8"/>
  <c r="BC113" i="8"/>
  <c r="BB113" i="8"/>
  <c r="BC114" i="8"/>
  <c r="BB114" i="8"/>
  <c r="BC115" i="8"/>
  <c r="BB115" i="8"/>
  <c r="BC116" i="8"/>
  <c r="BB116" i="8"/>
  <c r="BC117" i="8"/>
  <c r="BB117" i="8"/>
  <c r="BC118" i="8"/>
  <c r="BB118" i="8"/>
  <c r="BC119" i="8"/>
  <c r="BB119" i="8"/>
  <c r="BC120" i="8"/>
  <c r="BB120" i="8"/>
  <c r="BC121" i="8"/>
  <c r="BB121" i="8"/>
  <c r="BC122" i="8"/>
  <c r="BB122" i="8"/>
  <c r="BC123" i="8"/>
  <c r="BB123" i="8"/>
  <c r="BC124" i="8"/>
  <c r="BB124" i="8"/>
  <c r="BC125" i="8"/>
  <c r="BB125" i="8"/>
  <c r="BC126" i="8"/>
  <c r="BB126" i="8"/>
  <c r="BC127" i="8"/>
  <c r="BB127" i="8"/>
  <c r="BC128" i="8"/>
  <c r="BB128" i="8"/>
  <c r="BC129" i="8"/>
  <c r="BB129" i="8"/>
  <c r="BC130" i="8"/>
  <c r="BB130" i="8"/>
  <c r="BC131" i="8"/>
  <c r="BB131" i="8"/>
  <c r="BC132" i="8"/>
  <c r="BB132" i="8"/>
  <c r="BC133" i="8"/>
  <c r="BB133" i="8"/>
  <c r="BC134" i="8"/>
  <c r="BB134" i="8"/>
  <c r="BC135" i="8"/>
  <c r="BB135" i="8"/>
  <c r="BC136" i="8"/>
  <c r="BB136" i="8"/>
  <c r="BC137" i="8"/>
  <c r="BB137" i="8"/>
  <c r="BC138" i="8"/>
  <c r="BB138" i="8"/>
  <c r="BC139" i="8"/>
  <c r="BB139" i="8"/>
  <c r="BC140" i="8"/>
  <c r="BB140" i="8"/>
  <c r="BC141" i="8"/>
  <c r="BB141" i="8"/>
  <c r="BC143" i="8"/>
  <c r="BB143" i="8"/>
  <c r="BC144" i="8"/>
  <c r="BB144" i="8"/>
  <c r="BC145" i="8"/>
  <c r="BB145" i="8"/>
  <c r="BC146" i="8"/>
  <c r="BB146" i="8"/>
  <c r="BC148" i="8"/>
  <c r="BB148" i="8"/>
  <c r="BC149" i="8"/>
  <c r="BB149" i="8"/>
  <c r="BC150" i="8"/>
  <c r="BB150" i="8"/>
  <c r="BC151" i="8"/>
  <c r="BB151" i="8"/>
  <c r="BC152" i="8"/>
  <c r="BB152" i="8"/>
  <c r="BC153" i="8"/>
  <c r="BB153" i="8"/>
  <c r="BC154" i="8"/>
  <c r="BB154" i="8"/>
  <c r="BC155" i="8"/>
  <c r="BB155" i="8"/>
  <c r="BC156" i="8"/>
  <c r="BB156" i="8"/>
  <c r="BC157" i="8"/>
  <c r="BB157" i="8"/>
  <c r="BC158" i="8"/>
  <c r="BB158" i="8"/>
  <c r="BC159" i="8"/>
  <c r="BB159" i="8"/>
  <c r="BC160" i="8"/>
  <c r="BB160" i="8"/>
  <c r="BC161" i="8"/>
  <c r="BB161" i="8"/>
  <c r="BC163" i="8"/>
  <c r="BB163" i="8"/>
  <c r="BC164" i="8"/>
  <c r="BB164" i="8"/>
  <c r="BC165" i="8"/>
  <c r="BB165" i="8"/>
  <c r="BC167" i="8"/>
  <c r="BB167" i="8"/>
  <c r="BC168" i="8"/>
  <c r="BB168" i="8"/>
  <c r="BC169" i="8"/>
  <c r="BB169" i="8"/>
  <c r="BC171" i="8"/>
  <c r="BB171" i="8"/>
  <c r="BC172" i="8"/>
  <c r="BB172" i="8"/>
  <c r="BC173" i="8"/>
  <c r="BB173" i="8"/>
  <c r="BC175" i="8"/>
  <c r="BB175" i="8"/>
  <c r="BC176" i="8"/>
  <c r="BB176" i="8"/>
  <c r="BC177" i="8"/>
  <c r="BB177" i="8"/>
  <c r="BC179" i="8"/>
  <c r="BB179" i="8"/>
  <c r="BC180" i="8"/>
  <c r="BB180" i="8"/>
  <c r="BC181" i="8"/>
  <c r="BB181" i="8"/>
  <c r="BC183" i="8"/>
  <c r="BB183" i="8"/>
  <c r="BC184" i="8"/>
  <c r="BB184" i="8"/>
  <c r="BC185" i="8"/>
  <c r="BB185" i="8"/>
  <c r="BC187" i="8"/>
  <c r="BB187" i="8"/>
  <c r="BC188" i="8"/>
  <c r="BB188" i="8"/>
  <c r="BC189" i="8"/>
  <c r="BB189" i="8"/>
  <c r="BC191" i="8"/>
  <c r="BB191" i="8"/>
  <c r="BC192" i="8"/>
  <c r="BB192" i="8"/>
  <c r="BC193" i="8"/>
  <c r="BB193" i="8"/>
  <c r="BC195" i="8"/>
  <c r="BB195" i="8"/>
  <c r="BC196" i="8"/>
  <c r="BB196" i="8"/>
  <c r="BC197" i="8"/>
  <c r="BB197" i="8"/>
  <c r="BC199" i="8"/>
  <c r="BB199" i="8"/>
  <c r="BC248" i="8"/>
  <c r="BB248" i="8"/>
  <c r="BC249" i="8"/>
  <c r="BB249" i="8"/>
  <c r="BC250" i="8"/>
  <c r="BB250" i="8"/>
  <c r="BC251" i="8"/>
  <c r="BB251" i="8"/>
  <c r="BC252" i="8"/>
  <c r="BB252" i="8"/>
  <c r="BC253" i="8"/>
  <c r="BB253" i="8"/>
  <c r="BC254" i="8"/>
  <c r="BB254" i="8"/>
  <c r="BC255" i="8"/>
  <c r="BB255" i="8"/>
  <c r="BC256" i="8"/>
  <c r="BB256" i="8"/>
  <c r="BC257" i="8"/>
  <c r="BB257" i="8"/>
  <c r="BC258" i="8"/>
  <c r="BB258" i="8"/>
  <c r="BC259" i="8"/>
  <c r="BB259" i="8"/>
  <c r="BC260" i="8"/>
  <c r="BB260" i="8"/>
  <c r="BC261" i="8"/>
  <c r="BB261" i="8"/>
  <c r="BC262" i="8"/>
  <c r="BB262" i="8"/>
  <c r="BC263" i="8"/>
  <c r="BB263" i="8"/>
  <c r="BC273" i="8"/>
  <c r="BB273" i="8"/>
  <c r="BC274" i="8"/>
  <c r="BB274" i="8"/>
  <c r="BC275" i="8"/>
  <c r="BB275" i="8"/>
  <c r="BC276" i="8"/>
  <c r="BB276" i="8"/>
  <c r="BC277" i="8"/>
  <c r="BB277" i="8"/>
  <c r="BC278" i="8"/>
  <c r="BB278" i="8"/>
  <c r="BC279" i="8"/>
  <c r="BB279" i="8"/>
  <c r="BC280" i="8"/>
  <c r="BB280" i="8"/>
  <c r="BC281" i="8"/>
  <c r="BB281" i="8"/>
  <c r="BC282" i="8"/>
  <c r="BB282" i="8"/>
  <c r="BC283" i="8"/>
  <c r="BB283" i="8"/>
  <c r="BC284" i="8"/>
  <c r="BB284" i="8"/>
  <c r="BC285" i="8"/>
  <c r="BB285" i="8"/>
  <c r="BC286" i="8"/>
  <c r="BB286" i="8"/>
  <c r="BC287" i="8"/>
  <c r="BB287" i="8"/>
  <c r="BC288" i="8"/>
  <c r="BB288" i="8"/>
  <c r="BC289" i="8"/>
  <c r="BB289" i="8"/>
  <c r="BC290" i="8"/>
  <c r="BB290" i="8"/>
  <c r="BC291" i="8"/>
  <c r="BB291" i="8"/>
  <c r="BC292" i="8"/>
  <c r="BB292" i="8"/>
  <c r="BC293" i="8"/>
  <c r="BB293" i="8"/>
  <c r="BC294" i="8"/>
  <c r="BB294" i="8"/>
  <c r="BC295" i="8"/>
  <c r="BB295" i="8"/>
  <c r="BC296" i="8"/>
  <c r="BB296" i="8"/>
  <c r="BC297" i="8"/>
  <c r="BB297" i="8"/>
  <c r="BC298" i="8"/>
  <c r="BB298" i="8"/>
  <c r="BC299" i="8"/>
  <c r="BB299" i="8"/>
  <c r="BC300" i="8"/>
  <c r="BB300" i="8"/>
  <c r="BC308" i="8"/>
  <c r="BB308" i="8"/>
  <c r="BC309" i="8"/>
  <c r="BB309" i="8"/>
  <c r="BC310" i="8"/>
  <c r="BB310" i="8"/>
  <c r="BC311" i="8"/>
  <c r="BB311" i="8"/>
  <c r="BC312" i="8"/>
  <c r="BB312" i="8"/>
  <c r="BC313" i="8"/>
  <c r="BB313" i="8"/>
  <c r="BC314" i="8"/>
  <c r="BB314" i="8"/>
  <c r="BC315" i="8"/>
  <c r="BB315" i="8"/>
  <c r="BC316" i="8"/>
  <c r="BB316" i="8"/>
  <c r="BC317" i="8"/>
  <c r="BB317" i="8"/>
  <c r="BC318" i="8"/>
  <c r="BB318" i="8"/>
  <c r="BC319" i="8"/>
  <c r="BB319" i="8"/>
  <c r="BC320" i="8"/>
  <c r="BB320" i="8"/>
  <c r="BC321" i="8"/>
  <c r="BB321" i="8"/>
  <c r="BC322" i="8"/>
  <c r="BB322" i="8"/>
  <c r="BC323" i="8"/>
  <c r="BB323" i="8"/>
  <c r="BC333" i="8"/>
  <c r="BB333" i="8"/>
  <c r="BC334" i="8"/>
  <c r="BB334" i="8"/>
  <c r="BC335" i="8"/>
  <c r="BB335" i="8"/>
  <c r="BC336" i="8"/>
  <c r="BB336" i="8"/>
  <c r="BC337" i="8"/>
  <c r="BB337" i="8"/>
  <c r="BC338" i="8"/>
  <c r="BB338" i="8"/>
  <c r="BC339" i="8"/>
  <c r="BB339" i="8"/>
  <c r="BC340" i="8"/>
  <c r="BB340" i="8"/>
  <c r="BC341" i="8"/>
  <c r="BB341" i="8"/>
  <c r="BC342" i="8"/>
  <c r="BB342" i="8"/>
  <c r="BC343" i="8"/>
  <c r="BB343" i="8"/>
  <c r="BC344" i="8"/>
  <c r="BB344" i="8"/>
  <c r="BC345" i="8"/>
  <c r="BB345" i="8"/>
  <c r="BC346" i="8"/>
  <c r="BB346" i="8"/>
  <c r="BC347" i="8"/>
  <c r="BB347" i="8"/>
  <c r="BC348" i="8"/>
  <c r="BB348" i="8"/>
  <c r="BC349" i="8"/>
  <c r="BB349" i="8"/>
  <c r="BC350" i="8"/>
  <c r="BB350" i="8"/>
  <c r="BC351" i="8"/>
  <c r="BB351" i="8"/>
  <c r="BC352" i="8"/>
  <c r="BB352" i="8"/>
  <c r="BC353" i="8"/>
  <c r="BB353" i="8"/>
  <c r="BC354" i="8"/>
  <c r="BB354" i="8"/>
  <c r="BC355" i="8"/>
  <c r="BB355" i="8"/>
  <c r="BC356" i="8"/>
  <c r="BB356" i="8"/>
  <c r="BC357" i="8"/>
  <c r="BB357" i="8"/>
  <c r="BC358" i="8"/>
  <c r="BB358" i="8"/>
  <c r="BC359" i="8"/>
  <c r="BB359" i="8"/>
  <c r="BC360" i="8"/>
  <c r="BB360" i="8"/>
  <c r="BC367" i="8"/>
  <c r="BB367" i="8"/>
  <c r="BC368" i="8"/>
  <c r="BB368" i="8"/>
  <c r="BC369" i="8"/>
  <c r="BB369" i="8"/>
  <c r="BC370" i="8"/>
  <c r="BB370" i="8"/>
  <c r="BC371" i="8"/>
  <c r="BB371" i="8"/>
  <c r="BC372" i="8"/>
  <c r="BB372" i="8"/>
  <c r="BC373" i="8"/>
  <c r="BB373" i="8"/>
  <c r="BC374" i="8"/>
  <c r="BB374" i="8"/>
  <c r="BC375" i="8"/>
  <c r="BB375" i="8"/>
  <c r="BC376" i="8"/>
  <c r="BB376" i="8"/>
  <c r="BC377" i="8"/>
  <c r="BB377" i="8"/>
  <c r="BC378" i="8"/>
  <c r="BB378" i="8"/>
  <c r="BC379" i="8"/>
  <c r="BB379" i="8"/>
  <c r="BC380" i="8"/>
  <c r="BB380" i="8"/>
  <c r="BC381" i="8"/>
  <c r="BB381" i="8"/>
  <c r="BC382" i="8"/>
  <c r="BB382" i="8"/>
  <c r="BC391" i="8"/>
  <c r="BB391" i="8"/>
  <c r="BC392" i="8"/>
  <c r="BB392" i="8"/>
  <c r="BC393" i="8"/>
  <c r="BB393" i="8"/>
  <c r="BC394" i="8"/>
  <c r="BB394" i="8"/>
  <c r="BC395" i="8"/>
  <c r="BB395" i="8"/>
  <c r="BC396" i="8"/>
  <c r="BB396" i="8"/>
  <c r="BC397" i="8"/>
  <c r="BB397" i="8"/>
  <c r="BC398" i="8"/>
  <c r="BB398" i="8"/>
  <c r="BC399" i="8"/>
  <c r="BB399" i="8"/>
  <c r="BC400" i="8"/>
  <c r="BB400" i="8"/>
  <c r="BC401" i="8"/>
  <c r="BB401" i="8"/>
  <c r="BC402" i="8"/>
  <c r="BB402" i="8"/>
  <c r="BC403" i="8"/>
  <c r="BB403" i="8"/>
  <c r="BC404" i="8"/>
  <c r="BB404" i="8"/>
  <c r="BC405" i="8"/>
  <c r="BB405" i="8"/>
  <c r="BC406" i="8"/>
  <c r="BB406" i="8"/>
  <c r="BC407" i="8"/>
  <c r="BB407" i="8"/>
  <c r="BC408" i="8"/>
  <c r="BB408" i="8"/>
  <c r="BC409" i="8"/>
  <c r="BB409" i="8"/>
  <c r="BC410" i="8"/>
  <c r="BB410" i="8"/>
  <c r="BC411" i="8"/>
  <c r="BB411" i="8"/>
  <c r="BC412" i="8"/>
  <c r="BB412" i="8"/>
  <c r="BC413" i="8"/>
  <c r="BB413" i="8"/>
  <c r="BC414" i="8"/>
  <c r="BB414" i="8"/>
  <c r="BC415" i="8"/>
  <c r="BB415" i="8"/>
  <c r="BC422" i="8"/>
  <c r="BB422" i="8"/>
  <c r="BC423" i="8"/>
  <c r="BB423" i="8"/>
  <c r="BC425" i="8"/>
  <c r="BB425" i="8"/>
  <c r="BC426" i="8"/>
  <c r="BB426" i="8"/>
  <c r="BC427" i="8"/>
  <c r="BB427" i="8"/>
  <c r="BC429" i="8"/>
  <c r="BB429" i="8"/>
  <c r="BC430" i="8"/>
  <c r="BB430" i="8"/>
  <c r="BC431" i="8"/>
  <c r="BB431" i="8"/>
  <c r="BC433" i="8"/>
  <c r="BB433" i="8"/>
  <c r="BC434" i="8"/>
  <c r="BB434" i="8"/>
  <c r="BC435" i="8"/>
  <c r="BB435" i="8"/>
  <c r="BC437" i="8"/>
  <c r="BB437" i="8"/>
  <c r="BC446" i="8"/>
  <c r="BB446" i="8"/>
  <c r="BC447" i="8"/>
  <c r="BB447" i="8"/>
  <c r="BC449" i="8"/>
  <c r="BB449" i="8"/>
  <c r="BC450" i="8"/>
  <c r="BB450" i="8"/>
  <c r="BC451" i="8"/>
  <c r="BB451" i="8"/>
  <c r="BC453" i="8"/>
  <c r="BB453" i="8"/>
  <c r="BC454" i="8"/>
  <c r="BB454" i="8"/>
  <c r="BC455" i="8"/>
  <c r="BB455" i="8"/>
  <c r="BC457" i="8"/>
  <c r="BB457" i="8"/>
  <c r="BC458" i="8"/>
  <c r="BB458" i="8"/>
  <c r="BC459" i="8"/>
  <c r="BB459" i="8"/>
  <c r="BC461" i="8"/>
  <c r="BB461" i="8"/>
  <c r="BC462" i="8"/>
  <c r="BB462" i="8"/>
  <c r="BC463" i="8"/>
  <c r="BB463" i="8"/>
  <c r="BC465" i="8"/>
  <c r="BB465" i="8"/>
  <c r="BC466" i="8"/>
  <c r="BB466" i="8"/>
  <c r="BC467" i="8"/>
  <c r="BB467" i="8"/>
  <c r="BC469" i="8"/>
  <c r="BB469" i="8"/>
  <c r="BC531" i="8"/>
  <c r="BB531" i="8"/>
  <c r="I14" i="13"/>
  <c r="I11" i="13"/>
  <c r="BB8" i="8"/>
  <c r="BC8" i="8"/>
  <c r="BB9" i="8"/>
  <c r="BC9" i="8"/>
  <c r="BB10" i="8"/>
  <c r="BC10" i="8"/>
  <c r="BB11" i="8"/>
  <c r="BC11" i="8"/>
  <c r="BB12" i="8"/>
  <c r="BC12" i="8"/>
  <c r="BB13" i="8"/>
  <c r="BC13" i="8"/>
  <c r="AG6" i="2"/>
  <c r="C5" i="13"/>
  <c r="H26" i="1"/>
  <c r="V8" i="13"/>
  <c r="AA20" i="1" s="1"/>
  <c r="H21" i="1"/>
  <c r="H34" i="1"/>
  <c r="H18" i="1"/>
  <c r="H20" i="1"/>
  <c r="H41" i="1"/>
  <c r="H11" i="1"/>
  <c r="H35" i="1"/>
  <c r="H32" i="1"/>
  <c r="H28" i="1"/>
  <c r="H22" i="1"/>
  <c r="H16" i="1"/>
  <c r="H33" i="1"/>
  <c r="H27" i="1"/>
  <c r="H29" i="1"/>
  <c r="H24" i="1"/>
  <c r="H14" i="1"/>
  <c r="AF7" i="8"/>
  <c r="BI1" i="8" s="1" a="1"/>
  <c r="BI1" i="8" s="1"/>
  <c r="E15" i="2"/>
  <c r="I15" i="1"/>
  <c r="F20" i="2"/>
  <c r="H20" i="2" s="1"/>
  <c r="H9" i="1"/>
  <c r="U31" i="2"/>
  <c r="H15" i="1"/>
  <c r="Q27" i="13"/>
  <c r="R27" i="13" s="1"/>
  <c r="C26" i="13"/>
  <c r="B30" i="13"/>
  <c r="V19" i="13" a="1"/>
  <c r="V19" i="13" s="1"/>
  <c r="Z22" i="1" s="1"/>
  <c r="T19" i="13"/>
  <c r="T30" i="13"/>
  <c r="T29" i="13"/>
  <c r="T23" i="13"/>
  <c r="T22" i="13"/>
  <c r="T21" i="13"/>
  <c r="T20" i="13"/>
  <c r="T6" i="13"/>
  <c r="T5" i="13"/>
  <c r="V29" i="13"/>
  <c r="Z23" i="1" s="1"/>
  <c r="H12" i="13"/>
  <c r="B29" i="13"/>
  <c r="B5" i="13"/>
  <c r="A4" i="13"/>
  <c r="AG7" i="2" l="1"/>
  <c r="Z65" i="2"/>
  <c r="T7" i="13"/>
  <c r="W20" i="1"/>
  <c r="C21" i="13"/>
  <c r="B21" i="13"/>
  <c r="F26" i="2"/>
  <c r="I26" i="2" s="1"/>
  <c r="BB7" i="8"/>
  <c r="A5" i="8" s="1"/>
  <c r="BC7" i="8"/>
  <c r="AN126" i="2"/>
  <c r="AL126" i="2"/>
  <c r="AH126" i="2"/>
  <c r="AJ126" i="2"/>
  <c r="V5" i="13"/>
  <c r="Z20" i="1" s="1"/>
  <c r="U12" i="13"/>
  <c r="U11" i="13"/>
  <c r="U32" i="2"/>
  <c r="H17" i="1"/>
  <c r="AG8" i="2" l="1"/>
  <c r="Z66" i="2"/>
  <c r="AI107" i="2"/>
  <c r="AI108" i="2"/>
  <c r="AI105" i="2"/>
  <c r="AI106" i="2"/>
  <c r="AI109" i="2"/>
  <c r="AI113" i="2"/>
  <c r="AL130" i="2"/>
  <c r="AL131" i="2"/>
  <c r="AN171" i="2"/>
  <c r="AN172" i="2"/>
  <c r="AN173" i="2"/>
  <c r="AN174" i="2"/>
  <c r="AJ127" i="2"/>
  <c r="AJ128" i="2"/>
  <c r="AJ129" i="2"/>
  <c r="AK109" i="2" s="1"/>
  <c r="AK128" i="2"/>
  <c r="AK127" i="2"/>
  <c r="AK126" i="2"/>
  <c r="AK125" i="2"/>
  <c r="AK124" i="2"/>
  <c r="AK123" i="2"/>
  <c r="AK122" i="2"/>
  <c r="AK121" i="2"/>
  <c r="AK120" i="2"/>
  <c r="AK119" i="2"/>
  <c r="AK118" i="2"/>
  <c r="AK117" i="2"/>
  <c r="AK116" i="2"/>
  <c r="AK115" i="2"/>
  <c r="AK114" i="2"/>
  <c r="AK112" i="2"/>
  <c r="AK111" i="2"/>
  <c r="AK110" i="2"/>
  <c r="AK198" i="2"/>
  <c r="AK197" i="2"/>
  <c r="AK196" i="2"/>
  <c r="AK195" i="2"/>
  <c r="AK194" i="2"/>
  <c r="AK193" i="2"/>
  <c r="AK192" i="2"/>
  <c r="AK191" i="2"/>
  <c r="AK190" i="2"/>
  <c r="AK189" i="2"/>
  <c r="AK188" i="2"/>
  <c r="AK187" i="2"/>
  <c r="AK186" i="2"/>
  <c r="AK185" i="2"/>
  <c r="AK184" i="2"/>
  <c r="AK183" i="2"/>
  <c r="AK182" i="2"/>
  <c r="AK181" i="2"/>
  <c r="AK180" i="2"/>
  <c r="AK179" i="2"/>
  <c r="AK178" i="2"/>
  <c r="AK177" i="2"/>
  <c r="AK176" i="2"/>
  <c r="AK175" i="2"/>
  <c r="AK174" i="2"/>
  <c r="AK173" i="2"/>
  <c r="AK172" i="2"/>
  <c r="AK171" i="2"/>
  <c r="AK170" i="2"/>
  <c r="AK169" i="2"/>
  <c r="AK168" i="2"/>
  <c r="AK167" i="2"/>
  <c r="AK166" i="2"/>
  <c r="AK165" i="2"/>
  <c r="AK164" i="2"/>
  <c r="AK163" i="2"/>
  <c r="AK162" i="2"/>
  <c r="AK161" i="2"/>
  <c r="AK160" i="2"/>
  <c r="AK159" i="2"/>
  <c r="AK158" i="2"/>
  <c r="AK157" i="2"/>
  <c r="AK156" i="2"/>
  <c r="AK155" i="2"/>
  <c r="AK154" i="2"/>
  <c r="AK153" i="2"/>
  <c r="AK152" i="2"/>
  <c r="AK151" i="2"/>
  <c r="AK150" i="2"/>
  <c r="AK149" i="2"/>
  <c r="AK148" i="2"/>
  <c r="AK147" i="2"/>
  <c r="AK146" i="2"/>
  <c r="AK145" i="2"/>
  <c r="AK144" i="2"/>
  <c r="AK143" i="2"/>
  <c r="AK142" i="2"/>
  <c r="AK141" i="2"/>
  <c r="AK140" i="2"/>
  <c r="AK139" i="2"/>
  <c r="AK138" i="2"/>
  <c r="AK137" i="2"/>
  <c r="AK136" i="2"/>
  <c r="AK135" i="2"/>
  <c r="AK134" i="2"/>
  <c r="AK133" i="2"/>
  <c r="AK132" i="2"/>
  <c r="AK131" i="2"/>
  <c r="AK130" i="2"/>
  <c r="AK129" i="2"/>
  <c r="AK108" i="2"/>
  <c r="AK107" i="2"/>
  <c r="AI198" i="2"/>
  <c r="AI197" i="2"/>
  <c r="AI196" i="2"/>
  <c r="AI195" i="2"/>
  <c r="AI194" i="2"/>
  <c r="AI193" i="2"/>
  <c r="AI192" i="2"/>
  <c r="AI191" i="2"/>
  <c r="AI190" i="2"/>
  <c r="AI189" i="2"/>
  <c r="AI188" i="2"/>
  <c r="AI187" i="2"/>
  <c r="AI186" i="2"/>
  <c r="AI185" i="2"/>
  <c r="AI184" i="2"/>
  <c r="AI183" i="2"/>
  <c r="AI182" i="2"/>
  <c r="AI181" i="2"/>
  <c r="AI180" i="2"/>
  <c r="AI179" i="2"/>
  <c r="AI178" i="2"/>
  <c r="AI177" i="2"/>
  <c r="AI176" i="2"/>
  <c r="AI175" i="2"/>
  <c r="AI174" i="2"/>
  <c r="AI173" i="2"/>
  <c r="AI172" i="2"/>
  <c r="AI171" i="2"/>
  <c r="AI170" i="2"/>
  <c r="AI169" i="2"/>
  <c r="AI168" i="2"/>
  <c r="AI167" i="2"/>
  <c r="AI166" i="2"/>
  <c r="AI165" i="2"/>
  <c r="AI164" i="2"/>
  <c r="AI163" i="2"/>
  <c r="AI162" i="2"/>
  <c r="AI161" i="2"/>
  <c r="AI160" i="2"/>
  <c r="AI159" i="2"/>
  <c r="AI158" i="2"/>
  <c r="AI157" i="2"/>
  <c r="AI156" i="2"/>
  <c r="AI155" i="2"/>
  <c r="AI154" i="2"/>
  <c r="AI153" i="2"/>
  <c r="AI152" i="2"/>
  <c r="AI151" i="2"/>
  <c r="AI150" i="2"/>
  <c r="AI149" i="2"/>
  <c r="AI148" i="2"/>
  <c r="AI147" i="2"/>
  <c r="AI146" i="2"/>
  <c r="AI145" i="2"/>
  <c r="AI144" i="2"/>
  <c r="AI143" i="2"/>
  <c r="AI142" i="2"/>
  <c r="AI141" i="2"/>
  <c r="AI140" i="2"/>
  <c r="AI139" i="2"/>
  <c r="AI138" i="2"/>
  <c r="AI137" i="2"/>
  <c r="AI136" i="2"/>
  <c r="AI135" i="2"/>
  <c r="AI134" i="2"/>
  <c r="AI133" i="2"/>
  <c r="AI132" i="2"/>
  <c r="AI131" i="2"/>
  <c r="AI130" i="2"/>
  <c r="AI129" i="2"/>
  <c r="AI128" i="2"/>
  <c r="AI127" i="2"/>
  <c r="AI126" i="2"/>
  <c r="AI125" i="2"/>
  <c r="AI124" i="2"/>
  <c r="AI123" i="2"/>
  <c r="AI122" i="2"/>
  <c r="AI121" i="2"/>
  <c r="AI120" i="2"/>
  <c r="AI119" i="2"/>
  <c r="AI118" i="2"/>
  <c r="AI117" i="2"/>
  <c r="AI116" i="2"/>
  <c r="AI115" i="2"/>
  <c r="AI114" i="2"/>
  <c r="AI112" i="2"/>
  <c r="AI111" i="2"/>
  <c r="AI110" i="2"/>
  <c r="B5" i="14" s="1" a="1"/>
  <c r="B5" i="14" s="1"/>
  <c r="BC4" i="8"/>
  <c r="Q39" i="15" s="1"/>
  <c r="BC5" i="8"/>
  <c r="BC6" i="8"/>
  <c r="BB5" i="8"/>
  <c r="BD4" i="8"/>
  <c r="BB4" i="8"/>
  <c r="BJ1" i="8" s="1"/>
  <c r="BB6" i="8"/>
  <c r="V12" i="13"/>
  <c r="Z21" i="1" s="1"/>
  <c r="U33" i="2"/>
  <c r="CJ418" i="8" l="1"/>
  <c r="CI418" i="8"/>
  <c r="CH418" i="8"/>
  <c r="CG418" i="8"/>
  <c r="CF418" i="8"/>
  <c r="CE418" i="8"/>
  <c r="CD418" i="8"/>
  <c r="CC418" i="8"/>
  <c r="CB418" i="8"/>
  <c r="CA418" i="8"/>
  <c r="BZ418" i="8"/>
  <c r="BY418" i="8"/>
  <c r="BX418" i="8"/>
  <c r="BW418" i="8"/>
  <c r="BV418" i="8"/>
  <c r="BU418" i="8"/>
  <c r="BT418" i="8"/>
  <c r="BS418" i="8"/>
  <c r="BR418" i="8"/>
  <c r="BQ418" i="8"/>
  <c r="BP418" i="8"/>
  <c r="BO418" i="8"/>
  <c r="BN418" i="8"/>
  <c r="BM418" i="8"/>
  <c r="BL418" i="8"/>
  <c r="BK418" i="8"/>
  <c r="BJ418" i="8"/>
  <c r="BI418" i="8"/>
  <c r="BH418" i="8"/>
  <c r="CJ421" i="8"/>
  <c r="CI421" i="8"/>
  <c r="CH421" i="8"/>
  <c r="CG421" i="8"/>
  <c r="CF421" i="8"/>
  <c r="CE421" i="8"/>
  <c r="CD421" i="8"/>
  <c r="CC421" i="8"/>
  <c r="CB421" i="8"/>
  <c r="CA421" i="8"/>
  <c r="BZ421" i="8"/>
  <c r="BY421" i="8"/>
  <c r="BX421" i="8"/>
  <c r="BW421" i="8"/>
  <c r="BV421" i="8"/>
  <c r="BU421" i="8"/>
  <c r="BT421" i="8"/>
  <c r="BS421" i="8"/>
  <c r="BR421" i="8"/>
  <c r="BQ421" i="8"/>
  <c r="BP421" i="8"/>
  <c r="BO421" i="8"/>
  <c r="BN421" i="8"/>
  <c r="BM421" i="8"/>
  <c r="BL421" i="8"/>
  <c r="BK421" i="8"/>
  <c r="BJ421" i="8"/>
  <c r="BI421" i="8"/>
  <c r="BH421" i="8"/>
  <c r="CJ366" i="8"/>
  <c r="CI366" i="8"/>
  <c r="CH366" i="8"/>
  <c r="CG366" i="8"/>
  <c r="CF366" i="8"/>
  <c r="CE366" i="8"/>
  <c r="CD366" i="8"/>
  <c r="CC366" i="8"/>
  <c r="CB366" i="8"/>
  <c r="CA366" i="8"/>
  <c r="BZ366" i="8"/>
  <c r="BY366" i="8"/>
  <c r="BX366" i="8"/>
  <c r="BW366" i="8"/>
  <c r="BV366" i="8"/>
  <c r="BU366" i="8"/>
  <c r="BT366" i="8"/>
  <c r="BS366" i="8"/>
  <c r="BR366" i="8"/>
  <c r="BQ366" i="8"/>
  <c r="BP366" i="8"/>
  <c r="BO366" i="8"/>
  <c r="BN366" i="8"/>
  <c r="BM366" i="8"/>
  <c r="BL366" i="8"/>
  <c r="BK366" i="8"/>
  <c r="BJ366" i="8"/>
  <c r="BI366" i="8"/>
  <c r="BH366" i="8"/>
  <c r="CJ363" i="8"/>
  <c r="CI363" i="8"/>
  <c r="CH363" i="8"/>
  <c r="CG363" i="8"/>
  <c r="CF363" i="8"/>
  <c r="CE363" i="8"/>
  <c r="CD363" i="8"/>
  <c r="CC363" i="8"/>
  <c r="CB363" i="8"/>
  <c r="CA363" i="8"/>
  <c r="BZ363" i="8"/>
  <c r="BY363" i="8"/>
  <c r="BX363" i="8"/>
  <c r="BW363" i="8"/>
  <c r="BV363" i="8"/>
  <c r="BU363" i="8"/>
  <c r="BT363" i="8"/>
  <c r="BS363" i="8"/>
  <c r="BR363" i="8"/>
  <c r="BQ363" i="8"/>
  <c r="BP363" i="8"/>
  <c r="BO363" i="8"/>
  <c r="BN363" i="8"/>
  <c r="BM363" i="8"/>
  <c r="BL363" i="8"/>
  <c r="BK363" i="8"/>
  <c r="BJ363" i="8"/>
  <c r="BI363" i="8"/>
  <c r="BH363" i="8"/>
  <c r="CJ307" i="8"/>
  <c r="CI307" i="8"/>
  <c r="CH307" i="8"/>
  <c r="CG307" i="8"/>
  <c r="CF307" i="8"/>
  <c r="CE307" i="8"/>
  <c r="CD307" i="8"/>
  <c r="CC307" i="8"/>
  <c r="CB307" i="8"/>
  <c r="CA307" i="8"/>
  <c r="BZ307" i="8"/>
  <c r="BY307" i="8"/>
  <c r="BX307" i="8"/>
  <c r="BW307" i="8"/>
  <c r="BV307" i="8"/>
  <c r="BU307" i="8"/>
  <c r="BT307" i="8"/>
  <c r="BS307" i="8"/>
  <c r="BR307" i="8"/>
  <c r="BQ307" i="8"/>
  <c r="BP307" i="8"/>
  <c r="BO307" i="8"/>
  <c r="BN307" i="8"/>
  <c r="BM307" i="8"/>
  <c r="BL307" i="8"/>
  <c r="BK307" i="8"/>
  <c r="BJ307" i="8"/>
  <c r="BI307" i="8"/>
  <c r="BH307" i="8"/>
  <c r="CJ303" i="8"/>
  <c r="CI303" i="8"/>
  <c r="CH303" i="8"/>
  <c r="CG303" i="8"/>
  <c r="CF303" i="8"/>
  <c r="CE303" i="8"/>
  <c r="CD303" i="8"/>
  <c r="CC303" i="8"/>
  <c r="CB303" i="8"/>
  <c r="CA303" i="8"/>
  <c r="BZ303" i="8"/>
  <c r="BY303" i="8"/>
  <c r="BX303" i="8"/>
  <c r="BW303" i="8"/>
  <c r="BV303" i="8"/>
  <c r="BU303" i="8"/>
  <c r="BT303" i="8"/>
  <c r="BS303" i="8"/>
  <c r="BR303" i="8"/>
  <c r="BQ303" i="8"/>
  <c r="BP303" i="8"/>
  <c r="BO303" i="8"/>
  <c r="BN303" i="8"/>
  <c r="BM303" i="8"/>
  <c r="BL303" i="8"/>
  <c r="BK303" i="8"/>
  <c r="BJ303" i="8"/>
  <c r="BI303" i="8"/>
  <c r="BH303" i="8"/>
  <c r="CJ304" i="8"/>
  <c r="CI304" i="8"/>
  <c r="CH304" i="8"/>
  <c r="CG304" i="8"/>
  <c r="CF304" i="8"/>
  <c r="CE304" i="8"/>
  <c r="CD304" i="8"/>
  <c r="CC304" i="8"/>
  <c r="CB304" i="8"/>
  <c r="CA304" i="8"/>
  <c r="BZ304" i="8"/>
  <c r="BY304" i="8"/>
  <c r="BX304" i="8"/>
  <c r="BW304" i="8"/>
  <c r="BV304" i="8"/>
  <c r="BU304" i="8"/>
  <c r="BT304" i="8"/>
  <c r="BS304" i="8"/>
  <c r="BR304" i="8"/>
  <c r="BQ304" i="8"/>
  <c r="BP304" i="8"/>
  <c r="BO304" i="8"/>
  <c r="BN304" i="8"/>
  <c r="BM304" i="8"/>
  <c r="BL304" i="8"/>
  <c r="BK304" i="8"/>
  <c r="BJ304" i="8"/>
  <c r="BI304" i="8"/>
  <c r="BH304" i="8"/>
  <c r="BL405" i="8"/>
  <c r="CJ510" i="8"/>
  <c r="CI510" i="8"/>
  <c r="CH510" i="8"/>
  <c r="CG510" i="8"/>
  <c r="CF510" i="8"/>
  <c r="CE510" i="8"/>
  <c r="CD510" i="8"/>
  <c r="CC510" i="8"/>
  <c r="CB510" i="8"/>
  <c r="CA510" i="8"/>
  <c r="BZ510" i="8"/>
  <c r="BY510" i="8"/>
  <c r="BX510" i="8"/>
  <c r="BW510" i="8"/>
  <c r="BV510" i="8"/>
  <c r="BU510" i="8"/>
  <c r="BT510" i="8"/>
  <c r="BS510" i="8"/>
  <c r="BR510" i="8"/>
  <c r="BQ510" i="8"/>
  <c r="BP510" i="8"/>
  <c r="BO510" i="8"/>
  <c r="BN510" i="8"/>
  <c r="BM510" i="8"/>
  <c r="BL510" i="8"/>
  <c r="BK510" i="8"/>
  <c r="BJ510" i="8"/>
  <c r="BI510" i="8"/>
  <c r="BH510" i="8"/>
  <c r="CJ511" i="8"/>
  <c r="CI511" i="8"/>
  <c r="CH511" i="8"/>
  <c r="CG511" i="8"/>
  <c r="CF511" i="8"/>
  <c r="CE511" i="8"/>
  <c r="CD511" i="8"/>
  <c r="CC511" i="8"/>
  <c r="CB511" i="8"/>
  <c r="CA511" i="8"/>
  <c r="BZ511" i="8"/>
  <c r="BY511" i="8"/>
  <c r="BX511" i="8"/>
  <c r="BW511" i="8"/>
  <c r="BV511" i="8"/>
  <c r="BU511" i="8"/>
  <c r="BT511" i="8"/>
  <c r="BS511" i="8"/>
  <c r="BR511" i="8"/>
  <c r="BQ511" i="8"/>
  <c r="BP511" i="8"/>
  <c r="BO511" i="8"/>
  <c r="BN511" i="8"/>
  <c r="BM511" i="8"/>
  <c r="BL511" i="8"/>
  <c r="BK511" i="8"/>
  <c r="BJ511" i="8"/>
  <c r="BI511" i="8"/>
  <c r="BH511" i="8"/>
  <c r="CJ512" i="8"/>
  <c r="CI512" i="8"/>
  <c r="CH512" i="8"/>
  <c r="CG512" i="8"/>
  <c r="CF512" i="8"/>
  <c r="CE512" i="8"/>
  <c r="CD512" i="8"/>
  <c r="CC512" i="8"/>
  <c r="CB512" i="8"/>
  <c r="CA512" i="8"/>
  <c r="BZ512" i="8"/>
  <c r="BY512" i="8"/>
  <c r="BX512" i="8"/>
  <c r="BW512" i="8"/>
  <c r="BV512" i="8"/>
  <c r="BU512" i="8"/>
  <c r="BT512" i="8"/>
  <c r="BS512" i="8"/>
  <c r="BR512" i="8"/>
  <c r="BQ512" i="8"/>
  <c r="BP512" i="8"/>
  <c r="BO512" i="8"/>
  <c r="BN512" i="8"/>
  <c r="BM512" i="8"/>
  <c r="BL512" i="8"/>
  <c r="BK512" i="8"/>
  <c r="BJ512" i="8"/>
  <c r="BI512" i="8"/>
  <c r="BH512" i="8"/>
  <c r="CJ513" i="8"/>
  <c r="CI513" i="8"/>
  <c r="CH513" i="8"/>
  <c r="CG513" i="8"/>
  <c r="CF513" i="8"/>
  <c r="CE513" i="8"/>
  <c r="CD513" i="8"/>
  <c r="CC513" i="8"/>
  <c r="CB513" i="8"/>
  <c r="CA513" i="8"/>
  <c r="BZ513" i="8"/>
  <c r="BY513" i="8"/>
  <c r="BX513" i="8"/>
  <c r="BW513" i="8"/>
  <c r="BV513" i="8"/>
  <c r="BU513" i="8"/>
  <c r="BT513" i="8"/>
  <c r="BS513" i="8"/>
  <c r="BR513" i="8"/>
  <c r="BQ513" i="8"/>
  <c r="BP513" i="8"/>
  <c r="BO513" i="8"/>
  <c r="BN513" i="8"/>
  <c r="BM513" i="8"/>
  <c r="BL513" i="8"/>
  <c r="BK513" i="8"/>
  <c r="BJ513" i="8"/>
  <c r="BI513" i="8"/>
  <c r="BH513" i="8"/>
  <c r="CJ470" i="8"/>
  <c r="CI470" i="8"/>
  <c r="CH470" i="8"/>
  <c r="CG470" i="8"/>
  <c r="CF470" i="8"/>
  <c r="CE470" i="8"/>
  <c r="CD470" i="8"/>
  <c r="CC470" i="8"/>
  <c r="CB470" i="8"/>
  <c r="CA470" i="8"/>
  <c r="BZ470" i="8"/>
  <c r="BY470" i="8"/>
  <c r="BX470" i="8"/>
  <c r="BW470" i="8"/>
  <c r="BV470" i="8"/>
  <c r="BU470" i="8"/>
  <c r="BT470" i="8"/>
  <c r="BS470" i="8"/>
  <c r="BR470" i="8"/>
  <c r="BQ470" i="8"/>
  <c r="BP470" i="8"/>
  <c r="BO470" i="8"/>
  <c r="BN470" i="8"/>
  <c r="BM470" i="8"/>
  <c r="BL470" i="8"/>
  <c r="BK470" i="8"/>
  <c r="BJ470" i="8"/>
  <c r="BI470" i="8"/>
  <c r="BH470" i="8"/>
  <c r="CJ471" i="8"/>
  <c r="CI471" i="8"/>
  <c r="CH471" i="8"/>
  <c r="CG471" i="8"/>
  <c r="CF471" i="8"/>
  <c r="CE471" i="8"/>
  <c r="CD471" i="8"/>
  <c r="CC471" i="8"/>
  <c r="CB471" i="8"/>
  <c r="CA471" i="8"/>
  <c r="BZ471" i="8"/>
  <c r="BY471" i="8"/>
  <c r="BX471" i="8"/>
  <c r="BW471" i="8"/>
  <c r="BV471" i="8"/>
  <c r="BU471" i="8"/>
  <c r="BT471" i="8"/>
  <c r="BS471" i="8"/>
  <c r="BR471" i="8"/>
  <c r="BQ471" i="8"/>
  <c r="BP471" i="8"/>
  <c r="BO471" i="8"/>
  <c r="BN471" i="8"/>
  <c r="BM471" i="8"/>
  <c r="BL471" i="8"/>
  <c r="BK471" i="8"/>
  <c r="BJ471" i="8"/>
  <c r="BI471" i="8"/>
  <c r="BH471" i="8"/>
  <c r="CJ472" i="8"/>
  <c r="CI472" i="8"/>
  <c r="CH472" i="8"/>
  <c r="CG472" i="8"/>
  <c r="CF472" i="8"/>
  <c r="CE472" i="8"/>
  <c r="CD472" i="8"/>
  <c r="CC472" i="8"/>
  <c r="CB472" i="8"/>
  <c r="CA472" i="8"/>
  <c r="BZ472" i="8"/>
  <c r="BY472" i="8"/>
  <c r="BX472" i="8"/>
  <c r="BW472" i="8"/>
  <c r="BV472" i="8"/>
  <c r="BU472" i="8"/>
  <c r="BT472" i="8"/>
  <c r="BS472" i="8"/>
  <c r="BR472" i="8"/>
  <c r="BQ472" i="8"/>
  <c r="BP472" i="8"/>
  <c r="BO472" i="8"/>
  <c r="BN472" i="8"/>
  <c r="BM472" i="8"/>
  <c r="BL472" i="8"/>
  <c r="BK472" i="8"/>
  <c r="BJ472" i="8"/>
  <c r="BI472" i="8"/>
  <c r="BH472" i="8"/>
  <c r="CJ473" i="8"/>
  <c r="CI473" i="8"/>
  <c r="CH473" i="8"/>
  <c r="CG473" i="8"/>
  <c r="CF473" i="8"/>
  <c r="CE473" i="8"/>
  <c r="CD473" i="8"/>
  <c r="CC473" i="8"/>
  <c r="CB473" i="8"/>
  <c r="CA473" i="8"/>
  <c r="BZ473" i="8"/>
  <c r="BY473" i="8"/>
  <c r="BX473" i="8"/>
  <c r="BW473" i="8"/>
  <c r="BV473" i="8"/>
  <c r="BU473" i="8"/>
  <c r="BT473" i="8"/>
  <c r="BS473" i="8"/>
  <c r="BR473" i="8"/>
  <c r="BQ473" i="8"/>
  <c r="BP473" i="8"/>
  <c r="BO473" i="8"/>
  <c r="BN473" i="8"/>
  <c r="BM473" i="8"/>
  <c r="BL473" i="8"/>
  <c r="BK473" i="8"/>
  <c r="BJ473" i="8"/>
  <c r="BI473" i="8"/>
  <c r="BH473" i="8"/>
  <c r="CJ416" i="8"/>
  <c r="CI416" i="8"/>
  <c r="CH416" i="8"/>
  <c r="CG416" i="8"/>
  <c r="CF416" i="8"/>
  <c r="CE416" i="8"/>
  <c r="CD416" i="8"/>
  <c r="CC416" i="8"/>
  <c r="CB416" i="8"/>
  <c r="CA416" i="8"/>
  <c r="BZ416" i="8"/>
  <c r="BY416" i="8"/>
  <c r="BX416" i="8"/>
  <c r="BW416" i="8"/>
  <c r="BV416" i="8"/>
  <c r="BU416" i="8"/>
  <c r="BT416" i="8"/>
  <c r="BS416" i="8"/>
  <c r="BR416" i="8"/>
  <c r="BQ416" i="8"/>
  <c r="BP416" i="8"/>
  <c r="BO416" i="8"/>
  <c r="BN416" i="8"/>
  <c r="BM416" i="8"/>
  <c r="BL416" i="8"/>
  <c r="BK416" i="8"/>
  <c r="BJ416" i="8"/>
  <c r="BI416" i="8"/>
  <c r="BH416" i="8"/>
  <c r="CJ417" i="8"/>
  <c r="CI417" i="8"/>
  <c r="CH417" i="8"/>
  <c r="CG417" i="8"/>
  <c r="CF417" i="8"/>
  <c r="CE417" i="8"/>
  <c r="CD417" i="8"/>
  <c r="CC417" i="8"/>
  <c r="CB417" i="8"/>
  <c r="CA417" i="8"/>
  <c r="BZ417" i="8"/>
  <c r="BY417" i="8"/>
  <c r="BX417" i="8"/>
  <c r="BW417" i="8"/>
  <c r="BV417" i="8"/>
  <c r="BU417" i="8"/>
  <c r="BT417" i="8"/>
  <c r="BS417" i="8"/>
  <c r="BR417" i="8"/>
  <c r="BQ417" i="8"/>
  <c r="BP417" i="8"/>
  <c r="BO417" i="8"/>
  <c r="BN417" i="8"/>
  <c r="BM417" i="8"/>
  <c r="BL417" i="8"/>
  <c r="BK417" i="8"/>
  <c r="BJ417" i="8"/>
  <c r="BI417" i="8"/>
  <c r="BH417" i="8"/>
  <c r="CJ419" i="8"/>
  <c r="CI419" i="8"/>
  <c r="CH419" i="8"/>
  <c r="CG419" i="8"/>
  <c r="CF419" i="8"/>
  <c r="CE419" i="8"/>
  <c r="CD419" i="8"/>
  <c r="CC419" i="8"/>
  <c r="CB419" i="8"/>
  <c r="CA419" i="8"/>
  <c r="BZ419" i="8"/>
  <c r="BY419" i="8"/>
  <c r="BX419" i="8"/>
  <c r="BW419" i="8"/>
  <c r="BV419" i="8"/>
  <c r="BU419" i="8"/>
  <c r="BT419" i="8"/>
  <c r="BS419" i="8"/>
  <c r="BR419" i="8"/>
  <c r="BQ419" i="8"/>
  <c r="BP419" i="8"/>
  <c r="BO419" i="8"/>
  <c r="BN419" i="8"/>
  <c r="BM419" i="8"/>
  <c r="BL419" i="8"/>
  <c r="BK419" i="8"/>
  <c r="BJ419" i="8"/>
  <c r="BI419" i="8"/>
  <c r="BH419" i="8"/>
  <c r="CJ420" i="8"/>
  <c r="CI420" i="8"/>
  <c r="CH420" i="8"/>
  <c r="CG420" i="8"/>
  <c r="CF420" i="8"/>
  <c r="CE420" i="8"/>
  <c r="CD420" i="8"/>
  <c r="CC420" i="8"/>
  <c r="CB420" i="8"/>
  <c r="CA420" i="8"/>
  <c r="BZ420" i="8"/>
  <c r="BY420" i="8"/>
  <c r="BX420" i="8"/>
  <c r="BW420" i="8"/>
  <c r="BV420" i="8"/>
  <c r="BU420" i="8"/>
  <c r="BT420" i="8"/>
  <c r="BS420" i="8"/>
  <c r="BR420" i="8"/>
  <c r="BQ420" i="8"/>
  <c r="BP420" i="8"/>
  <c r="BO420" i="8"/>
  <c r="BN420" i="8"/>
  <c r="BM420" i="8"/>
  <c r="BL420" i="8"/>
  <c r="BK420" i="8"/>
  <c r="BJ420" i="8"/>
  <c r="BI420" i="8"/>
  <c r="BH420" i="8"/>
  <c r="CJ361" i="8"/>
  <c r="CI361" i="8"/>
  <c r="CH361" i="8"/>
  <c r="CG361" i="8"/>
  <c r="CF361" i="8"/>
  <c r="CE361" i="8"/>
  <c r="CD361" i="8"/>
  <c r="CC361" i="8"/>
  <c r="CB361" i="8"/>
  <c r="CA361" i="8"/>
  <c r="BZ361" i="8"/>
  <c r="BY361" i="8"/>
  <c r="BX361" i="8"/>
  <c r="BW361" i="8"/>
  <c r="BV361" i="8"/>
  <c r="BU361" i="8"/>
  <c r="BT361" i="8"/>
  <c r="BS361" i="8"/>
  <c r="BR361" i="8"/>
  <c r="BQ361" i="8"/>
  <c r="BP361" i="8"/>
  <c r="BO361" i="8"/>
  <c r="BN361" i="8"/>
  <c r="BM361" i="8"/>
  <c r="BL361" i="8"/>
  <c r="BK361" i="8"/>
  <c r="BJ361" i="8"/>
  <c r="BI361" i="8"/>
  <c r="BH361" i="8"/>
  <c r="CJ362" i="8"/>
  <c r="CI362" i="8"/>
  <c r="CH362" i="8"/>
  <c r="CG362" i="8"/>
  <c r="CF362" i="8"/>
  <c r="CE362" i="8"/>
  <c r="CD362" i="8"/>
  <c r="CC362" i="8"/>
  <c r="CB362" i="8"/>
  <c r="CA362" i="8"/>
  <c r="BZ362" i="8"/>
  <c r="BY362" i="8"/>
  <c r="BX362" i="8"/>
  <c r="BW362" i="8"/>
  <c r="BV362" i="8"/>
  <c r="BU362" i="8"/>
  <c r="BT362" i="8"/>
  <c r="BS362" i="8"/>
  <c r="BR362" i="8"/>
  <c r="BQ362" i="8"/>
  <c r="BP362" i="8"/>
  <c r="BO362" i="8"/>
  <c r="BN362" i="8"/>
  <c r="BM362" i="8"/>
  <c r="BL362" i="8"/>
  <c r="BK362" i="8"/>
  <c r="BJ362" i="8"/>
  <c r="BI362" i="8"/>
  <c r="BH362" i="8"/>
  <c r="CJ364" i="8"/>
  <c r="CI364" i="8"/>
  <c r="CH364" i="8"/>
  <c r="CG364" i="8"/>
  <c r="CF364" i="8"/>
  <c r="CE364" i="8"/>
  <c r="CD364" i="8"/>
  <c r="CC364" i="8"/>
  <c r="CB364" i="8"/>
  <c r="CA364" i="8"/>
  <c r="BZ364" i="8"/>
  <c r="BY364" i="8"/>
  <c r="BX364" i="8"/>
  <c r="BW364" i="8"/>
  <c r="BV364" i="8"/>
  <c r="BU364" i="8"/>
  <c r="BT364" i="8"/>
  <c r="BS364" i="8"/>
  <c r="BR364" i="8"/>
  <c r="BQ364" i="8"/>
  <c r="BP364" i="8"/>
  <c r="BO364" i="8"/>
  <c r="BN364" i="8"/>
  <c r="BM364" i="8"/>
  <c r="BL364" i="8"/>
  <c r="BK364" i="8"/>
  <c r="BJ364" i="8"/>
  <c r="BI364" i="8"/>
  <c r="BH364" i="8"/>
  <c r="CJ365" i="8"/>
  <c r="CI365" i="8"/>
  <c r="CH365" i="8"/>
  <c r="CG365" i="8"/>
  <c r="CF365" i="8"/>
  <c r="CE365" i="8"/>
  <c r="CD365" i="8"/>
  <c r="CC365" i="8"/>
  <c r="CB365" i="8"/>
  <c r="CA365" i="8"/>
  <c r="BZ365" i="8"/>
  <c r="BY365" i="8"/>
  <c r="BX365" i="8"/>
  <c r="BW365" i="8"/>
  <c r="BV365" i="8"/>
  <c r="BU365" i="8"/>
  <c r="BT365" i="8"/>
  <c r="BS365" i="8"/>
  <c r="BR365" i="8"/>
  <c r="BQ365" i="8"/>
  <c r="BP365" i="8"/>
  <c r="BO365" i="8"/>
  <c r="BN365" i="8"/>
  <c r="BM365" i="8"/>
  <c r="BL365" i="8"/>
  <c r="BK365" i="8"/>
  <c r="BJ365" i="8"/>
  <c r="BI365" i="8"/>
  <c r="BH365" i="8"/>
  <c r="CJ301" i="8"/>
  <c r="CI301" i="8"/>
  <c r="CH301" i="8"/>
  <c r="CG301" i="8"/>
  <c r="CF301" i="8"/>
  <c r="CE301" i="8"/>
  <c r="CD301" i="8"/>
  <c r="CC301" i="8"/>
  <c r="CB301" i="8"/>
  <c r="CA301" i="8"/>
  <c r="BZ301" i="8"/>
  <c r="BY301" i="8"/>
  <c r="BX301" i="8"/>
  <c r="BW301" i="8"/>
  <c r="BV301" i="8"/>
  <c r="BU301" i="8"/>
  <c r="BT301" i="8"/>
  <c r="BS301" i="8"/>
  <c r="BR301" i="8"/>
  <c r="BQ301" i="8"/>
  <c r="BP301" i="8"/>
  <c r="BO301" i="8"/>
  <c r="BN301" i="8"/>
  <c r="BM301" i="8"/>
  <c r="BL301" i="8"/>
  <c r="BK301" i="8"/>
  <c r="BJ301" i="8"/>
  <c r="BI301" i="8"/>
  <c r="BH301" i="8"/>
  <c r="CJ302" i="8"/>
  <c r="CI302" i="8"/>
  <c r="CH302" i="8"/>
  <c r="CG302" i="8"/>
  <c r="CF302" i="8"/>
  <c r="CE302" i="8"/>
  <c r="CD302" i="8"/>
  <c r="CC302" i="8"/>
  <c r="CB302" i="8"/>
  <c r="CA302" i="8"/>
  <c r="BZ302" i="8"/>
  <c r="BY302" i="8"/>
  <c r="BX302" i="8"/>
  <c r="BW302" i="8"/>
  <c r="BV302" i="8"/>
  <c r="BU302" i="8"/>
  <c r="BT302" i="8"/>
  <c r="BS302" i="8"/>
  <c r="BR302" i="8"/>
  <c r="BQ302" i="8"/>
  <c r="BP302" i="8"/>
  <c r="BO302" i="8"/>
  <c r="BN302" i="8"/>
  <c r="BM302" i="8"/>
  <c r="BL302" i="8"/>
  <c r="BK302" i="8"/>
  <c r="BJ302" i="8"/>
  <c r="BI302" i="8"/>
  <c r="BH302" i="8"/>
  <c r="CJ305" i="8"/>
  <c r="CI305" i="8"/>
  <c r="CH305" i="8"/>
  <c r="CG305" i="8"/>
  <c r="CF305" i="8"/>
  <c r="CE305" i="8"/>
  <c r="CD305" i="8"/>
  <c r="CC305" i="8"/>
  <c r="CB305" i="8"/>
  <c r="CA305" i="8"/>
  <c r="BZ305" i="8"/>
  <c r="BY305" i="8"/>
  <c r="BX305" i="8"/>
  <c r="BW305" i="8"/>
  <c r="BV305" i="8"/>
  <c r="BU305" i="8"/>
  <c r="BT305" i="8"/>
  <c r="BS305" i="8"/>
  <c r="BR305" i="8"/>
  <c r="BQ305" i="8"/>
  <c r="BP305" i="8"/>
  <c r="BO305" i="8"/>
  <c r="BN305" i="8"/>
  <c r="BM305" i="8"/>
  <c r="BL305" i="8"/>
  <c r="BK305" i="8"/>
  <c r="BJ305" i="8"/>
  <c r="BI305" i="8"/>
  <c r="BH305" i="8"/>
  <c r="CJ306" i="8"/>
  <c r="CI306" i="8"/>
  <c r="CH306" i="8"/>
  <c r="CG306" i="8"/>
  <c r="CF306" i="8"/>
  <c r="CE306" i="8"/>
  <c r="CD306" i="8"/>
  <c r="CC306" i="8"/>
  <c r="CB306" i="8"/>
  <c r="CA306" i="8"/>
  <c r="BZ306" i="8"/>
  <c r="BY306" i="8"/>
  <c r="BX306" i="8"/>
  <c r="BW306" i="8"/>
  <c r="BV306" i="8"/>
  <c r="BU306" i="8"/>
  <c r="BT306" i="8"/>
  <c r="BS306" i="8"/>
  <c r="BR306" i="8"/>
  <c r="BQ306" i="8"/>
  <c r="BP306" i="8"/>
  <c r="BO306" i="8"/>
  <c r="BN306" i="8"/>
  <c r="BM306" i="8"/>
  <c r="BL306" i="8"/>
  <c r="BK306" i="8"/>
  <c r="BJ306" i="8"/>
  <c r="BI306" i="8"/>
  <c r="BH306" i="8"/>
  <c r="CJ332" i="8"/>
  <c r="CI332" i="8"/>
  <c r="CH332" i="8"/>
  <c r="CG332" i="8"/>
  <c r="CF332" i="8"/>
  <c r="CE332" i="8"/>
  <c r="CD332" i="8"/>
  <c r="CC332" i="8"/>
  <c r="CB332" i="8"/>
  <c r="CA332" i="8"/>
  <c r="BZ332" i="8"/>
  <c r="BY332" i="8"/>
  <c r="BX332" i="8"/>
  <c r="BW332" i="8"/>
  <c r="BV332" i="8"/>
  <c r="BU332" i="8"/>
  <c r="BT332" i="8"/>
  <c r="BS332" i="8"/>
  <c r="BR332" i="8"/>
  <c r="BQ332" i="8"/>
  <c r="BP332" i="8"/>
  <c r="BO332" i="8"/>
  <c r="BN332" i="8"/>
  <c r="BM332" i="8"/>
  <c r="BL332" i="8"/>
  <c r="BK332" i="8"/>
  <c r="BJ332" i="8"/>
  <c r="BI332" i="8"/>
  <c r="BH332" i="8"/>
  <c r="CJ272" i="8"/>
  <c r="CI272" i="8"/>
  <c r="CH272" i="8"/>
  <c r="CG272" i="8"/>
  <c r="CF272" i="8"/>
  <c r="CE272" i="8"/>
  <c r="CD272" i="8"/>
  <c r="CC272" i="8"/>
  <c r="CB272" i="8"/>
  <c r="CA272" i="8"/>
  <c r="BZ272" i="8"/>
  <c r="BY272" i="8"/>
  <c r="BX272" i="8"/>
  <c r="BW272" i="8"/>
  <c r="BV272" i="8"/>
  <c r="BU272" i="8"/>
  <c r="BT272" i="8"/>
  <c r="BS272" i="8"/>
  <c r="BR272" i="8"/>
  <c r="BQ272" i="8"/>
  <c r="BP272" i="8"/>
  <c r="BO272" i="8"/>
  <c r="BN272" i="8"/>
  <c r="BM272" i="8"/>
  <c r="BL272" i="8"/>
  <c r="BK272" i="8"/>
  <c r="BJ272" i="8"/>
  <c r="BI272" i="8"/>
  <c r="BH272" i="8"/>
  <c r="CJ147" i="8"/>
  <c r="CI147" i="8"/>
  <c r="CH147" i="8"/>
  <c r="CG147" i="8"/>
  <c r="CF147" i="8"/>
  <c r="CE147" i="8"/>
  <c r="CD147" i="8"/>
  <c r="CC147" i="8"/>
  <c r="CB147" i="8"/>
  <c r="CA147" i="8"/>
  <c r="BZ147" i="8"/>
  <c r="BY147" i="8"/>
  <c r="BX147" i="8"/>
  <c r="BW147" i="8"/>
  <c r="BV147" i="8"/>
  <c r="BU147" i="8"/>
  <c r="BT147" i="8"/>
  <c r="BS147" i="8"/>
  <c r="BR147" i="8"/>
  <c r="BQ147" i="8"/>
  <c r="BP147" i="8"/>
  <c r="BO147" i="8"/>
  <c r="BN147" i="8"/>
  <c r="BM147" i="8"/>
  <c r="BL147" i="8"/>
  <c r="BK147" i="8"/>
  <c r="BJ147" i="8"/>
  <c r="BI147" i="8"/>
  <c r="BH147" i="8"/>
  <c r="CJ142" i="8"/>
  <c r="CI142" i="8"/>
  <c r="CH142" i="8"/>
  <c r="CG142" i="8"/>
  <c r="CF142" i="8"/>
  <c r="CE142" i="8"/>
  <c r="CD142" i="8"/>
  <c r="CC142" i="8"/>
  <c r="CB142" i="8"/>
  <c r="CA142" i="8"/>
  <c r="BZ142" i="8"/>
  <c r="BY142" i="8"/>
  <c r="BX142" i="8"/>
  <c r="BW142" i="8"/>
  <c r="BV142" i="8"/>
  <c r="BU142" i="8"/>
  <c r="BT142" i="8"/>
  <c r="BS142" i="8"/>
  <c r="BR142" i="8"/>
  <c r="BQ142" i="8"/>
  <c r="BP142" i="8"/>
  <c r="BO142" i="8"/>
  <c r="BN142" i="8"/>
  <c r="BM142" i="8"/>
  <c r="BL142" i="8"/>
  <c r="BK142" i="8"/>
  <c r="BJ142" i="8"/>
  <c r="BI142" i="8"/>
  <c r="BH142" i="8"/>
  <c r="CJ102" i="8"/>
  <c r="CI102" i="8"/>
  <c r="CH102" i="8"/>
  <c r="CG102" i="8"/>
  <c r="CF102" i="8"/>
  <c r="CE102" i="8"/>
  <c r="CD102" i="8"/>
  <c r="CC102" i="8"/>
  <c r="CB102" i="8"/>
  <c r="CA102" i="8"/>
  <c r="BZ102" i="8"/>
  <c r="BY102" i="8"/>
  <c r="BX102" i="8"/>
  <c r="BW102" i="8"/>
  <c r="BV102" i="8"/>
  <c r="BU102" i="8"/>
  <c r="BT102" i="8"/>
  <c r="BS102" i="8"/>
  <c r="BR102" i="8"/>
  <c r="BQ102" i="8"/>
  <c r="BP102" i="8"/>
  <c r="BO102" i="8"/>
  <c r="BN102" i="8"/>
  <c r="BM102" i="8"/>
  <c r="BL102" i="8"/>
  <c r="BK102" i="8"/>
  <c r="BJ102" i="8"/>
  <c r="BI102" i="8"/>
  <c r="BH102"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CJ48" i="8"/>
  <c r="CI48" i="8"/>
  <c r="CH48" i="8"/>
  <c r="CG48" i="8"/>
  <c r="CF48" i="8"/>
  <c r="CE48" i="8"/>
  <c r="CD48" i="8"/>
  <c r="CC48" i="8"/>
  <c r="CB48" i="8"/>
  <c r="CA48" i="8"/>
  <c r="BZ48" i="8"/>
  <c r="BY48" i="8"/>
  <c r="BX48" i="8"/>
  <c r="BW48" i="8"/>
  <c r="BV48" i="8"/>
  <c r="BU48" i="8"/>
  <c r="BT48" i="8"/>
  <c r="BS48" i="8"/>
  <c r="BR48" i="8"/>
  <c r="BQ48" i="8"/>
  <c r="BP48" i="8"/>
  <c r="BO48" i="8"/>
  <c r="BN48" i="8"/>
  <c r="BM48" i="8"/>
  <c r="BL48" i="8"/>
  <c r="BK48" i="8"/>
  <c r="BJ48" i="8"/>
  <c r="BI48" i="8"/>
  <c r="BH48" i="8"/>
  <c r="CJ43" i="8"/>
  <c r="CI43" i="8"/>
  <c r="CH43" i="8"/>
  <c r="CG43" i="8"/>
  <c r="CF43" i="8"/>
  <c r="CE43" i="8"/>
  <c r="CD43" i="8"/>
  <c r="CC43" i="8"/>
  <c r="CB43" i="8"/>
  <c r="CA43" i="8"/>
  <c r="BZ43" i="8"/>
  <c r="BY43" i="8"/>
  <c r="BX43" i="8"/>
  <c r="BW43" i="8"/>
  <c r="BV43" i="8"/>
  <c r="BU43" i="8"/>
  <c r="BT43" i="8"/>
  <c r="BS43" i="8"/>
  <c r="BR43" i="8"/>
  <c r="BQ43" i="8"/>
  <c r="BP43" i="8"/>
  <c r="BO43" i="8"/>
  <c r="BN43" i="8"/>
  <c r="BM43" i="8"/>
  <c r="BL43" i="8"/>
  <c r="BK43" i="8"/>
  <c r="BJ43" i="8"/>
  <c r="BI43" i="8"/>
  <c r="BH43" i="8"/>
  <c r="AG9" i="2"/>
  <c r="Z67" i="2"/>
  <c r="AF4" i="8"/>
  <c r="BI2" i="8"/>
  <c r="CJ522" i="8"/>
  <c r="CI522" i="8"/>
  <c r="CH522" i="8"/>
  <c r="CG522" i="8"/>
  <c r="CF522" i="8"/>
  <c r="CE522" i="8"/>
  <c r="CD522" i="8"/>
  <c r="CC522" i="8"/>
  <c r="CB522" i="8"/>
  <c r="CA522" i="8"/>
  <c r="BZ522" i="8"/>
  <c r="BY522" i="8"/>
  <c r="BX522" i="8"/>
  <c r="BW522" i="8"/>
  <c r="BV522" i="8"/>
  <c r="BU522" i="8"/>
  <c r="BT522" i="8"/>
  <c r="BS522" i="8"/>
  <c r="BR522" i="8"/>
  <c r="BQ522" i="8"/>
  <c r="BP522" i="8"/>
  <c r="BO522" i="8"/>
  <c r="BN522" i="8"/>
  <c r="BM522" i="8"/>
  <c r="BL522" i="8"/>
  <c r="BK522" i="8"/>
  <c r="BJ522" i="8"/>
  <c r="BI522" i="8"/>
  <c r="BH522" i="8"/>
  <c r="CJ523" i="8"/>
  <c r="CI523" i="8"/>
  <c r="CH523" i="8"/>
  <c r="CG523" i="8"/>
  <c r="CF523" i="8"/>
  <c r="CE523" i="8"/>
  <c r="CD523" i="8"/>
  <c r="CC523" i="8"/>
  <c r="CB523" i="8"/>
  <c r="CA523" i="8"/>
  <c r="BZ523" i="8"/>
  <c r="BY523" i="8"/>
  <c r="BX523" i="8"/>
  <c r="BW523" i="8"/>
  <c r="BV523" i="8"/>
  <c r="BU523" i="8"/>
  <c r="BT523" i="8"/>
  <c r="BS523" i="8"/>
  <c r="BR523" i="8"/>
  <c r="BQ523" i="8"/>
  <c r="BP523" i="8"/>
  <c r="BO523" i="8"/>
  <c r="BN523" i="8"/>
  <c r="BM523" i="8"/>
  <c r="BL523" i="8"/>
  <c r="BK523" i="8"/>
  <c r="BJ523" i="8"/>
  <c r="BI523" i="8"/>
  <c r="BH523" i="8"/>
  <c r="CJ524" i="8"/>
  <c r="CI524" i="8"/>
  <c r="CH524" i="8"/>
  <c r="CG524" i="8"/>
  <c r="CF524" i="8"/>
  <c r="CE524" i="8"/>
  <c r="CD524" i="8"/>
  <c r="CC524" i="8"/>
  <c r="CB524" i="8"/>
  <c r="CA524" i="8"/>
  <c r="BZ524" i="8"/>
  <c r="BY524" i="8"/>
  <c r="BX524" i="8"/>
  <c r="BW524" i="8"/>
  <c r="BV524" i="8"/>
  <c r="BU524" i="8"/>
  <c r="BT524" i="8"/>
  <c r="BS524" i="8"/>
  <c r="BR524" i="8"/>
  <c r="BQ524" i="8"/>
  <c r="BP524" i="8"/>
  <c r="BO524" i="8"/>
  <c r="BN524" i="8"/>
  <c r="BM524" i="8"/>
  <c r="BL524" i="8"/>
  <c r="BK524" i="8"/>
  <c r="BJ524" i="8"/>
  <c r="BI524" i="8"/>
  <c r="BH524" i="8"/>
  <c r="CJ525" i="8"/>
  <c r="CI525" i="8"/>
  <c r="CH525" i="8"/>
  <c r="CG525" i="8"/>
  <c r="CF525" i="8"/>
  <c r="CE525" i="8"/>
  <c r="CD525" i="8"/>
  <c r="CC525" i="8"/>
  <c r="CB525" i="8"/>
  <c r="CA525" i="8"/>
  <c r="BZ525" i="8"/>
  <c r="BY525" i="8"/>
  <c r="BX525" i="8"/>
  <c r="BW525" i="8"/>
  <c r="BV525" i="8"/>
  <c r="BU525" i="8"/>
  <c r="BT525" i="8"/>
  <c r="BS525" i="8"/>
  <c r="BR525" i="8"/>
  <c r="BQ525" i="8"/>
  <c r="BP525" i="8"/>
  <c r="BO525" i="8"/>
  <c r="BN525" i="8"/>
  <c r="BM525" i="8"/>
  <c r="BL525" i="8"/>
  <c r="BK525" i="8"/>
  <c r="BJ525" i="8"/>
  <c r="BI525" i="8"/>
  <c r="BH525" i="8"/>
  <c r="CJ486" i="8"/>
  <c r="CI486" i="8"/>
  <c r="CH486" i="8"/>
  <c r="CG486" i="8"/>
  <c r="CF486" i="8"/>
  <c r="CE486" i="8"/>
  <c r="CD486" i="8"/>
  <c r="CC486" i="8"/>
  <c r="CB486" i="8"/>
  <c r="CA486" i="8"/>
  <c r="BZ486" i="8"/>
  <c r="BY486" i="8"/>
  <c r="BX486" i="8"/>
  <c r="BW486" i="8"/>
  <c r="BV486" i="8"/>
  <c r="BU486" i="8"/>
  <c r="BT486" i="8"/>
  <c r="BS486" i="8"/>
  <c r="BR486" i="8"/>
  <c r="BQ486" i="8"/>
  <c r="BP486" i="8"/>
  <c r="BO486" i="8"/>
  <c r="BN486" i="8"/>
  <c r="BM486" i="8"/>
  <c r="BL486" i="8"/>
  <c r="BK486" i="8"/>
  <c r="BJ486" i="8"/>
  <c r="BI486" i="8"/>
  <c r="BH486" i="8"/>
  <c r="CJ487" i="8"/>
  <c r="CI487" i="8"/>
  <c r="CH487" i="8"/>
  <c r="CG487" i="8"/>
  <c r="CF487" i="8"/>
  <c r="CE487" i="8"/>
  <c r="CD487" i="8"/>
  <c r="CC487" i="8"/>
  <c r="CB487" i="8"/>
  <c r="CA487" i="8"/>
  <c r="BZ487" i="8"/>
  <c r="BY487" i="8"/>
  <c r="BX487" i="8"/>
  <c r="BW487" i="8"/>
  <c r="BV487" i="8"/>
  <c r="BU487" i="8"/>
  <c r="BT487" i="8"/>
  <c r="BS487" i="8"/>
  <c r="BR487" i="8"/>
  <c r="BQ487" i="8"/>
  <c r="BP487" i="8"/>
  <c r="BO487" i="8"/>
  <c r="BN487" i="8"/>
  <c r="BM487" i="8"/>
  <c r="BL487" i="8"/>
  <c r="BK487" i="8"/>
  <c r="BJ487" i="8"/>
  <c r="BI487" i="8"/>
  <c r="BH487" i="8"/>
  <c r="CJ488" i="8"/>
  <c r="CI488" i="8"/>
  <c r="CH488" i="8"/>
  <c r="CG488" i="8"/>
  <c r="CF488" i="8"/>
  <c r="CE488" i="8"/>
  <c r="CD488" i="8"/>
  <c r="CC488" i="8"/>
  <c r="CB488" i="8"/>
  <c r="CA488" i="8"/>
  <c r="BZ488" i="8"/>
  <c r="BY488" i="8"/>
  <c r="BX488" i="8"/>
  <c r="BW488" i="8"/>
  <c r="BV488" i="8"/>
  <c r="BU488" i="8"/>
  <c r="BT488" i="8"/>
  <c r="BS488" i="8"/>
  <c r="BR488" i="8"/>
  <c r="BQ488" i="8"/>
  <c r="BP488" i="8"/>
  <c r="BO488" i="8"/>
  <c r="BN488" i="8"/>
  <c r="BM488" i="8"/>
  <c r="BL488" i="8"/>
  <c r="BK488" i="8"/>
  <c r="BJ488" i="8"/>
  <c r="BI488" i="8"/>
  <c r="BH488" i="8"/>
  <c r="CJ489" i="8"/>
  <c r="CI489" i="8"/>
  <c r="CH489" i="8"/>
  <c r="CG489" i="8"/>
  <c r="CF489" i="8"/>
  <c r="CE489" i="8"/>
  <c r="CD489" i="8"/>
  <c r="CC489" i="8"/>
  <c r="CB489" i="8"/>
  <c r="CA489" i="8"/>
  <c r="BZ489" i="8"/>
  <c r="BY489" i="8"/>
  <c r="BX489" i="8"/>
  <c r="BW489" i="8"/>
  <c r="BV489" i="8"/>
  <c r="BU489" i="8"/>
  <c r="BT489" i="8"/>
  <c r="BS489" i="8"/>
  <c r="BR489" i="8"/>
  <c r="BQ489" i="8"/>
  <c r="BP489" i="8"/>
  <c r="BO489" i="8"/>
  <c r="BN489" i="8"/>
  <c r="BM489" i="8"/>
  <c r="BL489" i="8"/>
  <c r="BK489" i="8"/>
  <c r="BJ489" i="8"/>
  <c r="BI489" i="8"/>
  <c r="BH489" i="8"/>
  <c r="CJ490" i="8"/>
  <c r="CI490" i="8"/>
  <c r="CH490" i="8"/>
  <c r="CG490" i="8"/>
  <c r="CF490" i="8"/>
  <c r="CE490" i="8"/>
  <c r="CD490" i="8"/>
  <c r="CC490" i="8"/>
  <c r="CB490" i="8"/>
  <c r="CA490" i="8"/>
  <c r="BZ490" i="8"/>
  <c r="BY490" i="8"/>
  <c r="BX490" i="8"/>
  <c r="BW490" i="8"/>
  <c r="BV490" i="8"/>
  <c r="BU490" i="8"/>
  <c r="BT490" i="8"/>
  <c r="BS490" i="8"/>
  <c r="BR490" i="8"/>
  <c r="BQ490" i="8"/>
  <c r="BP490" i="8"/>
  <c r="BO490" i="8"/>
  <c r="BN490" i="8"/>
  <c r="BM490" i="8"/>
  <c r="BL490" i="8"/>
  <c r="BK490" i="8"/>
  <c r="BJ490" i="8"/>
  <c r="BI490" i="8"/>
  <c r="BH490" i="8"/>
  <c r="CJ491" i="8"/>
  <c r="CI491" i="8"/>
  <c r="CH491" i="8"/>
  <c r="CG491" i="8"/>
  <c r="CF491" i="8"/>
  <c r="CE491" i="8"/>
  <c r="CD491" i="8"/>
  <c r="CC491" i="8"/>
  <c r="CB491" i="8"/>
  <c r="CA491" i="8"/>
  <c r="BZ491" i="8"/>
  <c r="BY491" i="8"/>
  <c r="BX491" i="8"/>
  <c r="BW491" i="8"/>
  <c r="BV491" i="8"/>
  <c r="BU491" i="8"/>
  <c r="BT491" i="8"/>
  <c r="BS491" i="8"/>
  <c r="BR491" i="8"/>
  <c r="BQ491" i="8"/>
  <c r="BP491" i="8"/>
  <c r="BO491" i="8"/>
  <c r="BN491" i="8"/>
  <c r="BM491" i="8"/>
  <c r="BL491" i="8"/>
  <c r="BK491" i="8"/>
  <c r="BJ491" i="8"/>
  <c r="BI491" i="8"/>
  <c r="BH491" i="8"/>
  <c r="CJ438" i="8"/>
  <c r="CI438" i="8"/>
  <c r="CH438" i="8"/>
  <c r="CG438" i="8"/>
  <c r="CF438" i="8"/>
  <c r="CE438" i="8"/>
  <c r="CD438" i="8"/>
  <c r="CC438" i="8"/>
  <c r="CB438" i="8"/>
  <c r="CA438" i="8"/>
  <c r="BZ438" i="8"/>
  <c r="BY438" i="8"/>
  <c r="BX438" i="8"/>
  <c r="BW438" i="8"/>
  <c r="BV438" i="8"/>
  <c r="BU438" i="8"/>
  <c r="BT438" i="8"/>
  <c r="BS438" i="8"/>
  <c r="BR438" i="8"/>
  <c r="BQ438" i="8"/>
  <c r="BP438" i="8"/>
  <c r="BO438" i="8"/>
  <c r="BN438" i="8"/>
  <c r="BM438" i="8"/>
  <c r="BL438" i="8"/>
  <c r="BK438" i="8"/>
  <c r="BJ438" i="8"/>
  <c r="BI438" i="8"/>
  <c r="BH438" i="8"/>
  <c r="CJ439" i="8"/>
  <c r="CI439" i="8"/>
  <c r="CH439" i="8"/>
  <c r="CG439" i="8"/>
  <c r="CF439" i="8"/>
  <c r="CE439" i="8"/>
  <c r="CD439" i="8"/>
  <c r="CC439" i="8"/>
  <c r="CB439" i="8"/>
  <c r="CA439" i="8"/>
  <c r="BZ439" i="8"/>
  <c r="BY439" i="8"/>
  <c r="BX439" i="8"/>
  <c r="BW439" i="8"/>
  <c r="BV439" i="8"/>
  <c r="BU439" i="8"/>
  <c r="BT439" i="8"/>
  <c r="BS439" i="8"/>
  <c r="BR439" i="8"/>
  <c r="BQ439" i="8"/>
  <c r="BP439" i="8"/>
  <c r="BO439" i="8"/>
  <c r="BN439" i="8"/>
  <c r="BM439" i="8"/>
  <c r="BL439" i="8"/>
  <c r="BK439" i="8"/>
  <c r="BJ439" i="8"/>
  <c r="BI439" i="8"/>
  <c r="BH439" i="8"/>
  <c r="CJ440" i="8"/>
  <c r="CI440" i="8"/>
  <c r="CH440" i="8"/>
  <c r="CG440" i="8"/>
  <c r="CF440" i="8"/>
  <c r="CE440" i="8"/>
  <c r="CD440" i="8"/>
  <c r="CC440" i="8"/>
  <c r="CB440" i="8"/>
  <c r="CA440" i="8"/>
  <c r="BZ440" i="8"/>
  <c r="BY440" i="8"/>
  <c r="BX440" i="8"/>
  <c r="BW440" i="8"/>
  <c r="BV440" i="8"/>
  <c r="BU440" i="8"/>
  <c r="BT440" i="8"/>
  <c r="BS440" i="8"/>
  <c r="BR440" i="8"/>
  <c r="BQ440" i="8"/>
  <c r="BP440" i="8"/>
  <c r="BO440" i="8"/>
  <c r="BN440" i="8"/>
  <c r="BM440" i="8"/>
  <c r="BL440" i="8"/>
  <c r="BK440" i="8"/>
  <c r="BJ440" i="8"/>
  <c r="BI440" i="8"/>
  <c r="BH440" i="8"/>
  <c r="CJ441" i="8"/>
  <c r="CI441" i="8"/>
  <c r="CH441" i="8"/>
  <c r="CG441" i="8"/>
  <c r="CF441" i="8"/>
  <c r="CE441" i="8"/>
  <c r="CD441" i="8"/>
  <c r="CC441" i="8"/>
  <c r="CB441" i="8"/>
  <c r="CA441" i="8"/>
  <c r="BZ441" i="8"/>
  <c r="BY441" i="8"/>
  <c r="BX441" i="8"/>
  <c r="BW441" i="8"/>
  <c r="BV441" i="8"/>
  <c r="BU441" i="8"/>
  <c r="BT441" i="8"/>
  <c r="BS441" i="8"/>
  <c r="BR441" i="8"/>
  <c r="BQ441" i="8"/>
  <c r="BP441" i="8"/>
  <c r="BO441" i="8"/>
  <c r="BN441" i="8"/>
  <c r="BM441" i="8"/>
  <c r="BL441" i="8"/>
  <c r="BK441" i="8"/>
  <c r="BJ441" i="8"/>
  <c r="BI441" i="8"/>
  <c r="BH441" i="8"/>
  <c r="CJ442" i="8"/>
  <c r="CI442" i="8"/>
  <c r="CH442" i="8"/>
  <c r="CG442" i="8"/>
  <c r="CF442" i="8"/>
  <c r="CE442" i="8"/>
  <c r="CD442" i="8"/>
  <c r="CC442" i="8"/>
  <c r="CB442" i="8"/>
  <c r="CA442" i="8"/>
  <c r="BZ442" i="8"/>
  <c r="BY442" i="8"/>
  <c r="BX442" i="8"/>
  <c r="BW442" i="8"/>
  <c r="BV442" i="8"/>
  <c r="BU442" i="8"/>
  <c r="BT442" i="8"/>
  <c r="BS442" i="8"/>
  <c r="BR442" i="8"/>
  <c r="BQ442" i="8"/>
  <c r="BP442" i="8"/>
  <c r="BO442" i="8"/>
  <c r="BN442" i="8"/>
  <c r="BM442" i="8"/>
  <c r="BL442" i="8"/>
  <c r="BK442" i="8"/>
  <c r="BJ442" i="8"/>
  <c r="BI442" i="8"/>
  <c r="BH442" i="8"/>
  <c r="CJ443" i="8"/>
  <c r="CI443" i="8"/>
  <c r="CH443" i="8"/>
  <c r="CG443" i="8"/>
  <c r="CF443" i="8"/>
  <c r="CE443" i="8"/>
  <c r="CD443" i="8"/>
  <c r="CC443" i="8"/>
  <c r="CB443" i="8"/>
  <c r="CA443" i="8"/>
  <c r="BZ443" i="8"/>
  <c r="BY443" i="8"/>
  <c r="BX443" i="8"/>
  <c r="BW443" i="8"/>
  <c r="BV443" i="8"/>
  <c r="BU443" i="8"/>
  <c r="BT443" i="8"/>
  <c r="BS443" i="8"/>
  <c r="BR443" i="8"/>
  <c r="BQ443" i="8"/>
  <c r="BP443" i="8"/>
  <c r="BO443" i="8"/>
  <c r="BN443" i="8"/>
  <c r="BM443" i="8"/>
  <c r="BL443" i="8"/>
  <c r="BK443" i="8"/>
  <c r="BJ443" i="8"/>
  <c r="BI443" i="8"/>
  <c r="BH443" i="8"/>
  <c r="CJ444" i="8"/>
  <c r="CI444" i="8"/>
  <c r="CH444" i="8"/>
  <c r="CG444" i="8"/>
  <c r="CF444" i="8"/>
  <c r="CE444" i="8"/>
  <c r="CD444" i="8"/>
  <c r="CC444" i="8"/>
  <c r="CB444" i="8"/>
  <c r="CA444" i="8"/>
  <c r="BZ444" i="8"/>
  <c r="BY444" i="8"/>
  <c r="BX444" i="8"/>
  <c r="BW444" i="8"/>
  <c r="BV444" i="8"/>
  <c r="BU444" i="8"/>
  <c r="BT444" i="8"/>
  <c r="BS444" i="8"/>
  <c r="BR444" i="8"/>
  <c r="BQ444" i="8"/>
  <c r="BP444" i="8"/>
  <c r="BO444" i="8"/>
  <c r="BN444" i="8"/>
  <c r="BM444" i="8"/>
  <c r="BL444" i="8"/>
  <c r="BK444" i="8"/>
  <c r="BJ444" i="8"/>
  <c r="BI444" i="8"/>
  <c r="BH444" i="8"/>
  <c r="CJ445" i="8"/>
  <c r="CI445" i="8"/>
  <c r="CH445" i="8"/>
  <c r="CG445" i="8"/>
  <c r="CF445" i="8"/>
  <c r="CE445" i="8"/>
  <c r="CD445" i="8"/>
  <c r="CC445" i="8"/>
  <c r="CB445" i="8"/>
  <c r="CA445" i="8"/>
  <c r="BZ445" i="8"/>
  <c r="BY445" i="8"/>
  <c r="BX445" i="8"/>
  <c r="BW445" i="8"/>
  <c r="BV445" i="8"/>
  <c r="BU445" i="8"/>
  <c r="BT445" i="8"/>
  <c r="BS445" i="8"/>
  <c r="BR445" i="8"/>
  <c r="BQ445" i="8"/>
  <c r="BP445" i="8"/>
  <c r="BO445" i="8"/>
  <c r="BN445" i="8"/>
  <c r="BM445" i="8"/>
  <c r="BL445" i="8"/>
  <c r="BK445" i="8"/>
  <c r="BJ445" i="8"/>
  <c r="BI445" i="8"/>
  <c r="BH445" i="8"/>
  <c r="CJ383" i="8"/>
  <c r="CI383" i="8"/>
  <c r="CH383" i="8"/>
  <c r="CG383" i="8"/>
  <c r="CF383" i="8"/>
  <c r="CE383" i="8"/>
  <c r="CD383" i="8"/>
  <c r="CC383" i="8"/>
  <c r="CB383" i="8"/>
  <c r="CA383" i="8"/>
  <c r="BZ383" i="8"/>
  <c r="BY383" i="8"/>
  <c r="BX383" i="8"/>
  <c r="BW383" i="8"/>
  <c r="BV383" i="8"/>
  <c r="BU383" i="8"/>
  <c r="BT383" i="8"/>
  <c r="BS383" i="8"/>
  <c r="BR383" i="8"/>
  <c r="BQ383" i="8"/>
  <c r="BP383" i="8"/>
  <c r="BO383" i="8"/>
  <c r="BN383" i="8"/>
  <c r="BM383" i="8"/>
  <c r="BL383" i="8"/>
  <c r="BK383" i="8"/>
  <c r="BJ383" i="8"/>
  <c r="BI383" i="8"/>
  <c r="BH383" i="8"/>
  <c r="CJ384" i="8"/>
  <c r="CI384" i="8"/>
  <c r="CH384" i="8"/>
  <c r="CG384" i="8"/>
  <c r="CF384" i="8"/>
  <c r="CE384" i="8"/>
  <c r="CD384" i="8"/>
  <c r="CC384" i="8"/>
  <c r="CB384" i="8"/>
  <c r="CA384" i="8"/>
  <c r="BZ384" i="8"/>
  <c r="BY384" i="8"/>
  <c r="BX384" i="8"/>
  <c r="BW384" i="8"/>
  <c r="BV384" i="8"/>
  <c r="BU384" i="8"/>
  <c r="BT384" i="8"/>
  <c r="BS384" i="8"/>
  <c r="BR384" i="8"/>
  <c r="BQ384" i="8"/>
  <c r="BP384" i="8"/>
  <c r="BO384" i="8"/>
  <c r="BN384" i="8"/>
  <c r="BM384" i="8"/>
  <c r="BL384" i="8"/>
  <c r="BK384" i="8"/>
  <c r="BJ384" i="8"/>
  <c r="BI384" i="8"/>
  <c r="BH384" i="8"/>
  <c r="CJ385" i="8"/>
  <c r="CI385" i="8"/>
  <c r="CH385" i="8"/>
  <c r="CG385" i="8"/>
  <c r="CF385" i="8"/>
  <c r="CE385" i="8"/>
  <c r="CD385" i="8"/>
  <c r="CC385" i="8"/>
  <c r="CB385" i="8"/>
  <c r="CA385" i="8"/>
  <c r="BZ385" i="8"/>
  <c r="BY385" i="8"/>
  <c r="BX385" i="8"/>
  <c r="BW385" i="8"/>
  <c r="BV385" i="8"/>
  <c r="BU385" i="8"/>
  <c r="BT385" i="8"/>
  <c r="BS385" i="8"/>
  <c r="BR385" i="8"/>
  <c r="BQ385" i="8"/>
  <c r="BP385" i="8"/>
  <c r="BO385" i="8"/>
  <c r="BN385" i="8"/>
  <c r="BM385" i="8"/>
  <c r="BL385" i="8"/>
  <c r="BK385" i="8"/>
  <c r="BJ385" i="8"/>
  <c r="BI385" i="8"/>
  <c r="BH385" i="8"/>
  <c r="CJ386" i="8"/>
  <c r="CI386" i="8"/>
  <c r="CH386" i="8"/>
  <c r="CG386" i="8"/>
  <c r="CF386" i="8"/>
  <c r="CE386" i="8"/>
  <c r="CD386" i="8"/>
  <c r="CC386" i="8"/>
  <c r="CB386" i="8"/>
  <c r="CA386" i="8"/>
  <c r="BZ386" i="8"/>
  <c r="BY386" i="8"/>
  <c r="BX386" i="8"/>
  <c r="BW386" i="8"/>
  <c r="BV386" i="8"/>
  <c r="BU386" i="8"/>
  <c r="BT386" i="8"/>
  <c r="BS386" i="8"/>
  <c r="BR386" i="8"/>
  <c r="BQ386" i="8"/>
  <c r="BP386" i="8"/>
  <c r="BO386" i="8"/>
  <c r="BN386" i="8"/>
  <c r="BM386" i="8"/>
  <c r="BL386" i="8"/>
  <c r="BK386" i="8"/>
  <c r="BJ386" i="8"/>
  <c r="BI386" i="8"/>
  <c r="BH386" i="8"/>
  <c r="CJ387" i="8"/>
  <c r="CI387" i="8"/>
  <c r="CH387" i="8"/>
  <c r="CG387" i="8"/>
  <c r="CF387" i="8"/>
  <c r="CE387" i="8"/>
  <c r="CD387" i="8"/>
  <c r="CC387" i="8"/>
  <c r="CB387" i="8"/>
  <c r="CA387" i="8"/>
  <c r="BZ387" i="8"/>
  <c r="BY387" i="8"/>
  <c r="BX387" i="8"/>
  <c r="BW387" i="8"/>
  <c r="BV387" i="8"/>
  <c r="BU387" i="8"/>
  <c r="BT387" i="8"/>
  <c r="BS387" i="8"/>
  <c r="BR387" i="8"/>
  <c r="BQ387" i="8"/>
  <c r="BP387" i="8"/>
  <c r="BO387" i="8"/>
  <c r="BN387" i="8"/>
  <c r="BM387" i="8"/>
  <c r="BL387" i="8"/>
  <c r="BK387" i="8"/>
  <c r="BJ387" i="8"/>
  <c r="BI387" i="8"/>
  <c r="BH387" i="8"/>
  <c r="CJ388" i="8"/>
  <c r="CI388" i="8"/>
  <c r="CH388" i="8"/>
  <c r="CG388" i="8"/>
  <c r="CF388" i="8"/>
  <c r="CE388" i="8"/>
  <c r="CD388" i="8"/>
  <c r="CC388" i="8"/>
  <c r="CB388" i="8"/>
  <c r="CA388" i="8"/>
  <c r="BZ388" i="8"/>
  <c r="BY388" i="8"/>
  <c r="BX388" i="8"/>
  <c r="BW388" i="8"/>
  <c r="BV388" i="8"/>
  <c r="BU388" i="8"/>
  <c r="BT388" i="8"/>
  <c r="BS388" i="8"/>
  <c r="BR388" i="8"/>
  <c r="BQ388" i="8"/>
  <c r="BP388" i="8"/>
  <c r="BO388" i="8"/>
  <c r="BN388" i="8"/>
  <c r="BM388" i="8"/>
  <c r="BL388" i="8"/>
  <c r="BK388" i="8"/>
  <c r="BJ388" i="8"/>
  <c r="BI388" i="8"/>
  <c r="BH388" i="8"/>
  <c r="CJ389" i="8"/>
  <c r="CI389" i="8"/>
  <c r="CH389" i="8"/>
  <c r="CG389" i="8"/>
  <c r="CF389" i="8"/>
  <c r="CE389" i="8"/>
  <c r="CD389" i="8"/>
  <c r="CC389" i="8"/>
  <c r="CB389" i="8"/>
  <c r="CA389" i="8"/>
  <c r="BZ389" i="8"/>
  <c r="BY389" i="8"/>
  <c r="BX389" i="8"/>
  <c r="BW389" i="8"/>
  <c r="BV389" i="8"/>
  <c r="BU389" i="8"/>
  <c r="BT389" i="8"/>
  <c r="BS389" i="8"/>
  <c r="BR389" i="8"/>
  <c r="BQ389" i="8"/>
  <c r="BP389" i="8"/>
  <c r="BO389" i="8"/>
  <c r="BN389" i="8"/>
  <c r="BM389" i="8"/>
  <c r="BL389" i="8"/>
  <c r="BK389" i="8"/>
  <c r="BJ389" i="8"/>
  <c r="BI389" i="8"/>
  <c r="BH389" i="8"/>
  <c r="CJ390" i="8"/>
  <c r="CI390" i="8"/>
  <c r="CH390" i="8"/>
  <c r="CG390" i="8"/>
  <c r="CF390" i="8"/>
  <c r="CE390" i="8"/>
  <c r="CD390" i="8"/>
  <c r="CC390" i="8"/>
  <c r="CB390" i="8"/>
  <c r="CA390" i="8"/>
  <c r="BZ390" i="8"/>
  <c r="BY390" i="8"/>
  <c r="BX390" i="8"/>
  <c r="BW390" i="8"/>
  <c r="BV390" i="8"/>
  <c r="BU390" i="8"/>
  <c r="BT390" i="8"/>
  <c r="BS390" i="8"/>
  <c r="BR390" i="8"/>
  <c r="BQ390" i="8"/>
  <c r="BP390" i="8"/>
  <c r="BO390" i="8"/>
  <c r="BN390" i="8"/>
  <c r="BM390" i="8"/>
  <c r="BL390" i="8"/>
  <c r="BK390" i="8"/>
  <c r="BJ390" i="8"/>
  <c r="BI390" i="8"/>
  <c r="BH390" i="8"/>
  <c r="CJ324" i="8"/>
  <c r="CI324" i="8"/>
  <c r="CH324" i="8"/>
  <c r="CG324" i="8"/>
  <c r="CF324" i="8"/>
  <c r="CE324" i="8"/>
  <c r="CD324" i="8"/>
  <c r="CC324" i="8"/>
  <c r="CB324" i="8"/>
  <c r="CA324" i="8"/>
  <c r="BZ324" i="8"/>
  <c r="BY324" i="8"/>
  <c r="BX324" i="8"/>
  <c r="BW324" i="8"/>
  <c r="BV324" i="8"/>
  <c r="BU324" i="8"/>
  <c r="BT324" i="8"/>
  <c r="BS324" i="8"/>
  <c r="BR324" i="8"/>
  <c r="BQ324" i="8"/>
  <c r="BP324" i="8"/>
  <c r="BO324" i="8"/>
  <c r="BN324" i="8"/>
  <c r="BM324" i="8"/>
  <c r="BL324" i="8"/>
  <c r="BK324" i="8"/>
  <c r="BJ324" i="8"/>
  <c r="BI324" i="8"/>
  <c r="BH324" i="8"/>
  <c r="CJ325" i="8"/>
  <c r="CI325" i="8"/>
  <c r="CH325" i="8"/>
  <c r="CG325" i="8"/>
  <c r="CF325" i="8"/>
  <c r="CE325" i="8"/>
  <c r="CD325" i="8"/>
  <c r="CC325" i="8"/>
  <c r="CB325" i="8"/>
  <c r="CA325" i="8"/>
  <c r="BZ325" i="8"/>
  <c r="BY325" i="8"/>
  <c r="BX325" i="8"/>
  <c r="BW325" i="8"/>
  <c r="BV325" i="8"/>
  <c r="BU325" i="8"/>
  <c r="BT325" i="8"/>
  <c r="BS325" i="8"/>
  <c r="BR325" i="8"/>
  <c r="BQ325" i="8"/>
  <c r="BP325" i="8"/>
  <c r="BO325" i="8"/>
  <c r="BN325" i="8"/>
  <c r="BM325" i="8"/>
  <c r="BL325" i="8"/>
  <c r="BK325" i="8"/>
  <c r="BJ325" i="8"/>
  <c r="BI325" i="8"/>
  <c r="BH325" i="8"/>
  <c r="CJ326" i="8"/>
  <c r="CI326" i="8"/>
  <c r="CH326" i="8"/>
  <c r="CG326" i="8"/>
  <c r="CF326" i="8"/>
  <c r="CE326" i="8"/>
  <c r="CD326" i="8"/>
  <c r="CC326" i="8"/>
  <c r="CB326" i="8"/>
  <c r="CA326" i="8"/>
  <c r="BZ326" i="8"/>
  <c r="BY326" i="8"/>
  <c r="BX326" i="8"/>
  <c r="BW326" i="8"/>
  <c r="BV326" i="8"/>
  <c r="BU326" i="8"/>
  <c r="BT326" i="8"/>
  <c r="BS326" i="8"/>
  <c r="BR326" i="8"/>
  <c r="BQ326" i="8"/>
  <c r="BP326" i="8"/>
  <c r="BO326" i="8"/>
  <c r="BN326" i="8"/>
  <c r="BM326" i="8"/>
  <c r="BL326" i="8"/>
  <c r="BK326" i="8"/>
  <c r="BJ326" i="8"/>
  <c r="BI326" i="8"/>
  <c r="BH326" i="8"/>
  <c r="CJ327" i="8"/>
  <c r="CI327" i="8"/>
  <c r="CH327" i="8"/>
  <c r="CG327" i="8"/>
  <c r="CF327" i="8"/>
  <c r="CE327" i="8"/>
  <c r="CD327" i="8"/>
  <c r="CC327" i="8"/>
  <c r="CB327" i="8"/>
  <c r="CA327" i="8"/>
  <c r="BZ327" i="8"/>
  <c r="BY327" i="8"/>
  <c r="BX327" i="8"/>
  <c r="BW327" i="8"/>
  <c r="BV327" i="8"/>
  <c r="BU327" i="8"/>
  <c r="BT327" i="8"/>
  <c r="BS327" i="8"/>
  <c r="BR327" i="8"/>
  <c r="BQ327" i="8"/>
  <c r="BP327" i="8"/>
  <c r="BO327" i="8"/>
  <c r="BN327" i="8"/>
  <c r="BM327" i="8"/>
  <c r="BL327" i="8"/>
  <c r="BK327" i="8"/>
  <c r="BJ327" i="8"/>
  <c r="BI327" i="8"/>
  <c r="BH327" i="8"/>
  <c r="CJ328" i="8"/>
  <c r="CI328" i="8"/>
  <c r="CH328" i="8"/>
  <c r="CG328" i="8"/>
  <c r="CF328" i="8"/>
  <c r="CE328" i="8"/>
  <c r="CD328" i="8"/>
  <c r="CC328" i="8"/>
  <c r="CB328" i="8"/>
  <c r="CA328" i="8"/>
  <c r="BZ328" i="8"/>
  <c r="BY328" i="8"/>
  <c r="BX328" i="8"/>
  <c r="BW328" i="8"/>
  <c r="BV328" i="8"/>
  <c r="BU328" i="8"/>
  <c r="BT328" i="8"/>
  <c r="BS328" i="8"/>
  <c r="BR328" i="8"/>
  <c r="BQ328" i="8"/>
  <c r="BP328" i="8"/>
  <c r="BO328" i="8"/>
  <c r="BN328" i="8"/>
  <c r="BM328" i="8"/>
  <c r="BL328" i="8"/>
  <c r="BK328" i="8"/>
  <c r="BJ328" i="8"/>
  <c r="BI328" i="8"/>
  <c r="BH328" i="8"/>
  <c r="CJ329" i="8"/>
  <c r="CI329" i="8"/>
  <c r="CH329" i="8"/>
  <c r="CG329" i="8"/>
  <c r="CF329" i="8"/>
  <c r="CE329" i="8"/>
  <c r="CD329" i="8"/>
  <c r="CC329" i="8"/>
  <c r="CB329" i="8"/>
  <c r="CA329" i="8"/>
  <c r="BZ329" i="8"/>
  <c r="BY329" i="8"/>
  <c r="BX329" i="8"/>
  <c r="BW329" i="8"/>
  <c r="BV329" i="8"/>
  <c r="BU329" i="8"/>
  <c r="BT329" i="8"/>
  <c r="BS329" i="8"/>
  <c r="BR329" i="8"/>
  <c r="BQ329" i="8"/>
  <c r="BP329" i="8"/>
  <c r="BO329" i="8"/>
  <c r="BN329" i="8"/>
  <c r="BM329" i="8"/>
  <c r="BL329" i="8"/>
  <c r="BK329" i="8"/>
  <c r="BJ329" i="8"/>
  <c r="BI329" i="8"/>
  <c r="BH329" i="8"/>
  <c r="CJ330" i="8"/>
  <c r="CI330" i="8"/>
  <c r="CH330" i="8"/>
  <c r="CG330" i="8"/>
  <c r="CF330" i="8"/>
  <c r="CE330" i="8"/>
  <c r="CD330" i="8"/>
  <c r="CC330" i="8"/>
  <c r="CB330" i="8"/>
  <c r="CA330" i="8"/>
  <c r="BZ330" i="8"/>
  <c r="BY330" i="8"/>
  <c r="BX330" i="8"/>
  <c r="BW330" i="8"/>
  <c r="BV330" i="8"/>
  <c r="BU330" i="8"/>
  <c r="BT330" i="8"/>
  <c r="BS330" i="8"/>
  <c r="BR330" i="8"/>
  <c r="BQ330" i="8"/>
  <c r="BP330" i="8"/>
  <c r="BO330" i="8"/>
  <c r="BN330" i="8"/>
  <c r="BM330" i="8"/>
  <c r="BL330" i="8"/>
  <c r="BK330" i="8"/>
  <c r="BJ330" i="8"/>
  <c r="BI330" i="8"/>
  <c r="BH330" i="8"/>
  <c r="CJ331" i="8"/>
  <c r="CI331" i="8"/>
  <c r="CH331" i="8"/>
  <c r="CG331" i="8"/>
  <c r="CF331" i="8"/>
  <c r="CE331" i="8"/>
  <c r="CD331" i="8"/>
  <c r="CC331" i="8"/>
  <c r="CB331" i="8"/>
  <c r="CA331" i="8"/>
  <c r="BZ331" i="8"/>
  <c r="BY331" i="8"/>
  <c r="BX331" i="8"/>
  <c r="BW331" i="8"/>
  <c r="BV331" i="8"/>
  <c r="BU331" i="8"/>
  <c r="BT331" i="8"/>
  <c r="BS331" i="8"/>
  <c r="BR331" i="8"/>
  <c r="BQ331" i="8"/>
  <c r="BP331" i="8"/>
  <c r="BO331" i="8"/>
  <c r="BN331" i="8"/>
  <c r="BM331" i="8"/>
  <c r="BL331" i="8"/>
  <c r="BK331" i="8"/>
  <c r="BJ331" i="8"/>
  <c r="BI331" i="8"/>
  <c r="BH331" i="8"/>
  <c r="CJ264" i="8"/>
  <c r="CI264" i="8"/>
  <c r="CH264" i="8"/>
  <c r="CG264" i="8"/>
  <c r="CF264" i="8"/>
  <c r="CE264" i="8"/>
  <c r="CD264" i="8"/>
  <c r="CC264" i="8"/>
  <c r="CB264" i="8"/>
  <c r="CA264" i="8"/>
  <c r="BZ264" i="8"/>
  <c r="BY264" i="8"/>
  <c r="BX264" i="8"/>
  <c r="BW264" i="8"/>
  <c r="BV264" i="8"/>
  <c r="BU264" i="8"/>
  <c r="BT264" i="8"/>
  <c r="BS264" i="8"/>
  <c r="BR264" i="8"/>
  <c r="BQ264" i="8"/>
  <c r="BP264" i="8"/>
  <c r="BO264" i="8"/>
  <c r="BN264" i="8"/>
  <c r="BM264" i="8"/>
  <c r="BL264" i="8"/>
  <c r="BK264" i="8"/>
  <c r="BJ264" i="8"/>
  <c r="BI264" i="8"/>
  <c r="BH264" i="8"/>
  <c r="CJ265" i="8"/>
  <c r="CI265" i="8"/>
  <c r="CH265" i="8"/>
  <c r="CG265" i="8"/>
  <c r="CF265" i="8"/>
  <c r="CE265" i="8"/>
  <c r="CD265" i="8"/>
  <c r="CC265" i="8"/>
  <c r="CB265" i="8"/>
  <c r="CA265" i="8"/>
  <c r="BZ265" i="8"/>
  <c r="BY265" i="8"/>
  <c r="BX265" i="8"/>
  <c r="BW265" i="8"/>
  <c r="BV265" i="8"/>
  <c r="BU265" i="8"/>
  <c r="BT265" i="8"/>
  <c r="BS265" i="8"/>
  <c r="BR265" i="8"/>
  <c r="BQ265" i="8"/>
  <c r="BP265" i="8"/>
  <c r="BO265" i="8"/>
  <c r="BN265" i="8"/>
  <c r="BM265" i="8"/>
  <c r="BL265" i="8"/>
  <c r="BK265" i="8"/>
  <c r="BJ265" i="8"/>
  <c r="BI265" i="8"/>
  <c r="BH265" i="8"/>
  <c r="CJ266" i="8"/>
  <c r="CI266" i="8"/>
  <c r="CH266" i="8"/>
  <c r="CG266" i="8"/>
  <c r="CF266" i="8"/>
  <c r="CE266" i="8"/>
  <c r="CD266" i="8"/>
  <c r="CC266" i="8"/>
  <c r="CB266" i="8"/>
  <c r="CA266" i="8"/>
  <c r="BZ266" i="8"/>
  <c r="BY266" i="8"/>
  <c r="BX266" i="8"/>
  <c r="BW266" i="8"/>
  <c r="BV266" i="8"/>
  <c r="BU266" i="8"/>
  <c r="BT266" i="8"/>
  <c r="BS266" i="8"/>
  <c r="BR266" i="8"/>
  <c r="BQ266" i="8"/>
  <c r="BP266" i="8"/>
  <c r="BO266" i="8"/>
  <c r="BN266" i="8"/>
  <c r="BM266" i="8"/>
  <c r="BL266" i="8"/>
  <c r="BK266" i="8"/>
  <c r="BJ266" i="8"/>
  <c r="BI266" i="8"/>
  <c r="BH266" i="8"/>
  <c r="CJ267" i="8"/>
  <c r="CI267" i="8"/>
  <c r="CH267" i="8"/>
  <c r="CG267" i="8"/>
  <c r="CF267" i="8"/>
  <c r="CE267" i="8"/>
  <c r="CD267" i="8"/>
  <c r="CC267" i="8"/>
  <c r="CB267" i="8"/>
  <c r="CA267" i="8"/>
  <c r="BZ267" i="8"/>
  <c r="BY267" i="8"/>
  <c r="BX267" i="8"/>
  <c r="BW267" i="8"/>
  <c r="BV267" i="8"/>
  <c r="BU267" i="8"/>
  <c r="BT267" i="8"/>
  <c r="BS267" i="8"/>
  <c r="BR267" i="8"/>
  <c r="BQ267" i="8"/>
  <c r="BP267" i="8"/>
  <c r="BO267" i="8"/>
  <c r="BN267" i="8"/>
  <c r="BM267" i="8"/>
  <c r="BL267" i="8"/>
  <c r="BK267" i="8"/>
  <c r="BJ267" i="8"/>
  <c r="BI267" i="8"/>
  <c r="BH267" i="8"/>
  <c r="CJ268" i="8"/>
  <c r="CI268" i="8"/>
  <c r="CH268" i="8"/>
  <c r="CG268" i="8"/>
  <c r="CF268" i="8"/>
  <c r="CE268" i="8"/>
  <c r="CD268" i="8"/>
  <c r="CC268" i="8"/>
  <c r="CB268" i="8"/>
  <c r="CA268" i="8"/>
  <c r="BZ268" i="8"/>
  <c r="BY268" i="8"/>
  <c r="BX268" i="8"/>
  <c r="BW268" i="8"/>
  <c r="BV268" i="8"/>
  <c r="BU268" i="8"/>
  <c r="BT268" i="8"/>
  <c r="BS268" i="8"/>
  <c r="BR268" i="8"/>
  <c r="BQ268" i="8"/>
  <c r="BP268" i="8"/>
  <c r="BO268" i="8"/>
  <c r="BN268" i="8"/>
  <c r="BM268" i="8"/>
  <c r="BL268" i="8"/>
  <c r="BK268" i="8"/>
  <c r="BJ268" i="8"/>
  <c r="BI268" i="8"/>
  <c r="BH268" i="8"/>
  <c r="CJ269" i="8"/>
  <c r="CI269" i="8"/>
  <c r="CH269" i="8"/>
  <c r="CG269" i="8"/>
  <c r="CF269" i="8"/>
  <c r="CE269" i="8"/>
  <c r="CD269" i="8"/>
  <c r="CC269" i="8"/>
  <c r="CB269" i="8"/>
  <c r="CA269" i="8"/>
  <c r="BZ269" i="8"/>
  <c r="BY269" i="8"/>
  <c r="BX269" i="8"/>
  <c r="BW269" i="8"/>
  <c r="BV269" i="8"/>
  <c r="BU269" i="8"/>
  <c r="BT269" i="8"/>
  <c r="BS269" i="8"/>
  <c r="BR269" i="8"/>
  <c r="BQ269" i="8"/>
  <c r="BP269" i="8"/>
  <c r="BO269" i="8"/>
  <c r="BN269" i="8"/>
  <c r="BM269" i="8"/>
  <c r="BL269" i="8"/>
  <c r="BK269" i="8"/>
  <c r="BJ269" i="8"/>
  <c r="BI269" i="8"/>
  <c r="BH269" i="8"/>
  <c r="CJ270" i="8"/>
  <c r="CI270" i="8"/>
  <c r="CH270" i="8"/>
  <c r="CG270" i="8"/>
  <c r="CF270" i="8"/>
  <c r="CE270" i="8"/>
  <c r="CD270" i="8"/>
  <c r="CC270" i="8"/>
  <c r="CB270" i="8"/>
  <c r="CA270" i="8"/>
  <c r="BZ270" i="8"/>
  <c r="BY270" i="8"/>
  <c r="BX270" i="8"/>
  <c r="BW270" i="8"/>
  <c r="BV270" i="8"/>
  <c r="BU270" i="8"/>
  <c r="BT270" i="8"/>
  <c r="BS270" i="8"/>
  <c r="BR270" i="8"/>
  <c r="BQ270" i="8"/>
  <c r="BP270" i="8"/>
  <c r="BO270" i="8"/>
  <c r="BN270" i="8"/>
  <c r="BM270" i="8"/>
  <c r="BL270" i="8"/>
  <c r="BK270" i="8"/>
  <c r="BJ270" i="8"/>
  <c r="BI270" i="8"/>
  <c r="BH270" i="8"/>
  <c r="CJ271" i="8"/>
  <c r="CI271" i="8"/>
  <c r="CH271" i="8"/>
  <c r="CG271" i="8"/>
  <c r="CF271" i="8"/>
  <c r="CE271" i="8"/>
  <c r="CD271" i="8"/>
  <c r="CC271" i="8"/>
  <c r="CB271" i="8"/>
  <c r="CA271" i="8"/>
  <c r="BZ271" i="8"/>
  <c r="BY271" i="8"/>
  <c r="BX271" i="8"/>
  <c r="BW271" i="8"/>
  <c r="BV271" i="8"/>
  <c r="BU271" i="8"/>
  <c r="BT271" i="8"/>
  <c r="BS271" i="8"/>
  <c r="BR271" i="8"/>
  <c r="BQ271" i="8"/>
  <c r="BP271" i="8"/>
  <c r="BO271" i="8"/>
  <c r="BN271" i="8"/>
  <c r="BM271" i="8"/>
  <c r="BL271" i="8"/>
  <c r="BK271" i="8"/>
  <c r="BJ271" i="8"/>
  <c r="BI271" i="8"/>
  <c r="BH271" i="8"/>
  <c r="CJ768" i="8"/>
  <c r="CI768" i="8"/>
  <c r="CH768" i="8"/>
  <c r="CG768" i="8"/>
  <c r="CF768" i="8"/>
  <c r="CE768" i="8"/>
  <c r="CD768" i="8"/>
  <c r="CC768" i="8"/>
  <c r="CB768" i="8"/>
  <c r="CA768" i="8"/>
  <c r="BZ768" i="8"/>
  <c r="BY768" i="8"/>
  <c r="BX768" i="8"/>
  <c r="BW768" i="8"/>
  <c r="BV768" i="8"/>
  <c r="BU768" i="8"/>
  <c r="BT768" i="8"/>
  <c r="BS768" i="8"/>
  <c r="BR768" i="8"/>
  <c r="BQ768" i="8"/>
  <c r="BP768" i="8"/>
  <c r="BO768" i="8"/>
  <c r="BN768" i="8"/>
  <c r="BM768" i="8"/>
  <c r="BL768" i="8"/>
  <c r="BK768" i="8"/>
  <c r="BJ768" i="8"/>
  <c r="BI768" i="8"/>
  <c r="BH768" i="8"/>
  <c r="CJ769" i="8"/>
  <c r="CI769" i="8"/>
  <c r="CH769" i="8"/>
  <c r="CG769" i="8"/>
  <c r="CF769" i="8"/>
  <c r="CE769" i="8"/>
  <c r="CD769" i="8"/>
  <c r="CC769" i="8"/>
  <c r="CB769" i="8"/>
  <c r="CA769" i="8"/>
  <c r="BZ769" i="8"/>
  <c r="BY769" i="8"/>
  <c r="BX769" i="8"/>
  <c r="BW769" i="8"/>
  <c r="BV769" i="8"/>
  <c r="BU769" i="8"/>
  <c r="BT769" i="8"/>
  <c r="BS769" i="8"/>
  <c r="BR769" i="8"/>
  <c r="BQ769" i="8"/>
  <c r="BP769" i="8"/>
  <c r="BO769" i="8"/>
  <c r="BN769" i="8"/>
  <c r="BM769" i="8"/>
  <c r="BL769" i="8"/>
  <c r="BK769" i="8"/>
  <c r="BJ769" i="8"/>
  <c r="BI769" i="8"/>
  <c r="BH769" i="8"/>
  <c r="CJ770" i="8"/>
  <c r="CI770" i="8"/>
  <c r="CH770" i="8"/>
  <c r="CG770" i="8"/>
  <c r="CF770" i="8"/>
  <c r="CE770" i="8"/>
  <c r="CD770" i="8"/>
  <c r="CC770" i="8"/>
  <c r="CB770" i="8"/>
  <c r="CA770" i="8"/>
  <c r="BZ770" i="8"/>
  <c r="BY770" i="8"/>
  <c r="BX770" i="8"/>
  <c r="BW770" i="8"/>
  <c r="BV770" i="8"/>
  <c r="BU770" i="8"/>
  <c r="BT770" i="8"/>
  <c r="BS770" i="8"/>
  <c r="BR770" i="8"/>
  <c r="BQ770" i="8"/>
  <c r="BP770" i="8"/>
  <c r="BO770" i="8"/>
  <c r="BN770" i="8"/>
  <c r="BM770" i="8"/>
  <c r="BL770" i="8"/>
  <c r="BK770" i="8"/>
  <c r="BJ770" i="8"/>
  <c r="BI770" i="8"/>
  <c r="BH770" i="8"/>
  <c r="CJ771" i="8"/>
  <c r="CI771" i="8"/>
  <c r="CH771" i="8"/>
  <c r="CG771" i="8"/>
  <c r="CF771" i="8"/>
  <c r="CE771" i="8"/>
  <c r="CD771" i="8"/>
  <c r="CC771" i="8"/>
  <c r="CB771" i="8"/>
  <c r="CA771" i="8"/>
  <c r="BZ771" i="8"/>
  <c r="BY771" i="8"/>
  <c r="BX771" i="8"/>
  <c r="BW771" i="8"/>
  <c r="BV771" i="8"/>
  <c r="BU771" i="8"/>
  <c r="BT771" i="8"/>
  <c r="BS771" i="8"/>
  <c r="BR771" i="8"/>
  <c r="BQ771" i="8"/>
  <c r="BP771" i="8"/>
  <c r="BO771" i="8"/>
  <c r="BN771" i="8"/>
  <c r="BM771" i="8"/>
  <c r="BL771" i="8"/>
  <c r="BK771" i="8"/>
  <c r="BJ771" i="8"/>
  <c r="BI771" i="8"/>
  <c r="BH771" i="8"/>
  <c r="CJ745" i="8"/>
  <c r="CI745" i="8"/>
  <c r="CH745" i="8"/>
  <c r="CG745" i="8"/>
  <c r="CF745" i="8"/>
  <c r="CE745" i="8"/>
  <c r="CD745" i="8"/>
  <c r="CC745" i="8"/>
  <c r="CB745" i="8"/>
  <c r="CA745" i="8"/>
  <c r="BZ745" i="8"/>
  <c r="BY745" i="8"/>
  <c r="BX745" i="8"/>
  <c r="BW745" i="8"/>
  <c r="BV745" i="8"/>
  <c r="BU745" i="8"/>
  <c r="BT745" i="8"/>
  <c r="BS745" i="8"/>
  <c r="BR745" i="8"/>
  <c r="BQ745" i="8"/>
  <c r="BP745" i="8"/>
  <c r="BO745" i="8"/>
  <c r="BN745" i="8"/>
  <c r="BM745" i="8"/>
  <c r="BL745" i="8"/>
  <c r="BK745" i="8"/>
  <c r="BJ745" i="8"/>
  <c r="BI745" i="8"/>
  <c r="BH745" i="8"/>
  <c r="CJ746" i="8"/>
  <c r="CI746" i="8"/>
  <c r="CH746" i="8"/>
  <c r="CG746" i="8"/>
  <c r="CF746" i="8"/>
  <c r="CE746" i="8"/>
  <c r="CD746" i="8"/>
  <c r="CC746" i="8"/>
  <c r="CB746" i="8"/>
  <c r="CA746" i="8"/>
  <c r="BZ746" i="8"/>
  <c r="BY746" i="8"/>
  <c r="BX746" i="8"/>
  <c r="BW746" i="8"/>
  <c r="BV746" i="8"/>
  <c r="BU746" i="8"/>
  <c r="BT746" i="8"/>
  <c r="BS746" i="8"/>
  <c r="BR746" i="8"/>
  <c r="BQ746" i="8"/>
  <c r="BP746" i="8"/>
  <c r="BO746" i="8"/>
  <c r="BN746" i="8"/>
  <c r="BM746" i="8"/>
  <c r="BL746" i="8"/>
  <c r="BK746" i="8"/>
  <c r="BJ746" i="8"/>
  <c r="BI746" i="8"/>
  <c r="BH746" i="8"/>
  <c r="CJ747" i="8"/>
  <c r="CI747" i="8"/>
  <c r="CH747" i="8"/>
  <c r="CG747" i="8"/>
  <c r="CF747" i="8"/>
  <c r="CE747" i="8"/>
  <c r="CD747" i="8"/>
  <c r="CC747" i="8"/>
  <c r="CB747" i="8"/>
  <c r="CA747" i="8"/>
  <c r="BZ747" i="8"/>
  <c r="BY747" i="8"/>
  <c r="BX747" i="8"/>
  <c r="BW747" i="8"/>
  <c r="BV747" i="8"/>
  <c r="BU747" i="8"/>
  <c r="BT747" i="8"/>
  <c r="BS747" i="8"/>
  <c r="BR747" i="8"/>
  <c r="BQ747" i="8"/>
  <c r="BP747" i="8"/>
  <c r="BO747" i="8"/>
  <c r="BN747" i="8"/>
  <c r="BM747" i="8"/>
  <c r="BL747" i="8"/>
  <c r="BK747" i="8"/>
  <c r="BJ747" i="8"/>
  <c r="BI747" i="8"/>
  <c r="BH747" i="8"/>
  <c r="CJ748" i="8"/>
  <c r="CI748" i="8"/>
  <c r="CH748" i="8"/>
  <c r="CG748" i="8"/>
  <c r="CF748" i="8"/>
  <c r="CE748" i="8"/>
  <c r="CD748" i="8"/>
  <c r="CC748" i="8"/>
  <c r="CB748" i="8"/>
  <c r="CA748" i="8"/>
  <c r="BZ748" i="8"/>
  <c r="BY748" i="8"/>
  <c r="BX748" i="8"/>
  <c r="BW748" i="8"/>
  <c r="BV748" i="8"/>
  <c r="BU748" i="8"/>
  <c r="BT748" i="8"/>
  <c r="BS748" i="8"/>
  <c r="BR748" i="8"/>
  <c r="BQ748" i="8"/>
  <c r="BP748" i="8"/>
  <c r="BO748" i="8"/>
  <c r="BN748" i="8"/>
  <c r="BM748" i="8"/>
  <c r="BL748" i="8"/>
  <c r="BK748" i="8"/>
  <c r="BJ748" i="8"/>
  <c r="BI748" i="8"/>
  <c r="BH748" i="8"/>
  <c r="CJ707" i="8"/>
  <c r="CI707" i="8"/>
  <c r="CH707" i="8"/>
  <c r="CG707" i="8"/>
  <c r="CF707" i="8"/>
  <c r="CE707" i="8"/>
  <c r="CD707" i="8"/>
  <c r="CC707" i="8"/>
  <c r="CB707" i="8"/>
  <c r="CA707" i="8"/>
  <c r="BZ707" i="8"/>
  <c r="BY707" i="8"/>
  <c r="BX707" i="8"/>
  <c r="BW707" i="8"/>
  <c r="BV707" i="8"/>
  <c r="BU707" i="8"/>
  <c r="BT707" i="8"/>
  <c r="BS707" i="8"/>
  <c r="BR707" i="8"/>
  <c r="BQ707" i="8"/>
  <c r="BP707" i="8"/>
  <c r="BO707" i="8"/>
  <c r="BN707" i="8"/>
  <c r="BM707" i="8"/>
  <c r="BL707" i="8"/>
  <c r="BK707" i="8"/>
  <c r="BJ707" i="8"/>
  <c r="BI707" i="8"/>
  <c r="BH707" i="8"/>
  <c r="CJ708" i="8"/>
  <c r="CI708" i="8"/>
  <c r="CH708" i="8"/>
  <c r="CG708" i="8"/>
  <c r="CF708" i="8"/>
  <c r="CE708" i="8"/>
  <c r="CD708" i="8"/>
  <c r="CC708" i="8"/>
  <c r="CB708" i="8"/>
  <c r="CA708" i="8"/>
  <c r="BZ708" i="8"/>
  <c r="BY708" i="8"/>
  <c r="BX708" i="8"/>
  <c r="BW708" i="8"/>
  <c r="BV708" i="8"/>
  <c r="BU708" i="8"/>
  <c r="BT708" i="8"/>
  <c r="BS708" i="8"/>
  <c r="BR708" i="8"/>
  <c r="BQ708" i="8"/>
  <c r="BP708" i="8"/>
  <c r="BO708" i="8"/>
  <c r="BN708" i="8"/>
  <c r="BM708" i="8"/>
  <c r="BL708" i="8"/>
  <c r="BK708" i="8"/>
  <c r="BJ708" i="8"/>
  <c r="BI708" i="8"/>
  <c r="BH708" i="8"/>
  <c r="CJ709" i="8"/>
  <c r="CI709" i="8"/>
  <c r="CH709" i="8"/>
  <c r="CG709" i="8"/>
  <c r="CF709" i="8"/>
  <c r="CE709" i="8"/>
  <c r="CD709" i="8"/>
  <c r="CC709" i="8"/>
  <c r="CB709" i="8"/>
  <c r="CA709" i="8"/>
  <c r="BZ709" i="8"/>
  <c r="BY709" i="8"/>
  <c r="BX709" i="8"/>
  <c r="BW709" i="8"/>
  <c r="BV709" i="8"/>
  <c r="BU709" i="8"/>
  <c r="BT709" i="8"/>
  <c r="BS709" i="8"/>
  <c r="BR709" i="8"/>
  <c r="BQ709" i="8"/>
  <c r="BP709" i="8"/>
  <c r="BO709" i="8"/>
  <c r="BN709" i="8"/>
  <c r="BM709" i="8"/>
  <c r="BL709" i="8"/>
  <c r="BK709" i="8"/>
  <c r="BJ709" i="8"/>
  <c r="BI709" i="8"/>
  <c r="BH709" i="8"/>
  <c r="CJ710" i="8"/>
  <c r="CI710" i="8"/>
  <c r="CH710" i="8"/>
  <c r="CG710" i="8"/>
  <c r="CF710" i="8"/>
  <c r="CE710" i="8"/>
  <c r="CD710" i="8"/>
  <c r="CC710" i="8"/>
  <c r="CB710" i="8"/>
  <c r="CA710" i="8"/>
  <c r="BZ710" i="8"/>
  <c r="BY710" i="8"/>
  <c r="BX710" i="8"/>
  <c r="BW710" i="8"/>
  <c r="BV710" i="8"/>
  <c r="BU710" i="8"/>
  <c r="BT710" i="8"/>
  <c r="BS710" i="8"/>
  <c r="BR710" i="8"/>
  <c r="BQ710" i="8"/>
  <c r="BP710" i="8"/>
  <c r="BO710" i="8"/>
  <c r="BN710" i="8"/>
  <c r="BM710" i="8"/>
  <c r="BL710" i="8"/>
  <c r="BK710" i="8"/>
  <c r="BJ710" i="8"/>
  <c r="BI710" i="8"/>
  <c r="BH710" i="8"/>
  <c r="CJ711" i="8"/>
  <c r="CI711" i="8"/>
  <c r="CH711" i="8"/>
  <c r="CG711" i="8"/>
  <c r="CF711" i="8"/>
  <c r="CE711" i="8"/>
  <c r="CD711" i="8"/>
  <c r="CC711" i="8"/>
  <c r="CB711" i="8"/>
  <c r="CA711" i="8"/>
  <c r="BZ711" i="8"/>
  <c r="BY711" i="8"/>
  <c r="BX711" i="8"/>
  <c r="BW711" i="8"/>
  <c r="BV711" i="8"/>
  <c r="BU711" i="8"/>
  <c r="BT711" i="8"/>
  <c r="BS711" i="8"/>
  <c r="BR711" i="8"/>
  <c r="BQ711" i="8"/>
  <c r="BP711" i="8"/>
  <c r="BO711" i="8"/>
  <c r="BN711" i="8"/>
  <c r="BM711" i="8"/>
  <c r="BL711" i="8"/>
  <c r="BK711" i="8"/>
  <c r="BJ711" i="8"/>
  <c r="BI711" i="8"/>
  <c r="BH711" i="8"/>
  <c r="CJ712" i="8"/>
  <c r="CI712" i="8"/>
  <c r="CH712" i="8"/>
  <c r="CG712" i="8"/>
  <c r="CF712" i="8"/>
  <c r="CE712" i="8"/>
  <c r="CD712" i="8"/>
  <c r="CC712" i="8"/>
  <c r="CB712" i="8"/>
  <c r="CA712" i="8"/>
  <c r="BZ712" i="8"/>
  <c r="BY712" i="8"/>
  <c r="BX712" i="8"/>
  <c r="BW712" i="8"/>
  <c r="BV712" i="8"/>
  <c r="BU712" i="8"/>
  <c r="BT712" i="8"/>
  <c r="BS712" i="8"/>
  <c r="BR712" i="8"/>
  <c r="BQ712" i="8"/>
  <c r="BP712" i="8"/>
  <c r="BO712" i="8"/>
  <c r="BN712" i="8"/>
  <c r="BM712" i="8"/>
  <c r="BL712" i="8"/>
  <c r="BK712" i="8"/>
  <c r="BJ712" i="8"/>
  <c r="BI712" i="8"/>
  <c r="BH712" i="8"/>
  <c r="CJ713" i="8"/>
  <c r="CI713" i="8"/>
  <c r="CH713" i="8"/>
  <c r="CG713" i="8"/>
  <c r="CF713" i="8"/>
  <c r="CE713" i="8"/>
  <c r="CD713" i="8"/>
  <c r="CC713" i="8"/>
  <c r="CB713" i="8"/>
  <c r="CA713" i="8"/>
  <c r="BZ713" i="8"/>
  <c r="BY713" i="8"/>
  <c r="BX713" i="8"/>
  <c r="BW713" i="8"/>
  <c r="BV713" i="8"/>
  <c r="BU713" i="8"/>
  <c r="BT713" i="8"/>
  <c r="BS713" i="8"/>
  <c r="BR713" i="8"/>
  <c r="BQ713" i="8"/>
  <c r="BP713" i="8"/>
  <c r="BO713" i="8"/>
  <c r="BN713" i="8"/>
  <c r="BM713" i="8"/>
  <c r="BL713" i="8"/>
  <c r="BK713" i="8"/>
  <c r="BJ713" i="8"/>
  <c r="BI713" i="8"/>
  <c r="BH713" i="8"/>
  <c r="CJ714" i="8"/>
  <c r="CI714" i="8"/>
  <c r="CH714" i="8"/>
  <c r="CG714" i="8"/>
  <c r="CF714" i="8"/>
  <c r="CE714" i="8"/>
  <c r="CD714" i="8"/>
  <c r="CC714" i="8"/>
  <c r="CB714" i="8"/>
  <c r="CA714" i="8"/>
  <c r="BZ714" i="8"/>
  <c r="BY714" i="8"/>
  <c r="BX714" i="8"/>
  <c r="BW714" i="8"/>
  <c r="BV714" i="8"/>
  <c r="BU714" i="8"/>
  <c r="BT714" i="8"/>
  <c r="BS714" i="8"/>
  <c r="BR714" i="8"/>
  <c r="BQ714" i="8"/>
  <c r="BP714" i="8"/>
  <c r="BO714" i="8"/>
  <c r="BN714" i="8"/>
  <c r="BM714" i="8"/>
  <c r="BL714" i="8"/>
  <c r="BK714" i="8"/>
  <c r="BJ714" i="8"/>
  <c r="BI714" i="8"/>
  <c r="BH714" i="8"/>
  <c r="CJ679" i="8"/>
  <c r="CI679" i="8"/>
  <c r="CH679" i="8"/>
  <c r="CG679" i="8"/>
  <c r="CF679" i="8"/>
  <c r="CE679" i="8"/>
  <c r="CD679" i="8"/>
  <c r="CC679" i="8"/>
  <c r="CB679" i="8"/>
  <c r="CA679" i="8"/>
  <c r="BZ679" i="8"/>
  <c r="BY679" i="8"/>
  <c r="BX679" i="8"/>
  <c r="BW679" i="8"/>
  <c r="BV679" i="8"/>
  <c r="BU679" i="8"/>
  <c r="BT679" i="8"/>
  <c r="BS679" i="8"/>
  <c r="BR679" i="8"/>
  <c r="BQ679" i="8"/>
  <c r="BP679" i="8"/>
  <c r="BO679" i="8"/>
  <c r="BN679" i="8"/>
  <c r="BM679" i="8"/>
  <c r="BL679" i="8"/>
  <c r="BK679" i="8"/>
  <c r="BJ679" i="8"/>
  <c r="BI679" i="8"/>
  <c r="BH679" i="8"/>
  <c r="CJ680" i="8"/>
  <c r="CI680" i="8"/>
  <c r="CH680" i="8"/>
  <c r="CG680" i="8"/>
  <c r="CF680" i="8"/>
  <c r="CE680" i="8"/>
  <c r="CD680" i="8"/>
  <c r="CC680" i="8"/>
  <c r="CB680" i="8"/>
  <c r="CA680" i="8"/>
  <c r="BZ680" i="8"/>
  <c r="BY680" i="8"/>
  <c r="BX680" i="8"/>
  <c r="BW680" i="8"/>
  <c r="BV680" i="8"/>
  <c r="BU680" i="8"/>
  <c r="BT680" i="8"/>
  <c r="BS680" i="8"/>
  <c r="BR680" i="8"/>
  <c r="BQ680" i="8"/>
  <c r="BP680" i="8"/>
  <c r="BO680" i="8"/>
  <c r="BN680" i="8"/>
  <c r="BM680" i="8"/>
  <c r="BL680" i="8"/>
  <c r="BK680" i="8"/>
  <c r="BJ680" i="8"/>
  <c r="BI680" i="8"/>
  <c r="BH680" i="8"/>
  <c r="CJ681" i="8"/>
  <c r="CI681" i="8"/>
  <c r="CH681" i="8"/>
  <c r="CG681" i="8"/>
  <c r="CF681" i="8"/>
  <c r="CE681" i="8"/>
  <c r="CD681" i="8"/>
  <c r="CC681" i="8"/>
  <c r="CB681" i="8"/>
  <c r="CA681" i="8"/>
  <c r="BZ681" i="8"/>
  <c r="BY681" i="8"/>
  <c r="BX681" i="8"/>
  <c r="BW681" i="8"/>
  <c r="BV681" i="8"/>
  <c r="BU681" i="8"/>
  <c r="BT681" i="8"/>
  <c r="BS681" i="8"/>
  <c r="BR681" i="8"/>
  <c r="BQ681" i="8"/>
  <c r="BP681" i="8"/>
  <c r="BO681" i="8"/>
  <c r="BN681" i="8"/>
  <c r="BM681" i="8"/>
  <c r="BL681" i="8"/>
  <c r="BK681" i="8"/>
  <c r="BJ681" i="8"/>
  <c r="BI681" i="8"/>
  <c r="BH681" i="8"/>
  <c r="CJ682" i="8"/>
  <c r="CI682" i="8"/>
  <c r="CH682" i="8"/>
  <c r="CG682" i="8"/>
  <c r="CF682" i="8"/>
  <c r="CE682" i="8"/>
  <c r="CD682" i="8"/>
  <c r="CC682" i="8"/>
  <c r="CB682" i="8"/>
  <c r="CA682" i="8"/>
  <c r="BZ682" i="8"/>
  <c r="BY682" i="8"/>
  <c r="BX682" i="8"/>
  <c r="BW682" i="8"/>
  <c r="BV682" i="8"/>
  <c r="BU682" i="8"/>
  <c r="BT682" i="8"/>
  <c r="BS682" i="8"/>
  <c r="BR682" i="8"/>
  <c r="BQ682" i="8"/>
  <c r="BP682" i="8"/>
  <c r="BO682" i="8"/>
  <c r="BN682" i="8"/>
  <c r="BM682" i="8"/>
  <c r="BL682" i="8"/>
  <c r="BK682" i="8"/>
  <c r="BJ682" i="8"/>
  <c r="BI682" i="8"/>
  <c r="BH682" i="8"/>
  <c r="CJ659" i="8"/>
  <c r="CI659" i="8"/>
  <c r="CH659" i="8"/>
  <c r="CG659" i="8"/>
  <c r="CF659" i="8"/>
  <c r="CE659" i="8"/>
  <c r="CD659" i="8"/>
  <c r="CC659" i="8"/>
  <c r="CB659" i="8"/>
  <c r="CA659" i="8"/>
  <c r="BZ659" i="8"/>
  <c r="BY659" i="8"/>
  <c r="BX659" i="8"/>
  <c r="BW659" i="8"/>
  <c r="BV659" i="8"/>
  <c r="BU659" i="8"/>
  <c r="BT659" i="8"/>
  <c r="BS659" i="8"/>
  <c r="BR659" i="8"/>
  <c r="BQ659" i="8"/>
  <c r="BP659" i="8"/>
  <c r="BO659" i="8"/>
  <c r="BN659" i="8"/>
  <c r="BM659" i="8"/>
  <c r="BL659" i="8"/>
  <c r="BK659" i="8"/>
  <c r="BJ659" i="8"/>
  <c r="BI659" i="8"/>
  <c r="BH659" i="8"/>
  <c r="CJ660" i="8"/>
  <c r="CI660" i="8"/>
  <c r="CH660" i="8"/>
  <c r="CG660" i="8"/>
  <c r="CF660" i="8"/>
  <c r="CE660" i="8"/>
  <c r="CD660" i="8"/>
  <c r="CC660" i="8"/>
  <c r="CB660" i="8"/>
  <c r="CA660" i="8"/>
  <c r="BZ660" i="8"/>
  <c r="BY660" i="8"/>
  <c r="BX660" i="8"/>
  <c r="BW660" i="8"/>
  <c r="BV660" i="8"/>
  <c r="BU660" i="8"/>
  <c r="BT660" i="8"/>
  <c r="BS660" i="8"/>
  <c r="BR660" i="8"/>
  <c r="BQ660" i="8"/>
  <c r="BP660" i="8"/>
  <c r="BO660" i="8"/>
  <c r="BN660" i="8"/>
  <c r="BM660" i="8"/>
  <c r="BL660" i="8"/>
  <c r="BK660" i="8"/>
  <c r="BJ660" i="8"/>
  <c r="BI660" i="8"/>
  <c r="BH660" i="8"/>
  <c r="CJ661" i="8"/>
  <c r="CI661" i="8"/>
  <c r="CH661" i="8"/>
  <c r="CG661" i="8"/>
  <c r="CF661" i="8"/>
  <c r="CE661" i="8"/>
  <c r="CD661" i="8"/>
  <c r="CC661" i="8"/>
  <c r="CB661" i="8"/>
  <c r="CA661" i="8"/>
  <c r="BZ661" i="8"/>
  <c r="BY661" i="8"/>
  <c r="BX661" i="8"/>
  <c r="BW661" i="8"/>
  <c r="BV661" i="8"/>
  <c r="BU661" i="8"/>
  <c r="BT661" i="8"/>
  <c r="BS661" i="8"/>
  <c r="BR661" i="8"/>
  <c r="BQ661" i="8"/>
  <c r="BP661" i="8"/>
  <c r="BO661" i="8"/>
  <c r="BN661" i="8"/>
  <c r="BM661" i="8"/>
  <c r="BL661" i="8"/>
  <c r="BK661" i="8"/>
  <c r="BJ661" i="8"/>
  <c r="BI661" i="8"/>
  <c r="BH661" i="8"/>
  <c r="CJ662" i="8"/>
  <c r="CI662" i="8"/>
  <c r="CH662" i="8"/>
  <c r="CG662" i="8"/>
  <c r="CF662" i="8"/>
  <c r="CE662" i="8"/>
  <c r="CD662" i="8"/>
  <c r="CC662" i="8"/>
  <c r="CB662" i="8"/>
  <c r="CA662" i="8"/>
  <c r="BZ662" i="8"/>
  <c r="BY662" i="8"/>
  <c r="BX662" i="8"/>
  <c r="BW662" i="8"/>
  <c r="BV662" i="8"/>
  <c r="BU662" i="8"/>
  <c r="BT662" i="8"/>
  <c r="BS662" i="8"/>
  <c r="BR662" i="8"/>
  <c r="BQ662" i="8"/>
  <c r="BP662" i="8"/>
  <c r="BO662" i="8"/>
  <c r="BN662" i="8"/>
  <c r="BM662" i="8"/>
  <c r="BL662" i="8"/>
  <c r="BK662" i="8"/>
  <c r="BJ662" i="8"/>
  <c r="BI662" i="8"/>
  <c r="BH662" i="8"/>
  <c r="CJ639" i="8"/>
  <c r="CI639" i="8"/>
  <c r="CH639" i="8"/>
  <c r="CG639" i="8"/>
  <c r="CF639" i="8"/>
  <c r="CE639" i="8"/>
  <c r="CD639" i="8"/>
  <c r="CC639" i="8"/>
  <c r="CB639" i="8"/>
  <c r="CA639" i="8"/>
  <c r="BZ639" i="8"/>
  <c r="BY639" i="8"/>
  <c r="BX639" i="8"/>
  <c r="BW639" i="8"/>
  <c r="BV639" i="8"/>
  <c r="BU639" i="8"/>
  <c r="BT639" i="8"/>
  <c r="BS639" i="8"/>
  <c r="BR639" i="8"/>
  <c r="BQ639" i="8"/>
  <c r="BP639" i="8"/>
  <c r="BO639" i="8"/>
  <c r="BN639" i="8"/>
  <c r="BM639" i="8"/>
  <c r="BL639" i="8"/>
  <c r="BK639" i="8"/>
  <c r="BJ639" i="8"/>
  <c r="BI639" i="8"/>
  <c r="BH639" i="8"/>
  <c r="CJ640" i="8"/>
  <c r="CI640" i="8"/>
  <c r="CH640" i="8"/>
  <c r="CG640" i="8"/>
  <c r="CF640" i="8"/>
  <c r="CE640" i="8"/>
  <c r="CD640" i="8"/>
  <c r="CC640" i="8"/>
  <c r="CB640" i="8"/>
  <c r="CA640" i="8"/>
  <c r="BZ640" i="8"/>
  <c r="BY640" i="8"/>
  <c r="BX640" i="8"/>
  <c r="BW640" i="8"/>
  <c r="BV640" i="8"/>
  <c r="BU640" i="8"/>
  <c r="BT640" i="8"/>
  <c r="BS640" i="8"/>
  <c r="BR640" i="8"/>
  <c r="BQ640" i="8"/>
  <c r="BP640" i="8"/>
  <c r="BO640" i="8"/>
  <c r="BN640" i="8"/>
  <c r="BM640" i="8"/>
  <c r="BL640" i="8"/>
  <c r="BK640" i="8"/>
  <c r="BJ640" i="8"/>
  <c r="BI640" i="8"/>
  <c r="BH640" i="8"/>
  <c r="CJ641" i="8"/>
  <c r="CI641" i="8"/>
  <c r="CH641" i="8"/>
  <c r="CG641" i="8"/>
  <c r="CF641" i="8"/>
  <c r="CE641" i="8"/>
  <c r="CD641" i="8"/>
  <c r="CC641" i="8"/>
  <c r="CB641" i="8"/>
  <c r="CA641" i="8"/>
  <c r="BZ641" i="8"/>
  <c r="BY641" i="8"/>
  <c r="BX641" i="8"/>
  <c r="BW641" i="8"/>
  <c r="BV641" i="8"/>
  <c r="BU641" i="8"/>
  <c r="BT641" i="8"/>
  <c r="BS641" i="8"/>
  <c r="BR641" i="8"/>
  <c r="BQ641" i="8"/>
  <c r="BP641" i="8"/>
  <c r="BO641" i="8"/>
  <c r="BN641" i="8"/>
  <c r="BM641" i="8"/>
  <c r="BL641" i="8"/>
  <c r="BK641" i="8"/>
  <c r="BJ641" i="8"/>
  <c r="BI641" i="8"/>
  <c r="BH641" i="8"/>
  <c r="CJ642" i="8"/>
  <c r="CI642" i="8"/>
  <c r="CH642" i="8"/>
  <c r="CG642" i="8"/>
  <c r="CF642" i="8"/>
  <c r="CE642" i="8"/>
  <c r="CD642" i="8"/>
  <c r="CC642" i="8"/>
  <c r="CB642" i="8"/>
  <c r="CA642" i="8"/>
  <c r="BZ642" i="8"/>
  <c r="BY642" i="8"/>
  <c r="BX642" i="8"/>
  <c r="BW642" i="8"/>
  <c r="BV642" i="8"/>
  <c r="BU642" i="8"/>
  <c r="BT642" i="8"/>
  <c r="BS642" i="8"/>
  <c r="BR642" i="8"/>
  <c r="BQ642" i="8"/>
  <c r="BP642" i="8"/>
  <c r="BO642" i="8"/>
  <c r="BN642" i="8"/>
  <c r="BM642" i="8"/>
  <c r="BL642" i="8"/>
  <c r="BK642" i="8"/>
  <c r="BJ642" i="8"/>
  <c r="BI642" i="8"/>
  <c r="BH642" i="8"/>
  <c r="CJ619" i="8"/>
  <c r="CI619" i="8"/>
  <c r="CH619" i="8"/>
  <c r="CG619" i="8"/>
  <c r="CF619" i="8"/>
  <c r="CE619" i="8"/>
  <c r="CD619" i="8"/>
  <c r="CC619" i="8"/>
  <c r="CB619" i="8"/>
  <c r="CA619" i="8"/>
  <c r="BZ619" i="8"/>
  <c r="BY619" i="8"/>
  <c r="BX619" i="8"/>
  <c r="BW619" i="8"/>
  <c r="BV619" i="8"/>
  <c r="BU619" i="8"/>
  <c r="BT619" i="8"/>
  <c r="BS619" i="8"/>
  <c r="BR619" i="8"/>
  <c r="BQ619" i="8"/>
  <c r="BP619" i="8"/>
  <c r="BO619" i="8"/>
  <c r="BN619" i="8"/>
  <c r="BM619" i="8"/>
  <c r="BL619" i="8"/>
  <c r="BK619" i="8"/>
  <c r="BJ619" i="8"/>
  <c r="BI619" i="8"/>
  <c r="BH619" i="8"/>
  <c r="CJ620" i="8"/>
  <c r="CI620" i="8"/>
  <c r="CH620" i="8"/>
  <c r="CG620" i="8"/>
  <c r="CF620" i="8"/>
  <c r="CE620" i="8"/>
  <c r="CD620" i="8"/>
  <c r="CC620" i="8"/>
  <c r="CB620" i="8"/>
  <c r="CA620" i="8"/>
  <c r="BZ620" i="8"/>
  <c r="BY620" i="8"/>
  <c r="BX620" i="8"/>
  <c r="BW620" i="8"/>
  <c r="BV620" i="8"/>
  <c r="BU620" i="8"/>
  <c r="BT620" i="8"/>
  <c r="BS620" i="8"/>
  <c r="BR620" i="8"/>
  <c r="BQ620" i="8"/>
  <c r="BP620" i="8"/>
  <c r="BO620" i="8"/>
  <c r="BN620" i="8"/>
  <c r="BM620" i="8"/>
  <c r="BL620" i="8"/>
  <c r="BK620" i="8"/>
  <c r="BJ620" i="8"/>
  <c r="BI620" i="8"/>
  <c r="BH620" i="8"/>
  <c r="CJ621" i="8"/>
  <c r="CI621" i="8"/>
  <c r="CH621" i="8"/>
  <c r="CG621" i="8"/>
  <c r="CF621" i="8"/>
  <c r="CE621" i="8"/>
  <c r="CD621" i="8"/>
  <c r="CC621" i="8"/>
  <c r="CB621" i="8"/>
  <c r="CA621" i="8"/>
  <c r="BZ621" i="8"/>
  <c r="BY621" i="8"/>
  <c r="BX621" i="8"/>
  <c r="BW621" i="8"/>
  <c r="BV621" i="8"/>
  <c r="BU621" i="8"/>
  <c r="BT621" i="8"/>
  <c r="BS621" i="8"/>
  <c r="BR621" i="8"/>
  <c r="BQ621" i="8"/>
  <c r="BP621" i="8"/>
  <c r="BO621" i="8"/>
  <c r="BN621" i="8"/>
  <c r="BM621" i="8"/>
  <c r="BL621" i="8"/>
  <c r="BK621" i="8"/>
  <c r="BJ621" i="8"/>
  <c r="BI621" i="8"/>
  <c r="BH621" i="8"/>
  <c r="CJ622" i="8"/>
  <c r="CI622" i="8"/>
  <c r="CH622" i="8"/>
  <c r="CG622" i="8"/>
  <c r="CF622" i="8"/>
  <c r="CE622" i="8"/>
  <c r="CD622" i="8"/>
  <c r="CC622" i="8"/>
  <c r="CB622" i="8"/>
  <c r="CA622" i="8"/>
  <c r="BZ622" i="8"/>
  <c r="BY622" i="8"/>
  <c r="BX622" i="8"/>
  <c r="BW622" i="8"/>
  <c r="BV622" i="8"/>
  <c r="BU622" i="8"/>
  <c r="BT622" i="8"/>
  <c r="BS622" i="8"/>
  <c r="BR622" i="8"/>
  <c r="BQ622" i="8"/>
  <c r="BP622" i="8"/>
  <c r="BO622" i="8"/>
  <c r="BN622" i="8"/>
  <c r="BM622" i="8"/>
  <c r="BL622" i="8"/>
  <c r="BK622" i="8"/>
  <c r="BJ622" i="8"/>
  <c r="BI622" i="8"/>
  <c r="BH622" i="8"/>
  <c r="CJ587" i="8"/>
  <c r="CI587" i="8"/>
  <c r="CH587" i="8"/>
  <c r="CG587" i="8"/>
  <c r="CF587" i="8"/>
  <c r="CE587" i="8"/>
  <c r="CD587" i="8"/>
  <c r="CC587" i="8"/>
  <c r="CB587" i="8"/>
  <c r="CA587" i="8"/>
  <c r="BZ587" i="8"/>
  <c r="BY587" i="8"/>
  <c r="BX587" i="8"/>
  <c r="BW587" i="8"/>
  <c r="BV587" i="8"/>
  <c r="BU587" i="8"/>
  <c r="BT587" i="8"/>
  <c r="BS587" i="8"/>
  <c r="BR587" i="8"/>
  <c r="BQ587" i="8"/>
  <c r="BP587" i="8"/>
  <c r="BO587" i="8"/>
  <c r="BN587" i="8"/>
  <c r="BM587" i="8"/>
  <c r="BL587" i="8"/>
  <c r="BK587" i="8"/>
  <c r="BJ587" i="8"/>
  <c r="BI587" i="8"/>
  <c r="BH587" i="8"/>
  <c r="CJ588" i="8"/>
  <c r="CI588" i="8"/>
  <c r="CH588" i="8"/>
  <c r="CG588" i="8"/>
  <c r="CF588" i="8"/>
  <c r="CE588" i="8"/>
  <c r="CD588" i="8"/>
  <c r="CC588" i="8"/>
  <c r="CB588" i="8"/>
  <c r="CA588" i="8"/>
  <c r="BZ588" i="8"/>
  <c r="BY588" i="8"/>
  <c r="BX588" i="8"/>
  <c r="BW588" i="8"/>
  <c r="BV588" i="8"/>
  <c r="BU588" i="8"/>
  <c r="BT588" i="8"/>
  <c r="BS588" i="8"/>
  <c r="BR588" i="8"/>
  <c r="BQ588" i="8"/>
  <c r="BP588" i="8"/>
  <c r="BO588" i="8"/>
  <c r="BN588" i="8"/>
  <c r="BM588" i="8"/>
  <c r="BL588" i="8"/>
  <c r="BK588" i="8"/>
  <c r="BJ588" i="8"/>
  <c r="BI588" i="8"/>
  <c r="BH588" i="8"/>
  <c r="CJ589" i="8"/>
  <c r="CI589" i="8"/>
  <c r="CH589" i="8"/>
  <c r="CG589" i="8"/>
  <c r="CF589" i="8"/>
  <c r="CE589" i="8"/>
  <c r="CD589" i="8"/>
  <c r="CC589" i="8"/>
  <c r="CB589" i="8"/>
  <c r="CA589" i="8"/>
  <c r="BZ589" i="8"/>
  <c r="BY589" i="8"/>
  <c r="BX589" i="8"/>
  <c r="BW589" i="8"/>
  <c r="BV589" i="8"/>
  <c r="BU589" i="8"/>
  <c r="BT589" i="8"/>
  <c r="BS589" i="8"/>
  <c r="BR589" i="8"/>
  <c r="BQ589" i="8"/>
  <c r="BP589" i="8"/>
  <c r="BO589" i="8"/>
  <c r="BN589" i="8"/>
  <c r="BM589" i="8"/>
  <c r="BL589" i="8"/>
  <c r="BK589" i="8"/>
  <c r="BJ589" i="8"/>
  <c r="BI589" i="8"/>
  <c r="BH589" i="8"/>
  <c r="CJ590" i="8"/>
  <c r="CI590" i="8"/>
  <c r="CH590" i="8"/>
  <c r="CG590" i="8"/>
  <c r="CF590" i="8"/>
  <c r="CE590" i="8"/>
  <c r="CD590" i="8"/>
  <c r="CC590" i="8"/>
  <c r="CB590" i="8"/>
  <c r="CA590" i="8"/>
  <c r="BZ590" i="8"/>
  <c r="BY590" i="8"/>
  <c r="BX590" i="8"/>
  <c r="BW590" i="8"/>
  <c r="BV590" i="8"/>
  <c r="BU590" i="8"/>
  <c r="BT590" i="8"/>
  <c r="BS590" i="8"/>
  <c r="BR590" i="8"/>
  <c r="BQ590" i="8"/>
  <c r="BP590" i="8"/>
  <c r="BO590" i="8"/>
  <c r="BN590" i="8"/>
  <c r="BM590" i="8"/>
  <c r="BL590" i="8"/>
  <c r="BK590" i="8"/>
  <c r="BJ590" i="8"/>
  <c r="BI590" i="8"/>
  <c r="BH590" i="8"/>
  <c r="CJ591" i="8"/>
  <c r="CI591" i="8"/>
  <c r="CH591" i="8"/>
  <c r="CG591" i="8"/>
  <c r="CF591" i="8"/>
  <c r="CE591" i="8"/>
  <c r="CD591" i="8"/>
  <c r="CC591" i="8"/>
  <c r="CB591" i="8"/>
  <c r="CA591" i="8"/>
  <c r="BZ591" i="8"/>
  <c r="BY591" i="8"/>
  <c r="BX591" i="8"/>
  <c r="BW591" i="8"/>
  <c r="BV591" i="8"/>
  <c r="BU591" i="8"/>
  <c r="BT591" i="8"/>
  <c r="BS591" i="8"/>
  <c r="BR591" i="8"/>
  <c r="BQ591" i="8"/>
  <c r="BP591" i="8"/>
  <c r="BO591" i="8"/>
  <c r="BN591" i="8"/>
  <c r="BM591" i="8"/>
  <c r="BL591" i="8"/>
  <c r="BK591" i="8"/>
  <c r="BJ591" i="8"/>
  <c r="BI591" i="8"/>
  <c r="BH591" i="8"/>
  <c r="CJ592" i="8"/>
  <c r="CI592" i="8"/>
  <c r="CH592" i="8"/>
  <c r="CG592" i="8"/>
  <c r="CF592" i="8"/>
  <c r="CE592" i="8"/>
  <c r="CD592" i="8"/>
  <c r="CC592" i="8"/>
  <c r="CB592" i="8"/>
  <c r="CA592" i="8"/>
  <c r="BZ592" i="8"/>
  <c r="BY592" i="8"/>
  <c r="BX592" i="8"/>
  <c r="BW592" i="8"/>
  <c r="BV592" i="8"/>
  <c r="BU592" i="8"/>
  <c r="BT592" i="8"/>
  <c r="BS592" i="8"/>
  <c r="BR592" i="8"/>
  <c r="BQ592" i="8"/>
  <c r="BP592" i="8"/>
  <c r="BO592" i="8"/>
  <c r="BN592" i="8"/>
  <c r="BM592" i="8"/>
  <c r="BL592" i="8"/>
  <c r="BK592" i="8"/>
  <c r="BJ592" i="8"/>
  <c r="BI592" i="8"/>
  <c r="BH592" i="8"/>
  <c r="CJ593" i="8"/>
  <c r="CI593" i="8"/>
  <c r="CH593" i="8"/>
  <c r="CG593" i="8"/>
  <c r="CF593" i="8"/>
  <c r="CE593" i="8"/>
  <c r="CD593" i="8"/>
  <c r="CC593" i="8"/>
  <c r="CB593" i="8"/>
  <c r="CA593" i="8"/>
  <c r="BZ593" i="8"/>
  <c r="BY593" i="8"/>
  <c r="BX593" i="8"/>
  <c r="BW593" i="8"/>
  <c r="BV593" i="8"/>
  <c r="BU593" i="8"/>
  <c r="BT593" i="8"/>
  <c r="BS593" i="8"/>
  <c r="BR593" i="8"/>
  <c r="BQ593" i="8"/>
  <c r="BP593" i="8"/>
  <c r="BO593" i="8"/>
  <c r="BN593" i="8"/>
  <c r="BM593" i="8"/>
  <c r="BL593" i="8"/>
  <c r="BK593" i="8"/>
  <c r="BJ593" i="8"/>
  <c r="BI593" i="8"/>
  <c r="BH593" i="8"/>
  <c r="CJ594" i="8"/>
  <c r="CI594" i="8"/>
  <c r="CH594" i="8"/>
  <c r="CG594" i="8"/>
  <c r="CF594" i="8"/>
  <c r="CE594" i="8"/>
  <c r="CD594" i="8"/>
  <c r="CC594" i="8"/>
  <c r="CB594" i="8"/>
  <c r="CA594" i="8"/>
  <c r="BZ594" i="8"/>
  <c r="BY594" i="8"/>
  <c r="BX594" i="8"/>
  <c r="BW594" i="8"/>
  <c r="BV594" i="8"/>
  <c r="BU594" i="8"/>
  <c r="BT594" i="8"/>
  <c r="BS594" i="8"/>
  <c r="BR594" i="8"/>
  <c r="BQ594" i="8"/>
  <c r="BP594" i="8"/>
  <c r="BO594" i="8"/>
  <c r="BN594" i="8"/>
  <c r="BM594" i="8"/>
  <c r="BL594" i="8"/>
  <c r="BK594" i="8"/>
  <c r="BJ594" i="8"/>
  <c r="BI594" i="8"/>
  <c r="BH594" i="8"/>
  <c r="CJ547" i="8"/>
  <c r="CI547" i="8"/>
  <c r="CH547" i="8"/>
  <c r="CG547" i="8"/>
  <c r="CF547" i="8"/>
  <c r="CE547" i="8"/>
  <c r="CD547" i="8"/>
  <c r="CC547" i="8"/>
  <c r="CB547" i="8"/>
  <c r="CA547" i="8"/>
  <c r="BZ547" i="8"/>
  <c r="BY547" i="8"/>
  <c r="BX547" i="8"/>
  <c r="BW547" i="8"/>
  <c r="BV547" i="8"/>
  <c r="BU547" i="8"/>
  <c r="BT547" i="8"/>
  <c r="BS547" i="8"/>
  <c r="BR547" i="8"/>
  <c r="BQ547" i="8"/>
  <c r="BP547" i="8"/>
  <c r="BO547" i="8"/>
  <c r="BN547" i="8"/>
  <c r="BM547" i="8"/>
  <c r="BL547" i="8"/>
  <c r="BK547" i="8"/>
  <c r="BJ547" i="8"/>
  <c r="BI547" i="8"/>
  <c r="BH547" i="8"/>
  <c r="CJ548" i="8"/>
  <c r="CI548" i="8"/>
  <c r="CH548" i="8"/>
  <c r="CG548" i="8"/>
  <c r="CF548" i="8"/>
  <c r="CE548" i="8"/>
  <c r="CD548" i="8"/>
  <c r="CC548" i="8"/>
  <c r="CB548" i="8"/>
  <c r="CA548" i="8"/>
  <c r="BZ548" i="8"/>
  <c r="BY548" i="8"/>
  <c r="BX548" i="8"/>
  <c r="BW548" i="8"/>
  <c r="BV548" i="8"/>
  <c r="BU548" i="8"/>
  <c r="BT548" i="8"/>
  <c r="BS548" i="8"/>
  <c r="BR548" i="8"/>
  <c r="BQ548" i="8"/>
  <c r="BP548" i="8"/>
  <c r="BO548" i="8"/>
  <c r="BN548" i="8"/>
  <c r="BM548" i="8"/>
  <c r="BL548" i="8"/>
  <c r="BK548" i="8"/>
  <c r="BJ548" i="8"/>
  <c r="BI548" i="8"/>
  <c r="BH548" i="8"/>
  <c r="CJ549" i="8"/>
  <c r="CI549" i="8"/>
  <c r="CH549" i="8"/>
  <c r="CG549" i="8"/>
  <c r="CF549" i="8"/>
  <c r="CE549" i="8"/>
  <c r="CD549" i="8"/>
  <c r="CC549" i="8"/>
  <c r="CB549" i="8"/>
  <c r="CA549" i="8"/>
  <c r="BZ549" i="8"/>
  <c r="BY549" i="8"/>
  <c r="BX549" i="8"/>
  <c r="BW549" i="8"/>
  <c r="BV549" i="8"/>
  <c r="BU549" i="8"/>
  <c r="BT549" i="8"/>
  <c r="BS549" i="8"/>
  <c r="BR549" i="8"/>
  <c r="BQ549" i="8"/>
  <c r="BP549" i="8"/>
  <c r="BO549" i="8"/>
  <c r="BN549" i="8"/>
  <c r="BM549" i="8"/>
  <c r="BL549" i="8"/>
  <c r="BK549" i="8"/>
  <c r="BJ549" i="8"/>
  <c r="BI549" i="8"/>
  <c r="BH549" i="8"/>
  <c r="CJ550" i="8"/>
  <c r="CI550" i="8"/>
  <c r="CH550" i="8"/>
  <c r="CG550" i="8"/>
  <c r="CF550" i="8"/>
  <c r="CE550" i="8"/>
  <c r="CD550" i="8"/>
  <c r="CC550" i="8"/>
  <c r="CB550" i="8"/>
  <c r="CA550" i="8"/>
  <c r="BZ550" i="8"/>
  <c r="BY550" i="8"/>
  <c r="BX550" i="8"/>
  <c r="BW550" i="8"/>
  <c r="BV550" i="8"/>
  <c r="BU550" i="8"/>
  <c r="BT550" i="8"/>
  <c r="BS550" i="8"/>
  <c r="BR550" i="8"/>
  <c r="BQ550" i="8"/>
  <c r="BP550" i="8"/>
  <c r="BO550" i="8"/>
  <c r="BN550" i="8"/>
  <c r="BM550" i="8"/>
  <c r="BL550" i="8"/>
  <c r="BK550" i="8"/>
  <c r="BJ550" i="8"/>
  <c r="BI550" i="8"/>
  <c r="BH550" i="8"/>
  <c r="CJ551" i="8"/>
  <c r="CI551" i="8"/>
  <c r="CH551" i="8"/>
  <c r="CG551" i="8"/>
  <c r="CF551" i="8"/>
  <c r="CE551" i="8"/>
  <c r="CD551" i="8"/>
  <c r="CC551" i="8"/>
  <c r="CB551" i="8"/>
  <c r="CA551" i="8"/>
  <c r="BZ551" i="8"/>
  <c r="BY551" i="8"/>
  <c r="BX551" i="8"/>
  <c r="BW551" i="8"/>
  <c r="BV551" i="8"/>
  <c r="BU551" i="8"/>
  <c r="BT551" i="8"/>
  <c r="BS551" i="8"/>
  <c r="BR551" i="8"/>
  <c r="BQ551" i="8"/>
  <c r="BP551" i="8"/>
  <c r="BO551" i="8"/>
  <c r="BN551" i="8"/>
  <c r="BM551" i="8"/>
  <c r="BL551" i="8"/>
  <c r="BK551" i="8"/>
  <c r="BJ551" i="8"/>
  <c r="BI551" i="8"/>
  <c r="BH551" i="8"/>
  <c r="CJ552" i="8"/>
  <c r="CI552" i="8"/>
  <c r="CH552" i="8"/>
  <c r="CG552" i="8"/>
  <c r="CF552" i="8"/>
  <c r="CE552" i="8"/>
  <c r="CD552" i="8"/>
  <c r="CC552" i="8"/>
  <c r="CB552" i="8"/>
  <c r="CA552" i="8"/>
  <c r="BZ552" i="8"/>
  <c r="BY552" i="8"/>
  <c r="BX552" i="8"/>
  <c r="BW552" i="8"/>
  <c r="BV552" i="8"/>
  <c r="BU552" i="8"/>
  <c r="BT552" i="8"/>
  <c r="BS552" i="8"/>
  <c r="BR552" i="8"/>
  <c r="BQ552" i="8"/>
  <c r="BP552" i="8"/>
  <c r="BO552" i="8"/>
  <c r="BN552" i="8"/>
  <c r="BM552" i="8"/>
  <c r="BL552" i="8"/>
  <c r="BK552" i="8"/>
  <c r="BJ552" i="8"/>
  <c r="BI552" i="8"/>
  <c r="BH552" i="8"/>
  <c r="CJ553" i="8"/>
  <c r="CI553" i="8"/>
  <c r="CH553" i="8"/>
  <c r="CG553" i="8"/>
  <c r="CF553" i="8"/>
  <c r="CE553" i="8"/>
  <c r="CD553" i="8"/>
  <c r="CC553" i="8"/>
  <c r="CB553" i="8"/>
  <c r="CA553" i="8"/>
  <c r="BZ553" i="8"/>
  <c r="BY553" i="8"/>
  <c r="BX553" i="8"/>
  <c r="BW553" i="8"/>
  <c r="BV553" i="8"/>
  <c r="BU553" i="8"/>
  <c r="BT553" i="8"/>
  <c r="BS553" i="8"/>
  <c r="BR553" i="8"/>
  <c r="BQ553" i="8"/>
  <c r="BP553" i="8"/>
  <c r="BO553" i="8"/>
  <c r="BN553" i="8"/>
  <c r="BM553" i="8"/>
  <c r="BL553" i="8"/>
  <c r="BK553" i="8"/>
  <c r="BJ553" i="8"/>
  <c r="BI553" i="8"/>
  <c r="BH553" i="8"/>
  <c r="CJ554" i="8"/>
  <c r="CI554" i="8"/>
  <c r="CH554" i="8"/>
  <c r="CG554" i="8"/>
  <c r="CF554" i="8"/>
  <c r="CE554" i="8"/>
  <c r="CD554" i="8"/>
  <c r="CC554" i="8"/>
  <c r="CB554" i="8"/>
  <c r="CA554" i="8"/>
  <c r="BZ554" i="8"/>
  <c r="BY554" i="8"/>
  <c r="BX554" i="8"/>
  <c r="BW554" i="8"/>
  <c r="BV554" i="8"/>
  <c r="BU554" i="8"/>
  <c r="BT554" i="8"/>
  <c r="BS554" i="8"/>
  <c r="BR554" i="8"/>
  <c r="BQ554" i="8"/>
  <c r="BP554" i="8"/>
  <c r="BO554" i="8"/>
  <c r="BN554" i="8"/>
  <c r="BM554" i="8"/>
  <c r="BL554" i="8"/>
  <c r="BK554" i="8"/>
  <c r="BJ554" i="8"/>
  <c r="BI554" i="8"/>
  <c r="BH554" i="8"/>
  <c r="AK105" i="2"/>
  <c r="AK106" i="2"/>
  <c r="CJ780" i="8"/>
  <c r="CI780" i="8"/>
  <c r="CH780" i="8"/>
  <c r="CG780" i="8"/>
  <c r="CF780" i="8"/>
  <c r="CE780" i="8"/>
  <c r="CD780" i="8"/>
  <c r="CC780" i="8"/>
  <c r="CB780" i="8"/>
  <c r="CA780" i="8"/>
  <c r="BZ780" i="8"/>
  <c r="BY780" i="8"/>
  <c r="BX780" i="8"/>
  <c r="BW780" i="8"/>
  <c r="BV780" i="8"/>
  <c r="BU780" i="8"/>
  <c r="BT780" i="8"/>
  <c r="BS780" i="8"/>
  <c r="BR780" i="8"/>
  <c r="BQ780" i="8"/>
  <c r="BP780" i="8"/>
  <c r="BO780" i="8"/>
  <c r="BN780" i="8"/>
  <c r="BM780" i="8"/>
  <c r="BL780" i="8"/>
  <c r="BK780" i="8"/>
  <c r="BJ780" i="8"/>
  <c r="BI780" i="8"/>
  <c r="BH780" i="8"/>
  <c r="CJ781" i="8"/>
  <c r="CI781" i="8"/>
  <c r="CH781" i="8"/>
  <c r="CG781" i="8"/>
  <c r="CF781" i="8"/>
  <c r="CE781" i="8"/>
  <c r="CD781" i="8"/>
  <c r="CC781" i="8"/>
  <c r="CB781" i="8"/>
  <c r="CA781" i="8"/>
  <c r="BZ781" i="8"/>
  <c r="BY781" i="8"/>
  <c r="BX781" i="8"/>
  <c r="BW781" i="8"/>
  <c r="BV781" i="8"/>
  <c r="BU781" i="8"/>
  <c r="BT781" i="8"/>
  <c r="BS781" i="8"/>
  <c r="BR781" i="8"/>
  <c r="BQ781" i="8"/>
  <c r="BP781" i="8"/>
  <c r="BO781" i="8"/>
  <c r="BN781" i="8"/>
  <c r="BM781" i="8"/>
  <c r="BL781" i="8"/>
  <c r="BK781" i="8"/>
  <c r="BJ781" i="8"/>
  <c r="BI781" i="8"/>
  <c r="BH781" i="8"/>
  <c r="CJ782" i="8"/>
  <c r="CI782" i="8"/>
  <c r="CH782" i="8"/>
  <c r="CG782" i="8"/>
  <c r="CF782" i="8"/>
  <c r="CE782" i="8"/>
  <c r="CD782" i="8"/>
  <c r="CC782" i="8"/>
  <c r="CB782" i="8"/>
  <c r="CA782" i="8"/>
  <c r="BZ782" i="8"/>
  <c r="BY782" i="8"/>
  <c r="BX782" i="8"/>
  <c r="BW782" i="8"/>
  <c r="BV782" i="8"/>
  <c r="BU782" i="8"/>
  <c r="BT782" i="8"/>
  <c r="BS782" i="8"/>
  <c r="BR782" i="8"/>
  <c r="BQ782" i="8"/>
  <c r="BP782" i="8"/>
  <c r="BO782" i="8"/>
  <c r="BN782" i="8"/>
  <c r="BM782" i="8"/>
  <c r="BL782" i="8"/>
  <c r="BK782" i="8"/>
  <c r="BJ782" i="8"/>
  <c r="BI782" i="8"/>
  <c r="BH782" i="8"/>
  <c r="CJ757" i="8"/>
  <c r="CI757" i="8"/>
  <c r="CH757" i="8"/>
  <c r="CG757" i="8"/>
  <c r="CF757" i="8"/>
  <c r="CE757" i="8"/>
  <c r="CD757" i="8"/>
  <c r="CC757" i="8"/>
  <c r="CB757" i="8"/>
  <c r="CA757" i="8"/>
  <c r="BZ757" i="8"/>
  <c r="BY757" i="8"/>
  <c r="BX757" i="8"/>
  <c r="BW757" i="8"/>
  <c r="BV757" i="8"/>
  <c r="BU757" i="8"/>
  <c r="BT757" i="8"/>
  <c r="BS757" i="8"/>
  <c r="BR757" i="8"/>
  <c r="BQ757" i="8"/>
  <c r="BP757" i="8"/>
  <c r="BO757" i="8"/>
  <c r="BN757" i="8"/>
  <c r="BM757" i="8"/>
  <c r="BL757" i="8"/>
  <c r="BK757" i="8"/>
  <c r="BJ757" i="8"/>
  <c r="BI757" i="8"/>
  <c r="BH757" i="8"/>
  <c r="CJ758" i="8"/>
  <c r="CI758" i="8"/>
  <c r="CH758" i="8"/>
  <c r="CG758" i="8"/>
  <c r="CF758" i="8"/>
  <c r="CE758" i="8"/>
  <c r="CD758" i="8"/>
  <c r="CC758" i="8"/>
  <c r="CB758" i="8"/>
  <c r="CA758" i="8"/>
  <c r="BZ758" i="8"/>
  <c r="BY758" i="8"/>
  <c r="BX758" i="8"/>
  <c r="BW758" i="8"/>
  <c r="BV758" i="8"/>
  <c r="BU758" i="8"/>
  <c r="BT758" i="8"/>
  <c r="BS758" i="8"/>
  <c r="BR758" i="8"/>
  <c r="BQ758" i="8"/>
  <c r="BP758" i="8"/>
  <c r="BO758" i="8"/>
  <c r="BN758" i="8"/>
  <c r="BM758" i="8"/>
  <c r="BL758" i="8"/>
  <c r="BK758" i="8"/>
  <c r="BJ758" i="8"/>
  <c r="BI758" i="8"/>
  <c r="BH758" i="8"/>
  <c r="CJ759" i="8"/>
  <c r="CI759" i="8"/>
  <c r="CH759" i="8"/>
  <c r="CG759" i="8"/>
  <c r="CF759" i="8"/>
  <c r="CE759" i="8"/>
  <c r="CD759" i="8"/>
  <c r="CC759" i="8"/>
  <c r="CB759" i="8"/>
  <c r="CA759" i="8"/>
  <c r="BZ759" i="8"/>
  <c r="BY759" i="8"/>
  <c r="BX759" i="8"/>
  <c r="BW759" i="8"/>
  <c r="BV759" i="8"/>
  <c r="BU759" i="8"/>
  <c r="BT759" i="8"/>
  <c r="BS759" i="8"/>
  <c r="BR759" i="8"/>
  <c r="BQ759" i="8"/>
  <c r="BP759" i="8"/>
  <c r="BO759" i="8"/>
  <c r="BN759" i="8"/>
  <c r="BM759" i="8"/>
  <c r="BL759" i="8"/>
  <c r="BK759" i="8"/>
  <c r="BJ759" i="8"/>
  <c r="BI759" i="8"/>
  <c r="BH759" i="8"/>
  <c r="CJ731" i="8"/>
  <c r="CI731" i="8"/>
  <c r="CH731" i="8"/>
  <c r="CG731" i="8"/>
  <c r="CF731" i="8"/>
  <c r="CE731" i="8"/>
  <c r="CD731" i="8"/>
  <c r="CC731" i="8"/>
  <c r="CB731" i="8"/>
  <c r="CA731" i="8"/>
  <c r="BZ731" i="8"/>
  <c r="BY731" i="8"/>
  <c r="BX731" i="8"/>
  <c r="BW731" i="8"/>
  <c r="BV731" i="8"/>
  <c r="BU731" i="8"/>
  <c r="BT731" i="8"/>
  <c r="BS731" i="8"/>
  <c r="BR731" i="8"/>
  <c r="BQ731" i="8"/>
  <c r="BP731" i="8"/>
  <c r="BO731" i="8"/>
  <c r="BN731" i="8"/>
  <c r="BM731" i="8"/>
  <c r="BL731" i="8"/>
  <c r="BK731" i="8"/>
  <c r="BJ731" i="8"/>
  <c r="BI731" i="8"/>
  <c r="BH731" i="8"/>
  <c r="CJ732" i="8"/>
  <c r="CI732" i="8"/>
  <c r="CH732" i="8"/>
  <c r="CG732" i="8"/>
  <c r="CF732" i="8"/>
  <c r="CE732" i="8"/>
  <c r="CD732" i="8"/>
  <c r="CC732" i="8"/>
  <c r="CB732" i="8"/>
  <c r="CA732" i="8"/>
  <c r="BZ732" i="8"/>
  <c r="BY732" i="8"/>
  <c r="BX732" i="8"/>
  <c r="BW732" i="8"/>
  <c r="BV732" i="8"/>
  <c r="BU732" i="8"/>
  <c r="BT732" i="8"/>
  <c r="BS732" i="8"/>
  <c r="BR732" i="8"/>
  <c r="BQ732" i="8"/>
  <c r="BP732" i="8"/>
  <c r="BO732" i="8"/>
  <c r="BN732" i="8"/>
  <c r="BM732" i="8"/>
  <c r="BL732" i="8"/>
  <c r="BK732" i="8"/>
  <c r="BJ732" i="8"/>
  <c r="BI732" i="8"/>
  <c r="BH732" i="8"/>
  <c r="CJ733" i="8"/>
  <c r="CI733" i="8"/>
  <c r="CH733" i="8"/>
  <c r="CG733" i="8"/>
  <c r="CF733" i="8"/>
  <c r="CE733" i="8"/>
  <c r="CD733" i="8"/>
  <c r="CC733" i="8"/>
  <c r="CB733" i="8"/>
  <c r="CA733" i="8"/>
  <c r="BZ733" i="8"/>
  <c r="BY733" i="8"/>
  <c r="BX733" i="8"/>
  <c r="BW733" i="8"/>
  <c r="BV733" i="8"/>
  <c r="BU733" i="8"/>
  <c r="BT733" i="8"/>
  <c r="BS733" i="8"/>
  <c r="BR733" i="8"/>
  <c r="BQ733" i="8"/>
  <c r="BP733" i="8"/>
  <c r="BO733" i="8"/>
  <c r="BN733" i="8"/>
  <c r="BM733" i="8"/>
  <c r="BL733" i="8"/>
  <c r="BK733" i="8"/>
  <c r="BJ733" i="8"/>
  <c r="BI733" i="8"/>
  <c r="BH733" i="8"/>
  <c r="CJ734" i="8"/>
  <c r="CI734" i="8"/>
  <c r="CH734" i="8"/>
  <c r="CG734" i="8"/>
  <c r="CF734" i="8"/>
  <c r="CE734" i="8"/>
  <c r="CD734" i="8"/>
  <c r="CC734" i="8"/>
  <c r="CB734" i="8"/>
  <c r="CA734" i="8"/>
  <c r="BZ734" i="8"/>
  <c r="BY734" i="8"/>
  <c r="BX734" i="8"/>
  <c r="BW734" i="8"/>
  <c r="BV734" i="8"/>
  <c r="BU734" i="8"/>
  <c r="BT734" i="8"/>
  <c r="BS734" i="8"/>
  <c r="BR734" i="8"/>
  <c r="BQ734" i="8"/>
  <c r="BP734" i="8"/>
  <c r="BO734" i="8"/>
  <c r="BN734" i="8"/>
  <c r="BM734" i="8"/>
  <c r="BL734" i="8"/>
  <c r="BK734" i="8"/>
  <c r="BJ734" i="8"/>
  <c r="BI734" i="8"/>
  <c r="BH734" i="8"/>
  <c r="CJ735" i="8"/>
  <c r="CI735" i="8"/>
  <c r="CH735" i="8"/>
  <c r="CG735" i="8"/>
  <c r="CF735" i="8"/>
  <c r="CE735" i="8"/>
  <c r="CD735" i="8"/>
  <c r="CC735" i="8"/>
  <c r="CB735" i="8"/>
  <c r="CA735" i="8"/>
  <c r="BZ735" i="8"/>
  <c r="BY735" i="8"/>
  <c r="BX735" i="8"/>
  <c r="BW735" i="8"/>
  <c r="BV735" i="8"/>
  <c r="BU735" i="8"/>
  <c r="BT735" i="8"/>
  <c r="BS735" i="8"/>
  <c r="BR735" i="8"/>
  <c r="BQ735" i="8"/>
  <c r="BP735" i="8"/>
  <c r="BO735" i="8"/>
  <c r="BN735" i="8"/>
  <c r="BM735" i="8"/>
  <c r="BL735" i="8"/>
  <c r="BK735" i="8"/>
  <c r="BJ735" i="8"/>
  <c r="BI735" i="8"/>
  <c r="BH735" i="8"/>
  <c r="CJ736" i="8"/>
  <c r="CI736" i="8"/>
  <c r="CH736" i="8"/>
  <c r="CG736" i="8"/>
  <c r="CF736" i="8"/>
  <c r="CE736" i="8"/>
  <c r="CD736" i="8"/>
  <c r="CC736" i="8"/>
  <c r="CB736" i="8"/>
  <c r="CA736" i="8"/>
  <c r="BZ736" i="8"/>
  <c r="BY736" i="8"/>
  <c r="BX736" i="8"/>
  <c r="BW736" i="8"/>
  <c r="BV736" i="8"/>
  <c r="BU736" i="8"/>
  <c r="BT736" i="8"/>
  <c r="BS736" i="8"/>
  <c r="BR736" i="8"/>
  <c r="BQ736" i="8"/>
  <c r="BP736" i="8"/>
  <c r="BO736" i="8"/>
  <c r="BN736" i="8"/>
  <c r="BM736" i="8"/>
  <c r="BL736" i="8"/>
  <c r="BK736" i="8"/>
  <c r="BJ736" i="8"/>
  <c r="BI736" i="8"/>
  <c r="BH736" i="8"/>
  <c r="CJ530" i="8"/>
  <c r="CI530" i="8"/>
  <c r="CH530" i="8"/>
  <c r="CG530" i="8"/>
  <c r="CF530" i="8"/>
  <c r="CE530" i="8"/>
  <c r="CD530" i="8"/>
  <c r="CC530" i="8"/>
  <c r="CB530" i="8"/>
  <c r="CA530" i="8"/>
  <c r="BZ530" i="8"/>
  <c r="BY530" i="8"/>
  <c r="BX530" i="8"/>
  <c r="BW530" i="8"/>
  <c r="BV530" i="8"/>
  <c r="BU530" i="8"/>
  <c r="BT530" i="8"/>
  <c r="BS530" i="8"/>
  <c r="BR530" i="8"/>
  <c r="BQ530" i="8"/>
  <c r="BP530" i="8"/>
  <c r="BO530" i="8"/>
  <c r="BN530" i="8"/>
  <c r="BM530" i="8"/>
  <c r="BL530" i="8"/>
  <c r="BK530" i="8"/>
  <c r="BJ530" i="8"/>
  <c r="BI530" i="8"/>
  <c r="BH530" i="8"/>
  <c r="CJ514" i="8"/>
  <c r="CI514" i="8"/>
  <c r="CH514" i="8"/>
  <c r="CG514" i="8"/>
  <c r="CF514" i="8"/>
  <c r="CE514" i="8"/>
  <c r="CD514" i="8"/>
  <c r="CC514" i="8"/>
  <c r="CB514" i="8"/>
  <c r="CA514" i="8"/>
  <c r="BZ514" i="8"/>
  <c r="BY514" i="8"/>
  <c r="BX514" i="8"/>
  <c r="BW514" i="8"/>
  <c r="BV514" i="8"/>
  <c r="BU514" i="8"/>
  <c r="BT514" i="8"/>
  <c r="BS514" i="8"/>
  <c r="BR514" i="8"/>
  <c r="BQ514" i="8"/>
  <c r="BP514" i="8"/>
  <c r="BO514" i="8"/>
  <c r="BN514" i="8"/>
  <c r="BM514" i="8"/>
  <c r="BL514" i="8"/>
  <c r="BK514" i="8"/>
  <c r="BJ514" i="8"/>
  <c r="BI514" i="8"/>
  <c r="BH514" i="8"/>
  <c r="CJ515" i="8"/>
  <c r="CI515" i="8"/>
  <c r="CH515" i="8"/>
  <c r="CG515" i="8"/>
  <c r="CF515" i="8"/>
  <c r="CE515" i="8"/>
  <c r="CD515" i="8"/>
  <c r="CC515" i="8"/>
  <c r="CB515" i="8"/>
  <c r="CA515" i="8"/>
  <c r="BZ515" i="8"/>
  <c r="BY515" i="8"/>
  <c r="BX515" i="8"/>
  <c r="BW515" i="8"/>
  <c r="BV515" i="8"/>
  <c r="BU515" i="8"/>
  <c r="BT515" i="8"/>
  <c r="BS515" i="8"/>
  <c r="BR515" i="8"/>
  <c r="BQ515" i="8"/>
  <c r="BP515" i="8"/>
  <c r="BO515" i="8"/>
  <c r="BN515" i="8"/>
  <c r="BM515" i="8"/>
  <c r="BL515" i="8"/>
  <c r="BK515" i="8"/>
  <c r="BJ515" i="8"/>
  <c r="BI515" i="8"/>
  <c r="BH515" i="8"/>
  <c r="CJ516" i="8"/>
  <c r="CI516" i="8"/>
  <c r="CH516" i="8"/>
  <c r="CG516" i="8"/>
  <c r="CF516" i="8"/>
  <c r="CE516" i="8"/>
  <c r="CD516" i="8"/>
  <c r="CC516" i="8"/>
  <c r="CB516" i="8"/>
  <c r="CA516" i="8"/>
  <c r="BZ516" i="8"/>
  <c r="BY516" i="8"/>
  <c r="BX516" i="8"/>
  <c r="BW516" i="8"/>
  <c r="BV516" i="8"/>
  <c r="BU516" i="8"/>
  <c r="BT516" i="8"/>
  <c r="BS516" i="8"/>
  <c r="BR516" i="8"/>
  <c r="BQ516" i="8"/>
  <c r="BP516" i="8"/>
  <c r="BO516" i="8"/>
  <c r="BN516" i="8"/>
  <c r="BM516" i="8"/>
  <c r="BL516" i="8"/>
  <c r="BK516" i="8"/>
  <c r="BJ516" i="8"/>
  <c r="BI516" i="8"/>
  <c r="BH516" i="8"/>
  <c r="CJ517" i="8"/>
  <c r="CI517" i="8"/>
  <c r="CH517" i="8"/>
  <c r="CG517" i="8"/>
  <c r="CF517" i="8"/>
  <c r="CE517" i="8"/>
  <c r="CD517" i="8"/>
  <c r="CC517" i="8"/>
  <c r="CB517" i="8"/>
  <c r="CA517" i="8"/>
  <c r="BZ517" i="8"/>
  <c r="BY517" i="8"/>
  <c r="BX517" i="8"/>
  <c r="BW517" i="8"/>
  <c r="BV517" i="8"/>
  <c r="BU517" i="8"/>
  <c r="BT517" i="8"/>
  <c r="BS517" i="8"/>
  <c r="BR517" i="8"/>
  <c r="BQ517" i="8"/>
  <c r="BP517" i="8"/>
  <c r="BO517" i="8"/>
  <c r="BN517" i="8"/>
  <c r="BM517" i="8"/>
  <c r="BL517" i="8"/>
  <c r="BK517" i="8"/>
  <c r="BJ517" i="8"/>
  <c r="BI517" i="8"/>
  <c r="BH517" i="8"/>
  <c r="CJ518" i="8"/>
  <c r="CI518" i="8"/>
  <c r="CH518" i="8"/>
  <c r="CG518" i="8"/>
  <c r="CF518" i="8"/>
  <c r="CE518" i="8"/>
  <c r="CD518" i="8"/>
  <c r="CC518" i="8"/>
  <c r="CB518" i="8"/>
  <c r="CA518" i="8"/>
  <c r="BZ518" i="8"/>
  <c r="BY518" i="8"/>
  <c r="BX518" i="8"/>
  <c r="BW518" i="8"/>
  <c r="BV518" i="8"/>
  <c r="BU518" i="8"/>
  <c r="BT518" i="8"/>
  <c r="BS518" i="8"/>
  <c r="BR518" i="8"/>
  <c r="BQ518" i="8"/>
  <c r="BP518" i="8"/>
  <c r="BO518" i="8"/>
  <c r="BN518" i="8"/>
  <c r="BM518" i="8"/>
  <c r="BL518" i="8"/>
  <c r="BK518" i="8"/>
  <c r="BJ518" i="8"/>
  <c r="BI518" i="8"/>
  <c r="BH518" i="8"/>
  <c r="CJ519" i="8"/>
  <c r="CI519" i="8"/>
  <c r="CH519" i="8"/>
  <c r="CG519" i="8"/>
  <c r="CF519" i="8"/>
  <c r="CE519" i="8"/>
  <c r="CD519" i="8"/>
  <c r="CC519" i="8"/>
  <c r="CB519" i="8"/>
  <c r="CA519" i="8"/>
  <c r="BZ519" i="8"/>
  <c r="BY519" i="8"/>
  <c r="BX519" i="8"/>
  <c r="BW519" i="8"/>
  <c r="BV519" i="8"/>
  <c r="BU519" i="8"/>
  <c r="BT519" i="8"/>
  <c r="BS519" i="8"/>
  <c r="BR519" i="8"/>
  <c r="BQ519" i="8"/>
  <c r="BP519" i="8"/>
  <c r="BO519" i="8"/>
  <c r="BN519" i="8"/>
  <c r="BM519" i="8"/>
  <c r="BL519" i="8"/>
  <c r="BK519" i="8"/>
  <c r="BJ519" i="8"/>
  <c r="BI519" i="8"/>
  <c r="BH519" i="8"/>
  <c r="CJ520" i="8"/>
  <c r="CI520" i="8"/>
  <c r="CH520" i="8"/>
  <c r="CG520" i="8"/>
  <c r="CF520" i="8"/>
  <c r="CE520" i="8"/>
  <c r="CD520" i="8"/>
  <c r="CC520" i="8"/>
  <c r="CB520" i="8"/>
  <c r="CA520" i="8"/>
  <c r="BZ520" i="8"/>
  <c r="BY520" i="8"/>
  <c r="BX520" i="8"/>
  <c r="BW520" i="8"/>
  <c r="BV520" i="8"/>
  <c r="BU520" i="8"/>
  <c r="BT520" i="8"/>
  <c r="BS520" i="8"/>
  <c r="BR520" i="8"/>
  <c r="BQ520" i="8"/>
  <c r="BP520" i="8"/>
  <c r="BO520" i="8"/>
  <c r="BN520" i="8"/>
  <c r="BM520" i="8"/>
  <c r="BL520" i="8"/>
  <c r="BK520" i="8"/>
  <c r="BJ520" i="8"/>
  <c r="BI520" i="8"/>
  <c r="BH520" i="8"/>
  <c r="CJ521" i="8"/>
  <c r="CI521" i="8"/>
  <c r="CH521" i="8"/>
  <c r="CG521" i="8"/>
  <c r="CF521" i="8"/>
  <c r="CE521" i="8"/>
  <c r="CD521" i="8"/>
  <c r="CC521" i="8"/>
  <c r="CB521" i="8"/>
  <c r="CA521" i="8"/>
  <c r="BZ521" i="8"/>
  <c r="BY521" i="8"/>
  <c r="BX521" i="8"/>
  <c r="BW521" i="8"/>
  <c r="BV521" i="8"/>
  <c r="BU521" i="8"/>
  <c r="BT521" i="8"/>
  <c r="BS521" i="8"/>
  <c r="BR521" i="8"/>
  <c r="BQ521" i="8"/>
  <c r="BP521" i="8"/>
  <c r="BO521" i="8"/>
  <c r="BN521" i="8"/>
  <c r="BM521" i="8"/>
  <c r="BL521" i="8"/>
  <c r="BK521" i="8"/>
  <c r="BJ521" i="8"/>
  <c r="BI521" i="8"/>
  <c r="BH521" i="8"/>
  <c r="CJ526" i="8"/>
  <c r="CI526" i="8"/>
  <c r="CH526" i="8"/>
  <c r="CG526" i="8"/>
  <c r="CF526" i="8"/>
  <c r="CE526" i="8"/>
  <c r="CD526" i="8"/>
  <c r="CC526" i="8"/>
  <c r="CB526" i="8"/>
  <c r="CA526" i="8"/>
  <c r="BZ526" i="8"/>
  <c r="BY526" i="8"/>
  <c r="BX526" i="8"/>
  <c r="BW526" i="8"/>
  <c r="BV526" i="8"/>
  <c r="BU526" i="8"/>
  <c r="BT526" i="8"/>
  <c r="BS526" i="8"/>
  <c r="BR526" i="8"/>
  <c r="BQ526" i="8"/>
  <c r="BP526" i="8"/>
  <c r="BO526" i="8"/>
  <c r="BN526" i="8"/>
  <c r="BM526" i="8"/>
  <c r="BL526" i="8"/>
  <c r="BK526" i="8"/>
  <c r="BJ526" i="8"/>
  <c r="BI526" i="8"/>
  <c r="BH526" i="8"/>
  <c r="CJ527" i="8"/>
  <c r="CI527" i="8"/>
  <c r="CH527" i="8"/>
  <c r="CG527" i="8"/>
  <c r="CF527" i="8"/>
  <c r="CE527" i="8"/>
  <c r="CD527" i="8"/>
  <c r="CC527" i="8"/>
  <c r="CB527" i="8"/>
  <c r="CA527" i="8"/>
  <c r="BZ527" i="8"/>
  <c r="BY527" i="8"/>
  <c r="BX527" i="8"/>
  <c r="BW527" i="8"/>
  <c r="BV527" i="8"/>
  <c r="BU527" i="8"/>
  <c r="BT527" i="8"/>
  <c r="BS527" i="8"/>
  <c r="BR527" i="8"/>
  <c r="BQ527" i="8"/>
  <c r="BP527" i="8"/>
  <c r="BO527" i="8"/>
  <c r="BN527" i="8"/>
  <c r="BM527" i="8"/>
  <c r="BL527" i="8"/>
  <c r="BK527" i="8"/>
  <c r="BJ527" i="8"/>
  <c r="BI527" i="8"/>
  <c r="BH527" i="8"/>
  <c r="CJ528" i="8"/>
  <c r="CI528" i="8"/>
  <c r="CH528" i="8"/>
  <c r="CG528" i="8"/>
  <c r="CF528" i="8"/>
  <c r="CE528" i="8"/>
  <c r="CD528" i="8"/>
  <c r="CC528" i="8"/>
  <c r="CB528" i="8"/>
  <c r="CA528" i="8"/>
  <c r="BZ528" i="8"/>
  <c r="BY528" i="8"/>
  <c r="BX528" i="8"/>
  <c r="BW528" i="8"/>
  <c r="BV528" i="8"/>
  <c r="BU528" i="8"/>
  <c r="BT528" i="8"/>
  <c r="BS528" i="8"/>
  <c r="BR528" i="8"/>
  <c r="BQ528" i="8"/>
  <c r="BP528" i="8"/>
  <c r="BO528" i="8"/>
  <c r="BN528" i="8"/>
  <c r="BM528" i="8"/>
  <c r="BL528" i="8"/>
  <c r="BK528" i="8"/>
  <c r="BJ528" i="8"/>
  <c r="BI528" i="8"/>
  <c r="BH528" i="8"/>
  <c r="CJ529" i="8"/>
  <c r="CI529" i="8"/>
  <c r="CH529" i="8"/>
  <c r="CG529" i="8"/>
  <c r="CF529" i="8"/>
  <c r="CE529" i="8"/>
  <c r="CD529" i="8"/>
  <c r="CC529" i="8"/>
  <c r="CB529" i="8"/>
  <c r="CA529" i="8"/>
  <c r="BZ529" i="8"/>
  <c r="BY529" i="8"/>
  <c r="BX529" i="8"/>
  <c r="BW529" i="8"/>
  <c r="BV529" i="8"/>
  <c r="BU529" i="8"/>
  <c r="BT529" i="8"/>
  <c r="BS529" i="8"/>
  <c r="BR529" i="8"/>
  <c r="BQ529" i="8"/>
  <c r="BP529" i="8"/>
  <c r="BO529" i="8"/>
  <c r="BN529" i="8"/>
  <c r="BM529" i="8"/>
  <c r="BL529" i="8"/>
  <c r="BK529" i="8"/>
  <c r="BJ529" i="8"/>
  <c r="BI529" i="8"/>
  <c r="BH529" i="8"/>
  <c r="CJ468" i="8"/>
  <c r="CI468" i="8"/>
  <c r="CH468" i="8"/>
  <c r="CG468" i="8"/>
  <c r="CF468" i="8"/>
  <c r="CE468" i="8"/>
  <c r="CD468" i="8"/>
  <c r="CC468" i="8"/>
  <c r="CB468" i="8"/>
  <c r="CA468" i="8"/>
  <c r="BZ468" i="8"/>
  <c r="BY468" i="8"/>
  <c r="BX468" i="8"/>
  <c r="BW468" i="8"/>
  <c r="BV468" i="8"/>
  <c r="BU468" i="8"/>
  <c r="BT468" i="8"/>
  <c r="BS468" i="8"/>
  <c r="BR468" i="8"/>
  <c r="BQ468" i="8"/>
  <c r="BP468" i="8"/>
  <c r="BO468" i="8"/>
  <c r="BN468" i="8"/>
  <c r="BM468" i="8"/>
  <c r="BL468" i="8"/>
  <c r="BK468" i="8"/>
  <c r="BJ468" i="8"/>
  <c r="BI468" i="8"/>
  <c r="BH468" i="8"/>
  <c r="CJ464" i="8"/>
  <c r="CI464" i="8"/>
  <c r="CH464" i="8"/>
  <c r="CG464" i="8"/>
  <c r="CF464" i="8"/>
  <c r="CE464" i="8"/>
  <c r="CD464" i="8"/>
  <c r="CC464" i="8"/>
  <c r="CB464" i="8"/>
  <c r="CA464" i="8"/>
  <c r="BZ464" i="8"/>
  <c r="BY464" i="8"/>
  <c r="BX464" i="8"/>
  <c r="BW464" i="8"/>
  <c r="BV464" i="8"/>
  <c r="BU464" i="8"/>
  <c r="BT464" i="8"/>
  <c r="BS464" i="8"/>
  <c r="BR464" i="8"/>
  <c r="BQ464" i="8"/>
  <c r="BP464" i="8"/>
  <c r="BO464" i="8"/>
  <c r="BN464" i="8"/>
  <c r="BM464" i="8"/>
  <c r="BL464" i="8"/>
  <c r="BK464" i="8"/>
  <c r="BJ464" i="8"/>
  <c r="BI464" i="8"/>
  <c r="BH464" i="8"/>
  <c r="CJ460" i="8"/>
  <c r="CI460" i="8"/>
  <c r="CH460" i="8"/>
  <c r="CG460" i="8"/>
  <c r="CF460" i="8"/>
  <c r="CE460" i="8"/>
  <c r="CD460" i="8"/>
  <c r="CC460" i="8"/>
  <c r="CB460" i="8"/>
  <c r="CA460" i="8"/>
  <c r="BZ460" i="8"/>
  <c r="BY460" i="8"/>
  <c r="BX460" i="8"/>
  <c r="BW460" i="8"/>
  <c r="BV460" i="8"/>
  <c r="BU460" i="8"/>
  <c r="BT460" i="8"/>
  <c r="BS460" i="8"/>
  <c r="BR460" i="8"/>
  <c r="BQ460" i="8"/>
  <c r="BP460" i="8"/>
  <c r="BO460" i="8"/>
  <c r="BN460" i="8"/>
  <c r="BM460" i="8"/>
  <c r="BL460" i="8"/>
  <c r="BK460" i="8"/>
  <c r="BJ460" i="8"/>
  <c r="BI460" i="8"/>
  <c r="BH460" i="8"/>
  <c r="CJ456" i="8"/>
  <c r="CI456" i="8"/>
  <c r="CH456" i="8"/>
  <c r="CG456" i="8"/>
  <c r="CF456" i="8"/>
  <c r="CE456" i="8"/>
  <c r="CD456" i="8"/>
  <c r="CC456" i="8"/>
  <c r="CB456" i="8"/>
  <c r="CA456" i="8"/>
  <c r="BZ456" i="8"/>
  <c r="BY456" i="8"/>
  <c r="BX456" i="8"/>
  <c r="BW456" i="8"/>
  <c r="BV456" i="8"/>
  <c r="BU456" i="8"/>
  <c r="BT456" i="8"/>
  <c r="BS456" i="8"/>
  <c r="BR456" i="8"/>
  <c r="BQ456" i="8"/>
  <c r="BP456" i="8"/>
  <c r="BO456" i="8"/>
  <c r="BN456" i="8"/>
  <c r="BM456" i="8"/>
  <c r="BL456" i="8"/>
  <c r="BK456" i="8"/>
  <c r="BJ456" i="8"/>
  <c r="BI456" i="8"/>
  <c r="BH456" i="8"/>
  <c r="CJ452" i="8"/>
  <c r="CI452" i="8"/>
  <c r="CH452" i="8"/>
  <c r="CG452" i="8"/>
  <c r="CF452" i="8"/>
  <c r="CE452" i="8"/>
  <c r="CD452" i="8"/>
  <c r="CC452" i="8"/>
  <c r="CB452" i="8"/>
  <c r="CA452" i="8"/>
  <c r="BZ452" i="8"/>
  <c r="BY452" i="8"/>
  <c r="BX452" i="8"/>
  <c r="BW452" i="8"/>
  <c r="BV452" i="8"/>
  <c r="BU452" i="8"/>
  <c r="BT452" i="8"/>
  <c r="BS452" i="8"/>
  <c r="BR452" i="8"/>
  <c r="BQ452" i="8"/>
  <c r="BP452" i="8"/>
  <c r="BO452" i="8"/>
  <c r="BN452" i="8"/>
  <c r="BM452" i="8"/>
  <c r="BL452" i="8"/>
  <c r="BK452" i="8"/>
  <c r="BJ452" i="8"/>
  <c r="BI452" i="8"/>
  <c r="BH452" i="8"/>
  <c r="CJ448" i="8"/>
  <c r="CI448" i="8"/>
  <c r="CH448" i="8"/>
  <c r="CG448" i="8"/>
  <c r="CF448" i="8"/>
  <c r="CE448" i="8"/>
  <c r="CD448" i="8"/>
  <c r="CC448" i="8"/>
  <c r="CB448" i="8"/>
  <c r="CA448" i="8"/>
  <c r="BZ448" i="8"/>
  <c r="BY448" i="8"/>
  <c r="BX448" i="8"/>
  <c r="BW448" i="8"/>
  <c r="BV448" i="8"/>
  <c r="BU448" i="8"/>
  <c r="BT448" i="8"/>
  <c r="BS448" i="8"/>
  <c r="BR448" i="8"/>
  <c r="BQ448" i="8"/>
  <c r="BP448" i="8"/>
  <c r="BO448" i="8"/>
  <c r="BN448" i="8"/>
  <c r="BM448" i="8"/>
  <c r="BL448" i="8"/>
  <c r="BK448" i="8"/>
  <c r="BJ448" i="8"/>
  <c r="BI448" i="8"/>
  <c r="BH448" i="8"/>
  <c r="CJ436" i="8"/>
  <c r="CI436" i="8"/>
  <c r="CH436" i="8"/>
  <c r="CG436" i="8"/>
  <c r="CF436" i="8"/>
  <c r="CE436" i="8"/>
  <c r="CD436" i="8"/>
  <c r="CC436" i="8"/>
  <c r="CB436" i="8"/>
  <c r="CA436" i="8"/>
  <c r="BZ436" i="8"/>
  <c r="BY436" i="8"/>
  <c r="BX436" i="8"/>
  <c r="BW436" i="8"/>
  <c r="BV436" i="8"/>
  <c r="BU436" i="8"/>
  <c r="BT436" i="8"/>
  <c r="BS436" i="8"/>
  <c r="BR436" i="8"/>
  <c r="BQ436" i="8"/>
  <c r="BP436" i="8"/>
  <c r="BO436" i="8"/>
  <c r="BN436" i="8"/>
  <c r="BM436" i="8"/>
  <c r="BL436" i="8"/>
  <c r="BK436" i="8"/>
  <c r="BJ436" i="8"/>
  <c r="BI436" i="8"/>
  <c r="BH436" i="8"/>
  <c r="CJ432" i="8"/>
  <c r="CI432" i="8"/>
  <c r="CH432" i="8"/>
  <c r="CG432" i="8"/>
  <c r="CF432" i="8"/>
  <c r="CE432" i="8"/>
  <c r="CD432" i="8"/>
  <c r="CC432" i="8"/>
  <c r="CB432" i="8"/>
  <c r="CA432" i="8"/>
  <c r="BZ432" i="8"/>
  <c r="BY432" i="8"/>
  <c r="BX432" i="8"/>
  <c r="BW432" i="8"/>
  <c r="BV432" i="8"/>
  <c r="BU432" i="8"/>
  <c r="BT432" i="8"/>
  <c r="BS432" i="8"/>
  <c r="BR432" i="8"/>
  <c r="BQ432" i="8"/>
  <c r="BP432" i="8"/>
  <c r="BO432" i="8"/>
  <c r="BN432" i="8"/>
  <c r="BM432" i="8"/>
  <c r="BL432" i="8"/>
  <c r="BK432" i="8"/>
  <c r="BJ432" i="8"/>
  <c r="BI432" i="8"/>
  <c r="BH432" i="8"/>
  <c r="CJ428" i="8"/>
  <c r="CI428" i="8"/>
  <c r="CH428" i="8"/>
  <c r="CG428" i="8"/>
  <c r="CF428" i="8"/>
  <c r="CE428" i="8"/>
  <c r="CD428" i="8"/>
  <c r="CC428" i="8"/>
  <c r="CB428" i="8"/>
  <c r="CA428" i="8"/>
  <c r="BZ428" i="8"/>
  <c r="BY428" i="8"/>
  <c r="BX428" i="8"/>
  <c r="BW428" i="8"/>
  <c r="BV428" i="8"/>
  <c r="BU428" i="8"/>
  <c r="BT428" i="8"/>
  <c r="BS428" i="8"/>
  <c r="BR428" i="8"/>
  <c r="BQ428" i="8"/>
  <c r="BP428" i="8"/>
  <c r="BO428" i="8"/>
  <c r="BN428" i="8"/>
  <c r="BM428" i="8"/>
  <c r="BL428" i="8"/>
  <c r="BK428" i="8"/>
  <c r="BJ428" i="8"/>
  <c r="BI428" i="8"/>
  <c r="BH428" i="8"/>
  <c r="CJ424" i="8"/>
  <c r="CI424" i="8"/>
  <c r="CH424" i="8"/>
  <c r="CG424" i="8"/>
  <c r="CF424" i="8"/>
  <c r="CE424" i="8"/>
  <c r="CD424" i="8"/>
  <c r="CC424" i="8"/>
  <c r="CB424" i="8"/>
  <c r="CA424" i="8"/>
  <c r="BZ424" i="8"/>
  <c r="BY424" i="8"/>
  <c r="BX424" i="8"/>
  <c r="BW424" i="8"/>
  <c r="BV424" i="8"/>
  <c r="BU424" i="8"/>
  <c r="BT424" i="8"/>
  <c r="BS424" i="8"/>
  <c r="BR424" i="8"/>
  <c r="BQ424" i="8"/>
  <c r="BP424" i="8"/>
  <c r="BO424" i="8"/>
  <c r="BN424" i="8"/>
  <c r="BM424" i="8"/>
  <c r="BL424" i="8"/>
  <c r="BK424" i="8"/>
  <c r="BJ424" i="8"/>
  <c r="BI424" i="8"/>
  <c r="BH424" i="8"/>
  <c r="CJ474" i="8"/>
  <c r="CI474" i="8"/>
  <c r="CH474" i="8"/>
  <c r="CG474" i="8"/>
  <c r="CF474" i="8"/>
  <c r="CE474" i="8"/>
  <c r="CD474" i="8"/>
  <c r="CC474" i="8"/>
  <c r="CB474" i="8"/>
  <c r="CA474" i="8"/>
  <c r="BZ474" i="8"/>
  <c r="BY474" i="8"/>
  <c r="BX474" i="8"/>
  <c r="BW474" i="8"/>
  <c r="BV474" i="8"/>
  <c r="BU474" i="8"/>
  <c r="BT474" i="8"/>
  <c r="BS474" i="8"/>
  <c r="BR474" i="8"/>
  <c r="BQ474" i="8"/>
  <c r="BP474" i="8"/>
  <c r="BO474" i="8"/>
  <c r="BN474" i="8"/>
  <c r="BM474" i="8"/>
  <c r="BL474" i="8"/>
  <c r="BK474" i="8"/>
  <c r="BJ474" i="8"/>
  <c r="BI474" i="8"/>
  <c r="BH474" i="8"/>
  <c r="CJ475" i="8"/>
  <c r="CI475" i="8"/>
  <c r="CH475" i="8"/>
  <c r="CG475" i="8"/>
  <c r="CF475" i="8"/>
  <c r="CE475" i="8"/>
  <c r="CD475" i="8"/>
  <c r="CC475" i="8"/>
  <c r="CB475" i="8"/>
  <c r="CA475" i="8"/>
  <c r="BZ475" i="8"/>
  <c r="BY475" i="8"/>
  <c r="BX475" i="8"/>
  <c r="BW475" i="8"/>
  <c r="BV475" i="8"/>
  <c r="BU475" i="8"/>
  <c r="BT475" i="8"/>
  <c r="BS475" i="8"/>
  <c r="BR475" i="8"/>
  <c r="BQ475" i="8"/>
  <c r="BP475" i="8"/>
  <c r="BO475" i="8"/>
  <c r="BN475" i="8"/>
  <c r="BM475" i="8"/>
  <c r="BL475" i="8"/>
  <c r="BK475" i="8"/>
  <c r="BJ475" i="8"/>
  <c r="BI475" i="8"/>
  <c r="BH475" i="8"/>
  <c r="CJ476" i="8"/>
  <c r="CI476" i="8"/>
  <c r="CH476" i="8"/>
  <c r="CG476" i="8"/>
  <c r="CF476" i="8"/>
  <c r="CE476" i="8"/>
  <c r="CD476" i="8"/>
  <c r="CC476" i="8"/>
  <c r="CB476" i="8"/>
  <c r="CA476" i="8"/>
  <c r="BZ476" i="8"/>
  <c r="BY476" i="8"/>
  <c r="BX476" i="8"/>
  <c r="BW476" i="8"/>
  <c r="BV476" i="8"/>
  <c r="BU476" i="8"/>
  <c r="BT476" i="8"/>
  <c r="BS476" i="8"/>
  <c r="BR476" i="8"/>
  <c r="BQ476" i="8"/>
  <c r="BP476" i="8"/>
  <c r="BO476" i="8"/>
  <c r="BN476" i="8"/>
  <c r="BM476" i="8"/>
  <c r="BL476" i="8"/>
  <c r="BK476" i="8"/>
  <c r="BJ476" i="8"/>
  <c r="BI476" i="8"/>
  <c r="BH476" i="8"/>
  <c r="CJ477" i="8"/>
  <c r="CI477" i="8"/>
  <c r="CH477" i="8"/>
  <c r="CG477" i="8"/>
  <c r="CF477" i="8"/>
  <c r="CE477" i="8"/>
  <c r="CD477" i="8"/>
  <c r="CC477" i="8"/>
  <c r="CB477" i="8"/>
  <c r="CA477" i="8"/>
  <c r="BZ477" i="8"/>
  <c r="BY477" i="8"/>
  <c r="BX477" i="8"/>
  <c r="BW477" i="8"/>
  <c r="BV477" i="8"/>
  <c r="BU477" i="8"/>
  <c r="BT477" i="8"/>
  <c r="BS477" i="8"/>
  <c r="BR477" i="8"/>
  <c r="BQ477" i="8"/>
  <c r="BP477" i="8"/>
  <c r="BO477" i="8"/>
  <c r="BN477" i="8"/>
  <c r="BM477" i="8"/>
  <c r="BL477" i="8"/>
  <c r="BK477" i="8"/>
  <c r="BJ477" i="8"/>
  <c r="BI477" i="8"/>
  <c r="BH477" i="8"/>
  <c r="CJ478" i="8"/>
  <c r="CI478" i="8"/>
  <c r="CH478" i="8"/>
  <c r="CG478" i="8"/>
  <c r="CF478" i="8"/>
  <c r="CE478" i="8"/>
  <c r="CD478" i="8"/>
  <c r="CC478" i="8"/>
  <c r="CB478" i="8"/>
  <c r="CA478" i="8"/>
  <c r="BZ478" i="8"/>
  <c r="BY478" i="8"/>
  <c r="BX478" i="8"/>
  <c r="BW478" i="8"/>
  <c r="BV478" i="8"/>
  <c r="BU478" i="8"/>
  <c r="BT478" i="8"/>
  <c r="BS478" i="8"/>
  <c r="BR478" i="8"/>
  <c r="BQ478" i="8"/>
  <c r="BP478" i="8"/>
  <c r="BO478" i="8"/>
  <c r="BN478" i="8"/>
  <c r="BM478" i="8"/>
  <c r="BL478" i="8"/>
  <c r="BK478" i="8"/>
  <c r="BJ478" i="8"/>
  <c r="BI478" i="8"/>
  <c r="BH478" i="8"/>
  <c r="CJ479" i="8"/>
  <c r="CI479" i="8"/>
  <c r="CH479" i="8"/>
  <c r="CG479" i="8"/>
  <c r="CF479" i="8"/>
  <c r="CE479" i="8"/>
  <c r="CD479" i="8"/>
  <c r="CC479" i="8"/>
  <c r="CB479" i="8"/>
  <c r="CA479" i="8"/>
  <c r="BZ479" i="8"/>
  <c r="BY479" i="8"/>
  <c r="BX479" i="8"/>
  <c r="BW479" i="8"/>
  <c r="BV479" i="8"/>
  <c r="BU479" i="8"/>
  <c r="BT479" i="8"/>
  <c r="BS479" i="8"/>
  <c r="BR479" i="8"/>
  <c r="BQ479" i="8"/>
  <c r="BP479" i="8"/>
  <c r="BO479" i="8"/>
  <c r="BN479" i="8"/>
  <c r="BM479" i="8"/>
  <c r="BL479" i="8"/>
  <c r="BK479" i="8"/>
  <c r="BJ479" i="8"/>
  <c r="BI479" i="8"/>
  <c r="BH479" i="8"/>
  <c r="CJ480" i="8"/>
  <c r="CI480" i="8"/>
  <c r="CH480" i="8"/>
  <c r="CG480" i="8"/>
  <c r="CF480" i="8"/>
  <c r="CE480" i="8"/>
  <c r="CD480" i="8"/>
  <c r="CC480" i="8"/>
  <c r="CB480" i="8"/>
  <c r="CA480" i="8"/>
  <c r="BZ480" i="8"/>
  <c r="BY480" i="8"/>
  <c r="BX480" i="8"/>
  <c r="BW480" i="8"/>
  <c r="BV480" i="8"/>
  <c r="BU480" i="8"/>
  <c r="BT480" i="8"/>
  <c r="BS480" i="8"/>
  <c r="BR480" i="8"/>
  <c r="BQ480" i="8"/>
  <c r="BP480" i="8"/>
  <c r="BO480" i="8"/>
  <c r="BN480" i="8"/>
  <c r="BM480" i="8"/>
  <c r="BL480" i="8"/>
  <c r="BK480" i="8"/>
  <c r="BJ480" i="8"/>
  <c r="BI480" i="8"/>
  <c r="BH480" i="8"/>
  <c r="CJ481" i="8"/>
  <c r="CI481" i="8"/>
  <c r="CH481" i="8"/>
  <c r="CG481" i="8"/>
  <c r="CF481" i="8"/>
  <c r="CE481" i="8"/>
  <c r="CD481" i="8"/>
  <c r="CC481" i="8"/>
  <c r="CB481" i="8"/>
  <c r="CA481" i="8"/>
  <c r="BZ481" i="8"/>
  <c r="BY481" i="8"/>
  <c r="BX481" i="8"/>
  <c r="BW481" i="8"/>
  <c r="BV481" i="8"/>
  <c r="BU481" i="8"/>
  <c r="BT481" i="8"/>
  <c r="BS481" i="8"/>
  <c r="BR481" i="8"/>
  <c r="BQ481" i="8"/>
  <c r="BP481" i="8"/>
  <c r="BO481" i="8"/>
  <c r="BN481" i="8"/>
  <c r="BM481" i="8"/>
  <c r="BL481" i="8"/>
  <c r="BK481" i="8"/>
  <c r="BJ481" i="8"/>
  <c r="BI481" i="8"/>
  <c r="BH481" i="8"/>
  <c r="CJ482" i="8"/>
  <c r="CI482" i="8"/>
  <c r="CH482" i="8"/>
  <c r="CG482" i="8"/>
  <c r="CF482" i="8"/>
  <c r="CE482" i="8"/>
  <c r="CD482" i="8"/>
  <c r="CC482" i="8"/>
  <c r="CB482" i="8"/>
  <c r="CA482" i="8"/>
  <c r="BZ482" i="8"/>
  <c r="BY482" i="8"/>
  <c r="BX482" i="8"/>
  <c r="BW482" i="8"/>
  <c r="BV482" i="8"/>
  <c r="BU482" i="8"/>
  <c r="BT482" i="8"/>
  <c r="BS482" i="8"/>
  <c r="BR482" i="8"/>
  <c r="BQ482" i="8"/>
  <c r="BP482" i="8"/>
  <c r="BO482" i="8"/>
  <c r="BN482" i="8"/>
  <c r="BM482" i="8"/>
  <c r="BL482" i="8"/>
  <c r="BK482" i="8"/>
  <c r="BJ482" i="8"/>
  <c r="BI482" i="8"/>
  <c r="BH482" i="8"/>
  <c r="CJ483" i="8"/>
  <c r="CI483" i="8"/>
  <c r="CH483" i="8"/>
  <c r="CG483" i="8"/>
  <c r="CF483" i="8"/>
  <c r="CE483" i="8"/>
  <c r="CD483" i="8"/>
  <c r="CC483" i="8"/>
  <c r="CB483" i="8"/>
  <c r="CA483" i="8"/>
  <c r="BZ483" i="8"/>
  <c r="BY483" i="8"/>
  <c r="BX483" i="8"/>
  <c r="BW483" i="8"/>
  <c r="BV483" i="8"/>
  <c r="BU483" i="8"/>
  <c r="BT483" i="8"/>
  <c r="BS483" i="8"/>
  <c r="BR483" i="8"/>
  <c r="BQ483" i="8"/>
  <c r="BP483" i="8"/>
  <c r="BO483" i="8"/>
  <c r="BN483" i="8"/>
  <c r="BM483" i="8"/>
  <c r="BL483" i="8"/>
  <c r="BK483" i="8"/>
  <c r="BJ483" i="8"/>
  <c r="BI483" i="8"/>
  <c r="BH483" i="8"/>
  <c r="CJ484" i="8"/>
  <c r="CI484" i="8"/>
  <c r="CH484" i="8"/>
  <c r="CG484" i="8"/>
  <c r="CF484" i="8"/>
  <c r="CE484" i="8"/>
  <c r="CD484" i="8"/>
  <c r="CC484" i="8"/>
  <c r="CB484" i="8"/>
  <c r="CA484" i="8"/>
  <c r="BZ484" i="8"/>
  <c r="BY484" i="8"/>
  <c r="BX484" i="8"/>
  <c r="BW484" i="8"/>
  <c r="BV484" i="8"/>
  <c r="BU484" i="8"/>
  <c r="BT484" i="8"/>
  <c r="BS484" i="8"/>
  <c r="BR484" i="8"/>
  <c r="BQ484" i="8"/>
  <c r="BP484" i="8"/>
  <c r="BO484" i="8"/>
  <c r="BN484" i="8"/>
  <c r="BM484" i="8"/>
  <c r="BL484" i="8"/>
  <c r="BK484" i="8"/>
  <c r="BJ484" i="8"/>
  <c r="BI484" i="8"/>
  <c r="BH484" i="8"/>
  <c r="CJ485" i="8"/>
  <c r="CI485" i="8"/>
  <c r="CH485" i="8"/>
  <c r="CG485" i="8"/>
  <c r="CF485" i="8"/>
  <c r="CE485" i="8"/>
  <c r="CD485" i="8"/>
  <c r="CC485" i="8"/>
  <c r="CB485" i="8"/>
  <c r="CA485" i="8"/>
  <c r="BZ485" i="8"/>
  <c r="BY485" i="8"/>
  <c r="BX485" i="8"/>
  <c r="BW485" i="8"/>
  <c r="BV485" i="8"/>
  <c r="BU485" i="8"/>
  <c r="BT485" i="8"/>
  <c r="BS485" i="8"/>
  <c r="BR485" i="8"/>
  <c r="BQ485" i="8"/>
  <c r="BP485" i="8"/>
  <c r="BO485" i="8"/>
  <c r="BN485" i="8"/>
  <c r="BM485" i="8"/>
  <c r="BL485" i="8"/>
  <c r="BK485" i="8"/>
  <c r="BJ485" i="8"/>
  <c r="BI485" i="8"/>
  <c r="BH485" i="8"/>
  <c r="CJ492" i="8"/>
  <c r="CI492" i="8"/>
  <c r="CH492" i="8"/>
  <c r="CG492" i="8"/>
  <c r="CF492" i="8"/>
  <c r="CE492" i="8"/>
  <c r="CD492" i="8"/>
  <c r="CC492" i="8"/>
  <c r="CB492" i="8"/>
  <c r="CA492" i="8"/>
  <c r="BZ492" i="8"/>
  <c r="BY492" i="8"/>
  <c r="BX492" i="8"/>
  <c r="BW492" i="8"/>
  <c r="BV492" i="8"/>
  <c r="BU492" i="8"/>
  <c r="BT492" i="8"/>
  <c r="BS492" i="8"/>
  <c r="BR492" i="8"/>
  <c r="BQ492" i="8"/>
  <c r="BP492" i="8"/>
  <c r="BO492" i="8"/>
  <c r="BN492" i="8"/>
  <c r="BM492" i="8"/>
  <c r="BL492" i="8"/>
  <c r="BK492" i="8"/>
  <c r="BJ492" i="8"/>
  <c r="BI492" i="8"/>
  <c r="BH492" i="8"/>
  <c r="CJ493" i="8"/>
  <c r="CI493" i="8"/>
  <c r="CH493" i="8"/>
  <c r="CG493" i="8"/>
  <c r="CF493" i="8"/>
  <c r="CE493" i="8"/>
  <c r="CD493" i="8"/>
  <c r="CC493" i="8"/>
  <c r="CB493" i="8"/>
  <c r="CA493" i="8"/>
  <c r="BZ493" i="8"/>
  <c r="BY493" i="8"/>
  <c r="BX493" i="8"/>
  <c r="BW493" i="8"/>
  <c r="BV493" i="8"/>
  <c r="BU493" i="8"/>
  <c r="BT493" i="8"/>
  <c r="BS493" i="8"/>
  <c r="BR493" i="8"/>
  <c r="BQ493" i="8"/>
  <c r="BP493" i="8"/>
  <c r="BO493" i="8"/>
  <c r="BN493" i="8"/>
  <c r="BM493" i="8"/>
  <c r="BL493" i="8"/>
  <c r="BK493" i="8"/>
  <c r="BJ493" i="8"/>
  <c r="BI493" i="8"/>
  <c r="BH493" i="8"/>
  <c r="CJ494" i="8"/>
  <c r="CI494" i="8"/>
  <c r="CH494" i="8"/>
  <c r="CG494" i="8"/>
  <c r="CF494" i="8"/>
  <c r="CE494" i="8"/>
  <c r="CD494" i="8"/>
  <c r="CC494" i="8"/>
  <c r="CB494" i="8"/>
  <c r="CA494" i="8"/>
  <c r="BZ494" i="8"/>
  <c r="BY494" i="8"/>
  <c r="BX494" i="8"/>
  <c r="BW494" i="8"/>
  <c r="BV494" i="8"/>
  <c r="BU494" i="8"/>
  <c r="BT494" i="8"/>
  <c r="BS494" i="8"/>
  <c r="BR494" i="8"/>
  <c r="BQ494" i="8"/>
  <c r="BP494" i="8"/>
  <c r="BO494" i="8"/>
  <c r="BN494" i="8"/>
  <c r="BM494" i="8"/>
  <c r="BL494" i="8"/>
  <c r="BK494" i="8"/>
  <c r="BJ494" i="8"/>
  <c r="BI494" i="8"/>
  <c r="BH494" i="8"/>
  <c r="CJ495" i="8"/>
  <c r="CI495" i="8"/>
  <c r="CH495" i="8"/>
  <c r="CG495" i="8"/>
  <c r="CF495" i="8"/>
  <c r="CE495" i="8"/>
  <c r="CD495" i="8"/>
  <c r="CC495" i="8"/>
  <c r="CB495" i="8"/>
  <c r="CA495" i="8"/>
  <c r="BZ495" i="8"/>
  <c r="BY495" i="8"/>
  <c r="BX495" i="8"/>
  <c r="BW495" i="8"/>
  <c r="BV495" i="8"/>
  <c r="BU495" i="8"/>
  <c r="BT495" i="8"/>
  <c r="BS495" i="8"/>
  <c r="BR495" i="8"/>
  <c r="BQ495" i="8"/>
  <c r="BP495" i="8"/>
  <c r="BO495" i="8"/>
  <c r="BN495" i="8"/>
  <c r="BM495" i="8"/>
  <c r="BL495" i="8"/>
  <c r="BK495" i="8"/>
  <c r="BJ495" i="8"/>
  <c r="BI495" i="8"/>
  <c r="BH495" i="8"/>
  <c r="CJ496" i="8"/>
  <c r="CI496" i="8"/>
  <c r="CH496" i="8"/>
  <c r="CG496" i="8"/>
  <c r="CF496" i="8"/>
  <c r="CE496" i="8"/>
  <c r="CD496" i="8"/>
  <c r="CC496" i="8"/>
  <c r="CB496" i="8"/>
  <c r="CA496" i="8"/>
  <c r="BZ496" i="8"/>
  <c r="BY496" i="8"/>
  <c r="BX496" i="8"/>
  <c r="BW496" i="8"/>
  <c r="BV496" i="8"/>
  <c r="BU496" i="8"/>
  <c r="BT496" i="8"/>
  <c r="BS496" i="8"/>
  <c r="BR496" i="8"/>
  <c r="BQ496" i="8"/>
  <c r="BP496" i="8"/>
  <c r="BO496" i="8"/>
  <c r="BN496" i="8"/>
  <c r="BM496" i="8"/>
  <c r="BL496" i="8"/>
  <c r="BK496" i="8"/>
  <c r="BJ496" i="8"/>
  <c r="BI496" i="8"/>
  <c r="BH496" i="8"/>
  <c r="CJ497" i="8"/>
  <c r="CI497" i="8"/>
  <c r="CH497" i="8"/>
  <c r="CG497" i="8"/>
  <c r="CF497" i="8"/>
  <c r="CE497" i="8"/>
  <c r="CD497" i="8"/>
  <c r="CC497" i="8"/>
  <c r="CB497" i="8"/>
  <c r="CA497" i="8"/>
  <c r="BZ497" i="8"/>
  <c r="BY497" i="8"/>
  <c r="BX497" i="8"/>
  <c r="BW497" i="8"/>
  <c r="BV497" i="8"/>
  <c r="BU497" i="8"/>
  <c r="BT497" i="8"/>
  <c r="BS497" i="8"/>
  <c r="BR497" i="8"/>
  <c r="BQ497" i="8"/>
  <c r="BP497" i="8"/>
  <c r="BO497" i="8"/>
  <c r="BN497" i="8"/>
  <c r="BM497" i="8"/>
  <c r="BL497" i="8"/>
  <c r="BK497" i="8"/>
  <c r="BJ497" i="8"/>
  <c r="BI497" i="8"/>
  <c r="BH497" i="8"/>
  <c r="CJ498" i="8"/>
  <c r="CI498" i="8"/>
  <c r="CH498" i="8"/>
  <c r="CG498" i="8"/>
  <c r="CF498" i="8"/>
  <c r="CE498" i="8"/>
  <c r="CD498" i="8"/>
  <c r="CC498" i="8"/>
  <c r="CB498" i="8"/>
  <c r="CA498" i="8"/>
  <c r="BZ498" i="8"/>
  <c r="BY498" i="8"/>
  <c r="BX498" i="8"/>
  <c r="BW498" i="8"/>
  <c r="BV498" i="8"/>
  <c r="BU498" i="8"/>
  <c r="BT498" i="8"/>
  <c r="BS498" i="8"/>
  <c r="BR498" i="8"/>
  <c r="BQ498" i="8"/>
  <c r="BP498" i="8"/>
  <c r="BO498" i="8"/>
  <c r="BN498" i="8"/>
  <c r="BM498" i="8"/>
  <c r="BL498" i="8"/>
  <c r="BK498" i="8"/>
  <c r="BJ498" i="8"/>
  <c r="BI498" i="8"/>
  <c r="BH498" i="8"/>
  <c r="CJ499" i="8"/>
  <c r="CI499" i="8"/>
  <c r="CH499" i="8"/>
  <c r="CG499" i="8"/>
  <c r="CF499" i="8"/>
  <c r="CE499" i="8"/>
  <c r="CD499" i="8"/>
  <c r="CC499" i="8"/>
  <c r="CB499" i="8"/>
  <c r="CA499" i="8"/>
  <c r="BZ499" i="8"/>
  <c r="BY499" i="8"/>
  <c r="BX499" i="8"/>
  <c r="BW499" i="8"/>
  <c r="BV499" i="8"/>
  <c r="BU499" i="8"/>
  <c r="BT499" i="8"/>
  <c r="BS499" i="8"/>
  <c r="BR499" i="8"/>
  <c r="BQ499" i="8"/>
  <c r="BP499" i="8"/>
  <c r="BO499" i="8"/>
  <c r="BN499" i="8"/>
  <c r="BM499" i="8"/>
  <c r="BL499" i="8"/>
  <c r="BK499" i="8"/>
  <c r="BJ499" i="8"/>
  <c r="BI499" i="8"/>
  <c r="BH499" i="8"/>
  <c r="CJ500" i="8"/>
  <c r="CI500" i="8"/>
  <c r="CH500" i="8"/>
  <c r="CG500" i="8"/>
  <c r="CF500" i="8"/>
  <c r="CE500" i="8"/>
  <c r="CD500" i="8"/>
  <c r="CC500" i="8"/>
  <c r="CB500" i="8"/>
  <c r="CA500" i="8"/>
  <c r="BZ500" i="8"/>
  <c r="BY500" i="8"/>
  <c r="BX500" i="8"/>
  <c r="BW500" i="8"/>
  <c r="BV500" i="8"/>
  <c r="BU500" i="8"/>
  <c r="BT500" i="8"/>
  <c r="BS500" i="8"/>
  <c r="BR500" i="8"/>
  <c r="BQ500" i="8"/>
  <c r="BP500" i="8"/>
  <c r="BO500" i="8"/>
  <c r="BN500" i="8"/>
  <c r="BM500" i="8"/>
  <c r="BL500" i="8"/>
  <c r="BK500" i="8"/>
  <c r="BJ500" i="8"/>
  <c r="BI500" i="8"/>
  <c r="BH500" i="8"/>
  <c r="CJ501" i="8"/>
  <c r="CI501" i="8"/>
  <c r="CH501" i="8"/>
  <c r="CG501" i="8"/>
  <c r="CF501" i="8"/>
  <c r="CE501" i="8"/>
  <c r="CD501" i="8"/>
  <c r="CC501" i="8"/>
  <c r="CB501" i="8"/>
  <c r="CA501" i="8"/>
  <c r="BZ501" i="8"/>
  <c r="BY501" i="8"/>
  <c r="BX501" i="8"/>
  <c r="BW501" i="8"/>
  <c r="BV501" i="8"/>
  <c r="BU501" i="8"/>
  <c r="BT501" i="8"/>
  <c r="BS501" i="8"/>
  <c r="BR501" i="8"/>
  <c r="BQ501" i="8"/>
  <c r="BP501" i="8"/>
  <c r="BO501" i="8"/>
  <c r="BN501" i="8"/>
  <c r="BM501" i="8"/>
  <c r="BL501" i="8"/>
  <c r="BK501" i="8"/>
  <c r="BJ501" i="8"/>
  <c r="BI501" i="8"/>
  <c r="BH501" i="8"/>
  <c r="CJ502" i="8"/>
  <c r="CI502" i="8"/>
  <c r="CH502" i="8"/>
  <c r="CG502" i="8"/>
  <c r="CF502" i="8"/>
  <c r="CE502" i="8"/>
  <c r="CD502" i="8"/>
  <c r="CC502" i="8"/>
  <c r="CB502" i="8"/>
  <c r="CA502" i="8"/>
  <c r="BZ502" i="8"/>
  <c r="BY502" i="8"/>
  <c r="BX502" i="8"/>
  <c r="BW502" i="8"/>
  <c r="BV502" i="8"/>
  <c r="BU502" i="8"/>
  <c r="BT502" i="8"/>
  <c r="BS502" i="8"/>
  <c r="BR502" i="8"/>
  <c r="BQ502" i="8"/>
  <c r="BP502" i="8"/>
  <c r="BO502" i="8"/>
  <c r="BN502" i="8"/>
  <c r="BM502" i="8"/>
  <c r="BL502" i="8"/>
  <c r="BK502" i="8"/>
  <c r="BJ502" i="8"/>
  <c r="BI502" i="8"/>
  <c r="BH502" i="8"/>
  <c r="CJ503" i="8"/>
  <c r="CI503" i="8"/>
  <c r="CH503" i="8"/>
  <c r="CG503" i="8"/>
  <c r="CF503" i="8"/>
  <c r="CE503" i="8"/>
  <c r="CD503" i="8"/>
  <c r="CC503" i="8"/>
  <c r="CB503" i="8"/>
  <c r="CA503" i="8"/>
  <c r="BZ503" i="8"/>
  <c r="BY503" i="8"/>
  <c r="BX503" i="8"/>
  <c r="BW503" i="8"/>
  <c r="BV503" i="8"/>
  <c r="BU503" i="8"/>
  <c r="BT503" i="8"/>
  <c r="BS503" i="8"/>
  <c r="BR503" i="8"/>
  <c r="BQ503" i="8"/>
  <c r="BP503" i="8"/>
  <c r="BO503" i="8"/>
  <c r="BN503" i="8"/>
  <c r="BM503" i="8"/>
  <c r="BL503" i="8"/>
  <c r="BK503" i="8"/>
  <c r="BJ503" i="8"/>
  <c r="BI503" i="8"/>
  <c r="BH503" i="8"/>
  <c r="CJ504" i="8"/>
  <c r="CI504" i="8"/>
  <c r="CH504" i="8"/>
  <c r="CG504" i="8"/>
  <c r="CF504" i="8"/>
  <c r="CE504" i="8"/>
  <c r="CD504" i="8"/>
  <c r="CC504" i="8"/>
  <c r="CB504" i="8"/>
  <c r="CA504" i="8"/>
  <c r="BZ504" i="8"/>
  <c r="BY504" i="8"/>
  <c r="BX504" i="8"/>
  <c r="BW504" i="8"/>
  <c r="BV504" i="8"/>
  <c r="BU504" i="8"/>
  <c r="BT504" i="8"/>
  <c r="BS504" i="8"/>
  <c r="BR504" i="8"/>
  <c r="BQ504" i="8"/>
  <c r="BP504" i="8"/>
  <c r="BO504" i="8"/>
  <c r="BN504" i="8"/>
  <c r="BM504" i="8"/>
  <c r="BL504" i="8"/>
  <c r="BK504" i="8"/>
  <c r="BJ504" i="8"/>
  <c r="BI504" i="8"/>
  <c r="BH504" i="8"/>
  <c r="CJ505" i="8"/>
  <c r="CI505" i="8"/>
  <c r="CH505" i="8"/>
  <c r="CG505" i="8"/>
  <c r="CF505" i="8"/>
  <c r="CE505" i="8"/>
  <c r="CD505" i="8"/>
  <c r="CC505" i="8"/>
  <c r="CB505" i="8"/>
  <c r="CA505" i="8"/>
  <c r="BZ505" i="8"/>
  <c r="BY505" i="8"/>
  <c r="BX505" i="8"/>
  <c r="BW505" i="8"/>
  <c r="BV505" i="8"/>
  <c r="BU505" i="8"/>
  <c r="BT505" i="8"/>
  <c r="BS505" i="8"/>
  <c r="BR505" i="8"/>
  <c r="BQ505" i="8"/>
  <c r="BP505" i="8"/>
  <c r="BO505" i="8"/>
  <c r="BN505" i="8"/>
  <c r="BM505" i="8"/>
  <c r="BL505" i="8"/>
  <c r="BK505" i="8"/>
  <c r="BJ505" i="8"/>
  <c r="BI505" i="8"/>
  <c r="BH505" i="8"/>
  <c r="CJ506" i="8"/>
  <c r="CI506" i="8"/>
  <c r="CH506" i="8"/>
  <c r="CG506" i="8"/>
  <c r="CF506" i="8"/>
  <c r="CE506" i="8"/>
  <c r="CD506" i="8"/>
  <c r="CC506" i="8"/>
  <c r="CB506" i="8"/>
  <c r="CA506" i="8"/>
  <c r="BZ506" i="8"/>
  <c r="BY506" i="8"/>
  <c r="BX506" i="8"/>
  <c r="BW506" i="8"/>
  <c r="BV506" i="8"/>
  <c r="BU506" i="8"/>
  <c r="BT506" i="8"/>
  <c r="BS506" i="8"/>
  <c r="BR506" i="8"/>
  <c r="BQ506" i="8"/>
  <c r="BP506" i="8"/>
  <c r="BO506" i="8"/>
  <c r="BN506" i="8"/>
  <c r="BM506" i="8"/>
  <c r="BL506" i="8"/>
  <c r="BK506" i="8"/>
  <c r="BJ506" i="8"/>
  <c r="BI506" i="8"/>
  <c r="BH506" i="8"/>
  <c r="CJ507" i="8"/>
  <c r="CI507" i="8"/>
  <c r="CH507" i="8"/>
  <c r="CG507" i="8"/>
  <c r="CF507" i="8"/>
  <c r="CE507" i="8"/>
  <c r="CD507" i="8"/>
  <c r="CC507" i="8"/>
  <c r="CB507" i="8"/>
  <c r="CA507" i="8"/>
  <c r="BZ507" i="8"/>
  <c r="BY507" i="8"/>
  <c r="BX507" i="8"/>
  <c r="BW507" i="8"/>
  <c r="BV507" i="8"/>
  <c r="BU507" i="8"/>
  <c r="BT507" i="8"/>
  <c r="BS507" i="8"/>
  <c r="BR507" i="8"/>
  <c r="BQ507" i="8"/>
  <c r="BP507" i="8"/>
  <c r="BO507" i="8"/>
  <c r="BN507" i="8"/>
  <c r="BM507" i="8"/>
  <c r="BL507" i="8"/>
  <c r="BK507" i="8"/>
  <c r="BJ507" i="8"/>
  <c r="BI507" i="8"/>
  <c r="BH507" i="8"/>
  <c r="CJ508" i="8"/>
  <c r="CI508" i="8"/>
  <c r="CH508" i="8"/>
  <c r="CG508" i="8"/>
  <c r="CF508" i="8"/>
  <c r="CE508" i="8"/>
  <c r="CD508" i="8"/>
  <c r="CC508" i="8"/>
  <c r="CB508" i="8"/>
  <c r="CA508" i="8"/>
  <c r="BZ508" i="8"/>
  <c r="BY508" i="8"/>
  <c r="BX508" i="8"/>
  <c r="BW508" i="8"/>
  <c r="BV508" i="8"/>
  <c r="BU508" i="8"/>
  <c r="BT508" i="8"/>
  <c r="BS508" i="8"/>
  <c r="BR508" i="8"/>
  <c r="BQ508" i="8"/>
  <c r="BP508" i="8"/>
  <c r="BO508" i="8"/>
  <c r="BN508" i="8"/>
  <c r="BM508" i="8"/>
  <c r="BL508" i="8"/>
  <c r="BK508" i="8"/>
  <c r="BJ508" i="8"/>
  <c r="BI508" i="8"/>
  <c r="BH508" i="8"/>
  <c r="CJ509" i="8"/>
  <c r="CI509" i="8"/>
  <c r="CH509" i="8"/>
  <c r="CG509" i="8"/>
  <c r="CF509" i="8"/>
  <c r="CE509" i="8"/>
  <c r="CD509" i="8"/>
  <c r="CC509" i="8"/>
  <c r="CB509" i="8"/>
  <c r="CA509" i="8"/>
  <c r="BZ509" i="8"/>
  <c r="BY509" i="8"/>
  <c r="BX509" i="8"/>
  <c r="BW509" i="8"/>
  <c r="BV509" i="8"/>
  <c r="BU509" i="8"/>
  <c r="BT509" i="8"/>
  <c r="BS509" i="8"/>
  <c r="BR509" i="8"/>
  <c r="BQ509" i="8"/>
  <c r="BP509" i="8"/>
  <c r="BO509" i="8"/>
  <c r="BN509" i="8"/>
  <c r="BM509" i="8"/>
  <c r="BL509" i="8"/>
  <c r="BK509" i="8"/>
  <c r="BJ509" i="8"/>
  <c r="BI509" i="8"/>
  <c r="BH509" i="8"/>
  <c r="CJ242" i="8"/>
  <c r="CI242" i="8"/>
  <c r="CH242" i="8"/>
  <c r="CG242" i="8"/>
  <c r="CF242" i="8"/>
  <c r="CE242" i="8"/>
  <c r="CD242" i="8"/>
  <c r="CC242" i="8"/>
  <c r="CB242" i="8"/>
  <c r="CA242" i="8"/>
  <c r="BZ242" i="8"/>
  <c r="BY242" i="8"/>
  <c r="BX242" i="8"/>
  <c r="BW242" i="8"/>
  <c r="BV242" i="8"/>
  <c r="BU242" i="8"/>
  <c r="BT242" i="8"/>
  <c r="BS242" i="8"/>
  <c r="BR242" i="8"/>
  <c r="BQ242" i="8"/>
  <c r="BP242" i="8"/>
  <c r="BO242" i="8"/>
  <c r="BN242" i="8"/>
  <c r="BM242" i="8"/>
  <c r="BL242" i="8"/>
  <c r="BK242" i="8"/>
  <c r="BJ242" i="8"/>
  <c r="BI242" i="8"/>
  <c r="BH242" i="8"/>
  <c r="CJ243" i="8"/>
  <c r="CI243" i="8"/>
  <c r="CH243" i="8"/>
  <c r="CG243" i="8"/>
  <c r="CF243" i="8"/>
  <c r="CE243" i="8"/>
  <c r="CD243" i="8"/>
  <c r="CC243" i="8"/>
  <c r="CB243" i="8"/>
  <c r="CA243" i="8"/>
  <c r="BZ243" i="8"/>
  <c r="BY243" i="8"/>
  <c r="BX243" i="8"/>
  <c r="BW243" i="8"/>
  <c r="BV243" i="8"/>
  <c r="BU243" i="8"/>
  <c r="BT243" i="8"/>
  <c r="BS243" i="8"/>
  <c r="BR243" i="8"/>
  <c r="BQ243" i="8"/>
  <c r="BP243" i="8"/>
  <c r="BO243" i="8"/>
  <c r="BN243" i="8"/>
  <c r="BM243" i="8"/>
  <c r="BL243" i="8"/>
  <c r="BK243" i="8"/>
  <c r="BJ243" i="8"/>
  <c r="BI243" i="8"/>
  <c r="BH243" i="8"/>
  <c r="CJ244" i="8"/>
  <c r="CI244" i="8"/>
  <c r="CH244" i="8"/>
  <c r="CG244" i="8"/>
  <c r="CF244" i="8"/>
  <c r="CE244" i="8"/>
  <c r="CD244" i="8"/>
  <c r="CC244" i="8"/>
  <c r="CB244" i="8"/>
  <c r="CA244" i="8"/>
  <c r="BZ244" i="8"/>
  <c r="BY244" i="8"/>
  <c r="BX244" i="8"/>
  <c r="BW244" i="8"/>
  <c r="BV244" i="8"/>
  <c r="BU244" i="8"/>
  <c r="BT244" i="8"/>
  <c r="BS244" i="8"/>
  <c r="BR244" i="8"/>
  <c r="BQ244" i="8"/>
  <c r="BP244" i="8"/>
  <c r="BO244" i="8"/>
  <c r="BN244" i="8"/>
  <c r="BM244" i="8"/>
  <c r="BL244" i="8"/>
  <c r="BK244" i="8"/>
  <c r="BJ244" i="8"/>
  <c r="BI244" i="8"/>
  <c r="BH244" i="8"/>
  <c r="CJ245" i="8"/>
  <c r="CI245" i="8"/>
  <c r="CH245" i="8"/>
  <c r="CG245" i="8"/>
  <c r="CF245" i="8"/>
  <c r="CE245" i="8"/>
  <c r="CD245" i="8"/>
  <c r="CC245" i="8"/>
  <c r="CB245" i="8"/>
  <c r="CA245" i="8"/>
  <c r="BZ245" i="8"/>
  <c r="BY245" i="8"/>
  <c r="BX245" i="8"/>
  <c r="BW245" i="8"/>
  <c r="BV245" i="8"/>
  <c r="BU245" i="8"/>
  <c r="BT245" i="8"/>
  <c r="BS245" i="8"/>
  <c r="BR245" i="8"/>
  <c r="BQ245" i="8"/>
  <c r="BP245" i="8"/>
  <c r="BO245" i="8"/>
  <c r="BN245" i="8"/>
  <c r="BM245" i="8"/>
  <c r="BL245" i="8"/>
  <c r="BK245" i="8"/>
  <c r="BJ245" i="8"/>
  <c r="BI245" i="8"/>
  <c r="BH245" i="8"/>
  <c r="CJ246" i="8"/>
  <c r="CI246" i="8"/>
  <c r="CH246" i="8"/>
  <c r="CG246" i="8"/>
  <c r="CF246" i="8"/>
  <c r="CE246" i="8"/>
  <c r="CD246" i="8"/>
  <c r="CC246" i="8"/>
  <c r="CB246" i="8"/>
  <c r="CA246" i="8"/>
  <c r="BZ246" i="8"/>
  <c r="BY246" i="8"/>
  <c r="BX246" i="8"/>
  <c r="BW246" i="8"/>
  <c r="BV246" i="8"/>
  <c r="BU246" i="8"/>
  <c r="BT246" i="8"/>
  <c r="BS246" i="8"/>
  <c r="BR246" i="8"/>
  <c r="BQ246" i="8"/>
  <c r="BP246" i="8"/>
  <c r="BO246" i="8"/>
  <c r="BN246" i="8"/>
  <c r="BM246" i="8"/>
  <c r="BL246" i="8"/>
  <c r="BK246" i="8"/>
  <c r="BJ246" i="8"/>
  <c r="BI246" i="8"/>
  <c r="BH246" i="8"/>
  <c r="CJ247" i="8"/>
  <c r="CI247" i="8"/>
  <c r="CH247" i="8"/>
  <c r="CG247" i="8"/>
  <c r="CF247" i="8"/>
  <c r="CE247" i="8"/>
  <c r="CD247" i="8"/>
  <c r="CC247" i="8"/>
  <c r="CB247" i="8"/>
  <c r="CA247" i="8"/>
  <c r="BZ247" i="8"/>
  <c r="BY247" i="8"/>
  <c r="BX247" i="8"/>
  <c r="BW247" i="8"/>
  <c r="BV247" i="8"/>
  <c r="BU247" i="8"/>
  <c r="BT247" i="8"/>
  <c r="BS247" i="8"/>
  <c r="BR247" i="8"/>
  <c r="BQ247" i="8"/>
  <c r="BP247" i="8"/>
  <c r="BO247" i="8"/>
  <c r="BN247" i="8"/>
  <c r="BM247" i="8"/>
  <c r="BL247" i="8"/>
  <c r="BK247" i="8"/>
  <c r="BJ247" i="8"/>
  <c r="BI247" i="8"/>
  <c r="BH247" i="8"/>
  <c r="CJ230" i="8"/>
  <c r="CI230" i="8"/>
  <c r="CH230" i="8"/>
  <c r="CG230" i="8"/>
  <c r="CF230" i="8"/>
  <c r="CE230" i="8"/>
  <c r="CD230" i="8"/>
  <c r="CC230" i="8"/>
  <c r="CB230" i="8"/>
  <c r="CA230" i="8"/>
  <c r="BZ230" i="8"/>
  <c r="BY230" i="8"/>
  <c r="BX230" i="8"/>
  <c r="BW230" i="8"/>
  <c r="BV230" i="8"/>
  <c r="BU230" i="8"/>
  <c r="BT230" i="8"/>
  <c r="BS230" i="8"/>
  <c r="BR230" i="8"/>
  <c r="BQ230" i="8"/>
  <c r="BP230" i="8"/>
  <c r="BO230" i="8"/>
  <c r="BN230" i="8"/>
  <c r="BM230" i="8"/>
  <c r="BL230" i="8"/>
  <c r="BK230" i="8"/>
  <c r="BJ230" i="8"/>
  <c r="BI230" i="8"/>
  <c r="BH230" i="8"/>
  <c r="CJ231" i="8"/>
  <c r="CI231" i="8"/>
  <c r="CH231" i="8"/>
  <c r="CG231" i="8"/>
  <c r="CF231" i="8"/>
  <c r="CE231" i="8"/>
  <c r="CD231" i="8"/>
  <c r="CC231" i="8"/>
  <c r="CB231" i="8"/>
  <c r="CA231" i="8"/>
  <c r="BZ231" i="8"/>
  <c r="BY231" i="8"/>
  <c r="BX231" i="8"/>
  <c r="BW231" i="8"/>
  <c r="BV231" i="8"/>
  <c r="BU231" i="8"/>
  <c r="BT231" i="8"/>
  <c r="BS231" i="8"/>
  <c r="BR231" i="8"/>
  <c r="BQ231" i="8"/>
  <c r="BP231" i="8"/>
  <c r="BO231" i="8"/>
  <c r="BN231" i="8"/>
  <c r="BM231" i="8"/>
  <c r="BL231" i="8"/>
  <c r="BK231" i="8"/>
  <c r="BJ231" i="8"/>
  <c r="BI231" i="8"/>
  <c r="BH231" i="8"/>
  <c r="CJ232" i="8"/>
  <c r="CI232" i="8"/>
  <c r="CH232" i="8"/>
  <c r="CG232" i="8"/>
  <c r="CF232" i="8"/>
  <c r="CE232" i="8"/>
  <c r="CD232" i="8"/>
  <c r="CC232" i="8"/>
  <c r="CB232" i="8"/>
  <c r="CA232" i="8"/>
  <c r="BZ232" i="8"/>
  <c r="BY232" i="8"/>
  <c r="BX232" i="8"/>
  <c r="BW232" i="8"/>
  <c r="BV232" i="8"/>
  <c r="BU232" i="8"/>
  <c r="BT232" i="8"/>
  <c r="BS232" i="8"/>
  <c r="BR232" i="8"/>
  <c r="BQ232" i="8"/>
  <c r="BP232" i="8"/>
  <c r="BO232" i="8"/>
  <c r="BN232" i="8"/>
  <c r="BM232" i="8"/>
  <c r="BL232" i="8"/>
  <c r="BK232" i="8"/>
  <c r="BJ232" i="8"/>
  <c r="BI232" i="8"/>
  <c r="BH232" i="8"/>
  <c r="CJ233" i="8"/>
  <c r="CI233" i="8"/>
  <c r="CH233" i="8"/>
  <c r="CG233" i="8"/>
  <c r="CF233" i="8"/>
  <c r="CE233" i="8"/>
  <c r="CD233" i="8"/>
  <c r="CC233" i="8"/>
  <c r="CB233" i="8"/>
  <c r="CA233" i="8"/>
  <c r="BZ233" i="8"/>
  <c r="BY233" i="8"/>
  <c r="BX233" i="8"/>
  <c r="BW233" i="8"/>
  <c r="BV233" i="8"/>
  <c r="BU233" i="8"/>
  <c r="BT233" i="8"/>
  <c r="BS233" i="8"/>
  <c r="BR233" i="8"/>
  <c r="BQ233" i="8"/>
  <c r="BP233" i="8"/>
  <c r="BO233" i="8"/>
  <c r="BN233" i="8"/>
  <c r="BM233" i="8"/>
  <c r="BL233" i="8"/>
  <c r="BK233" i="8"/>
  <c r="BJ233" i="8"/>
  <c r="BI233" i="8"/>
  <c r="BH233" i="8"/>
  <c r="CJ234" i="8"/>
  <c r="CI234" i="8"/>
  <c r="CH234" i="8"/>
  <c r="CG234" i="8"/>
  <c r="CF234" i="8"/>
  <c r="CE234" i="8"/>
  <c r="CD234" i="8"/>
  <c r="CC234" i="8"/>
  <c r="CB234" i="8"/>
  <c r="CA234" i="8"/>
  <c r="BZ234" i="8"/>
  <c r="BY234" i="8"/>
  <c r="BX234" i="8"/>
  <c r="BW234" i="8"/>
  <c r="BV234" i="8"/>
  <c r="BU234" i="8"/>
  <c r="BT234" i="8"/>
  <c r="BS234" i="8"/>
  <c r="BR234" i="8"/>
  <c r="BQ234" i="8"/>
  <c r="BP234" i="8"/>
  <c r="BO234" i="8"/>
  <c r="BN234" i="8"/>
  <c r="BM234" i="8"/>
  <c r="BL234" i="8"/>
  <c r="BK234" i="8"/>
  <c r="BJ234" i="8"/>
  <c r="BI234" i="8"/>
  <c r="BH234" i="8"/>
  <c r="CJ235" i="8"/>
  <c r="CI235" i="8"/>
  <c r="CH235" i="8"/>
  <c r="CG235" i="8"/>
  <c r="CF235" i="8"/>
  <c r="CE235" i="8"/>
  <c r="CD235" i="8"/>
  <c r="CC235" i="8"/>
  <c r="CB235" i="8"/>
  <c r="CA235" i="8"/>
  <c r="BZ235" i="8"/>
  <c r="BY235" i="8"/>
  <c r="BX235" i="8"/>
  <c r="BW235" i="8"/>
  <c r="BV235" i="8"/>
  <c r="BU235" i="8"/>
  <c r="BT235" i="8"/>
  <c r="BS235" i="8"/>
  <c r="BR235" i="8"/>
  <c r="BQ235" i="8"/>
  <c r="BP235" i="8"/>
  <c r="BO235" i="8"/>
  <c r="BN235" i="8"/>
  <c r="BM235" i="8"/>
  <c r="BL235" i="8"/>
  <c r="BK235" i="8"/>
  <c r="BJ235" i="8"/>
  <c r="BI235" i="8"/>
  <c r="BH235" i="8"/>
  <c r="CJ236" i="8"/>
  <c r="CI236" i="8"/>
  <c r="CH236" i="8"/>
  <c r="CG236" i="8"/>
  <c r="CF236" i="8"/>
  <c r="CE236" i="8"/>
  <c r="CD236" i="8"/>
  <c r="CC236" i="8"/>
  <c r="CB236" i="8"/>
  <c r="CA236" i="8"/>
  <c r="BZ236" i="8"/>
  <c r="BY236" i="8"/>
  <c r="BX236" i="8"/>
  <c r="BW236" i="8"/>
  <c r="BV236" i="8"/>
  <c r="BU236" i="8"/>
  <c r="BT236" i="8"/>
  <c r="BS236" i="8"/>
  <c r="BR236" i="8"/>
  <c r="BQ236" i="8"/>
  <c r="BP236" i="8"/>
  <c r="BO236" i="8"/>
  <c r="BN236" i="8"/>
  <c r="BM236" i="8"/>
  <c r="BL236" i="8"/>
  <c r="BK236" i="8"/>
  <c r="BJ236" i="8"/>
  <c r="BI236" i="8"/>
  <c r="BH236" i="8"/>
  <c r="CJ237" i="8"/>
  <c r="CI237" i="8"/>
  <c r="CH237" i="8"/>
  <c r="CG237" i="8"/>
  <c r="CF237" i="8"/>
  <c r="CE237" i="8"/>
  <c r="CD237" i="8"/>
  <c r="CC237" i="8"/>
  <c r="CB237" i="8"/>
  <c r="CA237" i="8"/>
  <c r="BZ237" i="8"/>
  <c r="BY237" i="8"/>
  <c r="BX237" i="8"/>
  <c r="BW237" i="8"/>
  <c r="BV237" i="8"/>
  <c r="BU237" i="8"/>
  <c r="BT237" i="8"/>
  <c r="BS237" i="8"/>
  <c r="BR237" i="8"/>
  <c r="BQ237" i="8"/>
  <c r="BP237" i="8"/>
  <c r="BO237" i="8"/>
  <c r="BN237" i="8"/>
  <c r="BM237" i="8"/>
  <c r="BL237" i="8"/>
  <c r="BK237" i="8"/>
  <c r="BJ237" i="8"/>
  <c r="BI237" i="8"/>
  <c r="BH237" i="8"/>
  <c r="CJ238" i="8"/>
  <c r="CI238" i="8"/>
  <c r="CH238" i="8"/>
  <c r="CG238" i="8"/>
  <c r="CF238" i="8"/>
  <c r="CE238" i="8"/>
  <c r="CD238" i="8"/>
  <c r="CC238" i="8"/>
  <c r="CB238" i="8"/>
  <c r="CA238" i="8"/>
  <c r="BZ238" i="8"/>
  <c r="BY238" i="8"/>
  <c r="BX238" i="8"/>
  <c r="BW238" i="8"/>
  <c r="BV238" i="8"/>
  <c r="BU238" i="8"/>
  <c r="BT238" i="8"/>
  <c r="BS238" i="8"/>
  <c r="BR238" i="8"/>
  <c r="BQ238" i="8"/>
  <c r="BP238" i="8"/>
  <c r="BO238" i="8"/>
  <c r="BN238" i="8"/>
  <c r="BM238" i="8"/>
  <c r="BL238" i="8"/>
  <c r="BK238" i="8"/>
  <c r="BJ238" i="8"/>
  <c r="BI238" i="8"/>
  <c r="BH238" i="8"/>
  <c r="CJ239" i="8"/>
  <c r="CI239" i="8"/>
  <c r="CH239" i="8"/>
  <c r="CG239" i="8"/>
  <c r="CF239" i="8"/>
  <c r="CE239" i="8"/>
  <c r="CD239" i="8"/>
  <c r="CC239" i="8"/>
  <c r="CB239" i="8"/>
  <c r="CA239" i="8"/>
  <c r="BZ239" i="8"/>
  <c r="BY239" i="8"/>
  <c r="BX239" i="8"/>
  <c r="BW239" i="8"/>
  <c r="BV239" i="8"/>
  <c r="BU239" i="8"/>
  <c r="BT239" i="8"/>
  <c r="BS239" i="8"/>
  <c r="BR239" i="8"/>
  <c r="BQ239" i="8"/>
  <c r="BP239" i="8"/>
  <c r="BO239" i="8"/>
  <c r="BN239" i="8"/>
  <c r="BM239" i="8"/>
  <c r="BL239" i="8"/>
  <c r="BK239" i="8"/>
  <c r="BJ239" i="8"/>
  <c r="BI239" i="8"/>
  <c r="BH239" i="8"/>
  <c r="CJ240" i="8"/>
  <c r="CI240" i="8"/>
  <c r="CH240" i="8"/>
  <c r="CG240" i="8"/>
  <c r="CF240" i="8"/>
  <c r="CE240" i="8"/>
  <c r="CD240" i="8"/>
  <c r="CC240" i="8"/>
  <c r="CB240" i="8"/>
  <c r="CA240" i="8"/>
  <c r="BZ240" i="8"/>
  <c r="BY240" i="8"/>
  <c r="BX240" i="8"/>
  <c r="BW240" i="8"/>
  <c r="BV240" i="8"/>
  <c r="BU240" i="8"/>
  <c r="BT240" i="8"/>
  <c r="BS240" i="8"/>
  <c r="BR240" i="8"/>
  <c r="BQ240" i="8"/>
  <c r="BP240" i="8"/>
  <c r="BO240" i="8"/>
  <c r="BN240" i="8"/>
  <c r="BM240" i="8"/>
  <c r="BL240" i="8"/>
  <c r="BK240" i="8"/>
  <c r="BJ240" i="8"/>
  <c r="BI240" i="8"/>
  <c r="BH240" i="8"/>
  <c r="CJ241" i="8"/>
  <c r="CI241" i="8"/>
  <c r="CH241" i="8"/>
  <c r="CG241" i="8"/>
  <c r="CF241" i="8"/>
  <c r="CE241" i="8"/>
  <c r="CD241" i="8"/>
  <c r="CC241" i="8"/>
  <c r="CB241" i="8"/>
  <c r="CA241" i="8"/>
  <c r="BZ241" i="8"/>
  <c r="BY241" i="8"/>
  <c r="BX241" i="8"/>
  <c r="BW241" i="8"/>
  <c r="BV241" i="8"/>
  <c r="BU241" i="8"/>
  <c r="BT241" i="8"/>
  <c r="BS241" i="8"/>
  <c r="BR241" i="8"/>
  <c r="BQ241" i="8"/>
  <c r="BP241" i="8"/>
  <c r="BO241" i="8"/>
  <c r="BN241" i="8"/>
  <c r="BM241" i="8"/>
  <c r="BL241" i="8"/>
  <c r="BK241" i="8"/>
  <c r="BJ241" i="8"/>
  <c r="BI241" i="8"/>
  <c r="BH241" i="8"/>
  <c r="CJ198" i="8"/>
  <c r="CI198" i="8"/>
  <c r="CH198" i="8"/>
  <c r="CG198" i="8"/>
  <c r="CF198" i="8"/>
  <c r="CE198" i="8"/>
  <c r="CD198" i="8"/>
  <c r="CC198" i="8"/>
  <c r="CB198" i="8"/>
  <c r="CA198" i="8"/>
  <c r="BZ198" i="8"/>
  <c r="BY198" i="8"/>
  <c r="BX198" i="8"/>
  <c r="BW198" i="8"/>
  <c r="BV198" i="8"/>
  <c r="BU198" i="8"/>
  <c r="BT198" i="8"/>
  <c r="BS198" i="8"/>
  <c r="BR198" i="8"/>
  <c r="BQ198" i="8"/>
  <c r="BP198" i="8"/>
  <c r="BO198" i="8"/>
  <c r="BN198" i="8"/>
  <c r="BM198" i="8"/>
  <c r="BL198" i="8"/>
  <c r="BK198" i="8"/>
  <c r="BJ198" i="8"/>
  <c r="BI198" i="8"/>
  <c r="BH198" i="8"/>
  <c r="CJ194" i="8"/>
  <c r="CI194" i="8"/>
  <c r="CH194" i="8"/>
  <c r="CG194" i="8"/>
  <c r="CF194" i="8"/>
  <c r="CE194" i="8"/>
  <c r="CD194" i="8"/>
  <c r="CC194" i="8"/>
  <c r="CB194" i="8"/>
  <c r="CA194" i="8"/>
  <c r="BZ194" i="8"/>
  <c r="BY194" i="8"/>
  <c r="BX194" i="8"/>
  <c r="BW194" i="8"/>
  <c r="BV194" i="8"/>
  <c r="BU194" i="8"/>
  <c r="BT194" i="8"/>
  <c r="BS194" i="8"/>
  <c r="BR194" i="8"/>
  <c r="BQ194" i="8"/>
  <c r="BP194" i="8"/>
  <c r="BO194" i="8"/>
  <c r="BN194" i="8"/>
  <c r="BM194" i="8"/>
  <c r="BL194" i="8"/>
  <c r="BK194" i="8"/>
  <c r="BJ194" i="8"/>
  <c r="BI194" i="8"/>
  <c r="BH194" i="8"/>
  <c r="CJ190" i="8"/>
  <c r="CI190" i="8"/>
  <c r="CH190" i="8"/>
  <c r="CG190" i="8"/>
  <c r="CF190" i="8"/>
  <c r="CE190" i="8"/>
  <c r="CD190" i="8"/>
  <c r="CC190" i="8"/>
  <c r="CB190" i="8"/>
  <c r="CA190" i="8"/>
  <c r="BZ190" i="8"/>
  <c r="BY190" i="8"/>
  <c r="BX190" i="8"/>
  <c r="BW190" i="8"/>
  <c r="BV190" i="8"/>
  <c r="BU190" i="8"/>
  <c r="BT190" i="8"/>
  <c r="BS190" i="8"/>
  <c r="BR190" i="8"/>
  <c r="BQ190" i="8"/>
  <c r="BP190" i="8"/>
  <c r="BO190" i="8"/>
  <c r="BN190" i="8"/>
  <c r="BM190" i="8"/>
  <c r="BL190" i="8"/>
  <c r="BK190" i="8"/>
  <c r="BJ190" i="8"/>
  <c r="BI190" i="8"/>
  <c r="BH190" i="8"/>
  <c r="CJ186" i="8"/>
  <c r="CI186" i="8"/>
  <c r="CH186" i="8"/>
  <c r="CG186" i="8"/>
  <c r="CF186" i="8"/>
  <c r="CE186" i="8"/>
  <c r="CD186" i="8"/>
  <c r="CC186" i="8"/>
  <c r="CB186" i="8"/>
  <c r="CA186" i="8"/>
  <c r="BZ186" i="8"/>
  <c r="BY186" i="8"/>
  <c r="BX186" i="8"/>
  <c r="BW186" i="8"/>
  <c r="BV186" i="8"/>
  <c r="BU186" i="8"/>
  <c r="BT186" i="8"/>
  <c r="BS186" i="8"/>
  <c r="BR186" i="8"/>
  <c r="BQ186" i="8"/>
  <c r="BP186" i="8"/>
  <c r="BO186" i="8"/>
  <c r="BN186" i="8"/>
  <c r="BM186" i="8"/>
  <c r="BL186" i="8"/>
  <c r="BK186" i="8"/>
  <c r="BJ186" i="8"/>
  <c r="BI186" i="8"/>
  <c r="BH186" i="8"/>
  <c r="CJ182" i="8"/>
  <c r="CI182" i="8"/>
  <c r="CH182" i="8"/>
  <c r="CG182" i="8"/>
  <c r="CF182" i="8"/>
  <c r="CE182" i="8"/>
  <c r="CD182" i="8"/>
  <c r="CC182" i="8"/>
  <c r="CB182" i="8"/>
  <c r="CA182" i="8"/>
  <c r="BZ182" i="8"/>
  <c r="BY182" i="8"/>
  <c r="BX182" i="8"/>
  <c r="BW182" i="8"/>
  <c r="BV182" i="8"/>
  <c r="BU182" i="8"/>
  <c r="BT182" i="8"/>
  <c r="BS182" i="8"/>
  <c r="BR182" i="8"/>
  <c r="BQ182" i="8"/>
  <c r="BP182" i="8"/>
  <c r="BO182" i="8"/>
  <c r="BN182" i="8"/>
  <c r="BM182" i="8"/>
  <c r="BL182" i="8"/>
  <c r="BK182" i="8"/>
  <c r="BJ182" i="8"/>
  <c r="BI182" i="8"/>
  <c r="BH182" i="8"/>
  <c r="CJ178" i="8"/>
  <c r="CI178" i="8"/>
  <c r="CH178" i="8"/>
  <c r="CG178" i="8"/>
  <c r="CF178" i="8"/>
  <c r="CE178" i="8"/>
  <c r="CD178" i="8"/>
  <c r="CC178" i="8"/>
  <c r="CB178" i="8"/>
  <c r="CA178" i="8"/>
  <c r="BZ178" i="8"/>
  <c r="BY178" i="8"/>
  <c r="BX178" i="8"/>
  <c r="BW178" i="8"/>
  <c r="BV178" i="8"/>
  <c r="BU178" i="8"/>
  <c r="BT178" i="8"/>
  <c r="BS178" i="8"/>
  <c r="BR178" i="8"/>
  <c r="BQ178" i="8"/>
  <c r="BP178" i="8"/>
  <c r="BO178" i="8"/>
  <c r="BN178" i="8"/>
  <c r="BM178" i="8"/>
  <c r="BL178" i="8"/>
  <c r="BK178" i="8"/>
  <c r="BJ178" i="8"/>
  <c r="BI178" i="8"/>
  <c r="BH178" i="8"/>
  <c r="CJ174" i="8"/>
  <c r="CI174" i="8"/>
  <c r="CH174" i="8"/>
  <c r="CG174" i="8"/>
  <c r="CF174" i="8"/>
  <c r="CE174" i="8"/>
  <c r="CD174" i="8"/>
  <c r="CC174" i="8"/>
  <c r="CB174" i="8"/>
  <c r="CA174" i="8"/>
  <c r="BZ174" i="8"/>
  <c r="BY174" i="8"/>
  <c r="BX174" i="8"/>
  <c r="BW174" i="8"/>
  <c r="BV174" i="8"/>
  <c r="BU174" i="8"/>
  <c r="BT174" i="8"/>
  <c r="BS174" i="8"/>
  <c r="BR174" i="8"/>
  <c r="BQ174" i="8"/>
  <c r="BP174" i="8"/>
  <c r="BO174" i="8"/>
  <c r="BN174" i="8"/>
  <c r="BM174" i="8"/>
  <c r="BL174" i="8"/>
  <c r="BK174" i="8"/>
  <c r="BJ174" i="8"/>
  <c r="BI174" i="8"/>
  <c r="BH174" i="8"/>
  <c r="CJ170" i="8"/>
  <c r="CI170" i="8"/>
  <c r="CH170" i="8"/>
  <c r="CG170" i="8"/>
  <c r="CF170" i="8"/>
  <c r="CE170" i="8"/>
  <c r="CD170" i="8"/>
  <c r="CC170" i="8"/>
  <c r="CB170" i="8"/>
  <c r="CA170" i="8"/>
  <c r="BZ170" i="8"/>
  <c r="BY170" i="8"/>
  <c r="BX170" i="8"/>
  <c r="BW170" i="8"/>
  <c r="BV170" i="8"/>
  <c r="BU170" i="8"/>
  <c r="BT170" i="8"/>
  <c r="BS170" i="8"/>
  <c r="BR170" i="8"/>
  <c r="BQ170" i="8"/>
  <c r="BP170" i="8"/>
  <c r="BO170" i="8"/>
  <c r="BN170" i="8"/>
  <c r="BM170" i="8"/>
  <c r="BL170" i="8"/>
  <c r="BK170" i="8"/>
  <c r="BJ170" i="8"/>
  <c r="BI170" i="8"/>
  <c r="BH170" i="8"/>
  <c r="CJ166" i="8"/>
  <c r="CI166" i="8"/>
  <c r="CH166" i="8"/>
  <c r="CG166" i="8"/>
  <c r="CF166" i="8"/>
  <c r="CE166" i="8"/>
  <c r="CD166" i="8"/>
  <c r="CC166" i="8"/>
  <c r="CB166" i="8"/>
  <c r="CA166" i="8"/>
  <c r="BZ166" i="8"/>
  <c r="BY166" i="8"/>
  <c r="BX166" i="8"/>
  <c r="BW166" i="8"/>
  <c r="BV166" i="8"/>
  <c r="BU166" i="8"/>
  <c r="BT166" i="8"/>
  <c r="BS166" i="8"/>
  <c r="BR166" i="8"/>
  <c r="BQ166" i="8"/>
  <c r="BP166" i="8"/>
  <c r="BO166" i="8"/>
  <c r="BN166" i="8"/>
  <c r="BM166" i="8"/>
  <c r="BL166" i="8"/>
  <c r="BK166" i="8"/>
  <c r="BJ166" i="8"/>
  <c r="BI166" i="8"/>
  <c r="BH166" i="8"/>
  <c r="CJ162" i="8"/>
  <c r="CI162" i="8"/>
  <c r="CH162" i="8"/>
  <c r="CG162" i="8"/>
  <c r="CF162" i="8"/>
  <c r="CE162" i="8"/>
  <c r="CD162" i="8"/>
  <c r="CC162" i="8"/>
  <c r="CB162" i="8"/>
  <c r="CA162" i="8"/>
  <c r="BZ162" i="8"/>
  <c r="BY162" i="8"/>
  <c r="BX162" i="8"/>
  <c r="BW162" i="8"/>
  <c r="BV162" i="8"/>
  <c r="BU162" i="8"/>
  <c r="BT162" i="8"/>
  <c r="BS162" i="8"/>
  <c r="BR162" i="8"/>
  <c r="BQ162" i="8"/>
  <c r="BP162" i="8"/>
  <c r="BO162" i="8"/>
  <c r="BN162" i="8"/>
  <c r="BM162" i="8"/>
  <c r="BL162" i="8"/>
  <c r="BK162" i="8"/>
  <c r="BJ162" i="8"/>
  <c r="BI162" i="8"/>
  <c r="BH162" i="8"/>
  <c r="CJ200" i="8"/>
  <c r="CI200" i="8"/>
  <c r="CH200" i="8"/>
  <c r="CG200" i="8"/>
  <c r="CF200" i="8"/>
  <c r="CE200" i="8"/>
  <c r="CD200" i="8"/>
  <c r="CC200" i="8"/>
  <c r="CB200" i="8"/>
  <c r="CA200" i="8"/>
  <c r="BZ200" i="8"/>
  <c r="BY200" i="8"/>
  <c r="BX200" i="8"/>
  <c r="BW200" i="8"/>
  <c r="BV200" i="8"/>
  <c r="BU200" i="8"/>
  <c r="BT200" i="8"/>
  <c r="BS200" i="8"/>
  <c r="BR200" i="8"/>
  <c r="BQ200" i="8"/>
  <c r="BP200" i="8"/>
  <c r="BO200" i="8"/>
  <c r="BN200" i="8"/>
  <c r="BM200" i="8"/>
  <c r="BL200" i="8"/>
  <c r="BK200" i="8"/>
  <c r="BJ200" i="8"/>
  <c r="BI200" i="8"/>
  <c r="BH200" i="8"/>
  <c r="CJ201" i="8"/>
  <c r="CI201" i="8"/>
  <c r="CH201" i="8"/>
  <c r="CG201" i="8"/>
  <c r="CF201" i="8"/>
  <c r="CE201" i="8"/>
  <c r="CD201" i="8"/>
  <c r="CC201" i="8"/>
  <c r="CB201" i="8"/>
  <c r="CA201" i="8"/>
  <c r="BZ201" i="8"/>
  <c r="BY201" i="8"/>
  <c r="BX201" i="8"/>
  <c r="BW201" i="8"/>
  <c r="BV201" i="8"/>
  <c r="BU201" i="8"/>
  <c r="BT201" i="8"/>
  <c r="BS201" i="8"/>
  <c r="BR201" i="8"/>
  <c r="BQ201" i="8"/>
  <c r="BP201" i="8"/>
  <c r="BO201" i="8"/>
  <c r="BN201" i="8"/>
  <c r="BM201" i="8"/>
  <c r="BL201" i="8"/>
  <c r="BK201" i="8"/>
  <c r="BJ201" i="8"/>
  <c r="BI201" i="8"/>
  <c r="BH201" i="8"/>
  <c r="CJ202" i="8"/>
  <c r="CI202" i="8"/>
  <c r="CH202" i="8"/>
  <c r="CG202" i="8"/>
  <c r="CF202" i="8"/>
  <c r="CE202" i="8"/>
  <c r="CD202" i="8"/>
  <c r="CC202" i="8"/>
  <c r="CB202" i="8"/>
  <c r="CA202" i="8"/>
  <c r="BZ202" i="8"/>
  <c r="BY202" i="8"/>
  <c r="BX202" i="8"/>
  <c r="BW202" i="8"/>
  <c r="BV202" i="8"/>
  <c r="BU202" i="8"/>
  <c r="BT202" i="8"/>
  <c r="BS202" i="8"/>
  <c r="BR202" i="8"/>
  <c r="BQ202" i="8"/>
  <c r="BP202" i="8"/>
  <c r="BO202" i="8"/>
  <c r="BN202" i="8"/>
  <c r="BM202" i="8"/>
  <c r="BL202" i="8"/>
  <c r="BK202" i="8"/>
  <c r="BJ202" i="8"/>
  <c r="BI202" i="8"/>
  <c r="BH202" i="8"/>
  <c r="CJ203" i="8"/>
  <c r="CI203" i="8"/>
  <c r="CH203" i="8"/>
  <c r="CG203" i="8"/>
  <c r="CF203" i="8"/>
  <c r="CE203" i="8"/>
  <c r="CD203" i="8"/>
  <c r="CC203" i="8"/>
  <c r="CB203" i="8"/>
  <c r="CA203" i="8"/>
  <c r="BZ203" i="8"/>
  <c r="BY203" i="8"/>
  <c r="BX203" i="8"/>
  <c r="BW203" i="8"/>
  <c r="BV203" i="8"/>
  <c r="BU203" i="8"/>
  <c r="BT203" i="8"/>
  <c r="BS203" i="8"/>
  <c r="BR203" i="8"/>
  <c r="BQ203" i="8"/>
  <c r="BP203" i="8"/>
  <c r="BO203" i="8"/>
  <c r="BN203" i="8"/>
  <c r="BM203" i="8"/>
  <c r="BL203" i="8"/>
  <c r="BK203" i="8"/>
  <c r="BJ203" i="8"/>
  <c r="BI203" i="8"/>
  <c r="BH203" i="8"/>
  <c r="CJ204" i="8"/>
  <c r="CI204" i="8"/>
  <c r="CH204" i="8"/>
  <c r="CG204" i="8"/>
  <c r="CF204" i="8"/>
  <c r="CE204" i="8"/>
  <c r="CD204" i="8"/>
  <c r="CC204" i="8"/>
  <c r="CB204" i="8"/>
  <c r="CA204" i="8"/>
  <c r="BZ204" i="8"/>
  <c r="BY204" i="8"/>
  <c r="BX204" i="8"/>
  <c r="BW204" i="8"/>
  <c r="BV204" i="8"/>
  <c r="BU204" i="8"/>
  <c r="BT204" i="8"/>
  <c r="BS204" i="8"/>
  <c r="BR204" i="8"/>
  <c r="BQ204" i="8"/>
  <c r="BP204" i="8"/>
  <c r="BO204" i="8"/>
  <c r="BN204" i="8"/>
  <c r="BM204" i="8"/>
  <c r="BL204" i="8"/>
  <c r="BK204" i="8"/>
  <c r="BJ204" i="8"/>
  <c r="BI204" i="8"/>
  <c r="BH204" i="8"/>
  <c r="CJ205" i="8"/>
  <c r="CI205" i="8"/>
  <c r="CH205" i="8"/>
  <c r="CG205" i="8"/>
  <c r="CF205" i="8"/>
  <c r="CE205" i="8"/>
  <c r="CD205" i="8"/>
  <c r="CC205" i="8"/>
  <c r="CB205" i="8"/>
  <c r="CA205" i="8"/>
  <c r="BZ205" i="8"/>
  <c r="BY205" i="8"/>
  <c r="BX205" i="8"/>
  <c r="BW205" i="8"/>
  <c r="BV205" i="8"/>
  <c r="BU205" i="8"/>
  <c r="BT205" i="8"/>
  <c r="BS205" i="8"/>
  <c r="BR205" i="8"/>
  <c r="BQ205" i="8"/>
  <c r="BP205" i="8"/>
  <c r="BO205" i="8"/>
  <c r="BN205" i="8"/>
  <c r="BM205" i="8"/>
  <c r="BL205" i="8"/>
  <c r="BK205" i="8"/>
  <c r="BJ205" i="8"/>
  <c r="BI205" i="8"/>
  <c r="BH205" i="8"/>
  <c r="CJ206" i="8"/>
  <c r="CI206" i="8"/>
  <c r="CH206" i="8"/>
  <c r="CG206" i="8"/>
  <c r="CF206" i="8"/>
  <c r="CE206" i="8"/>
  <c r="CD206" i="8"/>
  <c r="CC206" i="8"/>
  <c r="CB206" i="8"/>
  <c r="CA206" i="8"/>
  <c r="BZ206" i="8"/>
  <c r="BY206" i="8"/>
  <c r="BX206" i="8"/>
  <c r="BW206" i="8"/>
  <c r="BV206" i="8"/>
  <c r="BU206" i="8"/>
  <c r="BT206" i="8"/>
  <c r="BS206" i="8"/>
  <c r="BR206" i="8"/>
  <c r="BQ206" i="8"/>
  <c r="BP206" i="8"/>
  <c r="BO206" i="8"/>
  <c r="BN206" i="8"/>
  <c r="BM206" i="8"/>
  <c r="BL206" i="8"/>
  <c r="BK206" i="8"/>
  <c r="BJ206" i="8"/>
  <c r="BI206" i="8"/>
  <c r="BH206" i="8"/>
  <c r="CJ207" i="8"/>
  <c r="CI207" i="8"/>
  <c r="CH207" i="8"/>
  <c r="CG207" i="8"/>
  <c r="CF207" i="8"/>
  <c r="CE207" i="8"/>
  <c r="CD207" i="8"/>
  <c r="CC207" i="8"/>
  <c r="CB207" i="8"/>
  <c r="CA207" i="8"/>
  <c r="BZ207" i="8"/>
  <c r="BY207" i="8"/>
  <c r="BX207" i="8"/>
  <c r="BW207" i="8"/>
  <c r="BV207" i="8"/>
  <c r="BU207" i="8"/>
  <c r="BT207" i="8"/>
  <c r="BS207" i="8"/>
  <c r="BR207" i="8"/>
  <c r="BQ207" i="8"/>
  <c r="BP207" i="8"/>
  <c r="BO207" i="8"/>
  <c r="BN207" i="8"/>
  <c r="BM207" i="8"/>
  <c r="BL207" i="8"/>
  <c r="BK207" i="8"/>
  <c r="BJ207" i="8"/>
  <c r="BI207" i="8"/>
  <c r="BH207" i="8"/>
  <c r="CJ208" i="8"/>
  <c r="CI208" i="8"/>
  <c r="CH208" i="8"/>
  <c r="CG208" i="8"/>
  <c r="CF208" i="8"/>
  <c r="CE208" i="8"/>
  <c r="CD208" i="8"/>
  <c r="CC208" i="8"/>
  <c r="CB208" i="8"/>
  <c r="CA208" i="8"/>
  <c r="BZ208" i="8"/>
  <c r="BY208" i="8"/>
  <c r="BX208" i="8"/>
  <c r="BW208" i="8"/>
  <c r="BV208" i="8"/>
  <c r="BU208" i="8"/>
  <c r="BT208" i="8"/>
  <c r="BS208" i="8"/>
  <c r="BR208" i="8"/>
  <c r="BQ208" i="8"/>
  <c r="BP208" i="8"/>
  <c r="BO208" i="8"/>
  <c r="BN208" i="8"/>
  <c r="BM208" i="8"/>
  <c r="BL208" i="8"/>
  <c r="BK208" i="8"/>
  <c r="BJ208" i="8"/>
  <c r="BI208" i="8"/>
  <c r="BH208" i="8"/>
  <c r="CJ209" i="8"/>
  <c r="CI209" i="8"/>
  <c r="CH209" i="8"/>
  <c r="CG209" i="8"/>
  <c r="CF209" i="8"/>
  <c r="CE209" i="8"/>
  <c r="CD209" i="8"/>
  <c r="CC209" i="8"/>
  <c r="CB209" i="8"/>
  <c r="CA209" i="8"/>
  <c r="BZ209" i="8"/>
  <c r="BY209" i="8"/>
  <c r="BX209" i="8"/>
  <c r="BW209" i="8"/>
  <c r="BV209" i="8"/>
  <c r="BU209" i="8"/>
  <c r="BT209" i="8"/>
  <c r="BS209" i="8"/>
  <c r="BR209" i="8"/>
  <c r="BQ209" i="8"/>
  <c r="BP209" i="8"/>
  <c r="BO209" i="8"/>
  <c r="BN209" i="8"/>
  <c r="BM209" i="8"/>
  <c r="BL209" i="8"/>
  <c r="BK209" i="8"/>
  <c r="BJ209" i="8"/>
  <c r="BI209" i="8"/>
  <c r="BH209" i="8"/>
  <c r="CJ210" i="8"/>
  <c r="CI210" i="8"/>
  <c r="CH210" i="8"/>
  <c r="CG210" i="8"/>
  <c r="CF210" i="8"/>
  <c r="CE210" i="8"/>
  <c r="CD210" i="8"/>
  <c r="CC210" i="8"/>
  <c r="CB210" i="8"/>
  <c r="CA210" i="8"/>
  <c r="BZ210" i="8"/>
  <c r="BY210" i="8"/>
  <c r="BX210" i="8"/>
  <c r="BW210" i="8"/>
  <c r="BV210" i="8"/>
  <c r="BU210" i="8"/>
  <c r="BT210" i="8"/>
  <c r="BS210" i="8"/>
  <c r="BR210" i="8"/>
  <c r="BQ210" i="8"/>
  <c r="BP210" i="8"/>
  <c r="BO210" i="8"/>
  <c r="BN210" i="8"/>
  <c r="BM210" i="8"/>
  <c r="BL210" i="8"/>
  <c r="BK210" i="8"/>
  <c r="BJ210" i="8"/>
  <c r="BI210" i="8"/>
  <c r="BH210" i="8"/>
  <c r="CJ211" i="8"/>
  <c r="CI211" i="8"/>
  <c r="CH211" i="8"/>
  <c r="CG211" i="8"/>
  <c r="CF211" i="8"/>
  <c r="CE211" i="8"/>
  <c r="CD211" i="8"/>
  <c r="CC211" i="8"/>
  <c r="CB211" i="8"/>
  <c r="CA211" i="8"/>
  <c r="BZ211" i="8"/>
  <c r="BY211" i="8"/>
  <c r="BX211" i="8"/>
  <c r="BW211" i="8"/>
  <c r="BV211" i="8"/>
  <c r="BU211" i="8"/>
  <c r="BT211" i="8"/>
  <c r="BS211" i="8"/>
  <c r="BR211" i="8"/>
  <c r="BQ211" i="8"/>
  <c r="BP211" i="8"/>
  <c r="BO211" i="8"/>
  <c r="BN211" i="8"/>
  <c r="BM211" i="8"/>
  <c r="BL211" i="8"/>
  <c r="BK211" i="8"/>
  <c r="BJ211" i="8"/>
  <c r="BI211" i="8"/>
  <c r="BH211" i="8"/>
  <c r="CJ212" i="8"/>
  <c r="CI212" i="8"/>
  <c r="CH212" i="8"/>
  <c r="CG212" i="8"/>
  <c r="CF212" i="8"/>
  <c r="CE212" i="8"/>
  <c r="CD212" i="8"/>
  <c r="CC212" i="8"/>
  <c r="CB212" i="8"/>
  <c r="CA212" i="8"/>
  <c r="BZ212" i="8"/>
  <c r="BY212" i="8"/>
  <c r="BX212" i="8"/>
  <c r="BW212" i="8"/>
  <c r="BV212" i="8"/>
  <c r="BU212" i="8"/>
  <c r="BT212" i="8"/>
  <c r="BS212" i="8"/>
  <c r="BR212" i="8"/>
  <c r="BQ212" i="8"/>
  <c r="BP212" i="8"/>
  <c r="BO212" i="8"/>
  <c r="BN212" i="8"/>
  <c r="BM212" i="8"/>
  <c r="BL212" i="8"/>
  <c r="BK212" i="8"/>
  <c r="BJ212" i="8"/>
  <c r="BI212" i="8"/>
  <c r="BH212" i="8"/>
  <c r="CJ213" i="8"/>
  <c r="CI213" i="8"/>
  <c r="CH213" i="8"/>
  <c r="CG213" i="8"/>
  <c r="CF213" i="8"/>
  <c r="CE213" i="8"/>
  <c r="CD213" i="8"/>
  <c r="CC213" i="8"/>
  <c r="CB213" i="8"/>
  <c r="CA213" i="8"/>
  <c r="BZ213" i="8"/>
  <c r="BY213" i="8"/>
  <c r="BX213" i="8"/>
  <c r="BW213" i="8"/>
  <c r="BV213" i="8"/>
  <c r="BU213" i="8"/>
  <c r="BT213" i="8"/>
  <c r="BS213" i="8"/>
  <c r="BR213" i="8"/>
  <c r="BQ213" i="8"/>
  <c r="BP213" i="8"/>
  <c r="BO213" i="8"/>
  <c r="BN213" i="8"/>
  <c r="BM213" i="8"/>
  <c r="BL213" i="8"/>
  <c r="BK213" i="8"/>
  <c r="BJ213" i="8"/>
  <c r="BI213" i="8"/>
  <c r="BH213" i="8"/>
  <c r="CJ214" i="8"/>
  <c r="CI214" i="8"/>
  <c r="CH214" i="8"/>
  <c r="CG214" i="8"/>
  <c r="CF214" i="8"/>
  <c r="CE214" i="8"/>
  <c r="CD214" i="8"/>
  <c r="CC214" i="8"/>
  <c r="CB214" i="8"/>
  <c r="CA214" i="8"/>
  <c r="BZ214" i="8"/>
  <c r="BY214" i="8"/>
  <c r="BX214" i="8"/>
  <c r="BW214" i="8"/>
  <c r="BV214" i="8"/>
  <c r="BU214" i="8"/>
  <c r="BT214" i="8"/>
  <c r="BS214" i="8"/>
  <c r="BR214" i="8"/>
  <c r="BQ214" i="8"/>
  <c r="BP214" i="8"/>
  <c r="BO214" i="8"/>
  <c r="BN214" i="8"/>
  <c r="BM214" i="8"/>
  <c r="BL214" i="8"/>
  <c r="BK214" i="8"/>
  <c r="BJ214" i="8"/>
  <c r="BI214" i="8"/>
  <c r="BH214" i="8"/>
  <c r="CJ215" i="8"/>
  <c r="CI215" i="8"/>
  <c r="CH215" i="8"/>
  <c r="CG215" i="8"/>
  <c r="CF215" i="8"/>
  <c r="CE215" i="8"/>
  <c r="CD215" i="8"/>
  <c r="CC215" i="8"/>
  <c r="CB215" i="8"/>
  <c r="CA215" i="8"/>
  <c r="BZ215" i="8"/>
  <c r="BY215" i="8"/>
  <c r="BX215" i="8"/>
  <c r="BW215" i="8"/>
  <c r="BV215" i="8"/>
  <c r="BU215" i="8"/>
  <c r="BT215" i="8"/>
  <c r="BS215" i="8"/>
  <c r="BR215" i="8"/>
  <c r="BQ215" i="8"/>
  <c r="BP215" i="8"/>
  <c r="BO215" i="8"/>
  <c r="BN215" i="8"/>
  <c r="BM215" i="8"/>
  <c r="BL215" i="8"/>
  <c r="BK215" i="8"/>
  <c r="BJ215" i="8"/>
  <c r="BI215" i="8"/>
  <c r="BH215" i="8"/>
  <c r="CJ216" i="8"/>
  <c r="CI216" i="8"/>
  <c r="CH216" i="8"/>
  <c r="CG216" i="8"/>
  <c r="CF216" i="8"/>
  <c r="CE216" i="8"/>
  <c r="CD216" i="8"/>
  <c r="CC216" i="8"/>
  <c r="CB216" i="8"/>
  <c r="CA216" i="8"/>
  <c r="BZ216" i="8"/>
  <c r="BY216" i="8"/>
  <c r="BX216" i="8"/>
  <c r="BW216" i="8"/>
  <c r="BV216" i="8"/>
  <c r="BU216" i="8"/>
  <c r="BT216" i="8"/>
  <c r="BS216" i="8"/>
  <c r="BR216" i="8"/>
  <c r="BQ216" i="8"/>
  <c r="BP216" i="8"/>
  <c r="BO216" i="8"/>
  <c r="BN216" i="8"/>
  <c r="BM216" i="8"/>
  <c r="BL216" i="8"/>
  <c r="BK216" i="8"/>
  <c r="BJ216" i="8"/>
  <c r="BI216" i="8"/>
  <c r="BH216" i="8"/>
  <c r="CJ217" i="8"/>
  <c r="CI217" i="8"/>
  <c r="CH217" i="8"/>
  <c r="CG217" i="8"/>
  <c r="CF217" i="8"/>
  <c r="CE217" i="8"/>
  <c r="CD217" i="8"/>
  <c r="CC217" i="8"/>
  <c r="CB217" i="8"/>
  <c r="CA217" i="8"/>
  <c r="BZ217" i="8"/>
  <c r="BY217" i="8"/>
  <c r="BX217" i="8"/>
  <c r="BW217" i="8"/>
  <c r="BV217" i="8"/>
  <c r="BU217" i="8"/>
  <c r="BT217" i="8"/>
  <c r="BS217" i="8"/>
  <c r="BR217" i="8"/>
  <c r="BQ217" i="8"/>
  <c r="BP217" i="8"/>
  <c r="BO217" i="8"/>
  <c r="BN217" i="8"/>
  <c r="BM217" i="8"/>
  <c r="BL217" i="8"/>
  <c r="BK217" i="8"/>
  <c r="BJ217" i="8"/>
  <c r="BI217" i="8"/>
  <c r="BH217" i="8"/>
  <c r="CJ218" i="8"/>
  <c r="CI218" i="8"/>
  <c r="CH218" i="8"/>
  <c r="CG218" i="8"/>
  <c r="CF218" i="8"/>
  <c r="CE218" i="8"/>
  <c r="CD218" i="8"/>
  <c r="CC218" i="8"/>
  <c r="CB218" i="8"/>
  <c r="CA218" i="8"/>
  <c r="BZ218" i="8"/>
  <c r="BY218" i="8"/>
  <c r="BX218" i="8"/>
  <c r="BW218" i="8"/>
  <c r="BV218" i="8"/>
  <c r="BU218" i="8"/>
  <c r="BT218" i="8"/>
  <c r="BS218" i="8"/>
  <c r="BR218" i="8"/>
  <c r="BQ218" i="8"/>
  <c r="BP218" i="8"/>
  <c r="BO218" i="8"/>
  <c r="BN218" i="8"/>
  <c r="BM218" i="8"/>
  <c r="BL218" i="8"/>
  <c r="BK218" i="8"/>
  <c r="BJ218" i="8"/>
  <c r="BI218" i="8"/>
  <c r="BH218" i="8"/>
  <c r="CJ219" i="8"/>
  <c r="CI219" i="8"/>
  <c r="CH219" i="8"/>
  <c r="CG219" i="8"/>
  <c r="CF219" i="8"/>
  <c r="CE219" i="8"/>
  <c r="CD219" i="8"/>
  <c r="CC219" i="8"/>
  <c r="CB219" i="8"/>
  <c r="CA219" i="8"/>
  <c r="BZ219" i="8"/>
  <c r="BY219" i="8"/>
  <c r="BX219" i="8"/>
  <c r="BW219" i="8"/>
  <c r="BV219" i="8"/>
  <c r="BU219" i="8"/>
  <c r="BT219" i="8"/>
  <c r="BS219" i="8"/>
  <c r="BR219" i="8"/>
  <c r="BQ219" i="8"/>
  <c r="BP219" i="8"/>
  <c r="BO219" i="8"/>
  <c r="BN219" i="8"/>
  <c r="BM219" i="8"/>
  <c r="BL219" i="8"/>
  <c r="BK219" i="8"/>
  <c r="BJ219" i="8"/>
  <c r="BI219" i="8"/>
  <c r="BH219" i="8"/>
  <c r="CJ220" i="8"/>
  <c r="CI220" i="8"/>
  <c r="CH220" i="8"/>
  <c r="CG220" i="8"/>
  <c r="CF220" i="8"/>
  <c r="CE220" i="8"/>
  <c r="CD220" i="8"/>
  <c r="CC220" i="8"/>
  <c r="CB220" i="8"/>
  <c r="CA220" i="8"/>
  <c r="BZ220" i="8"/>
  <c r="BY220" i="8"/>
  <c r="BX220" i="8"/>
  <c r="BW220" i="8"/>
  <c r="BV220" i="8"/>
  <c r="BU220" i="8"/>
  <c r="BT220" i="8"/>
  <c r="BS220" i="8"/>
  <c r="BR220" i="8"/>
  <c r="BQ220" i="8"/>
  <c r="BP220" i="8"/>
  <c r="BO220" i="8"/>
  <c r="BN220" i="8"/>
  <c r="BM220" i="8"/>
  <c r="BL220" i="8"/>
  <c r="BK220" i="8"/>
  <c r="BJ220" i="8"/>
  <c r="BI220" i="8"/>
  <c r="BH220" i="8"/>
  <c r="CJ221" i="8"/>
  <c r="CI221" i="8"/>
  <c r="CH221" i="8"/>
  <c r="CG221" i="8"/>
  <c r="CF221" i="8"/>
  <c r="CE221" i="8"/>
  <c r="CD221" i="8"/>
  <c r="CC221" i="8"/>
  <c r="CB221" i="8"/>
  <c r="CA221" i="8"/>
  <c r="BZ221" i="8"/>
  <c r="BY221" i="8"/>
  <c r="BX221" i="8"/>
  <c r="BW221" i="8"/>
  <c r="BV221" i="8"/>
  <c r="BU221" i="8"/>
  <c r="BT221" i="8"/>
  <c r="BS221" i="8"/>
  <c r="BR221" i="8"/>
  <c r="BQ221" i="8"/>
  <c r="BP221" i="8"/>
  <c r="BO221" i="8"/>
  <c r="BN221" i="8"/>
  <c r="BM221" i="8"/>
  <c r="BL221" i="8"/>
  <c r="BK221" i="8"/>
  <c r="BJ221" i="8"/>
  <c r="BI221" i="8"/>
  <c r="BH221" i="8"/>
  <c r="CJ222" i="8"/>
  <c r="CI222" i="8"/>
  <c r="CH222" i="8"/>
  <c r="CG222" i="8"/>
  <c r="CF222" i="8"/>
  <c r="CE222" i="8"/>
  <c r="CD222" i="8"/>
  <c r="CC222" i="8"/>
  <c r="CB222" i="8"/>
  <c r="CA222" i="8"/>
  <c r="BZ222" i="8"/>
  <c r="BY222" i="8"/>
  <c r="BX222" i="8"/>
  <c r="BW222" i="8"/>
  <c r="BV222" i="8"/>
  <c r="BU222" i="8"/>
  <c r="BT222" i="8"/>
  <c r="BS222" i="8"/>
  <c r="BR222" i="8"/>
  <c r="BQ222" i="8"/>
  <c r="BP222" i="8"/>
  <c r="BO222" i="8"/>
  <c r="BN222" i="8"/>
  <c r="BM222" i="8"/>
  <c r="BL222" i="8"/>
  <c r="BK222" i="8"/>
  <c r="BJ222" i="8"/>
  <c r="BI222" i="8"/>
  <c r="BH222" i="8"/>
  <c r="CJ223" i="8"/>
  <c r="CI223" i="8"/>
  <c r="CH223" i="8"/>
  <c r="CG223" i="8"/>
  <c r="CF223" i="8"/>
  <c r="CE223" i="8"/>
  <c r="CD223" i="8"/>
  <c r="CC223" i="8"/>
  <c r="CB223" i="8"/>
  <c r="CA223" i="8"/>
  <c r="BZ223" i="8"/>
  <c r="BY223" i="8"/>
  <c r="BX223" i="8"/>
  <c r="BW223" i="8"/>
  <c r="BV223" i="8"/>
  <c r="BU223" i="8"/>
  <c r="BT223" i="8"/>
  <c r="BS223" i="8"/>
  <c r="BR223" i="8"/>
  <c r="BQ223" i="8"/>
  <c r="BP223" i="8"/>
  <c r="BO223" i="8"/>
  <c r="BN223" i="8"/>
  <c r="BM223" i="8"/>
  <c r="BL223" i="8"/>
  <c r="BK223" i="8"/>
  <c r="BJ223" i="8"/>
  <c r="BI223" i="8"/>
  <c r="BH223" i="8"/>
  <c r="CJ224" i="8"/>
  <c r="CI224" i="8"/>
  <c r="CH224" i="8"/>
  <c r="CG224" i="8"/>
  <c r="CF224" i="8"/>
  <c r="CE224" i="8"/>
  <c r="CD224" i="8"/>
  <c r="CC224" i="8"/>
  <c r="CB224" i="8"/>
  <c r="CA224" i="8"/>
  <c r="BZ224" i="8"/>
  <c r="BY224" i="8"/>
  <c r="BX224" i="8"/>
  <c r="BW224" i="8"/>
  <c r="BV224" i="8"/>
  <c r="BU224" i="8"/>
  <c r="BT224" i="8"/>
  <c r="BS224" i="8"/>
  <c r="BR224" i="8"/>
  <c r="BQ224" i="8"/>
  <c r="BP224" i="8"/>
  <c r="BO224" i="8"/>
  <c r="BN224" i="8"/>
  <c r="BM224" i="8"/>
  <c r="BL224" i="8"/>
  <c r="BK224" i="8"/>
  <c r="BJ224" i="8"/>
  <c r="BI224" i="8"/>
  <c r="BH224" i="8"/>
  <c r="CJ225" i="8"/>
  <c r="CI225" i="8"/>
  <c r="CH225" i="8"/>
  <c r="CG225" i="8"/>
  <c r="CF225" i="8"/>
  <c r="CE225" i="8"/>
  <c r="CD225" i="8"/>
  <c r="CC225" i="8"/>
  <c r="CB225" i="8"/>
  <c r="CA225" i="8"/>
  <c r="BZ225" i="8"/>
  <c r="BY225" i="8"/>
  <c r="BX225" i="8"/>
  <c r="BW225" i="8"/>
  <c r="BV225" i="8"/>
  <c r="BU225" i="8"/>
  <c r="BT225" i="8"/>
  <c r="BS225" i="8"/>
  <c r="BR225" i="8"/>
  <c r="BQ225" i="8"/>
  <c r="BP225" i="8"/>
  <c r="BO225" i="8"/>
  <c r="BN225" i="8"/>
  <c r="BM225" i="8"/>
  <c r="BL225" i="8"/>
  <c r="BK225" i="8"/>
  <c r="BJ225" i="8"/>
  <c r="BI225" i="8"/>
  <c r="BH225" i="8"/>
  <c r="CJ226" i="8"/>
  <c r="CI226" i="8"/>
  <c r="CH226" i="8"/>
  <c r="CG226" i="8"/>
  <c r="CF226" i="8"/>
  <c r="CE226" i="8"/>
  <c r="CD226" i="8"/>
  <c r="CC226" i="8"/>
  <c r="CB226" i="8"/>
  <c r="CA226" i="8"/>
  <c r="BZ226" i="8"/>
  <c r="BY226" i="8"/>
  <c r="BX226" i="8"/>
  <c r="BW226" i="8"/>
  <c r="BV226" i="8"/>
  <c r="BU226" i="8"/>
  <c r="BT226" i="8"/>
  <c r="BS226" i="8"/>
  <c r="BR226" i="8"/>
  <c r="BQ226" i="8"/>
  <c r="BP226" i="8"/>
  <c r="BO226" i="8"/>
  <c r="BN226" i="8"/>
  <c r="BM226" i="8"/>
  <c r="BL226" i="8"/>
  <c r="BK226" i="8"/>
  <c r="BJ226" i="8"/>
  <c r="BI226" i="8"/>
  <c r="BH226" i="8"/>
  <c r="CJ227" i="8"/>
  <c r="CI227" i="8"/>
  <c r="CH227" i="8"/>
  <c r="CG227" i="8"/>
  <c r="CF227" i="8"/>
  <c r="CE227" i="8"/>
  <c r="CD227" i="8"/>
  <c r="CC227" i="8"/>
  <c r="CB227" i="8"/>
  <c r="CA227" i="8"/>
  <c r="BZ227" i="8"/>
  <c r="BY227" i="8"/>
  <c r="BX227" i="8"/>
  <c r="BW227" i="8"/>
  <c r="BV227" i="8"/>
  <c r="BU227" i="8"/>
  <c r="BT227" i="8"/>
  <c r="BS227" i="8"/>
  <c r="BR227" i="8"/>
  <c r="BQ227" i="8"/>
  <c r="BP227" i="8"/>
  <c r="BO227" i="8"/>
  <c r="BN227" i="8"/>
  <c r="BM227" i="8"/>
  <c r="BL227" i="8"/>
  <c r="BK227" i="8"/>
  <c r="BJ227" i="8"/>
  <c r="BI227" i="8"/>
  <c r="BH227" i="8"/>
  <c r="CJ228" i="8"/>
  <c r="CI228" i="8"/>
  <c r="CH228" i="8"/>
  <c r="CG228" i="8"/>
  <c r="CF228" i="8"/>
  <c r="CE228" i="8"/>
  <c r="CD228" i="8"/>
  <c r="CC228" i="8"/>
  <c r="CB228" i="8"/>
  <c r="CA228" i="8"/>
  <c r="BZ228" i="8"/>
  <c r="BY228" i="8"/>
  <c r="BX228" i="8"/>
  <c r="BW228" i="8"/>
  <c r="BV228" i="8"/>
  <c r="BU228" i="8"/>
  <c r="BT228" i="8"/>
  <c r="BS228" i="8"/>
  <c r="BR228" i="8"/>
  <c r="BQ228" i="8"/>
  <c r="BP228" i="8"/>
  <c r="BO228" i="8"/>
  <c r="BN228" i="8"/>
  <c r="BM228" i="8"/>
  <c r="BL228" i="8"/>
  <c r="BK228" i="8"/>
  <c r="BJ228" i="8"/>
  <c r="BI228" i="8"/>
  <c r="BH228" i="8"/>
  <c r="CJ229" i="8"/>
  <c r="CI229" i="8"/>
  <c r="CH229" i="8"/>
  <c r="CG229" i="8"/>
  <c r="CF229" i="8"/>
  <c r="CE229" i="8"/>
  <c r="CD229" i="8"/>
  <c r="CC229" i="8"/>
  <c r="CB229" i="8"/>
  <c r="CA229" i="8"/>
  <c r="BZ229" i="8"/>
  <c r="BY229" i="8"/>
  <c r="BX229" i="8"/>
  <c r="BW229" i="8"/>
  <c r="BV229" i="8"/>
  <c r="BU229" i="8"/>
  <c r="BT229" i="8"/>
  <c r="BS229" i="8"/>
  <c r="BR229" i="8"/>
  <c r="BQ229" i="8"/>
  <c r="BP229" i="8"/>
  <c r="BO229" i="8"/>
  <c r="BN229" i="8"/>
  <c r="BM229" i="8"/>
  <c r="BL229" i="8"/>
  <c r="BK229" i="8"/>
  <c r="BJ229" i="8"/>
  <c r="BI229" i="8"/>
  <c r="BH229" i="8"/>
  <c r="CJ779" i="8"/>
  <c r="CI779" i="8"/>
  <c r="CH779" i="8"/>
  <c r="CG779" i="8"/>
  <c r="CF779" i="8"/>
  <c r="CE779" i="8"/>
  <c r="CD779" i="8"/>
  <c r="CC779" i="8"/>
  <c r="CB779" i="8"/>
  <c r="CA779" i="8"/>
  <c r="BZ779" i="8"/>
  <c r="BY779" i="8"/>
  <c r="BX779" i="8"/>
  <c r="BW779" i="8"/>
  <c r="BV779" i="8"/>
  <c r="BU779" i="8"/>
  <c r="BT779" i="8"/>
  <c r="BS779" i="8"/>
  <c r="BR779" i="8"/>
  <c r="BQ779" i="8"/>
  <c r="BP779" i="8"/>
  <c r="BO779" i="8"/>
  <c r="BN779" i="8"/>
  <c r="BM779" i="8"/>
  <c r="BL779" i="8"/>
  <c r="BK779" i="8"/>
  <c r="BJ779" i="8"/>
  <c r="BI779" i="8"/>
  <c r="BH779" i="8"/>
  <c r="CJ778" i="8"/>
  <c r="CI778" i="8"/>
  <c r="CH778" i="8"/>
  <c r="CG778" i="8"/>
  <c r="CF778" i="8"/>
  <c r="CE778" i="8"/>
  <c r="CD778" i="8"/>
  <c r="CC778" i="8"/>
  <c r="CB778" i="8"/>
  <c r="CA778" i="8"/>
  <c r="BZ778" i="8"/>
  <c r="BY778" i="8"/>
  <c r="BX778" i="8"/>
  <c r="BW778" i="8"/>
  <c r="BV778" i="8"/>
  <c r="BU778" i="8"/>
  <c r="BT778" i="8"/>
  <c r="BS778" i="8"/>
  <c r="BR778" i="8"/>
  <c r="BQ778" i="8"/>
  <c r="BP778" i="8"/>
  <c r="BO778" i="8"/>
  <c r="BN778" i="8"/>
  <c r="BM778" i="8"/>
  <c r="BL778" i="8"/>
  <c r="BK778" i="8"/>
  <c r="BJ778" i="8"/>
  <c r="BI778" i="8"/>
  <c r="BH778" i="8"/>
  <c r="CJ777" i="8"/>
  <c r="CI777" i="8"/>
  <c r="CH777" i="8"/>
  <c r="CG777" i="8"/>
  <c r="CF777" i="8"/>
  <c r="CE777" i="8"/>
  <c r="CD777" i="8"/>
  <c r="CC777" i="8"/>
  <c r="CB777" i="8"/>
  <c r="CA777" i="8"/>
  <c r="BZ777" i="8"/>
  <c r="BY777" i="8"/>
  <c r="BX777" i="8"/>
  <c r="BW777" i="8"/>
  <c r="BV777" i="8"/>
  <c r="BU777" i="8"/>
  <c r="BT777" i="8"/>
  <c r="BS777" i="8"/>
  <c r="BR777" i="8"/>
  <c r="BQ777" i="8"/>
  <c r="BP777" i="8"/>
  <c r="BO777" i="8"/>
  <c r="BN777" i="8"/>
  <c r="BM777" i="8"/>
  <c r="BL777" i="8"/>
  <c r="BK777" i="8"/>
  <c r="BJ777" i="8"/>
  <c r="BI777" i="8"/>
  <c r="BH777" i="8"/>
  <c r="CJ776" i="8"/>
  <c r="CI776" i="8"/>
  <c r="CH776" i="8"/>
  <c r="CG776" i="8"/>
  <c r="CF776" i="8"/>
  <c r="CE776" i="8"/>
  <c r="CD776" i="8"/>
  <c r="CC776" i="8"/>
  <c r="CB776" i="8"/>
  <c r="CA776" i="8"/>
  <c r="BZ776" i="8"/>
  <c r="BY776" i="8"/>
  <c r="BX776" i="8"/>
  <c r="BW776" i="8"/>
  <c r="BV776" i="8"/>
  <c r="BU776" i="8"/>
  <c r="BT776" i="8"/>
  <c r="BS776" i="8"/>
  <c r="BR776" i="8"/>
  <c r="BQ776" i="8"/>
  <c r="BP776" i="8"/>
  <c r="BO776" i="8"/>
  <c r="BN776" i="8"/>
  <c r="BM776" i="8"/>
  <c r="BL776" i="8"/>
  <c r="BK776" i="8"/>
  <c r="BJ776" i="8"/>
  <c r="BI776" i="8"/>
  <c r="BH776" i="8"/>
  <c r="CJ775" i="8"/>
  <c r="CI775" i="8"/>
  <c r="CH775" i="8"/>
  <c r="CG775" i="8"/>
  <c r="CF775" i="8"/>
  <c r="CE775" i="8"/>
  <c r="CD775" i="8"/>
  <c r="CC775" i="8"/>
  <c r="CB775" i="8"/>
  <c r="CA775" i="8"/>
  <c r="BZ775" i="8"/>
  <c r="BY775" i="8"/>
  <c r="BX775" i="8"/>
  <c r="BW775" i="8"/>
  <c r="BV775" i="8"/>
  <c r="BU775" i="8"/>
  <c r="BT775" i="8"/>
  <c r="BS775" i="8"/>
  <c r="BR775" i="8"/>
  <c r="BQ775" i="8"/>
  <c r="BP775" i="8"/>
  <c r="BO775" i="8"/>
  <c r="BN775" i="8"/>
  <c r="BM775" i="8"/>
  <c r="BL775" i="8"/>
  <c r="BK775" i="8"/>
  <c r="BJ775" i="8"/>
  <c r="BI775" i="8"/>
  <c r="BH775" i="8"/>
  <c r="CJ774" i="8"/>
  <c r="CI774" i="8"/>
  <c r="CH774" i="8"/>
  <c r="CG774" i="8"/>
  <c r="CF774" i="8"/>
  <c r="CE774" i="8"/>
  <c r="CD774" i="8"/>
  <c r="CC774" i="8"/>
  <c r="CB774" i="8"/>
  <c r="CA774" i="8"/>
  <c r="BZ774" i="8"/>
  <c r="BY774" i="8"/>
  <c r="BX774" i="8"/>
  <c r="BW774" i="8"/>
  <c r="BV774" i="8"/>
  <c r="BU774" i="8"/>
  <c r="BT774" i="8"/>
  <c r="BS774" i="8"/>
  <c r="BR774" i="8"/>
  <c r="BQ774" i="8"/>
  <c r="BP774" i="8"/>
  <c r="BO774" i="8"/>
  <c r="BN774" i="8"/>
  <c r="BM774" i="8"/>
  <c r="BL774" i="8"/>
  <c r="BK774" i="8"/>
  <c r="BJ774" i="8"/>
  <c r="BI774" i="8"/>
  <c r="BH774" i="8"/>
  <c r="CJ773" i="8"/>
  <c r="CI773" i="8"/>
  <c r="CH773" i="8"/>
  <c r="CG773" i="8"/>
  <c r="CF773" i="8"/>
  <c r="CE773" i="8"/>
  <c r="CD773" i="8"/>
  <c r="CC773" i="8"/>
  <c r="CB773" i="8"/>
  <c r="CA773" i="8"/>
  <c r="BZ773" i="8"/>
  <c r="BY773" i="8"/>
  <c r="BX773" i="8"/>
  <c r="BW773" i="8"/>
  <c r="BV773" i="8"/>
  <c r="BU773" i="8"/>
  <c r="BT773" i="8"/>
  <c r="BS773" i="8"/>
  <c r="BR773" i="8"/>
  <c r="BQ773" i="8"/>
  <c r="BP773" i="8"/>
  <c r="BO773" i="8"/>
  <c r="BN773" i="8"/>
  <c r="BM773" i="8"/>
  <c r="BL773" i="8"/>
  <c r="BK773" i="8"/>
  <c r="BJ773" i="8"/>
  <c r="BI773" i="8"/>
  <c r="BH773" i="8"/>
  <c r="CJ772" i="8"/>
  <c r="CI772" i="8"/>
  <c r="CH772" i="8"/>
  <c r="CG772" i="8"/>
  <c r="CF772" i="8"/>
  <c r="CE772" i="8"/>
  <c r="CD772" i="8"/>
  <c r="CC772" i="8"/>
  <c r="CB772" i="8"/>
  <c r="CA772" i="8"/>
  <c r="BZ772" i="8"/>
  <c r="BY772" i="8"/>
  <c r="BX772" i="8"/>
  <c r="BW772" i="8"/>
  <c r="BV772" i="8"/>
  <c r="BU772" i="8"/>
  <c r="BT772" i="8"/>
  <c r="BS772" i="8"/>
  <c r="BR772" i="8"/>
  <c r="BQ772" i="8"/>
  <c r="BP772" i="8"/>
  <c r="BO772" i="8"/>
  <c r="BN772" i="8"/>
  <c r="BM772" i="8"/>
  <c r="BL772" i="8"/>
  <c r="BK772" i="8"/>
  <c r="BJ772" i="8"/>
  <c r="BI772" i="8"/>
  <c r="BH772" i="8"/>
  <c r="CJ767" i="8"/>
  <c r="CI767" i="8"/>
  <c r="CH767" i="8"/>
  <c r="CG767" i="8"/>
  <c r="CF767" i="8"/>
  <c r="CE767" i="8"/>
  <c r="CD767" i="8"/>
  <c r="CC767" i="8"/>
  <c r="CB767" i="8"/>
  <c r="CA767" i="8"/>
  <c r="BZ767" i="8"/>
  <c r="BY767" i="8"/>
  <c r="BX767" i="8"/>
  <c r="BW767" i="8"/>
  <c r="BV767" i="8"/>
  <c r="BU767" i="8"/>
  <c r="BT767" i="8"/>
  <c r="BS767" i="8"/>
  <c r="BR767" i="8"/>
  <c r="BQ767" i="8"/>
  <c r="BP767" i="8"/>
  <c r="BO767" i="8"/>
  <c r="BN767" i="8"/>
  <c r="BM767" i="8"/>
  <c r="BL767" i="8"/>
  <c r="BK767" i="8"/>
  <c r="BJ767" i="8"/>
  <c r="BI767" i="8"/>
  <c r="BH767" i="8"/>
  <c r="CJ766" i="8"/>
  <c r="CI766" i="8"/>
  <c r="CH766" i="8"/>
  <c r="CG766" i="8"/>
  <c r="CF766" i="8"/>
  <c r="CE766" i="8"/>
  <c r="CD766" i="8"/>
  <c r="CC766" i="8"/>
  <c r="CB766" i="8"/>
  <c r="CA766" i="8"/>
  <c r="BZ766" i="8"/>
  <c r="BY766" i="8"/>
  <c r="BX766" i="8"/>
  <c r="BW766" i="8"/>
  <c r="BV766" i="8"/>
  <c r="BU766" i="8"/>
  <c r="BT766" i="8"/>
  <c r="BS766" i="8"/>
  <c r="BR766" i="8"/>
  <c r="BQ766" i="8"/>
  <c r="BP766" i="8"/>
  <c r="BO766" i="8"/>
  <c r="BN766" i="8"/>
  <c r="BM766" i="8"/>
  <c r="BL766" i="8"/>
  <c r="BK766" i="8"/>
  <c r="BJ766" i="8"/>
  <c r="BI766" i="8"/>
  <c r="BH766" i="8"/>
  <c r="CJ765" i="8"/>
  <c r="CI765" i="8"/>
  <c r="CH765" i="8"/>
  <c r="CG765" i="8"/>
  <c r="CF765" i="8"/>
  <c r="CE765" i="8"/>
  <c r="CD765" i="8"/>
  <c r="CC765" i="8"/>
  <c r="CB765" i="8"/>
  <c r="CA765" i="8"/>
  <c r="BZ765" i="8"/>
  <c r="BY765" i="8"/>
  <c r="BX765" i="8"/>
  <c r="BW765" i="8"/>
  <c r="BV765" i="8"/>
  <c r="BU765" i="8"/>
  <c r="BT765" i="8"/>
  <c r="BS765" i="8"/>
  <c r="BR765" i="8"/>
  <c r="BQ765" i="8"/>
  <c r="BP765" i="8"/>
  <c r="BO765" i="8"/>
  <c r="BN765" i="8"/>
  <c r="BM765" i="8"/>
  <c r="BL765" i="8"/>
  <c r="BK765" i="8"/>
  <c r="BJ765" i="8"/>
  <c r="BI765" i="8"/>
  <c r="BH765" i="8"/>
  <c r="CJ764" i="8"/>
  <c r="CI764" i="8"/>
  <c r="CH764" i="8"/>
  <c r="CG764" i="8"/>
  <c r="CF764" i="8"/>
  <c r="CE764" i="8"/>
  <c r="CD764" i="8"/>
  <c r="CC764" i="8"/>
  <c r="CB764" i="8"/>
  <c r="CA764" i="8"/>
  <c r="BZ764" i="8"/>
  <c r="BY764" i="8"/>
  <c r="BX764" i="8"/>
  <c r="BW764" i="8"/>
  <c r="BV764" i="8"/>
  <c r="BU764" i="8"/>
  <c r="BT764" i="8"/>
  <c r="BS764" i="8"/>
  <c r="BR764" i="8"/>
  <c r="BQ764" i="8"/>
  <c r="BP764" i="8"/>
  <c r="BO764" i="8"/>
  <c r="BN764" i="8"/>
  <c r="BM764" i="8"/>
  <c r="BL764" i="8"/>
  <c r="BK764" i="8"/>
  <c r="BJ764" i="8"/>
  <c r="BI764" i="8"/>
  <c r="BH764" i="8"/>
  <c r="CJ763" i="8"/>
  <c r="CI763" i="8"/>
  <c r="CH763" i="8"/>
  <c r="CG763" i="8"/>
  <c r="CF763" i="8"/>
  <c r="CE763" i="8"/>
  <c r="CD763" i="8"/>
  <c r="CC763" i="8"/>
  <c r="CB763" i="8"/>
  <c r="CA763" i="8"/>
  <c r="BZ763" i="8"/>
  <c r="BY763" i="8"/>
  <c r="BX763" i="8"/>
  <c r="BW763" i="8"/>
  <c r="BV763" i="8"/>
  <c r="BU763" i="8"/>
  <c r="BT763" i="8"/>
  <c r="BS763" i="8"/>
  <c r="BR763" i="8"/>
  <c r="BQ763" i="8"/>
  <c r="BP763" i="8"/>
  <c r="BO763" i="8"/>
  <c r="BN763" i="8"/>
  <c r="BM763" i="8"/>
  <c r="BL763" i="8"/>
  <c r="BK763" i="8"/>
  <c r="BJ763" i="8"/>
  <c r="BI763" i="8"/>
  <c r="BH763" i="8"/>
  <c r="CJ762" i="8"/>
  <c r="CI762" i="8"/>
  <c r="CH762" i="8"/>
  <c r="CG762" i="8"/>
  <c r="CF762" i="8"/>
  <c r="CE762" i="8"/>
  <c r="CD762" i="8"/>
  <c r="CC762" i="8"/>
  <c r="CB762" i="8"/>
  <c r="CA762" i="8"/>
  <c r="BZ762" i="8"/>
  <c r="BY762" i="8"/>
  <c r="BX762" i="8"/>
  <c r="BW762" i="8"/>
  <c r="BV762" i="8"/>
  <c r="BU762" i="8"/>
  <c r="BT762" i="8"/>
  <c r="BS762" i="8"/>
  <c r="BR762" i="8"/>
  <c r="BQ762" i="8"/>
  <c r="BP762" i="8"/>
  <c r="BO762" i="8"/>
  <c r="BN762" i="8"/>
  <c r="BM762" i="8"/>
  <c r="BL762" i="8"/>
  <c r="BK762" i="8"/>
  <c r="BJ762" i="8"/>
  <c r="BI762" i="8"/>
  <c r="BH762" i="8"/>
  <c r="CJ761" i="8"/>
  <c r="CI761" i="8"/>
  <c r="CH761" i="8"/>
  <c r="CG761" i="8"/>
  <c r="CF761" i="8"/>
  <c r="CE761" i="8"/>
  <c r="CD761" i="8"/>
  <c r="CC761" i="8"/>
  <c r="CB761" i="8"/>
  <c r="CA761" i="8"/>
  <c r="BZ761" i="8"/>
  <c r="BY761" i="8"/>
  <c r="BX761" i="8"/>
  <c r="BW761" i="8"/>
  <c r="BV761" i="8"/>
  <c r="BU761" i="8"/>
  <c r="BT761" i="8"/>
  <c r="BS761" i="8"/>
  <c r="BR761" i="8"/>
  <c r="BQ761" i="8"/>
  <c r="BP761" i="8"/>
  <c r="BO761" i="8"/>
  <c r="BN761" i="8"/>
  <c r="BM761" i="8"/>
  <c r="BL761" i="8"/>
  <c r="BK761" i="8"/>
  <c r="BJ761" i="8"/>
  <c r="BI761" i="8"/>
  <c r="BH761" i="8"/>
  <c r="CJ760" i="8"/>
  <c r="CI760" i="8"/>
  <c r="CH760" i="8"/>
  <c r="CG760" i="8"/>
  <c r="CF760" i="8"/>
  <c r="CE760" i="8"/>
  <c r="CD760" i="8"/>
  <c r="CC760" i="8"/>
  <c r="CB760" i="8"/>
  <c r="CA760" i="8"/>
  <c r="BZ760" i="8"/>
  <c r="BY760" i="8"/>
  <c r="BX760" i="8"/>
  <c r="BW760" i="8"/>
  <c r="BV760" i="8"/>
  <c r="BU760" i="8"/>
  <c r="BT760" i="8"/>
  <c r="BS760" i="8"/>
  <c r="BR760" i="8"/>
  <c r="BQ760" i="8"/>
  <c r="BP760" i="8"/>
  <c r="BO760" i="8"/>
  <c r="BN760" i="8"/>
  <c r="BM760" i="8"/>
  <c r="BL760" i="8"/>
  <c r="BK760" i="8"/>
  <c r="BJ760" i="8"/>
  <c r="BI760" i="8"/>
  <c r="BH760" i="8"/>
  <c r="CJ756" i="8"/>
  <c r="CI756" i="8"/>
  <c r="CH756" i="8"/>
  <c r="CG756" i="8"/>
  <c r="CF756" i="8"/>
  <c r="CE756" i="8"/>
  <c r="CD756" i="8"/>
  <c r="CC756" i="8"/>
  <c r="CB756" i="8"/>
  <c r="CA756" i="8"/>
  <c r="BZ756" i="8"/>
  <c r="BY756" i="8"/>
  <c r="BX756" i="8"/>
  <c r="BW756" i="8"/>
  <c r="BV756" i="8"/>
  <c r="BU756" i="8"/>
  <c r="BT756" i="8"/>
  <c r="BS756" i="8"/>
  <c r="BR756" i="8"/>
  <c r="BQ756" i="8"/>
  <c r="BP756" i="8"/>
  <c r="BO756" i="8"/>
  <c r="BN756" i="8"/>
  <c r="BM756" i="8"/>
  <c r="BL756" i="8"/>
  <c r="BK756" i="8"/>
  <c r="BJ756" i="8"/>
  <c r="BI756" i="8"/>
  <c r="BH756" i="8"/>
  <c r="CJ755" i="8"/>
  <c r="CI755" i="8"/>
  <c r="CH755" i="8"/>
  <c r="CG755" i="8"/>
  <c r="CF755" i="8"/>
  <c r="CE755" i="8"/>
  <c r="CD755" i="8"/>
  <c r="CC755" i="8"/>
  <c r="CB755" i="8"/>
  <c r="CA755" i="8"/>
  <c r="BZ755" i="8"/>
  <c r="BY755" i="8"/>
  <c r="BX755" i="8"/>
  <c r="BW755" i="8"/>
  <c r="BV755" i="8"/>
  <c r="BU755" i="8"/>
  <c r="BT755" i="8"/>
  <c r="BS755" i="8"/>
  <c r="BR755" i="8"/>
  <c r="BQ755" i="8"/>
  <c r="BP755" i="8"/>
  <c r="BO755" i="8"/>
  <c r="BN755" i="8"/>
  <c r="BM755" i="8"/>
  <c r="BL755" i="8"/>
  <c r="BK755" i="8"/>
  <c r="BJ755" i="8"/>
  <c r="BI755" i="8"/>
  <c r="BH755" i="8"/>
  <c r="CJ754" i="8"/>
  <c r="CI754" i="8"/>
  <c r="CH754" i="8"/>
  <c r="CG754" i="8"/>
  <c r="CF754" i="8"/>
  <c r="CE754" i="8"/>
  <c r="CD754" i="8"/>
  <c r="CC754" i="8"/>
  <c r="CB754" i="8"/>
  <c r="CA754" i="8"/>
  <c r="BZ754" i="8"/>
  <c r="BY754" i="8"/>
  <c r="BX754" i="8"/>
  <c r="BW754" i="8"/>
  <c r="BV754" i="8"/>
  <c r="BU754" i="8"/>
  <c r="BT754" i="8"/>
  <c r="BS754" i="8"/>
  <c r="BR754" i="8"/>
  <c r="BQ754" i="8"/>
  <c r="BP754" i="8"/>
  <c r="BO754" i="8"/>
  <c r="BN754" i="8"/>
  <c r="BM754" i="8"/>
  <c r="BL754" i="8"/>
  <c r="BK754" i="8"/>
  <c r="BJ754" i="8"/>
  <c r="BI754" i="8"/>
  <c r="BH754" i="8"/>
  <c r="CJ753" i="8"/>
  <c r="CI753" i="8"/>
  <c r="CH753" i="8"/>
  <c r="CG753" i="8"/>
  <c r="CF753" i="8"/>
  <c r="CE753" i="8"/>
  <c r="CD753" i="8"/>
  <c r="CC753" i="8"/>
  <c r="CB753" i="8"/>
  <c r="CA753" i="8"/>
  <c r="BZ753" i="8"/>
  <c r="BY753" i="8"/>
  <c r="BX753" i="8"/>
  <c r="BW753" i="8"/>
  <c r="BV753" i="8"/>
  <c r="BU753" i="8"/>
  <c r="BT753" i="8"/>
  <c r="BS753" i="8"/>
  <c r="BR753" i="8"/>
  <c r="BQ753" i="8"/>
  <c r="BP753" i="8"/>
  <c r="BO753" i="8"/>
  <c r="BN753" i="8"/>
  <c r="BM753" i="8"/>
  <c r="BL753" i="8"/>
  <c r="BK753" i="8"/>
  <c r="BJ753" i="8"/>
  <c r="BI753" i="8"/>
  <c r="BH753" i="8"/>
  <c r="CJ752" i="8"/>
  <c r="CI752" i="8"/>
  <c r="CH752" i="8"/>
  <c r="CG752" i="8"/>
  <c r="CF752" i="8"/>
  <c r="CE752" i="8"/>
  <c r="CD752" i="8"/>
  <c r="CC752" i="8"/>
  <c r="CB752" i="8"/>
  <c r="CA752" i="8"/>
  <c r="BZ752" i="8"/>
  <c r="BY752" i="8"/>
  <c r="BX752" i="8"/>
  <c r="BW752" i="8"/>
  <c r="BV752" i="8"/>
  <c r="BU752" i="8"/>
  <c r="BT752" i="8"/>
  <c r="BS752" i="8"/>
  <c r="BR752" i="8"/>
  <c r="BQ752" i="8"/>
  <c r="BP752" i="8"/>
  <c r="BO752" i="8"/>
  <c r="BN752" i="8"/>
  <c r="BM752" i="8"/>
  <c r="BL752" i="8"/>
  <c r="BK752" i="8"/>
  <c r="BJ752" i="8"/>
  <c r="BI752" i="8"/>
  <c r="BH752" i="8"/>
  <c r="CJ751" i="8"/>
  <c r="CI751" i="8"/>
  <c r="CH751" i="8"/>
  <c r="CG751" i="8"/>
  <c r="CF751" i="8"/>
  <c r="CE751" i="8"/>
  <c r="CD751" i="8"/>
  <c r="CC751" i="8"/>
  <c r="CB751" i="8"/>
  <c r="CA751" i="8"/>
  <c r="BZ751" i="8"/>
  <c r="BY751" i="8"/>
  <c r="BX751" i="8"/>
  <c r="BW751" i="8"/>
  <c r="BV751" i="8"/>
  <c r="BU751" i="8"/>
  <c r="BT751" i="8"/>
  <c r="BS751" i="8"/>
  <c r="BR751" i="8"/>
  <c r="BQ751" i="8"/>
  <c r="BP751" i="8"/>
  <c r="BO751" i="8"/>
  <c r="BN751" i="8"/>
  <c r="BM751" i="8"/>
  <c r="BL751" i="8"/>
  <c r="BK751" i="8"/>
  <c r="BJ751" i="8"/>
  <c r="BI751" i="8"/>
  <c r="BH751" i="8"/>
  <c r="CJ750" i="8"/>
  <c r="CI750" i="8"/>
  <c r="CH750" i="8"/>
  <c r="CG750" i="8"/>
  <c r="CF750" i="8"/>
  <c r="CE750" i="8"/>
  <c r="CD750" i="8"/>
  <c r="CC750" i="8"/>
  <c r="CB750" i="8"/>
  <c r="CA750" i="8"/>
  <c r="BZ750" i="8"/>
  <c r="BY750" i="8"/>
  <c r="BX750" i="8"/>
  <c r="BW750" i="8"/>
  <c r="BV750" i="8"/>
  <c r="BU750" i="8"/>
  <c r="BT750" i="8"/>
  <c r="BS750" i="8"/>
  <c r="BR750" i="8"/>
  <c r="BQ750" i="8"/>
  <c r="BP750" i="8"/>
  <c r="BO750" i="8"/>
  <c r="BN750" i="8"/>
  <c r="BM750" i="8"/>
  <c r="BL750" i="8"/>
  <c r="BK750" i="8"/>
  <c r="BJ750" i="8"/>
  <c r="BI750" i="8"/>
  <c r="BH750" i="8"/>
  <c r="CJ749" i="8"/>
  <c r="CI749" i="8"/>
  <c r="CH749" i="8"/>
  <c r="CG749" i="8"/>
  <c r="CF749" i="8"/>
  <c r="CE749" i="8"/>
  <c r="CD749" i="8"/>
  <c r="CC749" i="8"/>
  <c r="CB749" i="8"/>
  <c r="CA749" i="8"/>
  <c r="BZ749" i="8"/>
  <c r="BY749" i="8"/>
  <c r="BX749" i="8"/>
  <c r="BW749" i="8"/>
  <c r="BV749" i="8"/>
  <c r="BU749" i="8"/>
  <c r="BT749" i="8"/>
  <c r="BS749" i="8"/>
  <c r="BR749" i="8"/>
  <c r="BQ749" i="8"/>
  <c r="BP749" i="8"/>
  <c r="BO749" i="8"/>
  <c r="BN749" i="8"/>
  <c r="BM749" i="8"/>
  <c r="BL749" i="8"/>
  <c r="BK749" i="8"/>
  <c r="BJ749" i="8"/>
  <c r="BI749" i="8"/>
  <c r="BH749" i="8"/>
  <c r="CJ744" i="8"/>
  <c r="CI744" i="8"/>
  <c r="CH744" i="8"/>
  <c r="CG744" i="8"/>
  <c r="CF744" i="8"/>
  <c r="CE744" i="8"/>
  <c r="CD744" i="8"/>
  <c r="CC744" i="8"/>
  <c r="CB744" i="8"/>
  <c r="CA744" i="8"/>
  <c r="BZ744" i="8"/>
  <c r="BY744" i="8"/>
  <c r="BX744" i="8"/>
  <c r="BW744" i="8"/>
  <c r="BV744" i="8"/>
  <c r="BU744" i="8"/>
  <c r="BT744" i="8"/>
  <c r="BS744" i="8"/>
  <c r="BR744" i="8"/>
  <c r="BQ744" i="8"/>
  <c r="BP744" i="8"/>
  <c r="BO744" i="8"/>
  <c r="BN744" i="8"/>
  <c r="BM744" i="8"/>
  <c r="BL744" i="8"/>
  <c r="BK744" i="8"/>
  <c r="BJ744" i="8"/>
  <c r="BI744" i="8"/>
  <c r="BH744" i="8"/>
  <c r="CJ743" i="8"/>
  <c r="CI743" i="8"/>
  <c r="CH743" i="8"/>
  <c r="CG743" i="8"/>
  <c r="CF743" i="8"/>
  <c r="CE743" i="8"/>
  <c r="CD743" i="8"/>
  <c r="CC743" i="8"/>
  <c r="CB743" i="8"/>
  <c r="CA743" i="8"/>
  <c r="BZ743" i="8"/>
  <c r="BY743" i="8"/>
  <c r="BX743" i="8"/>
  <c r="BW743" i="8"/>
  <c r="BV743" i="8"/>
  <c r="BU743" i="8"/>
  <c r="BT743" i="8"/>
  <c r="BS743" i="8"/>
  <c r="BR743" i="8"/>
  <c r="BQ743" i="8"/>
  <c r="BP743" i="8"/>
  <c r="BO743" i="8"/>
  <c r="BN743" i="8"/>
  <c r="BM743" i="8"/>
  <c r="BL743" i="8"/>
  <c r="BK743" i="8"/>
  <c r="BJ743" i="8"/>
  <c r="BI743" i="8"/>
  <c r="BH743" i="8"/>
  <c r="CJ742" i="8"/>
  <c r="CI742" i="8"/>
  <c r="CH742" i="8"/>
  <c r="CG742" i="8"/>
  <c r="CF742" i="8"/>
  <c r="CE742" i="8"/>
  <c r="CD742" i="8"/>
  <c r="CC742" i="8"/>
  <c r="CB742" i="8"/>
  <c r="CA742" i="8"/>
  <c r="BZ742" i="8"/>
  <c r="BY742" i="8"/>
  <c r="BX742" i="8"/>
  <c r="BW742" i="8"/>
  <c r="BV742" i="8"/>
  <c r="BU742" i="8"/>
  <c r="BT742" i="8"/>
  <c r="BS742" i="8"/>
  <c r="BR742" i="8"/>
  <c r="BQ742" i="8"/>
  <c r="BP742" i="8"/>
  <c r="BO742" i="8"/>
  <c r="BN742" i="8"/>
  <c r="BM742" i="8"/>
  <c r="BL742" i="8"/>
  <c r="BK742" i="8"/>
  <c r="BJ742" i="8"/>
  <c r="BI742" i="8"/>
  <c r="BH742" i="8"/>
  <c r="CJ741" i="8"/>
  <c r="CI741" i="8"/>
  <c r="CH741" i="8"/>
  <c r="CG741" i="8"/>
  <c r="CF741" i="8"/>
  <c r="CE741" i="8"/>
  <c r="CD741" i="8"/>
  <c r="CC741" i="8"/>
  <c r="CB741" i="8"/>
  <c r="CA741" i="8"/>
  <c r="BZ741" i="8"/>
  <c r="BY741" i="8"/>
  <c r="BX741" i="8"/>
  <c r="BW741" i="8"/>
  <c r="BV741" i="8"/>
  <c r="BU741" i="8"/>
  <c r="BT741" i="8"/>
  <c r="BS741" i="8"/>
  <c r="BR741" i="8"/>
  <c r="BQ741" i="8"/>
  <c r="BP741" i="8"/>
  <c r="BO741" i="8"/>
  <c r="BN741" i="8"/>
  <c r="BM741" i="8"/>
  <c r="BL741" i="8"/>
  <c r="BK741" i="8"/>
  <c r="BJ741" i="8"/>
  <c r="BI741" i="8"/>
  <c r="BH741" i="8"/>
  <c r="CJ740" i="8"/>
  <c r="CI740" i="8"/>
  <c r="CH740" i="8"/>
  <c r="CG740" i="8"/>
  <c r="CF740" i="8"/>
  <c r="CE740" i="8"/>
  <c r="CD740" i="8"/>
  <c r="CC740" i="8"/>
  <c r="CB740" i="8"/>
  <c r="CA740" i="8"/>
  <c r="BZ740" i="8"/>
  <c r="BY740" i="8"/>
  <c r="BX740" i="8"/>
  <c r="BW740" i="8"/>
  <c r="BV740" i="8"/>
  <c r="BU740" i="8"/>
  <c r="BT740" i="8"/>
  <c r="BS740" i="8"/>
  <c r="BR740" i="8"/>
  <c r="BQ740" i="8"/>
  <c r="BP740" i="8"/>
  <c r="BO740" i="8"/>
  <c r="BN740" i="8"/>
  <c r="BM740" i="8"/>
  <c r="BL740" i="8"/>
  <c r="BK740" i="8"/>
  <c r="BJ740" i="8"/>
  <c r="BI740" i="8"/>
  <c r="BH740" i="8"/>
  <c r="CJ739" i="8"/>
  <c r="CI739" i="8"/>
  <c r="CH739" i="8"/>
  <c r="CG739" i="8"/>
  <c r="CF739" i="8"/>
  <c r="CE739" i="8"/>
  <c r="CD739" i="8"/>
  <c r="CC739" i="8"/>
  <c r="CB739" i="8"/>
  <c r="CA739" i="8"/>
  <c r="BZ739" i="8"/>
  <c r="BY739" i="8"/>
  <c r="BX739" i="8"/>
  <c r="BW739" i="8"/>
  <c r="BV739" i="8"/>
  <c r="BU739" i="8"/>
  <c r="BT739" i="8"/>
  <c r="BS739" i="8"/>
  <c r="BR739" i="8"/>
  <c r="BQ739" i="8"/>
  <c r="BP739" i="8"/>
  <c r="BO739" i="8"/>
  <c r="BN739" i="8"/>
  <c r="BM739" i="8"/>
  <c r="BL739" i="8"/>
  <c r="BK739" i="8"/>
  <c r="BJ739" i="8"/>
  <c r="BI739" i="8"/>
  <c r="BH739" i="8"/>
  <c r="CJ738" i="8"/>
  <c r="CI738" i="8"/>
  <c r="CH738" i="8"/>
  <c r="CG738" i="8"/>
  <c r="CF738" i="8"/>
  <c r="CE738" i="8"/>
  <c r="CD738" i="8"/>
  <c r="CC738" i="8"/>
  <c r="CB738" i="8"/>
  <c r="CA738" i="8"/>
  <c r="BZ738" i="8"/>
  <c r="BY738" i="8"/>
  <c r="BX738" i="8"/>
  <c r="BW738" i="8"/>
  <c r="BV738" i="8"/>
  <c r="BU738" i="8"/>
  <c r="BT738" i="8"/>
  <c r="BS738" i="8"/>
  <c r="BR738" i="8"/>
  <c r="BQ738" i="8"/>
  <c r="BP738" i="8"/>
  <c r="BO738" i="8"/>
  <c r="BN738" i="8"/>
  <c r="BM738" i="8"/>
  <c r="BL738" i="8"/>
  <c r="BK738" i="8"/>
  <c r="BJ738" i="8"/>
  <c r="BI738" i="8"/>
  <c r="BH738" i="8"/>
  <c r="CJ737" i="8"/>
  <c r="CI737" i="8"/>
  <c r="CH737" i="8"/>
  <c r="CG737" i="8"/>
  <c r="CF737" i="8"/>
  <c r="CE737" i="8"/>
  <c r="CD737" i="8"/>
  <c r="CC737" i="8"/>
  <c r="CB737" i="8"/>
  <c r="CA737" i="8"/>
  <c r="BZ737" i="8"/>
  <c r="BY737" i="8"/>
  <c r="BX737" i="8"/>
  <c r="BW737" i="8"/>
  <c r="BV737" i="8"/>
  <c r="BU737" i="8"/>
  <c r="BT737" i="8"/>
  <c r="BS737" i="8"/>
  <c r="BR737" i="8"/>
  <c r="BQ737" i="8"/>
  <c r="BP737" i="8"/>
  <c r="BO737" i="8"/>
  <c r="BN737" i="8"/>
  <c r="BM737" i="8"/>
  <c r="BL737" i="8"/>
  <c r="BK737" i="8"/>
  <c r="BJ737" i="8"/>
  <c r="BI737" i="8"/>
  <c r="BH737" i="8"/>
  <c r="CJ730" i="8"/>
  <c r="CI730" i="8"/>
  <c r="CH730" i="8"/>
  <c r="CG730" i="8"/>
  <c r="CF730" i="8"/>
  <c r="CE730" i="8"/>
  <c r="CD730" i="8"/>
  <c r="CC730" i="8"/>
  <c r="CB730" i="8"/>
  <c r="CA730" i="8"/>
  <c r="BZ730" i="8"/>
  <c r="BY730" i="8"/>
  <c r="BX730" i="8"/>
  <c r="BW730" i="8"/>
  <c r="BV730" i="8"/>
  <c r="BU730" i="8"/>
  <c r="BT730" i="8"/>
  <c r="BS730" i="8"/>
  <c r="BR730" i="8"/>
  <c r="BQ730" i="8"/>
  <c r="BP730" i="8"/>
  <c r="BO730" i="8"/>
  <c r="BN730" i="8"/>
  <c r="BM730" i="8"/>
  <c r="BL730" i="8"/>
  <c r="BK730" i="8"/>
  <c r="BJ730" i="8"/>
  <c r="BI730" i="8"/>
  <c r="BH730" i="8"/>
  <c r="CJ729" i="8"/>
  <c r="CI729" i="8"/>
  <c r="CH729" i="8"/>
  <c r="CG729" i="8"/>
  <c r="CF729" i="8"/>
  <c r="CE729" i="8"/>
  <c r="CD729" i="8"/>
  <c r="CC729" i="8"/>
  <c r="CB729" i="8"/>
  <c r="CA729" i="8"/>
  <c r="BZ729" i="8"/>
  <c r="BY729" i="8"/>
  <c r="BX729" i="8"/>
  <c r="BW729" i="8"/>
  <c r="BV729" i="8"/>
  <c r="BU729" i="8"/>
  <c r="BT729" i="8"/>
  <c r="BS729" i="8"/>
  <c r="BR729" i="8"/>
  <c r="BQ729" i="8"/>
  <c r="BP729" i="8"/>
  <c r="BO729" i="8"/>
  <c r="BN729" i="8"/>
  <c r="BM729" i="8"/>
  <c r="BL729" i="8"/>
  <c r="BK729" i="8"/>
  <c r="BJ729" i="8"/>
  <c r="BI729" i="8"/>
  <c r="BH729" i="8"/>
  <c r="CJ728" i="8"/>
  <c r="CI728" i="8"/>
  <c r="CH728" i="8"/>
  <c r="CG728" i="8"/>
  <c r="CF728" i="8"/>
  <c r="CE728" i="8"/>
  <c r="CD728" i="8"/>
  <c r="CC728" i="8"/>
  <c r="CB728" i="8"/>
  <c r="CA728" i="8"/>
  <c r="BZ728" i="8"/>
  <c r="BY728" i="8"/>
  <c r="BX728" i="8"/>
  <c r="BW728" i="8"/>
  <c r="BV728" i="8"/>
  <c r="BU728" i="8"/>
  <c r="BT728" i="8"/>
  <c r="BS728" i="8"/>
  <c r="BR728" i="8"/>
  <c r="BQ728" i="8"/>
  <c r="BP728" i="8"/>
  <c r="BO728" i="8"/>
  <c r="BN728" i="8"/>
  <c r="BM728" i="8"/>
  <c r="BL728" i="8"/>
  <c r="BK728" i="8"/>
  <c r="BJ728" i="8"/>
  <c r="BI728" i="8"/>
  <c r="BH728" i="8"/>
  <c r="CJ727" i="8"/>
  <c r="CI727" i="8"/>
  <c r="CH727" i="8"/>
  <c r="CG727" i="8"/>
  <c r="CF727" i="8"/>
  <c r="CE727" i="8"/>
  <c r="CD727" i="8"/>
  <c r="CC727" i="8"/>
  <c r="CB727" i="8"/>
  <c r="CA727" i="8"/>
  <c r="BZ727" i="8"/>
  <c r="BY727" i="8"/>
  <c r="BX727" i="8"/>
  <c r="BW727" i="8"/>
  <c r="BV727" i="8"/>
  <c r="BU727" i="8"/>
  <c r="BT727" i="8"/>
  <c r="BS727" i="8"/>
  <c r="BR727" i="8"/>
  <c r="BQ727" i="8"/>
  <c r="BP727" i="8"/>
  <c r="BO727" i="8"/>
  <c r="BN727" i="8"/>
  <c r="BM727" i="8"/>
  <c r="BL727" i="8"/>
  <c r="BK727" i="8"/>
  <c r="BJ727" i="8"/>
  <c r="BI727" i="8"/>
  <c r="BH727" i="8"/>
  <c r="CJ726" i="8"/>
  <c r="CI726" i="8"/>
  <c r="CH726" i="8"/>
  <c r="CG726" i="8"/>
  <c r="CF726" i="8"/>
  <c r="CE726" i="8"/>
  <c r="CD726" i="8"/>
  <c r="CC726" i="8"/>
  <c r="CB726" i="8"/>
  <c r="CA726" i="8"/>
  <c r="BZ726" i="8"/>
  <c r="BY726" i="8"/>
  <c r="BX726" i="8"/>
  <c r="BW726" i="8"/>
  <c r="BV726" i="8"/>
  <c r="BU726" i="8"/>
  <c r="BT726" i="8"/>
  <c r="BS726" i="8"/>
  <c r="BR726" i="8"/>
  <c r="BQ726" i="8"/>
  <c r="BP726" i="8"/>
  <c r="BO726" i="8"/>
  <c r="BN726" i="8"/>
  <c r="BM726" i="8"/>
  <c r="BL726" i="8"/>
  <c r="BK726" i="8"/>
  <c r="BJ726" i="8"/>
  <c r="BI726" i="8"/>
  <c r="BH726" i="8"/>
  <c r="CJ725" i="8"/>
  <c r="CI725" i="8"/>
  <c r="CH725" i="8"/>
  <c r="CG725" i="8"/>
  <c r="CF725" i="8"/>
  <c r="CE725" i="8"/>
  <c r="CD725" i="8"/>
  <c r="CC725" i="8"/>
  <c r="CB725" i="8"/>
  <c r="CA725" i="8"/>
  <c r="BZ725" i="8"/>
  <c r="BY725" i="8"/>
  <c r="BX725" i="8"/>
  <c r="BW725" i="8"/>
  <c r="BV725" i="8"/>
  <c r="BU725" i="8"/>
  <c r="BT725" i="8"/>
  <c r="BS725" i="8"/>
  <c r="BR725" i="8"/>
  <c r="BQ725" i="8"/>
  <c r="BP725" i="8"/>
  <c r="BO725" i="8"/>
  <c r="BN725" i="8"/>
  <c r="BM725" i="8"/>
  <c r="BL725" i="8"/>
  <c r="BK725" i="8"/>
  <c r="BJ725" i="8"/>
  <c r="BI725" i="8"/>
  <c r="BH725" i="8"/>
  <c r="CJ724" i="8"/>
  <c r="CI724" i="8"/>
  <c r="CH724" i="8"/>
  <c r="CG724" i="8"/>
  <c r="CF724" i="8"/>
  <c r="CE724" i="8"/>
  <c r="CD724" i="8"/>
  <c r="CC724" i="8"/>
  <c r="CB724" i="8"/>
  <c r="CA724" i="8"/>
  <c r="BZ724" i="8"/>
  <c r="BY724" i="8"/>
  <c r="BX724" i="8"/>
  <c r="BW724" i="8"/>
  <c r="BV724" i="8"/>
  <c r="BU724" i="8"/>
  <c r="BT724" i="8"/>
  <c r="BS724" i="8"/>
  <c r="BR724" i="8"/>
  <c r="BQ724" i="8"/>
  <c r="BP724" i="8"/>
  <c r="BO724" i="8"/>
  <c r="BN724" i="8"/>
  <c r="BM724" i="8"/>
  <c r="BL724" i="8"/>
  <c r="BK724" i="8"/>
  <c r="BJ724" i="8"/>
  <c r="BI724" i="8"/>
  <c r="BH724" i="8"/>
  <c r="CJ723" i="8"/>
  <c r="CI723" i="8"/>
  <c r="CH723" i="8"/>
  <c r="CG723" i="8"/>
  <c r="CF723" i="8"/>
  <c r="CE723" i="8"/>
  <c r="CD723" i="8"/>
  <c r="CC723" i="8"/>
  <c r="CB723" i="8"/>
  <c r="CA723" i="8"/>
  <c r="BZ723" i="8"/>
  <c r="BY723" i="8"/>
  <c r="BX723" i="8"/>
  <c r="BW723" i="8"/>
  <c r="BV723" i="8"/>
  <c r="BU723" i="8"/>
  <c r="BT723" i="8"/>
  <c r="BS723" i="8"/>
  <c r="BR723" i="8"/>
  <c r="BQ723" i="8"/>
  <c r="BP723" i="8"/>
  <c r="BO723" i="8"/>
  <c r="BN723" i="8"/>
  <c r="BM723" i="8"/>
  <c r="BL723" i="8"/>
  <c r="BK723" i="8"/>
  <c r="BJ723" i="8"/>
  <c r="BI723" i="8"/>
  <c r="BH723" i="8"/>
  <c r="CJ722" i="8"/>
  <c r="CI722" i="8"/>
  <c r="CH722" i="8"/>
  <c r="CG722" i="8"/>
  <c r="CF722" i="8"/>
  <c r="CE722" i="8"/>
  <c r="CD722" i="8"/>
  <c r="CC722" i="8"/>
  <c r="CB722" i="8"/>
  <c r="CA722" i="8"/>
  <c r="BZ722" i="8"/>
  <c r="BY722" i="8"/>
  <c r="BX722" i="8"/>
  <c r="BW722" i="8"/>
  <c r="BV722" i="8"/>
  <c r="BU722" i="8"/>
  <c r="BT722" i="8"/>
  <c r="BS722" i="8"/>
  <c r="BR722" i="8"/>
  <c r="BQ722" i="8"/>
  <c r="BP722" i="8"/>
  <c r="BO722" i="8"/>
  <c r="BN722" i="8"/>
  <c r="BM722" i="8"/>
  <c r="BL722" i="8"/>
  <c r="BK722" i="8"/>
  <c r="BJ722" i="8"/>
  <c r="BI722" i="8"/>
  <c r="BH722" i="8"/>
  <c r="CJ721" i="8"/>
  <c r="CI721" i="8"/>
  <c r="CH721" i="8"/>
  <c r="CG721" i="8"/>
  <c r="CF721" i="8"/>
  <c r="CE721" i="8"/>
  <c r="CD721" i="8"/>
  <c r="CC721" i="8"/>
  <c r="CB721" i="8"/>
  <c r="CA721" i="8"/>
  <c r="BZ721" i="8"/>
  <c r="BY721" i="8"/>
  <c r="BX721" i="8"/>
  <c r="BW721" i="8"/>
  <c r="BV721" i="8"/>
  <c r="BU721" i="8"/>
  <c r="BT721" i="8"/>
  <c r="BS721" i="8"/>
  <c r="BR721" i="8"/>
  <c r="BQ721" i="8"/>
  <c r="BP721" i="8"/>
  <c r="BO721" i="8"/>
  <c r="BN721" i="8"/>
  <c r="BM721" i="8"/>
  <c r="BL721" i="8"/>
  <c r="BK721" i="8"/>
  <c r="BJ721" i="8"/>
  <c r="BI721" i="8"/>
  <c r="BH721" i="8"/>
  <c r="CJ720" i="8"/>
  <c r="CI720" i="8"/>
  <c r="CH720" i="8"/>
  <c r="CG720" i="8"/>
  <c r="CF720" i="8"/>
  <c r="CE720" i="8"/>
  <c r="CD720" i="8"/>
  <c r="CC720" i="8"/>
  <c r="CB720" i="8"/>
  <c r="CA720" i="8"/>
  <c r="BZ720" i="8"/>
  <c r="BY720" i="8"/>
  <c r="BX720" i="8"/>
  <c r="BW720" i="8"/>
  <c r="BV720" i="8"/>
  <c r="BU720" i="8"/>
  <c r="BT720" i="8"/>
  <c r="BS720" i="8"/>
  <c r="BR720" i="8"/>
  <c r="BQ720" i="8"/>
  <c r="BP720" i="8"/>
  <c r="BO720" i="8"/>
  <c r="BN720" i="8"/>
  <c r="BM720" i="8"/>
  <c r="BL720" i="8"/>
  <c r="BK720" i="8"/>
  <c r="BJ720" i="8"/>
  <c r="BI720" i="8"/>
  <c r="BH720" i="8"/>
  <c r="CJ719" i="8"/>
  <c r="CI719" i="8"/>
  <c r="CH719" i="8"/>
  <c r="CG719" i="8"/>
  <c r="CF719" i="8"/>
  <c r="CE719" i="8"/>
  <c r="CD719" i="8"/>
  <c r="CC719" i="8"/>
  <c r="CB719" i="8"/>
  <c r="CA719" i="8"/>
  <c r="BZ719" i="8"/>
  <c r="BY719" i="8"/>
  <c r="BX719" i="8"/>
  <c r="BW719" i="8"/>
  <c r="BV719" i="8"/>
  <c r="BU719" i="8"/>
  <c r="BT719" i="8"/>
  <c r="BS719" i="8"/>
  <c r="BR719" i="8"/>
  <c r="BQ719" i="8"/>
  <c r="BP719" i="8"/>
  <c r="BO719" i="8"/>
  <c r="BN719" i="8"/>
  <c r="BM719" i="8"/>
  <c r="BL719" i="8"/>
  <c r="BK719" i="8"/>
  <c r="BJ719" i="8"/>
  <c r="BI719" i="8"/>
  <c r="BH719" i="8"/>
  <c r="CJ718" i="8"/>
  <c r="CI718" i="8"/>
  <c r="CH718" i="8"/>
  <c r="CG718" i="8"/>
  <c r="CF718" i="8"/>
  <c r="CE718" i="8"/>
  <c r="CD718" i="8"/>
  <c r="CC718" i="8"/>
  <c r="CB718" i="8"/>
  <c r="CA718" i="8"/>
  <c r="BZ718" i="8"/>
  <c r="BY718" i="8"/>
  <c r="BX718" i="8"/>
  <c r="BW718" i="8"/>
  <c r="BV718" i="8"/>
  <c r="BU718" i="8"/>
  <c r="BT718" i="8"/>
  <c r="BS718" i="8"/>
  <c r="BR718" i="8"/>
  <c r="BQ718" i="8"/>
  <c r="BP718" i="8"/>
  <c r="BO718" i="8"/>
  <c r="BN718" i="8"/>
  <c r="BM718" i="8"/>
  <c r="BL718" i="8"/>
  <c r="BK718" i="8"/>
  <c r="BJ718" i="8"/>
  <c r="BI718" i="8"/>
  <c r="BH718" i="8"/>
  <c r="CJ717" i="8"/>
  <c r="CI717" i="8"/>
  <c r="CH717" i="8"/>
  <c r="CG717" i="8"/>
  <c r="CF717" i="8"/>
  <c r="CE717" i="8"/>
  <c r="CD717" i="8"/>
  <c r="CC717" i="8"/>
  <c r="CB717" i="8"/>
  <c r="CA717" i="8"/>
  <c r="BZ717" i="8"/>
  <c r="BY717" i="8"/>
  <c r="BX717" i="8"/>
  <c r="BW717" i="8"/>
  <c r="BV717" i="8"/>
  <c r="BU717" i="8"/>
  <c r="BT717" i="8"/>
  <c r="BS717" i="8"/>
  <c r="BR717" i="8"/>
  <c r="BQ717" i="8"/>
  <c r="BP717" i="8"/>
  <c r="BO717" i="8"/>
  <c r="BN717" i="8"/>
  <c r="BM717" i="8"/>
  <c r="BL717" i="8"/>
  <c r="BK717" i="8"/>
  <c r="BJ717" i="8"/>
  <c r="BI717" i="8"/>
  <c r="BH717" i="8"/>
  <c r="CJ716" i="8"/>
  <c r="CI716" i="8"/>
  <c r="CH716" i="8"/>
  <c r="CG716" i="8"/>
  <c r="CF716" i="8"/>
  <c r="CE716" i="8"/>
  <c r="CD716" i="8"/>
  <c r="CC716" i="8"/>
  <c r="CB716" i="8"/>
  <c r="CA716" i="8"/>
  <c r="BZ716" i="8"/>
  <c r="BY716" i="8"/>
  <c r="BX716" i="8"/>
  <c r="BW716" i="8"/>
  <c r="BV716" i="8"/>
  <c r="BU716" i="8"/>
  <c r="BT716" i="8"/>
  <c r="BS716" i="8"/>
  <c r="BR716" i="8"/>
  <c r="BQ716" i="8"/>
  <c r="BP716" i="8"/>
  <c r="BO716" i="8"/>
  <c r="BN716" i="8"/>
  <c r="BM716" i="8"/>
  <c r="BL716" i="8"/>
  <c r="BK716" i="8"/>
  <c r="BJ716" i="8"/>
  <c r="BI716" i="8"/>
  <c r="BH716" i="8"/>
  <c r="CJ715" i="8"/>
  <c r="CI715" i="8"/>
  <c r="CH715" i="8"/>
  <c r="CG715" i="8"/>
  <c r="CF715" i="8"/>
  <c r="CE715" i="8"/>
  <c r="CD715" i="8"/>
  <c r="CC715" i="8"/>
  <c r="CB715" i="8"/>
  <c r="CA715" i="8"/>
  <c r="BZ715" i="8"/>
  <c r="BY715" i="8"/>
  <c r="BX715" i="8"/>
  <c r="BW715" i="8"/>
  <c r="BV715" i="8"/>
  <c r="BU715" i="8"/>
  <c r="BT715" i="8"/>
  <c r="BS715" i="8"/>
  <c r="BR715" i="8"/>
  <c r="BQ715" i="8"/>
  <c r="BP715" i="8"/>
  <c r="BO715" i="8"/>
  <c r="BN715" i="8"/>
  <c r="BM715" i="8"/>
  <c r="BL715" i="8"/>
  <c r="BK715" i="8"/>
  <c r="BJ715" i="8"/>
  <c r="BI715" i="8"/>
  <c r="BH715" i="8"/>
  <c r="CJ706" i="8"/>
  <c r="CI706" i="8"/>
  <c r="CH706" i="8"/>
  <c r="CG706" i="8"/>
  <c r="CF706" i="8"/>
  <c r="CE706" i="8"/>
  <c r="CD706" i="8"/>
  <c r="CC706" i="8"/>
  <c r="CB706" i="8"/>
  <c r="CA706" i="8"/>
  <c r="BZ706" i="8"/>
  <c r="BY706" i="8"/>
  <c r="BX706" i="8"/>
  <c r="BW706" i="8"/>
  <c r="BV706" i="8"/>
  <c r="BU706" i="8"/>
  <c r="BT706" i="8"/>
  <c r="BS706" i="8"/>
  <c r="BR706" i="8"/>
  <c r="BQ706" i="8"/>
  <c r="BP706" i="8"/>
  <c r="BO706" i="8"/>
  <c r="BN706" i="8"/>
  <c r="BM706" i="8"/>
  <c r="BL706" i="8"/>
  <c r="BK706" i="8"/>
  <c r="BJ706" i="8"/>
  <c r="BI706" i="8"/>
  <c r="BH706" i="8"/>
  <c r="CJ705" i="8"/>
  <c r="CI705" i="8"/>
  <c r="CH705" i="8"/>
  <c r="CG705" i="8"/>
  <c r="CF705" i="8"/>
  <c r="CE705" i="8"/>
  <c r="CD705" i="8"/>
  <c r="CC705" i="8"/>
  <c r="CB705" i="8"/>
  <c r="CA705" i="8"/>
  <c r="BZ705" i="8"/>
  <c r="BY705" i="8"/>
  <c r="BX705" i="8"/>
  <c r="BW705" i="8"/>
  <c r="BV705" i="8"/>
  <c r="BU705" i="8"/>
  <c r="BT705" i="8"/>
  <c r="BS705" i="8"/>
  <c r="BR705" i="8"/>
  <c r="BQ705" i="8"/>
  <c r="BP705" i="8"/>
  <c r="BO705" i="8"/>
  <c r="BN705" i="8"/>
  <c r="BM705" i="8"/>
  <c r="BL705" i="8"/>
  <c r="BK705" i="8"/>
  <c r="BJ705" i="8"/>
  <c r="BI705" i="8"/>
  <c r="BH705" i="8"/>
  <c r="CJ704" i="8"/>
  <c r="CI704" i="8"/>
  <c r="CH704" i="8"/>
  <c r="CG704" i="8"/>
  <c r="CF704" i="8"/>
  <c r="CE704" i="8"/>
  <c r="CD704" i="8"/>
  <c r="CC704" i="8"/>
  <c r="CB704" i="8"/>
  <c r="CA704" i="8"/>
  <c r="BZ704" i="8"/>
  <c r="BY704" i="8"/>
  <c r="BX704" i="8"/>
  <c r="BW704" i="8"/>
  <c r="BV704" i="8"/>
  <c r="BU704" i="8"/>
  <c r="BT704" i="8"/>
  <c r="BS704" i="8"/>
  <c r="BR704" i="8"/>
  <c r="BQ704" i="8"/>
  <c r="BP704" i="8"/>
  <c r="BO704" i="8"/>
  <c r="BN704" i="8"/>
  <c r="BM704" i="8"/>
  <c r="BL704" i="8"/>
  <c r="BK704" i="8"/>
  <c r="BJ704" i="8"/>
  <c r="BI704" i="8"/>
  <c r="BH704" i="8"/>
  <c r="CJ703" i="8"/>
  <c r="CI703" i="8"/>
  <c r="CH703" i="8"/>
  <c r="CG703" i="8"/>
  <c r="CF703" i="8"/>
  <c r="CE703" i="8"/>
  <c r="CD703" i="8"/>
  <c r="CC703" i="8"/>
  <c r="CB703" i="8"/>
  <c r="CA703" i="8"/>
  <c r="BZ703" i="8"/>
  <c r="BY703" i="8"/>
  <c r="BX703" i="8"/>
  <c r="BW703" i="8"/>
  <c r="BV703" i="8"/>
  <c r="BU703" i="8"/>
  <c r="BT703" i="8"/>
  <c r="BS703" i="8"/>
  <c r="BR703" i="8"/>
  <c r="BQ703" i="8"/>
  <c r="BP703" i="8"/>
  <c r="BO703" i="8"/>
  <c r="BN703" i="8"/>
  <c r="BM703" i="8"/>
  <c r="BL703" i="8"/>
  <c r="BK703" i="8"/>
  <c r="BJ703" i="8"/>
  <c r="BI703" i="8"/>
  <c r="BH703" i="8"/>
  <c r="CJ702" i="8"/>
  <c r="CI702" i="8"/>
  <c r="CH702" i="8"/>
  <c r="CG702" i="8"/>
  <c r="CF702" i="8"/>
  <c r="CE702" i="8"/>
  <c r="CD702" i="8"/>
  <c r="CC702" i="8"/>
  <c r="CB702" i="8"/>
  <c r="CA702" i="8"/>
  <c r="BZ702" i="8"/>
  <c r="BY702" i="8"/>
  <c r="BX702" i="8"/>
  <c r="BW702" i="8"/>
  <c r="BV702" i="8"/>
  <c r="BU702" i="8"/>
  <c r="BT702" i="8"/>
  <c r="BS702" i="8"/>
  <c r="BR702" i="8"/>
  <c r="BQ702" i="8"/>
  <c r="BP702" i="8"/>
  <c r="BO702" i="8"/>
  <c r="BN702" i="8"/>
  <c r="BM702" i="8"/>
  <c r="BL702" i="8"/>
  <c r="BK702" i="8"/>
  <c r="BJ702" i="8"/>
  <c r="BI702" i="8"/>
  <c r="BH702" i="8"/>
  <c r="CJ701" i="8"/>
  <c r="CI701" i="8"/>
  <c r="CH701" i="8"/>
  <c r="CG701" i="8"/>
  <c r="CF701" i="8"/>
  <c r="CE701" i="8"/>
  <c r="CD701" i="8"/>
  <c r="CC701" i="8"/>
  <c r="CB701" i="8"/>
  <c r="CA701" i="8"/>
  <c r="BZ701" i="8"/>
  <c r="BY701" i="8"/>
  <c r="BX701" i="8"/>
  <c r="BW701" i="8"/>
  <c r="BV701" i="8"/>
  <c r="BU701" i="8"/>
  <c r="BT701" i="8"/>
  <c r="BS701" i="8"/>
  <c r="BR701" i="8"/>
  <c r="BQ701" i="8"/>
  <c r="BP701" i="8"/>
  <c r="BO701" i="8"/>
  <c r="BN701" i="8"/>
  <c r="BM701" i="8"/>
  <c r="BL701" i="8"/>
  <c r="BK701" i="8"/>
  <c r="BJ701" i="8"/>
  <c r="BI701" i="8"/>
  <c r="BH701" i="8"/>
  <c r="CJ700" i="8"/>
  <c r="CI700" i="8"/>
  <c r="CH700" i="8"/>
  <c r="CG700" i="8"/>
  <c r="CF700" i="8"/>
  <c r="CE700" i="8"/>
  <c r="CD700" i="8"/>
  <c r="CC700" i="8"/>
  <c r="CB700" i="8"/>
  <c r="CA700" i="8"/>
  <c r="BZ700" i="8"/>
  <c r="BY700" i="8"/>
  <c r="BX700" i="8"/>
  <c r="BW700" i="8"/>
  <c r="BV700" i="8"/>
  <c r="BU700" i="8"/>
  <c r="BT700" i="8"/>
  <c r="BS700" i="8"/>
  <c r="BR700" i="8"/>
  <c r="BQ700" i="8"/>
  <c r="BP700" i="8"/>
  <c r="BO700" i="8"/>
  <c r="BN700" i="8"/>
  <c r="BM700" i="8"/>
  <c r="BL700" i="8"/>
  <c r="BK700" i="8"/>
  <c r="BJ700" i="8"/>
  <c r="BI700" i="8"/>
  <c r="BH700" i="8"/>
  <c r="CJ699" i="8"/>
  <c r="CI699" i="8"/>
  <c r="CH699" i="8"/>
  <c r="CG699" i="8"/>
  <c r="CF699" i="8"/>
  <c r="CE699" i="8"/>
  <c r="CD699" i="8"/>
  <c r="CC699" i="8"/>
  <c r="CB699" i="8"/>
  <c r="CA699" i="8"/>
  <c r="BZ699" i="8"/>
  <c r="BY699" i="8"/>
  <c r="BX699" i="8"/>
  <c r="BW699" i="8"/>
  <c r="BV699" i="8"/>
  <c r="BU699" i="8"/>
  <c r="BT699" i="8"/>
  <c r="BS699" i="8"/>
  <c r="BR699" i="8"/>
  <c r="BQ699" i="8"/>
  <c r="BP699" i="8"/>
  <c r="BO699" i="8"/>
  <c r="BN699" i="8"/>
  <c r="BM699" i="8"/>
  <c r="BL699" i="8"/>
  <c r="BK699" i="8"/>
  <c r="BJ699" i="8"/>
  <c r="BI699" i="8"/>
  <c r="BH699" i="8"/>
  <c r="CJ698" i="8"/>
  <c r="CI698" i="8"/>
  <c r="CH698" i="8"/>
  <c r="CG698" i="8"/>
  <c r="CF698" i="8"/>
  <c r="CE698" i="8"/>
  <c r="CD698" i="8"/>
  <c r="CC698" i="8"/>
  <c r="CB698" i="8"/>
  <c r="CA698" i="8"/>
  <c r="BZ698" i="8"/>
  <c r="BY698" i="8"/>
  <c r="BX698" i="8"/>
  <c r="BW698" i="8"/>
  <c r="BV698" i="8"/>
  <c r="BU698" i="8"/>
  <c r="BT698" i="8"/>
  <c r="BS698" i="8"/>
  <c r="BR698" i="8"/>
  <c r="BQ698" i="8"/>
  <c r="BP698" i="8"/>
  <c r="BO698" i="8"/>
  <c r="BN698" i="8"/>
  <c r="BM698" i="8"/>
  <c r="BL698" i="8"/>
  <c r="BK698" i="8"/>
  <c r="BJ698" i="8"/>
  <c r="BI698" i="8"/>
  <c r="BH698" i="8"/>
  <c r="CJ697" i="8"/>
  <c r="CI697" i="8"/>
  <c r="CH697" i="8"/>
  <c r="CG697" i="8"/>
  <c r="CF697" i="8"/>
  <c r="CE697" i="8"/>
  <c r="CD697" i="8"/>
  <c r="CC697" i="8"/>
  <c r="CB697" i="8"/>
  <c r="CA697" i="8"/>
  <c r="BZ697" i="8"/>
  <c r="BY697" i="8"/>
  <c r="BX697" i="8"/>
  <c r="BW697" i="8"/>
  <c r="BV697" i="8"/>
  <c r="BU697" i="8"/>
  <c r="BT697" i="8"/>
  <c r="BS697" i="8"/>
  <c r="BR697" i="8"/>
  <c r="BQ697" i="8"/>
  <c r="BP697" i="8"/>
  <c r="BO697" i="8"/>
  <c r="BN697" i="8"/>
  <c r="BM697" i="8"/>
  <c r="BL697" i="8"/>
  <c r="BK697" i="8"/>
  <c r="BJ697" i="8"/>
  <c r="BI697" i="8"/>
  <c r="BH697" i="8"/>
  <c r="CJ696" i="8"/>
  <c r="CI696" i="8"/>
  <c r="CH696" i="8"/>
  <c r="CG696" i="8"/>
  <c r="CF696" i="8"/>
  <c r="CE696" i="8"/>
  <c r="CD696" i="8"/>
  <c r="CC696" i="8"/>
  <c r="CB696" i="8"/>
  <c r="CA696" i="8"/>
  <c r="BZ696" i="8"/>
  <c r="BY696" i="8"/>
  <c r="BX696" i="8"/>
  <c r="BW696" i="8"/>
  <c r="BV696" i="8"/>
  <c r="BU696" i="8"/>
  <c r="BT696" i="8"/>
  <c r="BS696" i="8"/>
  <c r="BR696" i="8"/>
  <c r="BQ696" i="8"/>
  <c r="BP696" i="8"/>
  <c r="BO696" i="8"/>
  <c r="BN696" i="8"/>
  <c r="BM696" i="8"/>
  <c r="BL696" i="8"/>
  <c r="BK696" i="8"/>
  <c r="BJ696" i="8"/>
  <c r="BI696" i="8"/>
  <c r="BH696" i="8"/>
  <c r="CJ695" i="8"/>
  <c r="CI695" i="8"/>
  <c r="CH695" i="8"/>
  <c r="CG695" i="8"/>
  <c r="CF695" i="8"/>
  <c r="CE695" i="8"/>
  <c r="CD695" i="8"/>
  <c r="CC695" i="8"/>
  <c r="CB695" i="8"/>
  <c r="CA695" i="8"/>
  <c r="BZ695" i="8"/>
  <c r="BY695" i="8"/>
  <c r="BX695" i="8"/>
  <c r="BW695" i="8"/>
  <c r="BV695" i="8"/>
  <c r="BU695" i="8"/>
  <c r="BT695" i="8"/>
  <c r="BS695" i="8"/>
  <c r="BR695" i="8"/>
  <c r="BQ695" i="8"/>
  <c r="BP695" i="8"/>
  <c r="BO695" i="8"/>
  <c r="BN695" i="8"/>
  <c r="BM695" i="8"/>
  <c r="BL695" i="8"/>
  <c r="BK695" i="8"/>
  <c r="BJ695" i="8"/>
  <c r="BI695" i="8"/>
  <c r="BH695" i="8"/>
  <c r="CJ694" i="8"/>
  <c r="CI694" i="8"/>
  <c r="CH694" i="8"/>
  <c r="CG694" i="8"/>
  <c r="CF694" i="8"/>
  <c r="CE694" i="8"/>
  <c r="CD694" i="8"/>
  <c r="CC694" i="8"/>
  <c r="CB694" i="8"/>
  <c r="CA694" i="8"/>
  <c r="BZ694" i="8"/>
  <c r="BY694" i="8"/>
  <c r="BX694" i="8"/>
  <c r="BW694" i="8"/>
  <c r="BV694" i="8"/>
  <c r="BU694" i="8"/>
  <c r="BT694" i="8"/>
  <c r="BS694" i="8"/>
  <c r="BR694" i="8"/>
  <c r="BQ694" i="8"/>
  <c r="BP694" i="8"/>
  <c r="BO694" i="8"/>
  <c r="BN694" i="8"/>
  <c r="BM694" i="8"/>
  <c r="BL694" i="8"/>
  <c r="BK694" i="8"/>
  <c r="BJ694" i="8"/>
  <c r="BI694" i="8"/>
  <c r="BH694" i="8"/>
  <c r="CJ693" i="8"/>
  <c r="CI693" i="8"/>
  <c r="CH693" i="8"/>
  <c r="CG693" i="8"/>
  <c r="CF693" i="8"/>
  <c r="CE693" i="8"/>
  <c r="CD693" i="8"/>
  <c r="CC693" i="8"/>
  <c r="CB693" i="8"/>
  <c r="CA693" i="8"/>
  <c r="BZ693" i="8"/>
  <c r="BY693" i="8"/>
  <c r="BX693" i="8"/>
  <c r="BW693" i="8"/>
  <c r="BV693" i="8"/>
  <c r="BU693" i="8"/>
  <c r="BT693" i="8"/>
  <c r="BS693" i="8"/>
  <c r="BR693" i="8"/>
  <c r="BQ693" i="8"/>
  <c r="BP693" i="8"/>
  <c r="BO693" i="8"/>
  <c r="BN693" i="8"/>
  <c r="BM693" i="8"/>
  <c r="BL693" i="8"/>
  <c r="BK693" i="8"/>
  <c r="BJ693" i="8"/>
  <c r="BI693" i="8"/>
  <c r="BH693" i="8"/>
  <c r="CJ692" i="8"/>
  <c r="CI692" i="8"/>
  <c r="CH692" i="8"/>
  <c r="CG692" i="8"/>
  <c r="CF692" i="8"/>
  <c r="CE692" i="8"/>
  <c r="CD692" i="8"/>
  <c r="CC692" i="8"/>
  <c r="CB692" i="8"/>
  <c r="CA692" i="8"/>
  <c r="BZ692" i="8"/>
  <c r="BY692" i="8"/>
  <c r="BX692" i="8"/>
  <c r="BW692" i="8"/>
  <c r="BV692" i="8"/>
  <c r="BU692" i="8"/>
  <c r="BT692" i="8"/>
  <c r="BS692" i="8"/>
  <c r="BR692" i="8"/>
  <c r="BQ692" i="8"/>
  <c r="BP692" i="8"/>
  <c r="BO692" i="8"/>
  <c r="BN692" i="8"/>
  <c r="BM692" i="8"/>
  <c r="BL692" i="8"/>
  <c r="BK692" i="8"/>
  <c r="BJ692" i="8"/>
  <c r="BI692" i="8"/>
  <c r="BH692" i="8"/>
  <c r="CJ691" i="8"/>
  <c r="CI691" i="8"/>
  <c r="CH691" i="8"/>
  <c r="CG691" i="8"/>
  <c r="CF691" i="8"/>
  <c r="CE691" i="8"/>
  <c r="CD691" i="8"/>
  <c r="CC691" i="8"/>
  <c r="CB691" i="8"/>
  <c r="CA691" i="8"/>
  <c r="BZ691" i="8"/>
  <c r="BY691" i="8"/>
  <c r="BX691" i="8"/>
  <c r="BW691" i="8"/>
  <c r="BV691" i="8"/>
  <c r="BU691" i="8"/>
  <c r="BT691" i="8"/>
  <c r="BS691" i="8"/>
  <c r="BR691" i="8"/>
  <c r="BQ691" i="8"/>
  <c r="BP691" i="8"/>
  <c r="BO691" i="8"/>
  <c r="BN691" i="8"/>
  <c r="BM691" i="8"/>
  <c r="BL691" i="8"/>
  <c r="BK691" i="8"/>
  <c r="BJ691" i="8"/>
  <c r="BI691" i="8"/>
  <c r="BH691" i="8"/>
  <c r="CJ690" i="8"/>
  <c r="CI690" i="8"/>
  <c r="CH690" i="8"/>
  <c r="CG690" i="8"/>
  <c r="CF690" i="8"/>
  <c r="CE690" i="8"/>
  <c r="CD690" i="8"/>
  <c r="CC690" i="8"/>
  <c r="CB690" i="8"/>
  <c r="CA690" i="8"/>
  <c r="BZ690" i="8"/>
  <c r="BY690" i="8"/>
  <c r="BX690" i="8"/>
  <c r="BW690" i="8"/>
  <c r="BV690" i="8"/>
  <c r="BU690" i="8"/>
  <c r="BT690" i="8"/>
  <c r="BS690" i="8"/>
  <c r="BR690" i="8"/>
  <c r="BQ690" i="8"/>
  <c r="BP690" i="8"/>
  <c r="BO690" i="8"/>
  <c r="BN690" i="8"/>
  <c r="BM690" i="8"/>
  <c r="BL690" i="8"/>
  <c r="BK690" i="8"/>
  <c r="BJ690" i="8"/>
  <c r="BI690" i="8"/>
  <c r="BH690" i="8"/>
  <c r="CJ689" i="8"/>
  <c r="CI689" i="8"/>
  <c r="CH689" i="8"/>
  <c r="CG689" i="8"/>
  <c r="CF689" i="8"/>
  <c r="CE689" i="8"/>
  <c r="CD689" i="8"/>
  <c r="CC689" i="8"/>
  <c r="CB689" i="8"/>
  <c r="CA689" i="8"/>
  <c r="BZ689" i="8"/>
  <c r="BY689" i="8"/>
  <c r="BX689" i="8"/>
  <c r="BW689" i="8"/>
  <c r="BV689" i="8"/>
  <c r="BU689" i="8"/>
  <c r="BT689" i="8"/>
  <c r="BS689" i="8"/>
  <c r="BR689" i="8"/>
  <c r="BQ689" i="8"/>
  <c r="BP689" i="8"/>
  <c r="BO689" i="8"/>
  <c r="BN689" i="8"/>
  <c r="BM689" i="8"/>
  <c r="BL689" i="8"/>
  <c r="BK689" i="8"/>
  <c r="BJ689" i="8"/>
  <c r="BI689" i="8"/>
  <c r="BH689" i="8"/>
  <c r="CJ688" i="8"/>
  <c r="CI688" i="8"/>
  <c r="CH688" i="8"/>
  <c r="CG688" i="8"/>
  <c r="CF688" i="8"/>
  <c r="CE688" i="8"/>
  <c r="CD688" i="8"/>
  <c r="CC688" i="8"/>
  <c r="CB688" i="8"/>
  <c r="CA688" i="8"/>
  <c r="BZ688" i="8"/>
  <c r="BY688" i="8"/>
  <c r="BX688" i="8"/>
  <c r="BW688" i="8"/>
  <c r="BV688" i="8"/>
  <c r="BU688" i="8"/>
  <c r="BT688" i="8"/>
  <c r="BS688" i="8"/>
  <c r="BR688" i="8"/>
  <c r="BQ688" i="8"/>
  <c r="BP688" i="8"/>
  <c r="BO688" i="8"/>
  <c r="BN688" i="8"/>
  <c r="BM688" i="8"/>
  <c r="BL688" i="8"/>
  <c r="BK688" i="8"/>
  <c r="BJ688" i="8"/>
  <c r="BI688" i="8"/>
  <c r="BH688" i="8"/>
  <c r="CJ687" i="8"/>
  <c r="CI687" i="8"/>
  <c r="CH687" i="8"/>
  <c r="CG687" i="8"/>
  <c r="CF687" i="8"/>
  <c r="CE687" i="8"/>
  <c r="CD687" i="8"/>
  <c r="CC687" i="8"/>
  <c r="CB687" i="8"/>
  <c r="CA687" i="8"/>
  <c r="BZ687" i="8"/>
  <c r="BY687" i="8"/>
  <c r="BX687" i="8"/>
  <c r="BW687" i="8"/>
  <c r="BV687" i="8"/>
  <c r="BU687" i="8"/>
  <c r="BT687" i="8"/>
  <c r="BS687" i="8"/>
  <c r="BR687" i="8"/>
  <c r="BQ687" i="8"/>
  <c r="BP687" i="8"/>
  <c r="BO687" i="8"/>
  <c r="BN687" i="8"/>
  <c r="BM687" i="8"/>
  <c r="BL687" i="8"/>
  <c r="BK687" i="8"/>
  <c r="BJ687" i="8"/>
  <c r="BI687" i="8"/>
  <c r="BH687" i="8"/>
  <c r="CJ686" i="8"/>
  <c r="CI686" i="8"/>
  <c r="CH686" i="8"/>
  <c r="CG686" i="8"/>
  <c r="CF686" i="8"/>
  <c r="CE686" i="8"/>
  <c r="CD686" i="8"/>
  <c r="CC686" i="8"/>
  <c r="CB686" i="8"/>
  <c r="CA686" i="8"/>
  <c r="BZ686" i="8"/>
  <c r="BY686" i="8"/>
  <c r="BX686" i="8"/>
  <c r="BW686" i="8"/>
  <c r="BV686" i="8"/>
  <c r="BU686" i="8"/>
  <c r="BT686" i="8"/>
  <c r="BS686" i="8"/>
  <c r="BR686" i="8"/>
  <c r="BQ686" i="8"/>
  <c r="BP686" i="8"/>
  <c r="BO686" i="8"/>
  <c r="BN686" i="8"/>
  <c r="BM686" i="8"/>
  <c r="BL686" i="8"/>
  <c r="BK686" i="8"/>
  <c r="BJ686" i="8"/>
  <c r="BI686" i="8"/>
  <c r="BH686" i="8"/>
  <c r="CJ685" i="8"/>
  <c r="CI685" i="8"/>
  <c r="CH685" i="8"/>
  <c r="CG685" i="8"/>
  <c r="CF685" i="8"/>
  <c r="CE685" i="8"/>
  <c r="CD685" i="8"/>
  <c r="CC685" i="8"/>
  <c r="CB685" i="8"/>
  <c r="CA685" i="8"/>
  <c r="BZ685" i="8"/>
  <c r="BY685" i="8"/>
  <c r="BX685" i="8"/>
  <c r="BW685" i="8"/>
  <c r="BV685" i="8"/>
  <c r="BU685" i="8"/>
  <c r="BT685" i="8"/>
  <c r="BS685" i="8"/>
  <c r="BR685" i="8"/>
  <c r="BQ685" i="8"/>
  <c r="BP685" i="8"/>
  <c r="BO685" i="8"/>
  <c r="BN685" i="8"/>
  <c r="BM685" i="8"/>
  <c r="BL685" i="8"/>
  <c r="BK685" i="8"/>
  <c r="BJ685" i="8"/>
  <c r="BI685" i="8"/>
  <c r="BH685" i="8"/>
  <c r="CJ684" i="8"/>
  <c r="CI684" i="8"/>
  <c r="CH684" i="8"/>
  <c r="CG684" i="8"/>
  <c r="CF684" i="8"/>
  <c r="CE684" i="8"/>
  <c r="CD684" i="8"/>
  <c r="CC684" i="8"/>
  <c r="CB684" i="8"/>
  <c r="CA684" i="8"/>
  <c r="BZ684" i="8"/>
  <c r="BY684" i="8"/>
  <c r="BX684" i="8"/>
  <c r="BW684" i="8"/>
  <c r="BV684" i="8"/>
  <c r="BU684" i="8"/>
  <c r="BT684" i="8"/>
  <c r="BS684" i="8"/>
  <c r="BR684" i="8"/>
  <c r="BQ684" i="8"/>
  <c r="BP684" i="8"/>
  <c r="BO684" i="8"/>
  <c r="BN684" i="8"/>
  <c r="BM684" i="8"/>
  <c r="BL684" i="8"/>
  <c r="BK684" i="8"/>
  <c r="BJ684" i="8"/>
  <c r="BI684" i="8"/>
  <c r="BH684" i="8"/>
  <c r="CJ683" i="8"/>
  <c r="CI683" i="8"/>
  <c r="CH683" i="8"/>
  <c r="CG683" i="8"/>
  <c r="CF683" i="8"/>
  <c r="CE683" i="8"/>
  <c r="CD683" i="8"/>
  <c r="CC683" i="8"/>
  <c r="CB683" i="8"/>
  <c r="CA683" i="8"/>
  <c r="BZ683" i="8"/>
  <c r="BY683" i="8"/>
  <c r="BX683" i="8"/>
  <c r="BW683" i="8"/>
  <c r="BV683" i="8"/>
  <c r="BU683" i="8"/>
  <c r="BT683" i="8"/>
  <c r="BS683" i="8"/>
  <c r="BR683" i="8"/>
  <c r="BQ683" i="8"/>
  <c r="BP683" i="8"/>
  <c r="BO683" i="8"/>
  <c r="BN683" i="8"/>
  <c r="BM683" i="8"/>
  <c r="BL683" i="8"/>
  <c r="BK683" i="8"/>
  <c r="BJ683" i="8"/>
  <c r="BI683" i="8"/>
  <c r="BH683" i="8"/>
  <c r="CJ678" i="8"/>
  <c r="CI678" i="8"/>
  <c r="CH678" i="8"/>
  <c r="CG678" i="8"/>
  <c r="CF678" i="8"/>
  <c r="CE678" i="8"/>
  <c r="CD678" i="8"/>
  <c r="CC678" i="8"/>
  <c r="CB678" i="8"/>
  <c r="CA678" i="8"/>
  <c r="BZ678" i="8"/>
  <c r="BY678" i="8"/>
  <c r="BX678" i="8"/>
  <c r="BW678" i="8"/>
  <c r="BV678" i="8"/>
  <c r="BU678" i="8"/>
  <c r="BT678" i="8"/>
  <c r="BS678" i="8"/>
  <c r="BR678" i="8"/>
  <c r="BQ678" i="8"/>
  <c r="BP678" i="8"/>
  <c r="BO678" i="8"/>
  <c r="BN678" i="8"/>
  <c r="BM678" i="8"/>
  <c r="BL678" i="8"/>
  <c r="BK678" i="8"/>
  <c r="BJ678" i="8"/>
  <c r="BI678" i="8"/>
  <c r="BH678" i="8"/>
  <c r="CJ677" i="8"/>
  <c r="CI677" i="8"/>
  <c r="CH677" i="8"/>
  <c r="CG677" i="8"/>
  <c r="CF677" i="8"/>
  <c r="CE677" i="8"/>
  <c r="CD677" i="8"/>
  <c r="CC677" i="8"/>
  <c r="CB677" i="8"/>
  <c r="CA677" i="8"/>
  <c r="BZ677" i="8"/>
  <c r="BY677" i="8"/>
  <c r="BX677" i="8"/>
  <c r="BW677" i="8"/>
  <c r="BV677" i="8"/>
  <c r="BU677" i="8"/>
  <c r="BT677" i="8"/>
  <c r="BS677" i="8"/>
  <c r="BR677" i="8"/>
  <c r="BQ677" i="8"/>
  <c r="BP677" i="8"/>
  <c r="BO677" i="8"/>
  <c r="BN677" i="8"/>
  <c r="BM677" i="8"/>
  <c r="BL677" i="8"/>
  <c r="BK677" i="8"/>
  <c r="BJ677" i="8"/>
  <c r="BI677" i="8"/>
  <c r="BH677" i="8"/>
  <c r="CJ676" i="8"/>
  <c r="CI676" i="8"/>
  <c r="CH676" i="8"/>
  <c r="CG676" i="8"/>
  <c r="CF676" i="8"/>
  <c r="CE676" i="8"/>
  <c r="CD676" i="8"/>
  <c r="CC676" i="8"/>
  <c r="CB676" i="8"/>
  <c r="CA676" i="8"/>
  <c r="BZ676" i="8"/>
  <c r="BY676" i="8"/>
  <c r="BX676" i="8"/>
  <c r="BW676" i="8"/>
  <c r="BV676" i="8"/>
  <c r="BU676" i="8"/>
  <c r="BT676" i="8"/>
  <c r="BS676" i="8"/>
  <c r="BR676" i="8"/>
  <c r="BQ676" i="8"/>
  <c r="BP676" i="8"/>
  <c r="BO676" i="8"/>
  <c r="BN676" i="8"/>
  <c r="BM676" i="8"/>
  <c r="BL676" i="8"/>
  <c r="BK676" i="8"/>
  <c r="BJ676" i="8"/>
  <c r="BI676" i="8"/>
  <c r="BH676" i="8"/>
  <c r="CJ675" i="8"/>
  <c r="CI675" i="8"/>
  <c r="CH675" i="8"/>
  <c r="CG675" i="8"/>
  <c r="CF675" i="8"/>
  <c r="CE675" i="8"/>
  <c r="CD675" i="8"/>
  <c r="CC675" i="8"/>
  <c r="CB675" i="8"/>
  <c r="CA675" i="8"/>
  <c r="BZ675" i="8"/>
  <c r="BY675" i="8"/>
  <c r="BX675" i="8"/>
  <c r="BW675" i="8"/>
  <c r="BV675" i="8"/>
  <c r="BU675" i="8"/>
  <c r="BT675" i="8"/>
  <c r="BS675" i="8"/>
  <c r="BR675" i="8"/>
  <c r="BQ675" i="8"/>
  <c r="BP675" i="8"/>
  <c r="BO675" i="8"/>
  <c r="BN675" i="8"/>
  <c r="BM675" i="8"/>
  <c r="BL675" i="8"/>
  <c r="BK675" i="8"/>
  <c r="BJ675" i="8"/>
  <c r="BI675" i="8"/>
  <c r="BH675" i="8"/>
  <c r="CJ674" i="8"/>
  <c r="CI674" i="8"/>
  <c r="CH674" i="8"/>
  <c r="CG674" i="8"/>
  <c r="CF674" i="8"/>
  <c r="CE674" i="8"/>
  <c r="CD674" i="8"/>
  <c r="CC674" i="8"/>
  <c r="CB674" i="8"/>
  <c r="CA674" i="8"/>
  <c r="BZ674" i="8"/>
  <c r="BY674" i="8"/>
  <c r="BX674" i="8"/>
  <c r="BW674" i="8"/>
  <c r="BV674" i="8"/>
  <c r="BU674" i="8"/>
  <c r="BT674" i="8"/>
  <c r="BS674" i="8"/>
  <c r="BR674" i="8"/>
  <c r="BQ674" i="8"/>
  <c r="BP674" i="8"/>
  <c r="BO674" i="8"/>
  <c r="BN674" i="8"/>
  <c r="BM674" i="8"/>
  <c r="BL674" i="8"/>
  <c r="BK674" i="8"/>
  <c r="BJ674" i="8"/>
  <c r="BI674" i="8"/>
  <c r="BH674" i="8"/>
  <c r="CJ673" i="8"/>
  <c r="CI673" i="8"/>
  <c r="CH673" i="8"/>
  <c r="CG673" i="8"/>
  <c r="CF673" i="8"/>
  <c r="CE673" i="8"/>
  <c r="CD673" i="8"/>
  <c r="CC673" i="8"/>
  <c r="CB673" i="8"/>
  <c r="CA673" i="8"/>
  <c r="BZ673" i="8"/>
  <c r="BY673" i="8"/>
  <c r="BX673" i="8"/>
  <c r="BW673" i="8"/>
  <c r="BV673" i="8"/>
  <c r="BU673" i="8"/>
  <c r="BT673" i="8"/>
  <c r="BS673" i="8"/>
  <c r="BR673" i="8"/>
  <c r="BQ673" i="8"/>
  <c r="BP673" i="8"/>
  <c r="BO673" i="8"/>
  <c r="BN673" i="8"/>
  <c r="BM673" i="8"/>
  <c r="BL673" i="8"/>
  <c r="BK673" i="8"/>
  <c r="BJ673" i="8"/>
  <c r="BI673" i="8"/>
  <c r="BH673" i="8"/>
  <c r="CJ672" i="8"/>
  <c r="CI672" i="8"/>
  <c r="CH672" i="8"/>
  <c r="CG672" i="8"/>
  <c r="CF672" i="8"/>
  <c r="CE672" i="8"/>
  <c r="CD672" i="8"/>
  <c r="CC672" i="8"/>
  <c r="CB672" i="8"/>
  <c r="CA672" i="8"/>
  <c r="BZ672" i="8"/>
  <c r="BY672" i="8"/>
  <c r="BX672" i="8"/>
  <c r="BW672" i="8"/>
  <c r="BV672" i="8"/>
  <c r="BU672" i="8"/>
  <c r="BT672" i="8"/>
  <c r="BS672" i="8"/>
  <c r="BR672" i="8"/>
  <c r="BQ672" i="8"/>
  <c r="BP672" i="8"/>
  <c r="BO672" i="8"/>
  <c r="BN672" i="8"/>
  <c r="BM672" i="8"/>
  <c r="BL672" i="8"/>
  <c r="BK672" i="8"/>
  <c r="BJ672" i="8"/>
  <c r="BI672" i="8"/>
  <c r="BH672" i="8"/>
  <c r="CJ671" i="8"/>
  <c r="CI671" i="8"/>
  <c r="CH671" i="8"/>
  <c r="CG671" i="8"/>
  <c r="CF671" i="8"/>
  <c r="CE671" i="8"/>
  <c r="CD671" i="8"/>
  <c r="CC671" i="8"/>
  <c r="CB671" i="8"/>
  <c r="CA671" i="8"/>
  <c r="BZ671" i="8"/>
  <c r="BY671" i="8"/>
  <c r="BX671" i="8"/>
  <c r="BW671" i="8"/>
  <c r="BV671" i="8"/>
  <c r="BU671" i="8"/>
  <c r="BT671" i="8"/>
  <c r="BS671" i="8"/>
  <c r="BR671" i="8"/>
  <c r="BQ671" i="8"/>
  <c r="BP671" i="8"/>
  <c r="BO671" i="8"/>
  <c r="BN671" i="8"/>
  <c r="BM671" i="8"/>
  <c r="BL671" i="8"/>
  <c r="BK671" i="8"/>
  <c r="BJ671" i="8"/>
  <c r="BI671" i="8"/>
  <c r="BH671" i="8"/>
  <c r="CJ670" i="8"/>
  <c r="CI670" i="8"/>
  <c r="CH670" i="8"/>
  <c r="CG670" i="8"/>
  <c r="CF670" i="8"/>
  <c r="CE670" i="8"/>
  <c r="CD670" i="8"/>
  <c r="CC670" i="8"/>
  <c r="CB670" i="8"/>
  <c r="CA670" i="8"/>
  <c r="BZ670" i="8"/>
  <c r="BY670" i="8"/>
  <c r="BX670" i="8"/>
  <c r="BW670" i="8"/>
  <c r="BV670" i="8"/>
  <c r="BU670" i="8"/>
  <c r="BT670" i="8"/>
  <c r="BS670" i="8"/>
  <c r="BR670" i="8"/>
  <c r="BQ670" i="8"/>
  <c r="BP670" i="8"/>
  <c r="BO670" i="8"/>
  <c r="BN670" i="8"/>
  <c r="BM670" i="8"/>
  <c r="BL670" i="8"/>
  <c r="BK670" i="8"/>
  <c r="BJ670" i="8"/>
  <c r="BI670" i="8"/>
  <c r="BH670" i="8"/>
  <c r="CJ669" i="8"/>
  <c r="CI669" i="8"/>
  <c r="CH669" i="8"/>
  <c r="CG669" i="8"/>
  <c r="CF669" i="8"/>
  <c r="CE669" i="8"/>
  <c r="CD669" i="8"/>
  <c r="CC669" i="8"/>
  <c r="CB669" i="8"/>
  <c r="CA669" i="8"/>
  <c r="BZ669" i="8"/>
  <c r="BY669" i="8"/>
  <c r="BX669" i="8"/>
  <c r="BW669" i="8"/>
  <c r="BV669" i="8"/>
  <c r="BU669" i="8"/>
  <c r="BT669" i="8"/>
  <c r="BS669" i="8"/>
  <c r="BR669" i="8"/>
  <c r="BQ669" i="8"/>
  <c r="BP669" i="8"/>
  <c r="BO669" i="8"/>
  <c r="BN669" i="8"/>
  <c r="BM669" i="8"/>
  <c r="BL669" i="8"/>
  <c r="BK669" i="8"/>
  <c r="BJ669" i="8"/>
  <c r="BI669" i="8"/>
  <c r="BH669" i="8"/>
  <c r="CJ668" i="8"/>
  <c r="CI668" i="8"/>
  <c r="CH668" i="8"/>
  <c r="CG668" i="8"/>
  <c r="CF668" i="8"/>
  <c r="CE668" i="8"/>
  <c r="CD668" i="8"/>
  <c r="CC668" i="8"/>
  <c r="CB668" i="8"/>
  <c r="CA668" i="8"/>
  <c r="BZ668" i="8"/>
  <c r="BY668" i="8"/>
  <c r="BX668" i="8"/>
  <c r="BW668" i="8"/>
  <c r="BV668" i="8"/>
  <c r="BU668" i="8"/>
  <c r="BT668" i="8"/>
  <c r="BS668" i="8"/>
  <c r="BR668" i="8"/>
  <c r="BQ668" i="8"/>
  <c r="BP668" i="8"/>
  <c r="BO668" i="8"/>
  <c r="BN668" i="8"/>
  <c r="BM668" i="8"/>
  <c r="BL668" i="8"/>
  <c r="BK668" i="8"/>
  <c r="BJ668" i="8"/>
  <c r="BI668" i="8"/>
  <c r="BH668" i="8"/>
  <c r="CJ667" i="8"/>
  <c r="CI667" i="8"/>
  <c r="CH667" i="8"/>
  <c r="CG667" i="8"/>
  <c r="CF667" i="8"/>
  <c r="CE667" i="8"/>
  <c r="CD667" i="8"/>
  <c r="CC667" i="8"/>
  <c r="CB667" i="8"/>
  <c r="CA667" i="8"/>
  <c r="BZ667" i="8"/>
  <c r="BY667" i="8"/>
  <c r="BX667" i="8"/>
  <c r="BW667" i="8"/>
  <c r="BV667" i="8"/>
  <c r="BU667" i="8"/>
  <c r="BT667" i="8"/>
  <c r="BS667" i="8"/>
  <c r="BR667" i="8"/>
  <c r="BQ667" i="8"/>
  <c r="BP667" i="8"/>
  <c r="BO667" i="8"/>
  <c r="BN667" i="8"/>
  <c r="BM667" i="8"/>
  <c r="BL667" i="8"/>
  <c r="BK667" i="8"/>
  <c r="BJ667" i="8"/>
  <c r="BI667" i="8"/>
  <c r="BH667" i="8"/>
  <c r="CJ666" i="8"/>
  <c r="CI666" i="8"/>
  <c r="CH666" i="8"/>
  <c r="CG666" i="8"/>
  <c r="CF666" i="8"/>
  <c r="CE666" i="8"/>
  <c r="CD666" i="8"/>
  <c r="CC666" i="8"/>
  <c r="CB666" i="8"/>
  <c r="CA666" i="8"/>
  <c r="BZ666" i="8"/>
  <c r="BY666" i="8"/>
  <c r="BX666" i="8"/>
  <c r="BW666" i="8"/>
  <c r="BV666" i="8"/>
  <c r="BU666" i="8"/>
  <c r="BT666" i="8"/>
  <c r="BS666" i="8"/>
  <c r="BR666" i="8"/>
  <c r="BQ666" i="8"/>
  <c r="BP666" i="8"/>
  <c r="BO666" i="8"/>
  <c r="BN666" i="8"/>
  <c r="BM666" i="8"/>
  <c r="BL666" i="8"/>
  <c r="BK666" i="8"/>
  <c r="BJ666" i="8"/>
  <c r="BI666" i="8"/>
  <c r="BH666" i="8"/>
  <c r="CJ665" i="8"/>
  <c r="CI665" i="8"/>
  <c r="CH665" i="8"/>
  <c r="CG665" i="8"/>
  <c r="CF665" i="8"/>
  <c r="CE665" i="8"/>
  <c r="CD665" i="8"/>
  <c r="CC665" i="8"/>
  <c r="CB665" i="8"/>
  <c r="CA665" i="8"/>
  <c r="BZ665" i="8"/>
  <c r="BY665" i="8"/>
  <c r="BX665" i="8"/>
  <c r="BW665" i="8"/>
  <c r="BV665" i="8"/>
  <c r="BU665" i="8"/>
  <c r="BT665" i="8"/>
  <c r="BS665" i="8"/>
  <c r="BR665" i="8"/>
  <c r="BQ665" i="8"/>
  <c r="BP665" i="8"/>
  <c r="BO665" i="8"/>
  <c r="BN665" i="8"/>
  <c r="BM665" i="8"/>
  <c r="BL665" i="8"/>
  <c r="BK665" i="8"/>
  <c r="BJ665" i="8"/>
  <c r="BI665" i="8"/>
  <c r="BH665" i="8"/>
  <c r="CJ664" i="8"/>
  <c r="CI664" i="8"/>
  <c r="CH664" i="8"/>
  <c r="CG664" i="8"/>
  <c r="CF664" i="8"/>
  <c r="CE664" i="8"/>
  <c r="CD664" i="8"/>
  <c r="CC664" i="8"/>
  <c r="CB664" i="8"/>
  <c r="CA664" i="8"/>
  <c r="BZ664" i="8"/>
  <c r="BY664" i="8"/>
  <c r="BX664" i="8"/>
  <c r="BW664" i="8"/>
  <c r="BV664" i="8"/>
  <c r="BU664" i="8"/>
  <c r="BT664" i="8"/>
  <c r="BS664" i="8"/>
  <c r="BR664" i="8"/>
  <c r="BQ664" i="8"/>
  <c r="BP664" i="8"/>
  <c r="BO664" i="8"/>
  <c r="BN664" i="8"/>
  <c r="BM664" i="8"/>
  <c r="BL664" i="8"/>
  <c r="BK664" i="8"/>
  <c r="BJ664" i="8"/>
  <c r="BI664" i="8"/>
  <c r="BH664" i="8"/>
  <c r="CJ663" i="8"/>
  <c r="CI663" i="8"/>
  <c r="CH663" i="8"/>
  <c r="CG663" i="8"/>
  <c r="CF663" i="8"/>
  <c r="CE663" i="8"/>
  <c r="CD663" i="8"/>
  <c r="CC663" i="8"/>
  <c r="CB663" i="8"/>
  <c r="CA663" i="8"/>
  <c r="BZ663" i="8"/>
  <c r="BY663" i="8"/>
  <c r="BX663" i="8"/>
  <c r="BW663" i="8"/>
  <c r="BV663" i="8"/>
  <c r="BU663" i="8"/>
  <c r="BT663" i="8"/>
  <c r="BS663" i="8"/>
  <c r="BR663" i="8"/>
  <c r="BQ663" i="8"/>
  <c r="BP663" i="8"/>
  <c r="BO663" i="8"/>
  <c r="BN663" i="8"/>
  <c r="BM663" i="8"/>
  <c r="BL663" i="8"/>
  <c r="BK663" i="8"/>
  <c r="BJ663" i="8"/>
  <c r="BI663" i="8"/>
  <c r="BH663" i="8"/>
  <c r="CJ658" i="8"/>
  <c r="CI658" i="8"/>
  <c r="CH658" i="8"/>
  <c r="CG658" i="8"/>
  <c r="CF658" i="8"/>
  <c r="CE658" i="8"/>
  <c r="CD658" i="8"/>
  <c r="CC658" i="8"/>
  <c r="CB658" i="8"/>
  <c r="CA658" i="8"/>
  <c r="BZ658" i="8"/>
  <c r="BY658" i="8"/>
  <c r="BX658" i="8"/>
  <c r="BW658" i="8"/>
  <c r="BV658" i="8"/>
  <c r="BU658" i="8"/>
  <c r="BT658" i="8"/>
  <c r="BS658" i="8"/>
  <c r="BR658" i="8"/>
  <c r="BQ658" i="8"/>
  <c r="BP658" i="8"/>
  <c r="BO658" i="8"/>
  <c r="BN658" i="8"/>
  <c r="BM658" i="8"/>
  <c r="BL658" i="8"/>
  <c r="BK658" i="8"/>
  <c r="BJ658" i="8"/>
  <c r="BI658" i="8"/>
  <c r="BH658" i="8"/>
  <c r="CJ657" i="8"/>
  <c r="CI657" i="8"/>
  <c r="CH657" i="8"/>
  <c r="CG657" i="8"/>
  <c r="CF657" i="8"/>
  <c r="CE657" i="8"/>
  <c r="CD657" i="8"/>
  <c r="CC657" i="8"/>
  <c r="CB657" i="8"/>
  <c r="CA657" i="8"/>
  <c r="BZ657" i="8"/>
  <c r="BY657" i="8"/>
  <c r="BX657" i="8"/>
  <c r="BW657" i="8"/>
  <c r="BV657" i="8"/>
  <c r="BU657" i="8"/>
  <c r="BT657" i="8"/>
  <c r="BS657" i="8"/>
  <c r="BR657" i="8"/>
  <c r="BQ657" i="8"/>
  <c r="BP657" i="8"/>
  <c r="BO657" i="8"/>
  <c r="BN657" i="8"/>
  <c r="BM657" i="8"/>
  <c r="BL657" i="8"/>
  <c r="BK657" i="8"/>
  <c r="BJ657" i="8"/>
  <c r="BI657" i="8"/>
  <c r="BH657" i="8"/>
  <c r="CJ656" i="8"/>
  <c r="CI656" i="8"/>
  <c r="CH656" i="8"/>
  <c r="CG656" i="8"/>
  <c r="CF656" i="8"/>
  <c r="CE656" i="8"/>
  <c r="CD656" i="8"/>
  <c r="CC656" i="8"/>
  <c r="CB656" i="8"/>
  <c r="CA656" i="8"/>
  <c r="BZ656" i="8"/>
  <c r="BY656" i="8"/>
  <c r="BX656" i="8"/>
  <c r="BW656" i="8"/>
  <c r="BV656" i="8"/>
  <c r="BU656" i="8"/>
  <c r="BT656" i="8"/>
  <c r="BS656" i="8"/>
  <c r="BR656" i="8"/>
  <c r="BQ656" i="8"/>
  <c r="BP656" i="8"/>
  <c r="BO656" i="8"/>
  <c r="BN656" i="8"/>
  <c r="BM656" i="8"/>
  <c r="BL656" i="8"/>
  <c r="BK656" i="8"/>
  <c r="BJ656" i="8"/>
  <c r="BI656" i="8"/>
  <c r="BH656" i="8"/>
  <c r="CJ655" i="8"/>
  <c r="CI655" i="8"/>
  <c r="CH655" i="8"/>
  <c r="CG655" i="8"/>
  <c r="CF655" i="8"/>
  <c r="CE655" i="8"/>
  <c r="CD655" i="8"/>
  <c r="CC655" i="8"/>
  <c r="CB655" i="8"/>
  <c r="CA655" i="8"/>
  <c r="BZ655" i="8"/>
  <c r="BY655" i="8"/>
  <c r="BX655" i="8"/>
  <c r="BW655" i="8"/>
  <c r="BV655" i="8"/>
  <c r="BU655" i="8"/>
  <c r="BT655" i="8"/>
  <c r="BS655" i="8"/>
  <c r="BR655" i="8"/>
  <c r="BQ655" i="8"/>
  <c r="BP655" i="8"/>
  <c r="BO655" i="8"/>
  <c r="BN655" i="8"/>
  <c r="BM655" i="8"/>
  <c r="BL655" i="8"/>
  <c r="BK655" i="8"/>
  <c r="BJ655" i="8"/>
  <c r="BI655" i="8"/>
  <c r="BH655" i="8"/>
  <c r="CJ654" i="8"/>
  <c r="CI654" i="8"/>
  <c r="CH654" i="8"/>
  <c r="CG654" i="8"/>
  <c r="CF654" i="8"/>
  <c r="CE654" i="8"/>
  <c r="CD654" i="8"/>
  <c r="CC654" i="8"/>
  <c r="CB654" i="8"/>
  <c r="CA654" i="8"/>
  <c r="BZ654" i="8"/>
  <c r="BY654" i="8"/>
  <c r="BX654" i="8"/>
  <c r="BW654" i="8"/>
  <c r="BV654" i="8"/>
  <c r="BU654" i="8"/>
  <c r="BT654" i="8"/>
  <c r="BS654" i="8"/>
  <c r="BR654" i="8"/>
  <c r="BQ654" i="8"/>
  <c r="BP654" i="8"/>
  <c r="BO654" i="8"/>
  <c r="BN654" i="8"/>
  <c r="BM654" i="8"/>
  <c r="BL654" i="8"/>
  <c r="BK654" i="8"/>
  <c r="BJ654" i="8"/>
  <c r="BI654" i="8"/>
  <c r="BH654" i="8"/>
  <c r="CJ653" i="8"/>
  <c r="CI653" i="8"/>
  <c r="CH653" i="8"/>
  <c r="CG653" i="8"/>
  <c r="CF653" i="8"/>
  <c r="CE653" i="8"/>
  <c r="CD653" i="8"/>
  <c r="CC653" i="8"/>
  <c r="CB653" i="8"/>
  <c r="CA653" i="8"/>
  <c r="BZ653" i="8"/>
  <c r="BY653" i="8"/>
  <c r="BX653" i="8"/>
  <c r="BW653" i="8"/>
  <c r="BV653" i="8"/>
  <c r="BU653" i="8"/>
  <c r="BT653" i="8"/>
  <c r="BS653" i="8"/>
  <c r="BR653" i="8"/>
  <c r="BQ653" i="8"/>
  <c r="BP653" i="8"/>
  <c r="BO653" i="8"/>
  <c r="BN653" i="8"/>
  <c r="BM653" i="8"/>
  <c r="BL653" i="8"/>
  <c r="BK653" i="8"/>
  <c r="BJ653" i="8"/>
  <c r="BI653" i="8"/>
  <c r="BH653" i="8"/>
  <c r="CJ652" i="8"/>
  <c r="CI652" i="8"/>
  <c r="CH652" i="8"/>
  <c r="CG652" i="8"/>
  <c r="CF652" i="8"/>
  <c r="CE652" i="8"/>
  <c r="CD652" i="8"/>
  <c r="CC652" i="8"/>
  <c r="CB652" i="8"/>
  <c r="CA652" i="8"/>
  <c r="BZ652" i="8"/>
  <c r="BY652" i="8"/>
  <c r="BX652" i="8"/>
  <c r="BW652" i="8"/>
  <c r="BV652" i="8"/>
  <c r="BU652" i="8"/>
  <c r="BT652" i="8"/>
  <c r="BS652" i="8"/>
  <c r="BR652" i="8"/>
  <c r="BQ652" i="8"/>
  <c r="BP652" i="8"/>
  <c r="BO652" i="8"/>
  <c r="BN652" i="8"/>
  <c r="BM652" i="8"/>
  <c r="BL652" i="8"/>
  <c r="BK652" i="8"/>
  <c r="BJ652" i="8"/>
  <c r="BI652" i="8"/>
  <c r="BH652" i="8"/>
  <c r="CJ651" i="8"/>
  <c r="CI651" i="8"/>
  <c r="CH651" i="8"/>
  <c r="CG651" i="8"/>
  <c r="CF651" i="8"/>
  <c r="CE651" i="8"/>
  <c r="CD651" i="8"/>
  <c r="CC651" i="8"/>
  <c r="CB651" i="8"/>
  <c r="CA651" i="8"/>
  <c r="BZ651" i="8"/>
  <c r="BY651" i="8"/>
  <c r="BX651" i="8"/>
  <c r="BW651" i="8"/>
  <c r="BV651" i="8"/>
  <c r="BU651" i="8"/>
  <c r="BT651" i="8"/>
  <c r="BS651" i="8"/>
  <c r="BR651" i="8"/>
  <c r="BQ651" i="8"/>
  <c r="BP651" i="8"/>
  <c r="BO651" i="8"/>
  <c r="BN651" i="8"/>
  <c r="BM651" i="8"/>
  <c r="BL651" i="8"/>
  <c r="BK651" i="8"/>
  <c r="BJ651" i="8"/>
  <c r="BI651" i="8"/>
  <c r="BH651" i="8"/>
  <c r="CJ650" i="8"/>
  <c r="CI650" i="8"/>
  <c r="CH650" i="8"/>
  <c r="CG650" i="8"/>
  <c r="CF650" i="8"/>
  <c r="CE650" i="8"/>
  <c r="CD650" i="8"/>
  <c r="CC650" i="8"/>
  <c r="CB650" i="8"/>
  <c r="CA650" i="8"/>
  <c r="BZ650" i="8"/>
  <c r="BY650" i="8"/>
  <c r="BX650" i="8"/>
  <c r="BW650" i="8"/>
  <c r="BV650" i="8"/>
  <c r="BU650" i="8"/>
  <c r="BT650" i="8"/>
  <c r="BS650" i="8"/>
  <c r="BR650" i="8"/>
  <c r="BQ650" i="8"/>
  <c r="BP650" i="8"/>
  <c r="BO650" i="8"/>
  <c r="BN650" i="8"/>
  <c r="BM650" i="8"/>
  <c r="BL650" i="8"/>
  <c r="BK650" i="8"/>
  <c r="BJ650" i="8"/>
  <c r="BI650" i="8"/>
  <c r="BH650" i="8"/>
  <c r="CJ649" i="8"/>
  <c r="CI649" i="8"/>
  <c r="CH649" i="8"/>
  <c r="CG649" i="8"/>
  <c r="CF649" i="8"/>
  <c r="CE649" i="8"/>
  <c r="CD649" i="8"/>
  <c r="CC649" i="8"/>
  <c r="CB649" i="8"/>
  <c r="CA649" i="8"/>
  <c r="BZ649" i="8"/>
  <c r="BY649" i="8"/>
  <c r="BX649" i="8"/>
  <c r="BW649" i="8"/>
  <c r="BV649" i="8"/>
  <c r="BU649" i="8"/>
  <c r="BT649" i="8"/>
  <c r="BS649" i="8"/>
  <c r="BR649" i="8"/>
  <c r="BQ649" i="8"/>
  <c r="BP649" i="8"/>
  <c r="BO649" i="8"/>
  <c r="BN649" i="8"/>
  <c r="BM649" i="8"/>
  <c r="BL649" i="8"/>
  <c r="BK649" i="8"/>
  <c r="BJ649" i="8"/>
  <c r="BI649" i="8"/>
  <c r="BH649" i="8"/>
  <c r="CJ648" i="8"/>
  <c r="CI648" i="8"/>
  <c r="CH648" i="8"/>
  <c r="CG648" i="8"/>
  <c r="CF648" i="8"/>
  <c r="CE648" i="8"/>
  <c r="CD648" i="8"/>
  <c r="CC648" i="8"/>
  <c r="CB648" i="8"/>
  <c r="CA648" i="8"/>
  <c r="BZ648" i="8"/>
  <c r="BY648" i="8"/>
  <c r="BX648" i="8"/>
  <c r="BW648" i="8"/>
  <c r="BV648" i="8"/>
  <c r="BU648" i="8"/>
  <c r="BT648" i="8"/>
  <c r="BS648" i="8"/>
  <c r="BR648" i="8"/>
  <c r="BQ648" i="8"/>
  <c r="BP648" i="8"/>
  <c r="BO648" i="8"/>
  <c r="BN648" i="8"/>
  <c r="BM648" i="8"/>
  <c r="BL648" i="8"/>
  <c r="BK648" i="8"/>
  <c r="BJ648" i="8"/>
  <c r="BI648" i="8"/>
  <c r="BH648" i="8"/>
  <c r="CJ647" i="8"/>
  <c r="CI647" i="8"/>
  <c r="CH647" i="8"/>
  <c r="CG647" i="8"/>
  <c r="CF647" i="8"/>
  <c r="CE647" i="8"/>
  <c r="CD647" i="8"/>
  <c r="CC647" i="8"/>
  <c r="CB647" i="8"/>
  <c r="CA647" i="8"/>
  <c r="BZ647" i="8"/>
  <c r="BY647" i="8"/>
  <c r="BX647" i="8"/>
  <c r="BW647" i="8"/>
  <c r="BV647" i="8"/>
  <c r="BU647" i="8"/>
  <c r="BT647" i="8"/>
  <c r="BS647" i="8"/>
  <c r="BR647" i="8"/>
  <c r="BQ647" i="8"/>
  <c r="BP647" i="8"/>
  <c r="BO647" i="8"/>
  <c r="BN647" i="8"/>
  <c r="BM647" i="8"/>
  <c r="BL647" i="8"/>
  <c r="BK647" i="8"/>
  <c r="BJ647" i="8"/>
  <c r="BI647" i="8"/>
  <c r="BH647" i="8"/>
  <c r="CJ646" i="8"/>
  <c r="CI646" i="8"/>
  <c r="CH646" i="8"/>
  <c r="CG646" i="8"/>
  <c r="CF646" i="8"/>
  <c r="CE646" i="8"/>
  <c r="CD646" i="8"/>
  <c r="CC646" i="8"/>
  <c r="CB646" i="8"/>
  <c r="CA646" i="8"/>
  <c r="BZ646" i="8"/>
  <c r="BY646" i="8"/>
  <c r="BX646" i="8"/>
  <c r="BW646" i="8"/>
  <c r="BV646" i="8"/>
  <c r="BU646" i="8"/>
  <c r="BT646" i="8"/>
  <c r="BS646" i="8"/>
  <c r="BR646" i="8"/>
  <c r="BQ646" i="8"/>
  <c r="BP646" i="8"/>
  <c r="BO646" i="8"/>
  <c r="BN646" i="8"/>
  <c r="BM646" i="8"/>
  <c r="BL646" i="8"/>
  <c r="BK646" i="8"/>
  <c r="BJ646" i="8"/>
  <c r="BI646" i="8"/>
  <c r="BH646" i="8"/>
  <c r="CJ645" i="8"/>
  <c r="CI645" i="8"/>
  <c r="CH645" i="8"/>
  <c r="CG645" i="8"/>
  <c r="CF645" i="8"/>
  <c r="CE645" i="8"/>
  <c r="CD645" i="8"/>
  <c r="CC645" i="8"/>
  <c r="CB645" i="8"/>
  <c r="CA645" i="8"/>
  <c r="BZ645" i="8"/>
  <c r="BY645" i="8"/>
  <c r="BX645" i="8"/>
  <c r="BW645" i="8"/>
  <c r="BV645" i="8"/>
  <c r="BU645" i="8"/>
  <c r="BT645" i="8"/>
  <c r="BS645" i="8"/>
  <c r="BR645" i="8"/>
  <c r="BQ645" i="8"/>
  <c r="BP645" i="8"/>
  <c r="BO645" i="8"/>
  <c r="BN645" i="8"/>
  <c r="BM645" i="8"/>
  <c r="BL645" i="8"/>
  <c r="BK645" i="8"/>
  <c r="BJ645" i="8"/>
  <c r="BI645" i="8"/>
  <c r="BH645" i="8"/>
  <c r="CJ644" i="8"/>
  <c r="CI644" i="8"/>
  <c r="CH644" i="8"/>
  <c r="CG644" i="8"/>
  <c r="CF644" i="8"/>
  <c r="CE644" i="8"/>
  <c r="CD644" i="8"/>
  <c r="CC644" i="8"/>
  <c r="CB644" i="8"/>
  <c r="CA644" i="8"/>
  <c r="BZ644" i="8"/>
  <c r="BY644" i="8"/>
  <c r="BX644" i="8"/>
  <c r="BW644" i="8"/>
  <c r="BV644" i="8"/>
  <c r="BU644" i="8"/>
  <c r="BT644" i="8"/>
  <c r="BS644" i="8"/>
  <c r="BR644" i="8"/>
  <c r="BQ644" i="8"/>
  <c r="BP644" i="8"/>
  <c r="BO644" i="8"/>
  <c r="BN644" i="8"/>
  <c r="BM644" i="8"/>
  <c r="BL644" i="8"/>
  <c r="BK644" i="8"/>
  <c r="BJ644" i="8"/>
  <c r="BI644" i="8"/>
  <c r="BH644" i="8"/>
  <c r="CJ643" i="8"/>
  <c r="CI643" i="8"/>
  <c r="CH643" i="8"/>
  <c r="CG643" i="8"/>
  <c r="CF643" i="8"/>
  <c r="CE643" i="8"/>
  <c r="CD643" i="8"/>
  <c r="CC643" i="8"/>
  <c r="CB643" i="8"/>
  <c r="CA643" i="8"/>
  <c r="BZ643" i="8"/>
  <c r="BY643" i="8"/>
  <c r="BX643" i="8"/>
  <c r="BW643" i="8"/>
  <c r="BV643" i="8"/>
  <c r="BU643" i="8"/>
  <c r="BT643" i="8"/>
  <c r="BS643" i="8"/>
  <c r="BR643" i="8"/>
  <c r="BQ643" i="8"/>
  <c r="BP643" i="8"/>
  <c r="BO643" i="8"/>
  <c r="BN643" i="8"/>
  <c r="BM643" i="8"/>
  <c r="BL643" i="8"/>
  <c r="BK643" i="8"/>
  <c r="BJ643" i="8"/>
  <c r="BI643" i="8"/>
  <c r="BH643" i="8"/>
  <c r="CJ638" i="8"/>
  <c r="CI638" i="8"/>
  <c r="CH638" i="8"/>
  <c r="CG638" i="8"/>
  <c r="CF638" i="8"/>
  <c r="CE638" i="8"/>
  <c r="CD638" i="8"/>
  <c r="CC638" i="8"/>
  <c r="CB638" i="8"/>
  <c r="CA638" i="8"/>
  <c r="BZ638" i="8"/>
  <c r="BY638" i="8"/>
  <c r="BX638" i="8"/>
  <c r="BW638" i="8"/>
  <c r="BV638" i="8"/>
  <c r="BU638" i="8"/>
  <c r="BT638" i="8"/>
  <c r="BS638" i="8"/>
  <c r="BR638" i="8"/>
  <c r="BQ638" i="8"/>
  <c r="BP638" i="8"/>
  <c r="BO638" i="8"/>
  <c r="BN638" i="8"/>
  <c r="BM638" i="8"/>
  <c r="BL638" i="8"/>
  <c r="BK638" i="8"/>
  <c r="BJ638" i="8"/>
  <c r="BI638" i="8"/>
  <c r="BH638" i="8"/>
  <c r="CJ637" i="8"/>
  <c r="CI637" i="8"/>
  <c r="CH637" i="8"/>
  <c r="CG637" i="8"/>
  <c r="CF637" i="8"/>
  <c r="CE637" i="8"/>
  <c r="CD637" i="8"/>
  <c r="CC637" i="8"/>
  <c r="CB637" i="8"/>
  <c r="CA637" i="8"/>
  <c r="BZ637" i="8"/>
  <c r="BY637" i="8"/>
  <c r="BX637" i="8"/>
  <c r="BW637" i="8"/>
  <c r="BV637" i="8"/>
  <c r="BU637" i="8"/>
  <c r="BT637" i="8"/>
  <c r="BS637" i="8"/>
  <c r="BR637" i="8"/>
  <c r="BQ637" i="8"/>
  <c r="BP637" i="8"/>
  <c r="BO637" i="8"/>
  <c r="BN637" i="8"/>
  <c r="BM637" i="8"/>
  <c r="BL637" i="8"/>
  <c r="BK637" i="8"/>
  <c r="BJ637" i="8"/>
  <c r="BI637" i="8"/>
  <c r="BH637" i="8"/>
  <c r="CJ636" i="8"/>
  <c r="CI636" i="8"/>
  <c r="CH636" i="8"/>
  <c r="CG636" i="8"/>
  <c r="CF636" i="8"/>
  <c r="CE636" i="8"/>
  <c r="CD636" i="8"/>
  <c r="CC636" i="8"/>
  <c r="CB636" i="8"/>
  <c r="CA636" i="8"/>
  <c r="BZ636" i="8"/>
  <c r="BY636" i="8"/>
  <c r="BX636" i="8"/>
  <c r="BW636" i="8"/>
  <c r="BV636" i="8"/>
  <c r="BU636" i="8"/>
  <c r="BT636" i="8"/>
  <c r="BS636" i="8"/>
  <c r="BR636" i="8"/>
  <c r="BQ636" i="8"/>
  <c r="BP636" i="8"/>
  <c r="BO636" i="8"/>
  <c r="BN636" i="8"/>
  <c r="BM636" i="8"/>
  <c r="BL636" i="8"/>
  <c r="BK636" i="8"/>
  <c r="BJ636" i="8"/>
  <c r="BI636" i="8"/>
  <c r="BH636" i="8"/>
  <c r="CJ635" i="8"/>
  <c r="CI635" i="8"/>
  <c r="CH635" i="8"/>
  <c r="CG635" i="8"/>
  <c r="CF635" i="8"/>
  <c r="CE635" i="8"/>
  <c r="CD635" i="8"/>
  <c r="CC635" i="8"/>
  <c r="CB635" i="8"/>
  <c r="CA635" i="8"/>
  <c r="BZ635" i="8"/>
  <c r="BY635" i="8"/>
  <c r="BX635" i="8"/>
  <c r="BW635" i="8"/>
  <c r="BV635" i="8"/>
  <c r="BU635" i="8"/>
  <c r="BT635" i="8"/>
  <c r="BS635" i="8"/>
  <c r="BR635" i="8"/>
  <c r="BQ635" i="8"/>
  <c r="BP635" i="8"/>
  <c r="BO635" i="8"/>
  <c r="BN635" i="8"/>
  <c r="BM635" i="8"/>
  <c r="BL635" i="8"/>
  <c r="BK635" i="8"/>
  <c r="BJ635" i="8"/>
  <c r="BI635" i="8"/>
  <c r="BH635" i="8"/>
  <c r="CJ634" i="8"/>
  <c r="CI634" i="8"/>
  <c r="CH634" i="8"/>
  <c r="CG634" i="8"/>
  <c r="CF634" i="8"/>
  <c r="CE634" i="8"/>
  <c r="CD634" i="8"/>
  <c r="CC634" i="8"/>
  <c r="CB634" i="8"/>
  <c r="CA634" i="8"/>
  <c r="BZ634" i="8"/>
  <c r="BY634" i="8"/>
  <c r="BX634" i="8"/>
  <c r="BW634" i="8"/>
  <c r="BV634" i="8"/>
  <c r="BU634" i="8"/>
  <c r="BT634" i="8"/>
  <c r="BS634" i="8"/>
  <c r="BR634" i="8"/>
  <c r="BQ634" i="8"/>
  <c r="BP634" i="8"/>
  <c r="BO634" i="8"/>
  <c r="BN634" i="8"/>
  <c r="BM634" i="8"/>
  <c r="BL634" i="8"/>
  <c r="BK634" i="8"/>
  <c r="BJ634" i="8"/>
  <c r="BI634" i="8"/>
  <c r="BH634" i="8"/>
  <c r="CJ633" i="8"/>
  <c r="CI633" i="8"/>
  <c r="CH633" i="8"/>
  <c r="CG633" i="8"/>
  <c r="CF633" i="8"/>
  <c r="CE633" i="8"/>
  <c r="CD633" i="8"/>
  <c r="CC633" i="8"/>
  <c r="CB633" i="8"/>
  <c r="CA633" i="8"/>
  <c r="BZ633" i="8"/>
  <c r="BY633" i="8"/>
  <c r="BX633" i="8"/>
  <c r="BW633" i="8"/>
  <c r="BV633" i="8"/>
  <c r="BU633" i="8"/>
  <c r="BT633" i="8"/>
  <c r="BS633" i="8"/>
  <c r="BR633" i="8"/>
  <c r="BQ633" i="8"/>
  <c r="BP633" i="8"/>
  <c r="BO633" i="8"/>
  <c r="BN633" i="8"/>
  <c r="BM633" i="8"/>
  <c r="BL633" i="8"/>
  <c r="BK633" i="8"/>
  <c r="BJ633" i="8"/>
  <c r="BI633" i="8"/>
  <c r="BH633" i="8"/>
  <c r="CJ632" i="8"/>
  <c r="CI632" i="8"/>
  <c r="CH632" i="8"/>
  <c r="CG632" i="8"/>
  <c r="CF632" i="8"/>
  <c r="CE632" i="8"/>
  <c r="CD632" i="8"/>
  <c r="CC632" i="8"/>
  <c r="CB632" i="8"/>
  <c r="CA632" i="8"/>
  <c r="BZ632" i="8"/>
  <c r="BY632" i="8"/>
  <c r="BX632" i="8"/>
  <c r="BW632" i="8"/>
  <c r="BV632" i="8"/>
  <c r="BU632" i="8"/>
  <c r="BT632" i="8"/>
  <c r="BS632" i="8"/>
  <c r="BR632" i="8"/>
  <c r="BQ632" i="8"/>
  <c r="BP632" i="8"/>
  <c r="BO632" i="8"/>
  <c r="BN632" i="8"/>
  <c r="BM632" i="8"/>
  <c r="BL632" i="8"/>
  <c r="BK632" i="8"/>
  <c r="BJ632" i="8"/>
  <c r="BI632" i="8"/>
  <c r="BH632" i="8"/>
  <c r="CJ631" i="8"/>
  <c r="CI631" i="8"/>
  <c r="CH631" i="8"/>
  <c r="CG631" i="8"/>
  <c r="CF631" i="8"/>
  <c r="CE631" i="8"/>
  <c r="CD631" i="8"/>
  <c r="CC631" i="8"/>
  <c r="CB631" i="8"/>
  <c r="CA631" i="8"/>
  <c r="BZ631" i="8"/>
  <c r="BY631" i="8"/>
  <c r="BX631" i="8"/>
  <c r="BW631" i="8"/>
  <c r="BV631" i="8"/>
  <c r="BU631" i="8"/>
  <c r="BT631" i="8"/>
  <c r="BS631" i="8"/>
  <c r="BR631" i="8"/>
  <c r="BQ631" i="8"/>
  <c r="BP631" i="8"/>
  <c r="BO631" i="8"/>
  <c r="BN631" i="8"/>
  <c r="BM631" i="8"/>
  <c r="BL631" i="8"/>
  <c r="BK631" i="8"/>
  <c r="BJ631" i="8"/>
  <c r="BI631" i="8"/>
  <c r="BH631" i="8"/>
  <c r="CJ630" i="8"/>
  <c r="CI630" i="8"/>
  <c r="CH630" i="8"/>
  <c r="CG630" i="8"/>
  <c r="CF630" i="8"/>
  <c r="CE630" i="8"/>
  <c r="CD630" i="8"/>
  <c r="CC630" i="8"/>
  <c r="CB630" i="8"/>
  <c r="CA630" i="8"/>
  <c r="BZ630" i="8"/>
  <c r="BY630" i="8"/>
  <c r="BX630" i="8"/>
  <c r="BW630" i="8"/>
  <c r="BV630" i="8"/>
  <c r="BU630" i="8"/>
  <c r="BT630" i="8"/>
  <c r="BS630" i="8"/>
  <c r="BR630" i="8"/>
  <c r="BQ630" i="8"/>
  <c r="BP630" i="8"/>
  <c r="BO630" i="8"/>
  <c r="BN630" i="8"/>
  <c r="BM630" i="8"/>
  <c r="BL630" i="8"/>
  <c r="BK630" i="8"/>
  <c r="BJ630" i="8"/>
  <c r="BI630" i="8"/>
  <c r="BH630" i="8"/>
  <c r="CJ629" i="8"/>
  <c r="CI629" i="8"/>
  <c r="CH629" i="8"/>
  <c r="CG629" i="8"/>
  <c r="CF629" i="8"/>
  <c r="CE629" i="8"/>
  <c r="CD629" i="8"/>
  <c r="CC629" i="8"/>
  <c r="CB629" i="8"/>
  <c r="CA629" i="8"/>
  <c r="BZ629" i="8"/>
  <c r="BY629" i="8"/>
  <c r="BX629" i="8"/>
  <c r="BW629" i="8"/>
  <c r="BV629" i="8"/>
  <c r="BU629" i="8"/>
  <c r="BT629" i="8"/>
  <c r="BS629" i="8"/>
  <c r="BR629" i="8"/>
  <c r="BQ629" i="8"/>
  <c r="BP629" i="8"/>
  <c r="BO629" i="8"/>
  <c r="BN629" i="8"/>
  <c r="BM629" i="8"/>
  <c r="BL629" i="8"/>
  <c r="BK629" i="8"/>
  <c r="BJ629" i="8"/>
  <c r="BI629" i="8"/>
  <c r="BH629" i="8"/>
  <c r="CJ628" i="8"/>
  <c r="CI628" i="8"/>
  <c r="CH628" i="8"/>
  <c r="CG628" i="8"/>
  <c r="CF628" i="8"/>
  <c r="CE628" i="8"/>
  <c r="CD628" i="8"/>
  <c r="CC628" i="8"/>
  <c r="CB628" i="8"/>
  <c r="CA628" i="8"/>
  <c r="BZ628" i="8"/>
  <c r="BY628" i="8"/>
  <c r="BX628" i="8"/>
  <c r="BW628" i="8"/>
  <c r="BV628" i="8"/>
  <c r="BU628" i="8"/>
  <c r="BT628" i="8"/>
  <c r="BS628" i="8"/>
  <c r="BR628" i="8"/>
  <c r="BQ628" i="8"/>
  <c r="BP628" i="8"/>
  <c r="BO628" i="8"/>
  <c r="BN628" i="8"/>
  <c r="BM628" i="8"/>
  <c r="BL628" i="8"/>
  <c r="BK628" i="8"/>
  <c r="BJ628" i="8"/>
  <c r="BI628" i="8"/>
  <c r="BH628" i="8"/>
  <c r="CJ627" i="8"/>
  <c r="CI627" i="8"/>
  <c r="CH627" i="8"/>
  <c r="CG627" i="8"/>
  <c r="CF627" i="8"/>
  <c r="CE627" i="8"/>
  <c r="CD627" i="8"/>
  <c r="CC627" i="8"/>
  <c r="CB627" i="8"/>
  <c r="CA627" i="8"/>
  <c r="BZ627" i="8"/>
  <c r="BY627" i="8"/>
  <c r="BX627" i="8"/>
  <c r="BW627" i="8"/>
  <c r="BV627" i="8"/>
  <c r="BU627" i="8"/>
  <c r="BT627" i="8"/>
  <c r="BS627" i="8"/>
  <c r="BR627" i="8"/>
  <c r="BQ627" i="8"/>
  <c r="BP627" i="8"/>
  <c r="BO627" i="8"/>
  <c r="BN627" i="8"/>
  <c r="BM627" i="8"/>
  <c r="BL627" i="8"/>
  <c r="BK627" i="8"/>
  <c r="BJ627" i="8"/>
  <c r="BI627" i="8"/>
  <c r="BH627" i="8"/>
  <c r="CJ626" i="8"/>
  <c r="CI626" i="8"/>
  <c r="CH626" i="8"/>
  <c r="CG626" i="8"/>
  <c r="CF626" i="8"/>
  <c r="CE626" i="8"/>
  <c r="CD626" i="8"/>
  <c r="CC626" i="8"/>
  <c r="CB626" i="8"/>
  <c r="CA626" i="8"/>
  <c r="BZ626" i="8"/>
  <c r="BY626" i="8"/>
  <c r="BX626" i="8"/>
  <c r="BW626" i="8"/>
  <c r="BV626" i="8"/>
  <c r="BU626" i="8"/>
  <c r="BT626" i="8"/>
  <c r="BS626" i="8"/>
  <c r="BR626" i="8"/>
  <c r="BQ626" i="8"/>
  <c r="BP626" i="8"/>
  <c r="BO626" i="8"/>
  <c r="BN626" i="8"/>
  <c r="BM626" i="8"/>
  <c r="BL626" i="8"/>
  <c r="BK626" i="8"/>
  <c r="BJ626" i="8"/>
  <c r="BI626" i="8"/>
  <c r="BH626" i="8"/>
  <c r="CJ625" i="8"/>
  <c r="CI625" i="8"/>
  <c r="CH625" i="8"/>
  <c r="CG625" i="8"/>
  <c r="CF625" i="8"/>
  <c r="CE625" i="8"/>
  <c r="CD625" i="8"/>
  <c r="CC625" i="8"/>
  <c r="CB625" i="8"/>
  <c r="CA625" i="8"/>
  <c r="BZ625" i="8"/>
  <c r="BY625" i="8"/>
  <c r="BX625" i="8"/>
  <c r="BW625" i="8"/>
  <c r="BV625" i="8"/>
  <c r="BU625" i="8"/>
  <c r="BT625" i="8"/>
  <c r="BS625" i="8"/>
  <c r="BR625" i="8"/>
  <c r="BQ625" i="8"/>
  <c r="BP625" i="8"/>
  <c r="BO625" i="8"/>
  <c r="BN625" i="8"/>
  <c r="BM625" i="8"/>
  <c r="BL625" i="8"/>
  <c r="BK625" i="8"/>
  <c r="BJ625" i="8"/>
  <c r="BI625" i="8"/>
  <c r="BH625" i="8"/>
  <c r="CJ624" i="8"/>
  <c r="CI624" i="8"/>
  <c r="CH624" i="8"/>
  <c r="CG624" i="8"/>
  <c r="CF624" i="8"/>
  <c r="CE624" i="8"/>
  <c r="CD624" i="8"/>
  <c r="CC624" i="8"/>
  <c r="CB624" i="8"/>
  <c r="CA624" i="8"/>
  <c r="BZ624" i="8"/>
  <c r="BY624" i="8"/>
  <c r="BX624" i="8"/>
  <c r="BW624" i="8"/>
  <c r="BV624" i="8"/>
  <c r="BU624" i="8"/>
  <c r="BT624" i="8"/>
  <c r="BS624" i="8"/>
  <c r="BR624" i="8"/>
  <c r="BQ624" i="8"/>
  <c r="BP624" i="8"/>
  <c r="BO624" i="8"/>
  <c r="BN624" i="8"/>
  <c r="BM624" i="8"/>
  <c r="BL624" i="8"/>
  <c r="BK624" i="8"/>
  <c r="BJ624" i="8"/>
  <c r="BI624" i="8"/>
  <c r="BH624" i="8"/>
  <c r="CJ623" i="8"/>
  <c r="CI623" i="8"/>
  <c r="CH623" i="8"/>
  <c r="CG623" i="8"/>
  <c r="CF623" i="8"/>
  <c r="CE623" i="8"/>
  <c r="CD623" i="8"/>
  <c r="CC623" i="8"/>
  <c r="CB623" i="8"/>
  <c r="CA623" i="8"/>
  <c r="BZ623" i="8"/>
  <c r="BY623" i="8"/>
  <c r="BX623" i="8"/>
  <c r="BW623" i="8"/>
  <c r="BV623" i="8"/>
  <c r="BU623" i="8"/>
  <c r="BT623" i="8"/>
  <c r="BS623" i="8"/>
  <c r="BR623" i="8"/>
  <c r="BQ623" i="8"/>
  <c r="BP623" i="8"/>
  <c r="BO623" i="8"/>
  <c r="BN623" i="8"/>
  <c r="BM623" i="8"/>
  <c r="BL623" i="8"/>
  <c r="BK623" i="8"/>
  <c r="BJ623" i="8"/>
  <c r="BI623" i="8"/>
  <c r="BH623" i="8"/>
  <c r="CJ618" i="8"/>
  <c r="CI618" i="8"/>
  <c r="CH618" i="8"/>
  <c r="CG618" i="8"/>
  <c r="CF618" i="8"/>
  <c r="CE618" i="8"/>
  <c r="CD618" i="8"/>
  <c r="CC618" i="8"/>
  <c r="CB618" i="8"/>
  <c r="CA618" i="8"/>
  <c r="BZ618" i="8"/>
  <c r="BY618" i="8"/>
  <c r="BX618" i="8"/>
  <c r="BW618" i="8"/>
  <c r="BV618" i="8"/>
  <c r="BU618" i="8"/>
  <c r="BT618" i="8"/>
  <c r="BS618" i="8"/>
  <c r="BR618" i="8"/>
  <c r="BQ618" i="8"/>
  <c r="BP618" i="8"/>
  <c r="BO618" i="8"/>
  <c r="BN618" i="8"/>
  <c r="BM618" i="8"/>
  <c r="BL618" i="8"/>
  <c r="BK618" i="8"/>
  <c r="BJ618" i="8"/>
  <c r="BI618" i="8"/>
  <c r="BH618" i="8"/>
  <c r="CJ617" i="8"/>
  <c r="CI617" i="8"/>
  <c r="CH617" i="8"/>
  <c r="CG617" i="8"/>
  <c r="CF617" i="8"/>
  <c r="CE617" i="8"/>
  <c r="CD617" i="8"/>
  <c r="CC617" i="8"/>
  <c r="CB617" i="8"/>
  <c r="CA617" i="8"/>
  <c r="BZ617" i="8"/>
  <c r="BY617" i="8"/>
  <c r="BX617" i="8"/>
  <c r="BW617" i="8"/>
  <c r="BV617" i="8"/>
  <c r="BU617" i="8"/>
  <c r="BT617" i="8"/>
  <c r="BS617" i="8"/>
  <c r="BR617" i="8"/>
  <c r="BQ617" i="8"/>
  <c r="BP617" i="8"/>
  <c r="BO617" i="8"/>
  <c r="BN617" i="8"/>
  <c r="BM617" i="8"/>
  <c r="BL617" i="8"/>
  <c r="BK617" i="8"/>
  <c r="BJ617" i="8"/>
  <c r="BI617" i="8"/>
  <c r="BH617" i="8"/>
  <c r="CJ616" i="8"/>
  <c r="CI616" i="8"/>
  <c r="CH616" i="8"/>
  <c r="CG616" i="8"/>
  <c r="CF616" i="8"/>
  <c r="CE616" i="8"/>
  <c r="CD616" i="8"/>
  <c r="CC616" i="8"/>
  <c r="CB616" i="8"/>
  <c r="CA616" i="8"/>
  <c r="BZ616" i="8"/>
  <c r="BY616" i="8"/>
  <c r="BX616" i="8"/>
  <c r="BW616" i="8"/>
  <c r="BV616" i="8"/>
  <c r="BU616" i="8"/>
  <c r="BT616" i="8"/>
  <c r="BS616" i="8"/>
  <c r="BR616" i="8"/>
  <c r="BQ616" i="8"/>
  <c r="BP616" i="8"/>
  <c r="BO616" i="8"/>
  <c r="BN616" i="8"/>
  <c r="BM616" i="8"/>
  <c r="BL616" i="8"/>
  <c r="BK616" i="8"/>
  <c r="BJ616" i="8"/>
  <c r="BI616" i="8"/>
  <c r="BH616" i="8"/>
  <c r="CJ615" i="8"/>
  <c r="CI615" i="8"/>
  <c r="CH615" i="8"/>
  <c r="CG615" i="8"/>
  <c r="CF615" i="8"/>
  <c r="CE615" i="8"/>
  <c r="CD615" i="8"/>
  <c r="CC615" i="8"/>
  <c r="CB615" i="8"/>
  <c r="CA615" i="8"/>
  <c r="BZ615" i="8"/>
  <c r="BY615" i="8"/>
  <c r="BX615" i="8"/>
  <c r="BW615" i="8"/>
  <c r="BV615" i="8"/>
  <c r="BU615" i="8"/>
  <c r="BT615" i="8"/>
  <c r="BS615" i="8"/>
  <c r="BR615" i="8"/>
  <c r="BQ615" i="8"/>
  <c r="BP615" i="8"/>
  <c r="BO615" i="8"/>
  <c r="BN615" i="8"/>
  <c r="BM615" i="8"/>
  <c r="BL615" i="8"/>
  <c r="BK615" i="8"/>
  <c r="BJ615" i="8"/>
  <c r="BI615" i="8"/>
  <c r="BH615" i="8"/>
  <c r="CJ614" i="8"/>
  <c r="CI614" i="8"/>
  <c r="CH614" i="8"/>
  <c r="CG614" i="8"/>
  <c r="CF614" i="8"/>
  <c r="CE614" i="8"/>
  <c r="CD614" i="8"/>
  <c r="CC614" i="8"/>
  <c r="CB614" i="8"/>
  <c r="CA614" i="8"/>
  <c r="BZ614" i="8"/>
  <c r="BY614" i="8"/>
  <c r="BX614" i="8"/>
  <c r="BW614" i="8"/>
  <c r="BV614" i="8"/>
  <c r="BU614" i="8"/>
  <c r="BT614" i="8"/>
  <c r="BS614" i="8"/>
  <c r="BR614" i="8"/>
  <c r="BQ614" i="8"/>
  <c r="BP614" i="8"/>
  <c r="BO614" i="8"/>
  <c r="BN614" i="8"/>
  <c r="BM614" i="8"/>
  <c r="BL614" i="8"/>
  <c r="BK614" i="8"/>
  <c r="BJ614" i="8"/>
  <c r="BI614" i="8"/>
  <c r="BH614" i="8"/>
  <c r="CJ613" i="8"/>
  <c r="CI613" i="8"/>
  <c r="CH613" i="8"/>
  <c r="CG613" i="8"/>
  <c r="CF613" i="8"/>
  <c r="CE613" i="8"/>
  <c r="CD613" i="8"/>
  <c r="CC613" i="8"/>
  <c r="CB613" i="8"/>
  <c r="CA613" i="8"/>
  <c r="BZ613" i="8"/>
  <c r="BY613" i="8"/>
  <c r="BX613" i="8"/>
  <c r="BW613" i="8"/>
  <c r="BV613" i="8"/>
  <c r="BU613" i="8"/>
  <c r="BT613" i="8"/>
  <c r="BS613" i="8"/>
  <c r="BR613" i="8"/>
  <c r="BQ613" i="8"/>
  <c r="BP613" i="8"/>
  <c r="BO613" i="8"/>
  <c r="BN613" i="8"/>
  <c r="BM613" i="8"/>
  <c r="BL613" i="8"/>
  <c r="BK613" i="8"/>
  <c r="BJ613" i="8"/>
  <c r="BI613" i="8"/>
  <c r="BH613" i="8"/>
  <c r="CJ612" i="8"/>
  <c r="CI612" i="8"/>
  <c r="CH612" i="8"/>
  <c r="CG612" i="8"/>
  <c r="CF612" i="8"/>
  <c r="CE612" i="8"/>
  <c r="CD612" i="8"/>
  <c r="CC612" i="8"/>
  <c r="CB612" i="8"/>
  <c r="CA612" i="8"/>
  <c r="BZ612" i="8"/>
  <c r="BY612" i="8"/>
  <c r="BX612" i="8"/>
  <c r="BW612" i="8"/>
  <c r="BV612" i="8"/>
  <c r="BU612" i="8"/>
  <c r="BT612" i="8"/>
  <c r="BS612" i="8"/>
  <c r="BR612" i="8"/>
  <c r="BQ612" i="8"/>
  <c r="BP612" i="8"/>
  <c r="BO612" i="8"/>
  <c r="BN612" i="8"/>
  <c r="BM612" i="8"/>
  <c r="BL612" i="8"/>
  <c r="BK612" i="8"/>
  <c r="BJ612" i="8"/>
  <c r="BI612" i="8"/>
  <c r="BH612" i="8"/>
  <c r="CJ611" i="8"/>
  <c r="CI611" i="8"/>
  <c r="CH611" i="8"/>
  <c r="CG611" i="8"/>
  <c r="CF611" i="8"/>
  <c r="CE611" i="8"/>
  <c r="CD611" i="8"/>
  <c r="CC611" i="8"/>
  <c r="CB611" i="8"/>
  <c r="CA611" i="8"/>
  <c r="BZ611" i="8"/>
  <c r="BY611" i="8"/>
  <c r="BX611" i="8"/>
  <c r="BW611" i="8"/>
  <c r="BV611" i="8"/>
  <c r="BU611" i="8"/>
  <c r="BT611" i="8"/>
  <c r="BS611" i="8"/>
  <c r="BR611" i="8"/>
  <c r="BQ611" i="8"/>
  <c r="BP611" i="8"/>
  <c r="BO611" i="8"/>
  <c r="BN611" i="8"/>
  <c r="BM611" i="8"/>
  <c r="BL611" i="8"/>
  <c r="BK611" i="8"/>
  <c r="BJ611" i="8"/>
  <c r="BI611" i="8"/>
  <c r="BH611" i="8"/>
  <c r="CJ610" i="8"/>
  <c r="CI610" i="8"/>
  <c r="CH610" i="8"/>
  <c r="CG610" i="8"/>
  <c r="CF610" i="8"/>
  <c r="CE610" i="8"/>
  <c r="CD610" i="8"/>
  <c r="CC610" i="8"/>
  <c r="CB610" i="8"/>
  <c r="CA610" i="8"/>
  <c r="BZ610" i="8"/>
  <c r="BY610" i="8"/>
  <c r="BX610" i="8"/>
  <c r="BW610" i="8"/>
  <c r="BV610" i="8"/>
  <c r="BU610" i="8"/>
  <c r="BT610" i="8"/>
  <c r="BS610" i="8"/>
  <c r="BR610" i="8"/>
  <c r="BQ610" i="8"/>
  <c r="BP610" i="8"/>
  <c r="BO610" i="8"/>
  <c r="BN610" i="8"/>
  <c r="BM610" i="8"/>
  <c r="BL610" i="8"/>
  <c r="BK610" i="8"/>
  <c r="BJ610" i="8"/>
  <c r="BI610" i="8"/>
  <c r="BH610" i="8"/>
  <c r="CJ609" i="8"/>
  <c r="CI609" i="8"/>
  <c r="CH609" i="8"/>
  <c r="CG609" i="8"/>
  <c r="CF609" i="8"/>
  <c r="CE609" i="8"/>
  <c r="CD609" i="8"/>
  <c r="CC609" i="8"/>
  <c r="CB609" i="8"/>
  <c r="CA609" i="8"/>
  <c r="BZ609" i="8"/>
  <c r="BY609" i="8"/>
  <c r="BX609" i="8"/>
  <c r="BW609" i="8"/>
  <c r="BV609" i="8"/>
  <c r="BU609" i="8"/>
  <c r="BT609" i="8"/>
  <c r="BS609" i="8"/>
  <c r="BR609" i="8"/>
  <c r="BQ609" i="8"/>
  <c r="BP609" i="8"/>
  <c r="BO609" i="8"/>
  <c r="BN609" i="8"/>
  <c r="BM609" i="8"/>
  <c r="BL609" i="8"/>
  <c r="BK609" i="8"/>
  <c r="BJ609" i="8"/>
  <c r="BI609" i="8"/>
  <c r="BH609" i="8"/>
  <c r="CJ608" i="8"/>
  <c r="CI608" i="8"/>
  <c r="CH608" i="8"/>
  <c r="CG608" i="8"/>
  <c r="CF608" i="8"/>
  <c r="CE608" i="8"/>
  <c r="CD608" i="8"/>
  <c r="CC608" i="8"/>
  <c r="CB608" i="8"/>
  <c r="CA608" i="8"/>
  <c r="BZ608" i="8"/>
  <c r="BY608" i="8"/>
  <c r="BX608" i="8"/>
  <c r="BW608" i="8"/>
  <c r="BV608" i="8"/>
  <c r="BU608" i="8"/>
  <c r="BT608" i="8"/>
  <c r="BS608" i="8"/>
  <c r="BR608" i="8"/>
  <c r="BQ608" i="8"/>
  <c r="BP608" i="8"/>
  <c r="BO608" i="8"/>
  <c r="BN608" i="8"/>
  <c r="BM608" i="8"/>
  <c r="BL608" i="8"/>
  <c r="BK608" i="8"/>
  <c r="BJ608" i="8"/>
  <c r="BI608" i="8"/>
  <c r="BH608" i="8"/>
  <c r="CJ607" i="8"/>
  <c r="CI607" i="8"/>
  <c r="CH607" i="8"/>
  <c r="CG607" i="8"/>
  <c r="CF607" i="8"/>
  <c r="CE607" i="8"/>
  <c r="CD607" i="8"/>
  <c r="CC607" i="8"/>
  <c r="CB607" i="8"/>
  <c r="CA607" i="8"/>
  <c r="BZ607" i="8"/>
  <c r="BY607" i="8"/>
  <c r="BX607" i="8"/>
  <c r="BW607" i="8"/>
  <c r="BV607" i="8"/>
  <c r="BU607" i="8"/>
  <c r="BT607" i="8"/>
  <c r="BS607" i="8"/>
  <c r="BR607" i="8"/>
  <c r="BQ607" i="8"/>
  <c r="BP607" i="8"/>
  <c r="BO607" i="8"/>
  <c r="BN607" i="8"/>
  <c r="BM607" i="8"/>
  <c r="BL607" i="8"/>
  <c r="BK607" i="8"/>
  <c r="BJ607" i="8"/>
  <c r="BI607" i="8"/>
  <c r="BH607" i="8"/>
  <c r="CJ606" i="8"/>
  <c r="CI606" i="8"/>
  <c r="CH606" i="8"/>
  <c r="CG606" i="8"/>
  <c r="CF606" i="8"/>
  <c r="CE606" i="8"/>
  <c r="CD606" i="8"/>
  <c r="CC606" i="8"/>
  <c r="CB606" i="8"/>
  <c r="CA606" i="8"/>
  <c r="BZ606" i="8"/>
  <c r="BY606" i="8"/>
  <c r="BX606" i="8"/>
  <c r="BW606" i="8"/>
  <c r="BV606" i="8"/>
  <c r="BU606" i="8"/>
  <c r="BT606" i="8"/>
  <c r="BS606" i="8"/>
  <c r="BR606" i="8"/>
  <c r="BQ606" i="8"/>
  <c r="BP606" i="8"/>
  <c r="BO606" i="8"/>
  <c r="BN606" i="8"/>
  <c r="BM606" i="8"/>
  <c r="BL606" i="8"/>
  <c r="BK606" i="8"/>
  <c r="BJ606" i="8"/>
  <c r="BI606" i="8"/>
  <c r="BH606" i="8"/>
  <c r="CJ605" i="8"/>
  <c r="CI605" i="8"/>
  <c r="CH605" i="8"/>
  <c r="CG605" i="8"/>
  <c r="CF605" i="8"/>
  <c r="CE605" i="8"/>
  <c r="CD605" i="8"/>
  <c r="CC605" i="8"/>
  <c r="CB605" i="8"/>
  <c r="CA605" i="8"/>
  <c r="BZ605" i="8"/>
  <c r="BY605" i="8"/>
  <c r="BX605" i="8"/>
  <c r="BW605" i="8"/>
  <c r="BV605" i="8"/>
  <c r="BU605" i="8"/>
  <c r="BT605" i="8"/>
  <c r="BS605" i="8"/>
  <c r="BR605" i="8"/>
  <c r="BQ605" i="8"/>
  <c r="BP605" i="8"/>
  <c r="BO605" i="8"/>
  <c r="BN605" i="8"/>
  <c r="BM605" i="8"/>
  <c r="BL605" i="8"/>
  <c r="BK605" i="8"/>
  <c r="BJ605" i="8"/>
  <c r="BI605" i="8"/>
  <c r="BH605" i="8"/>
  <c r="CJ604" i="8"/>
  <c r="CI604" i="8"/>
  <c r="CH604" i="8"/>
  <c r="CG604" i="8"/>
  <c r="CF604" i="8"/>
  <c r="CE604" i="8"/>
  <c r="CD604" i="8"/>
  <c r="CC604" i="8"/>
  <c r="CB604" i="8"/>
  <c r="CA604" i="8"/>
  <c r="BZ604" i="8"/>
  <c r="BY604" i="8"/>
  <c r="BX604" i="8"/>
  <c r="BW604" i="8"/>
  <c r="BV604" i="8"/>
  <c r="BU604" i="8"/>
  <c r="BT604" i="8"/>
  <c r="BS604" i="8"/>
  <c r="BR604" i="8"/>
  <c r="BQ604" i="8"/>
  <c r="BP604" i="8"/>
  <c r="BO604" i="8"/>
  <c r="BN604" i="8"/>
  <c r="BM604" i="8"/>
  <c r="BL604" i="8"/>
  <c r="BK604" i="8"/>
  <c r="BJ604" i="8"/>
  <c r="BI604" i="8"/>
  <c r="BH604" i="8"/>
  <c r="CJ603" i="8"/>
  <c r="CI603" i="8"/>
  <c r="CH603" i="8"/>
  <c r="CG603" i="8"/>
  <c r="CF603" i="8"/>
  <c r="CE603" i="8"/>
  <c r="CD603" i="8"/>
  <c r="CC603" i="8"/>
  <c r="CB603" i="8"/>
  <c r="CA603" i="8"/>
  <c r="BZ603" i="8"/>
  <c r="BY603" i="8"/>
  <c r="BX603" i="8"/>
  <c r="BW603" i="8"/>
  <c r="BV603" i="8"/>
  <c r="BU603" i="8"/>
  <c r="BT603" i="8"/>
  <c r="BS603" i="8"/>
  <c r="BR603" i="8"/>
  <c r="BQ603" i="8"/>
  <c r="BP603" i="8"/>
  <c r="BO603" i="8"/>
  <c r="BN603" i="8"/>
  <c r="BM603" i="8"/>
  <c r="BL603" i="8"/>
  <c r="BK603" i="8"/>
  <c r="BJ603" i="8"/>
  <c r="BI603" i="8"/>
  <c r="BH603" i="8"/>
  <c r="CJ602" i="8"/>
  <c r="CI602" i="8"/>
  <c r="CH602" i="8"/>
  <c r="CG602" i="8"/>
  <c r="CF602" i="8"/>
  <c r="CE602" i="8"/>
  <c r="CD602" i="8"/>
  <c r="CC602" i="8"/>
  <c r="CB602" i="8"/>
  <c r="CA602" i="8"/>
  <c r="BZ602" i="8"/>
  <c r="BY602" i="8"/>
  <c r="BX602" i="8"/>
  <c r="BW602" i="8"/>
  <c r="BV602" i="8"/>
  <c r="BU602" i="8"/>
  <c r="BT602" i="8"/>
  <c r="BS602" i="8"/>
  <c r="BR602" i="8"/>
  <c r="BQ602" i="8"/>
  <c r="BP602" i="8"/>
  <c r="BO602" i="8"/>
  <c r="BN602" i="8"/>
  <c r="BM602" i="8"/>
  <c r="BL602" i="8"/>
  <c r="BK602" i="8"/>
  <c r="BJ602" i="8"/>
  <c r="BI602" i="8"/>
  <c r="BH602" i="8"/>
  <c r="CJ601" i="8"/>
  <c r="CI601" i="8"/>
  <c r="CH601" i="8"/>
  <c r="CG601" i="8"/>
  <c r="CF601" i="8"/>
  <c r="CE601" i="8"/>
  <c r="CD601" i="8"/>
  <c r="CC601" i="8"/>
  <c r="CB601" i="8"/>
  <c r="CA601" i="8"/>
  <c r="BZ601" i="8"/>
  <c r="BY601" i="8"/>
  <c r="BX601" i="8"/>
  <c r="BW601" i="8"/>
  <c r="BV601" i="8"/>
  <c r="BU601" i="8"/>
  <c r="BT601" i="8"/>
  <c r="BS601" i="8"/>
  <c r="BR601" i="8"/>
  <c r="BQ601" i="8"/>
  <c r="BP601" i="8"/>
  <c r="BO601" i="8"/>
  <c r="BN601" i="8"/>
  <c r="BM601" i="8"/>
  <c r="BL601" i="8"/>
  <c r="BK601" i="8"/>
  <c r="BJ601" i="8"/>
  <c r="BI601" i="8"/>
  <c r="BH601" i="8"/>
  <c r="CJ600" i="8"/>
  <c r="CI600" i="8"/>
  <c r="CH600" i="8"/>
  <c r="CG600" i="8"/>
  <c r="CF600" i="8"/>
  <c r="CE600" i="8"/>
  <c r="CD600" i="8"/>
  <c r="CC600" i="8"/>
  <c r="CB600" i="8"/>
  <c r="CA600" i="8"/>
  <c r="BZ600" i="8"/>
  <c r="BY600" i="8"/>
  <c r="BX600" i="8"/>
  <c r="BW600" i="8"/>
  <c r="BV600" i="8"/>
  <c r="BU600" i="8"/>
  <c r="BT600" i="8"/>
  <c r="BS600" i="8"/>
  <c r="BR600" i="8"/>
  <c r="BQ600" i="8"/>
  <c r="BP600" i="8"/>
  <c r="BO600" i="8"/>
  <c r="BN600" i="8"/>
  <c r="BM600" i="8"/>
  <c r="BL600" i="8"/>
  <c r="BK600" i="8"/>
  <c r="BJ600" i="8"/>
  <c r="BI600" i="8"/>
  <c r="BH600" i="8"/>
  <c r="CJ599" i="8"/>
  <c r="CI599" i="8"/>
  <c r="CH599" i="8"/>
  <c r="CG599" i="8"/>
  <c r="CF599" i="8"/>
  <c r="CE599" i="8"/>
  <c r="CD599" i="8"/>
  <c r="CC599" i="8"/>
  <c r="CB599" i="8"/>
  <c r="CA599" i="8"/>
  <c r="BZ599" i="8"/>
  <c r="BY599" i="8"/>
  <c r="BX599" i="8"/>
  <c r="BW599" i="8"/>
  <c r="BV599" i="8"/>
  <c r="BU599" i="8"/>
  <c r="BT599" i="8"/>
  <c r="BS599" i="8"/>
  <c r="BR599" i="8"/>
  <c r="BQ599" i="8"/>
  <c r="BP599" i="8"/>
  <c r="BO599" i="8"/>
  <c r="BN599" i="8"/>
  <c r="BM599" i="8"/>
  <c r="BL599" i="8"/>
  <c r="BK599" i="8"/>
  <c r="BJ599" i="8"/>
  <c r="BI599" i="8"/>
  <c r="BH599" i="8"/>
  <c r="CJ598" i="8"/>
  <c r="CI598" i="8"/>
  <c r="CH598" i="8"/>
  <c r="CG598" i="8"/>
  <c r="CF598" i="8"/>
  <c r="CE598" i="8"/>
  <c r="CD598" i="8"/>
  <c r="CC598" i="8"/>
  <c r="CB598" i="8"/>
  <c r="CA598" i="8"/>
  <c r="BZ598" i="8"/>
  <c r="BY598" i="8"/>
  <c r="BX598" i="8"/>
  <c r="BW598" i="8"/>
  <c r="BV598" i="8"/>
  <c r="BU598" i="8"/>
  <c r="BT598" i="8"/>
  <c r="BS598" i="8"/>
  <c r="BR598" i="8"/>
  <c r="BQ598" i="8"/>
  <c r="BP598" i="8"/>
  <c r="BO598" i="8"/>
  <c r="BN598" i="8"/>
  <c r="BM598" i="8"/>
  <c r="BL598" i="8"/>
  <c r="BK598" i="8"/>
  <c r="BJ598" i="8"/>
  <c r="BI598" i="8"/>
  <c r="BH598" i="8"/>
  <c r="CJ597" i="8"/>
  <c r="CI597" i="8"/>
  <c r="CH597" i="8"/>
  <c r="CG597" i="8"/>
  <c r="CF597" i="8"/>
  <c r="CE597" i="8"/>
  <c r="CD597" i="8"/>
  <c r="CC597" i="8"/>
  <c r="CB597" i="8"/>
  <c r="CA597" i="8"/>
  <c r="BZ597" i="8"/>
  <c r="BY597" i="8"/>
  <c r="BX597" i="8"/>
  <c r="BW597" i="8"/>
  <c r="BV597" i="8"/>
  <c r="BU597" i="8"/>
  <c r="BT597" i="8"/>
  <c r="BS597" i="8"/>
  <c r="BR597" i="8"/>
  <c r="BQ597" i="8"/>
  <c r="BP597" i="8"/>
  <c r="BO597" i="8"/>
  <c r="BN597" i="8"/>
  <c r="BM597" i="8"/>
  <c r="BL597" i="8"/>
  <c r="BK597" i="8"/>
  <c r="BJ597" i="8"/>
  <c r="BI597" i="8"/>
  <c r="BH597" i="8"/>
  <c r="CJ596" i="8"/>
  <c r="CI596" i="8"/>
  <c r="CH596" i="8"/>
  <c r="CG596" i="8"/>
  <c r="CF596" i="8"/>
  <c r="CE596" i="8"/>
  <c r="CD596" i="8"/>
  <c r="CC596" i="8"/>
  <c r="CB596" i="8"/>
  <c r="CA596" i="8"/>
  <c r="BZ596" i="8"/>
  <c r="BY596" i="8"/>
  <c r="BX596" i="8"/>
  <c r="BW596" i="8"/>
  <c r="BV596" i="8"/>
  <c r="BU596" i="8"/>
  <c r="BT596" i="8"/>
  <c r="BS596" i="8"/>
  <c r="BR596" i="8"/>
  <c r="BQ596" i="8"/>
  <c r="BP596" i="8"/>
  <c r="BO596" i="8"/>
  <c r="BN596" i="8"/>
  <c r="BM596" i="8"/>
  <c r="BL596" i="8"/>
  <c r="BK596" i="8"/>
  <c r="BJ596" i="8"/>
  <c r="BI596" i="8"/>
  <c r="BH596" i="8"/>
  <c r="CJ595" i="8"/>
  <c r="CI595" i="8"/>
  <c r="CH595" i="8"/>
  <c r="CG595" i="8"/>
  <c r="CF595" i="8"/>
  <c r="CE595" i="8"/>
  <c r="CD595" i="8"/>
  <c r="CC595" i="8"/>
  <c r="CB595" i="8"/>
  <c r="CA595" i="8"/>
  <c r="BZ595" i="8"/>
  <c r="BY595" i="8"/>
  <c r="BX595" i="8"/>
  <c r="BW595" i="8"/>
  <c r="BV595" i="8"/>
  <c r="BU595" i="8"/>
  <c r="BT595" i="8"/>
  <c r="BS595" i="8"/>
  <c r="BR595" i="8"/>
  <c r="BQ595" i="8"/>
  <c r="BP595" i="8"/>
  <c r="BO595" i="8"/>
  <c r="BN595" i="8"/>
  <c r="BM595" i="8"/>
  <c r="BL595" i="8"/>
  <c r="BK595" i="8"/>
  <c r="BJ595" i="8"/>
  <c r="BI595" i="8"/>
  <c r="BH595" i="8"/>
  <c r="CJ586" i="8"/>
  <c r="CI586" i="8"/>
  <c r="CH586" i="8"/>
  <c r="CG586" i="8"/>
  <c r="CF586" i="8"/>
  <c r="CE586" i="8"/>
  <c r="CD586" i="8"/>
  <c r="CC586" i="8"/>
  <c r="CB586" i="8"/>
  <c r="CA586" i="8"/>
  <c r="BZ586" i="8"/>
  <c r="BY586" i="8"/>
  <c r="BX586" i="8"/>
  <c r="BW586" i="8"/>
  <c r="BV586" i="8"/>
  <c r="BU586" i="8"/>
  <c r="BT586" i="8"/>
  <c r="BS586" i="8"/>
  <c r="BR586" i="8"/>
  <c r="BQ586" i="8"/>
  <c r="BP586" i="8"/>
  <c r="BO586" i="8"/>
  <c r="BN586" i="8"/>
  <c r="BM586" i="8"/>
  <c r="BL586" i="8"/>
  <c r="BK586" i="8"/>
  <c r="BJ586" i="8"/>
  <c r="BI586" i="8"/>
  <c r="BH586" i="8"/>
  <c r="CJ585" i="8"/>
  <c r="CI585" i="8"/>
  <c r="CH585" i="8"/>
  <c r="CG585" i="8"/>
  <c r="CF585" i="8"/>
  <c r="CE585" i="8"/>
  <c r="CD585" i="8"/>
  <c r="CC585" i="8"/>
  <c r="CB585" i="8"/>
  <c r="CA585" i="8"/>
  <c r="BZ585" i="8"/>
  <c r="BY585" i="8"/>
  <c r="BX585" i="8"/>
  <c r="BW585" i="8"/>
  <c r="BV585" i="8"/>
  <c r="BU585" i="8"/>
  <c r="BT585" i="8"/>
  <c r="BS585" i="8"/>
  <c r="BR585" i="8"/>
  <c r="BQ585" i="8"/>
  <c r="BP585" i="8"/>
  <c r="BO585" i="8"/>
  <c r="BN585" i="8"/>
  <c r="BM585" i="8"/>
  <c r="BL585" i="8"/>
  <c r="BK585" i="8"/>
  <c r="BJ585" i="8"/>
  <c r="BI585" i="8"/>
  <c r="BH585" i="8"/>
  <c r="CJ584" i="8"/>
  <c r="CI584" i="8"/>
  <c r="CH584" i="8"/>
  <c r="CG584" i="8"/>
  <c r="CF584" i="8"/>
  <c r="CE584" i="8"/>
  <c r="CD584" i="8"/>
  <c r="CC584" i="8"/>
  <c r="CB584" i="8"/>
  <c r="CA584" i="8"/>
  <c r="BZ584" i="8"/>
  <c r="BY584" i="8"/>
  <c r="BX584" i="8"/>
  <c r="BW584" i="8"/>
  <c r="BV584" i="8"/>
  <c r="BU584" i="8"/>
  <c r="BT584" i="8"/>
  <c r="BS584" i="8"/>
  <c r="BR584" i="8"/>
  <c r="BQ584" i="8"/>
  <c r="BP584" i="8"/>
  <c r="BO584" i="8"/>
  <c r="BN584" i="8"/>
  <c r="BM584" i="8"/>
  <c r="BL584" i="8"/>
  <c r="BK584" i="8"/>
  <c r="BJ584" i="8"/>
  <c r="BI584" i="8"/>
  <c r="BH584" i="8"/>
  <c r="CJ583" i="8"/>
  <c r="CI583" i="8"/>
  <c r="CH583" i="8"/>
  <c r="CG583" i="8"/>
  <c r="CF583" i="8"/>
  <c r="CE583" i="8"/>
  <c r="CD583" i="8"/>
  <c r="CC583" i="8"/>
  <c r="CB583" i="8"/>
  <c r="CA583" i="8"/>
  <c r="BZ583" i="8"/>
  <c r="BY583" i="8"/>
  <c r="BX583" i="8"/>
  <c r="BW583" i="8"/>
  <c r="BV583" i="8"/>
  <c r="BU583" i="8"/>
  <c r="BT583" i="8"/>
  <c r="BS583" i="8"/>
  <c r="BR583" i="8"/>
  <c r="BQ583" i="8"/>
  <c r="BP583" i="8"/>
  <c r="BO583" i="8"/>
  <c r="BN583" i="8"/>
  <c r="BM583" i="8"/>
  <c r="BL583" i="8"/>
  <c r="BK583" i="8"/>
  <c r="BJ583" i="8"/>
  <c r="BI583" i="8"/>
  <c r="BH583" i="8"/>
  <c r="CJ582" i="8"/>
  <c r="CI582" i="8"/>
  <c r="CH582" i="8"/>
  <c r="CG582" i="8"/>
  <c r="CF582" i="8"/>
  <c r="CE582" i="8"/>
  <c r="CD582" i="8"/>
  <c r="CC582" i="8"/>
  <c r="CB582" i="8"/>
  <c r="CA582" i="8"/>
  <c r="BZ582" i="8"/>
  <c r="BY582" i="8"/>
  <c r="BX582" i="8"/>
  <c r="BW582" i="8"/>
  <c r="BV582" i="8"/>
  <c r="BU582" i="8"/>
  <c r="BT582" i="8"/>
  <c r="BS582" i="8"/>
  <c r="BR582" i="8"/>
  <c r="BQ582" i="8"/>
  <c r="BP582" i="8"/>
  <c r="BO582" i="8"/>
  <c r="BN582" i="8"/>
  <c r="BM582" i="8"/>
  <c r="BL582" i="8"/>
  <c r="BK582" i="8"/>
  <c r="BJ582" i="8"/>
  <c r="BI582" i="8"/>
  <c r="BH582" i="8"/>
  <c r="CJ581" i="8"/>
  <c r="CI581" i="8"/>
  <c r="CH581" i="8"/>
  <c r="CG581" i="8"/>
  <c r="CF581" i="8"/>
  <c r="CE581" i="8"/>
  <c r="CD581" i="8"/>
  <c r="CC581" i="8"/>
  <c r="CB581" i="8"/>
  <c r="CA581" i="8"/>
  <c r="BZ581" i="8"/>
  <c r="BY581" i="8"/>
  <c r="BX581" i="8"/>
  <c r="BW581" i="8"/>
  <c r="BV581" i="8"/>
  <c r="BU581" i="8"/>
  <c r="BT581" i="8"/>
  <c r="BS581" i="8"/>
  <c r="BR581" i="8"/>
  <c r="BQ581" i="8"/>
  <c r="BP581" i="8"/>
  <c r="BO581" i="8"/>
  <c r="BN581" i="8"/>
  <c r="BM581" i="8"/>
  <c r="BL581" i="8"/>
  <c r="BK581" i="8"/>
  <c r="BJ581" i="8"/>
  <c r="BI581" i="8"/>
  <c r="BH581" i="8"/>
  <c r="CJ580" i="8"/>
  <c r="CI580" i="8"/>
  <c r="CH580" i="8"/>
  <c r="CG580" i="8"/>
  <c r="CF580" i="8"/>
  <c r="CE580" i="8"/>
  <c r="CD580" i="8"/>
  <c r="CC580" i="8"/>
  <c r="CB580" i="8"/>
  <c r="CA580" i="8"/>
  <c r="BZ580" i="8"/>
  <c r="BY580" i="8"/>
  <c r="BX580" i="8"/>
  <c r="BW580" i="8"/>
  <c r="BV580" i="8"/>
  <c r="BU580" i="8"/>
  <c r="BT580" i="8"/>
  <c r="BS580" i="8"/>
  <c r="BR580" i="8"/>
  <c r="BQ580" i="8"/>
  <c r="BP580" i="8"/>
  <c r="BO580" i="8"/>
  <c r="BN580" i="8"/>
  <c r="BM580" i="8"/>
  <c r="BL580" i="8"/>
  <c r="BK580" i="8"/>
  <c r="BJ580" i="8"/>
  <c r="BI580" i="8"/>
  <c r="BH580" i="8"/>
  <c r="CJ579" i="8"/>
  <c r="CI579" i="8"/>
  <c r="CH579" i="8"/>
  <c r="CG579" i="8"/>
  <c r="CF579" i="8"/>
  <c r="CE579" i="8"/>
  <c r="CD579" i="8"/>
  <c r="CC579" i="8"/>
  <c r="CB579" i="8"/>
  <c r="CA579" i="8"/>
  <c r="BZ579" i="8"/>
  <c r="BY579" i="8"/>
  <c r="BX579" i="8"/>
  <c r="BW579" i="8"/>
  <c r="BV579" i="8"/>
  <c r="BU579" i="8"/>
  <c r="BT579" i="8"/>
  <c r="BS579" i="8"/>
  <c r="BR579" i="8"/>
  <c r="BQ579" i="8"/>
  <c r="BP579" i="8"/>
  <c r="BO579" i="8"/>
  <c r="BN579" i="8"/>
  <c r="BM579" i="8"/>
  <c r="BL579" i="8"/>
  <c r="BK579" i="8"/>
  <c r="BJ579" i="8"/>
  <c r="BI579" i="8"/>
  <c r="BH579" i="8"/>
  <c r="CJ578" i="8"/>
  <c r="CI578" i="8"/>
  <c r="CH578" i="8"/>
  <c r="CG578" i="8"/>
  <c r="CF578" i="8"/>
  <c r="CE578" i="8"/>
  <c r="CD578" i="8"/>
  <c r="CC578" i="8"/>
  <c r="CB578" i="8"/>
  <c r="CA578" i="8"/>
  <c r="BZ578" i="8"/>
  <c r="BY578" i="8"/>
  <c r="BX578" i="8"/>
  <c r="BW578" i="8"/>
  <c r="BV578" i="8"/>
  <c r="BU578" i="8"/>
  <c r="BT578" i="8"/>
  <c r="BS578" i="8"/>
  <c r="BR578" i="8"/>
  <c r="BQ578" i="8"/>
  <c r="BP578" i="8"/>
  <c r="BO578" i="8"/>
  <c r="BN578" i="8"/>
  <c r="BM578" i="8"/>
  <c r="BL578" i="8"/>
  <c r="BK578" i="8"/>
  <c r="BJ578" i="8"/>
  <c r="BI578" i="8"/>
  <c r="BH578" i="8"/>
  <c r="CJ577" i="8"/>
  <c r="CI577" i="8"/>
  <c r="CH577" i="8"/>
  <c r="CG577" i="8"/>
  <c r="CF577" i="8"/>
  <c r="CE577" i="8"/>
  <c r="CD577" i="8"/>
  <c r="CC577" i="8"/>
  <c r="CB577" i="8"/>
  <c r="CA577" i="8"/>
  <c r="BZ577" i="8"/>
  <c r="BY577" i="8"/>
  <c r="BX577" i="8"/>
  <c r="BW577" i="8"/>
  <c r="BV577" i="8"/>
  <c r="BU577" i="8"/>
  <c r="BT577" i="8"/>
  <c r="BS577" i="8"/>
  <c r="BR577" i="8"/>
  <c r="BQ577" i="8"/>
  <c r="BP577" i="8"/>
  <c r="BO577" i="8"/>
  <c r="BN577" i="8"/>
  <c r="BM577" i="8"/>
  <c r="BL577" i="8"/>
  <c r="BK577" i="8"/>
  <c r="BJ577" i="8"/>
  <c r="BI577" i="8"/>
  <c r="BH577" i="8"/>
  <c r="CJ576" i="8"/>
  <c r="CI576" i="8"/>
  <c r="CH576" i="8"/>
  <c r="CG576" i="8"/>
  <c r="CF576" i="8"/>
  <c r="CE576" i="8"/>
  <c r="CD576" i="8"/>
  <c r="CC576" i="8"/>
  <c r="CB576" i="8"/>
  <c r="CA576" i="8"/>
  <c r="BZ576" i="8"/>
  <c r="BY576" i="8"/>
  <c r="BX576" i="8"/>
  <c r="BW576" i="8"/>
  <c r="BV576" i="8"/>
  <c r="BU576" i="8"/>
  <c r="BT576" i="8"/>
  <c r="BS576" i="8"/>
  <c r="BR576" i="8"/>
  <c r="BQ576" i="8"/>
  <c r="BP576" i="8"/>
  <c r="BO576" i="8"/>
  <c r="BN576" i="8"/>
  <c r="BM576" i="8"/>
  <c r="BL576" i="8"/>
  <c r="BK576" i="8"/>
  <c r="BJ576" i="8"/>
  <c r="BI576" i="8"/>
  <c r="BH576" i="8"/>
  <c r="CJ575" i="8"/>
  <c r="CI575" i="8"/>
  <c r="CH575" i="8"/>
  <c r="CG575" i="8"/>
  <c r="CF575" i="8"/>
  <c r="CE575" i="8"/>
  <c r="CD575" i="8"/>
  <c r="CC575" i="8"/>
  <c r="CB575" i="8"/>
  <c r="CA575" i="8"/>
  <c r="BZ575" i="8"/>
  <c r="BY575" i="8"/>
  <c r="BX575" i="8"/>
  <c r="BW575" i="8"/>
  <c r="BV575" i="8"/>
  <c r="BU575" i="8"/>
  <c r="BT575" i="8"/>
  <c r="BS575" i="8"/>
  <c r="BR575" i="8"/>
  <c r="BQ575" i="8"/>
  <c r="BP575" i="8"/>
  <c r="BO575" i="8"/>
  <c r="BN575" i="8"/>
  <c r="BM575" i="8"/>
  <c r="BL575" i="8"/>
  <c r="BK575" i="8"/>
  <c r="BJ575" i="8"/>
  <c r="BI575" i="8"/>
  <c r="BH575" i="8"/>
  <c r="CJ574" i="8"/>
  <c r="CI574" i="8"/>
  <c r="CH574" i="8"/>
  <c r="CG574" i="8"/>
  <c r="CF574" i="8"/>
  <c r="CE574" i="8"/>
  <c r="CD574" i="8"/>
  <c r="CC574" i="8"/>
  <c r="CB574" i="8"/>
  <c r="CA574" i="8"/>
  <c r="BZ574" i="8"/>
  <c r="BY574" i="8"/>
  <c r="BX574" i="8"/>
  <c r="BW574" i="8"/>
  <c r="BV574" i="8"/>
  <c r="BU574" i="8"/>
  <c r="BT574" i="8"/>
  <c r="BS574" i="8"/>
  <c r="BR574" i="8"/>
  <c r="BQ574" i="8"/>
  <c r="BP574" i="8"/>
  <c r="BO574" i="8"/>
  <c r="BN574" i="8"/>
  <c r="BM574" i="8"/>
  <c r="BL574" i="8"/>
  <c r="BK574" i="8"/>
  <c r="BJ574" i="8"/>
  <c r="BI574" i="8"/>
  <c r="BH574" i="8"/>
  <c r="CJ573" i="8"/>
  <c r="CI573" i="8"/>
  <c r="CH573" i="8"/>
  <c r="CG573" i="8"/>
  <c r="CF573" i="8"/>
  <c r="CE573" i="8"/>
  <c r="CD573" i="8"/>
  <c r="CC573" i="8"/>
  <c r="CB573" i="8"/>
  <c r="CA573" i="8"/>
  <c r="BZ573" i="8"/>
  <c r="BY573" i="8"/>
  <c r="BX573" i="8"/>
  <c r="BW573" i="8"/>
  <c r="BV573" i="8"/>
  <c r="BU573" i="8"/>
  <c r="BT573" i="8"/>
  <c r="BS573" i="8"/>
  <c r="BR573" i="8"/>
  <c r="BQ573" i="8"/>
  <c r="BP573" i="8"/>
  <c r="BO573" i="8"/>
  <c r="BN573" i="8"/>
  <c r="BM573" i="8"/>
  <c r="BL573" i="8"/>
  <c r="BK573" i="8"/>
  <c r="BJ573" i="8"/>
  <c r="BI573" i="8"/>
  <c r="BH573" i="8"/>
  <c r="CJ572" i="8"/>
  <c r="CI572" i="8"/>
  <c r="CH572" i="8"/>
  <c r="CG572" i="8"/>
  <c r="CF572" i="8"/>
  <c r="CE572" i="8"/>
  <c r="CD572" i="8"/>
  <c r="CC572" i="8"/>
  <c r="CB572" i="8"/>
  <c r="CA572" i="8"/>
  <c r="BZ572" i="8"/>
  <c r="BY572" i="8"/>
  <c r="BX572" i="8"/>
  <c r="BW572" i="8"/>
  <c r="BV572" i="8"/>
  <c r="BU572" i="8"/>
  <c r="BT572" i="8"/>
  <c r="BS572" i="8"/>
  <c r="BR572" i="8"/>
  <c r="BQ572" i="8"/>
  <c r="BP572" i="8"/>
  <c r="BO572" i="8"/>
  <c r="BN572" i="8"/>
  <c r="BM572" i="8"/>
  <c r="BL572" i="8"/>
  <c r="BK572" i="8"/>
  <c r="BJ572" i="8"/>
  <c r="BI572" i="8"/>
  <c r="BH572" i="8"/>
  <c r="CJ571" i="8"/>
  <c r="CI571" i="8"/>
  <c r="CH571" i="8"/>
  <c r="CG571" i="8"/>
  <c r="CF571" i="8"/>
  <c r="CE571" i="8"/>
  <c r="CD571" i="8"/>
  <c r="CC571" i="8"/>
  <c r="CB571" i="8"/>
  <c r="CA571" i="8"/>
  <c r="BZ571" i="8"/>
  <c r="BY571" i="8"/>
  <c r="BX571" i="8"/>
  <c r="BW571" i="8"/>
  <c r="BV571" i="8"/>
  <c r="BU571" i="8"/>
  <c r="BT571" i="8"/>
  <c r="BS571" i="8"/>
  <c r="BR571" i="8"/>
  <c r="BQ571" i="8"/>
  <c r="BP571" i="8"/>
  <c r="BO571" i="8"/>
  <c r="BN571" i="8"/>
  <c r="BM571" i="8"/>
  <c r="BL571" i="8"/>
  <c r="BK571" i="8"/>
  <c r="BJ571" i="8"/>
  <c r="BI571" i="8"/>
  <c r="BH571" i="8"/>
  <c r="CJ570" i="8"/>
  <c r="CI570" i="8"/>
  <c r="CH570" i="8"/>
  <c r="CG570" i="8"/>
  <c r="CF570" i="8"/>
  <c r="CE570" i="8"/>
  <c r="CD570" i="8"/>
  <c r="CC570" i="8"/>
  <c r="CB570" i="8"/>
  <c r="CA570" i="8"/>
  <c r="BZ570" i="8"/>
  <c r="BY570" i="8"/>
  <c r="BX570" i="8"/>
  <c r="BW570" i="8"/>
  <c r="BV570" i="8"/>
  <c r="BU570" i="8"/>
  <c r="BT570" i="8"/>
  <c r="BS570" i="8"/>
  <c r="BR570" i="8"/>
  <c r="BQ570" i="8"/>
  <c r="BP570" i="8"/>
  <c r="BO570" i="8"/>
  <c r="BN570" i="8"/>
  <c r="BM570" i="8"/>
  <c r="BL570" i="8"/>
  <c r="BK570" i="8"/>
  <c r="BJ570" i="8"/>
  <c r="BI570" i="8"/>
  <c r="BH570" i="8"/>
  <c r="CJ569" i="8"/>
  <c r="CI569" i="8"/>
  <c r="CH569" i="8"/>
  <c r="CG569" i="8"/>
  <c r="CF569" i="8"/>
  <c r="CE569" i="8"/>
  <c r="CD569" i="8"/>
  <c r="CC569" i="8"/>
  <c r="CB569" i="8"/>
  <c r="CA569" i="8"/>
  <c r="BZ569" i="8"/>
  <c r="BY569" i="8"/>
  <c r="BX569" i="8"/>
  <c r="BW569" i="8"/>
  <c r="BV569" i="8"/>
  <c r="BU569" i="8"/>
  <c r="BT569" i="8"/>
  <c r="BS569" i="8"/>
  <c r="BR569" i="8"/>
  <c r="BQ569" i="8"/>
  <c r="BP569" i="8"/>
  <c r="BO569" i="8"/>
  <c r="BN569" i="8"/>
  <c r="BM569" i="8"/>
  <c r="BL569" i="8"/>
  <c r="BK569" i="8"/>
  <c r="BJ569" i="8"/>
  <c r="BI569" i="8"/>
  <c r="BH569" i="8"/>
  <c r="CJ568" i="8"/>
  <c r="CI568" i="8"/>
  <c r="CH568" i="8"/>
  <c r="CG568" i="8"/>
  <c r="CF568" i="8"/>
  <c r="CE568" i="8"/>
  <c r="CD568" i="8"/>
  <c r="CC568" i="8"/>
  <c r="CB568" i="8"/>
  <c r="CA568" i="8"/>
  <c r="BZ568" i="8"/>
  <c r="BY568" i="8"/>
  <c r="BX568" i="8"/>
  <c r="BW568" i="8"/>
  <c r="BV568" i="8"/>
  <c r="BU568" i="8"/>
  <c r="BT568" i="8"/>
  <c r="BS568" i="8"/>
  <c r="BR568" i="8"/>
  <c r="BQ568" i="8"/>
  <c r="BP568" i="8"/>
  <c r="BO568" i="8"/>
  <c r="BN568" i="8"/>
  <c r="BM568" i="8"/>
  <c r="BL568" i="8"/>
  <c r="BK568" i="8"/>
  <c r="BJ568" i="8"/>
  <c r="BI568" i="8"/>
  <c r="BH568" i="8"/>
  <c r="CJ567" i="8"/>
  <c r="CI567" i="8"/>
  <c r="CH567" i="8"/>
  <c r="CG567" i="8"/>
  <c r="CF567" i="8"/>
  <c r="CE567" i="8"/>
  <c r="CD567" i="8"/>
  <c r="CC567" i="8"/>
  <c r="CB567" i="8"/>
  <c r="CA567" i="8"/>
  <c r="BZ567" i="8"/>
  <c r="BY567" i="8"/>
  <c r="BX567" i="8"/>
  <c r="BW567" i="8"/>
  <c r="BV567" i="8"/>
  <c r="BU567" i="8"/>
  <c r="BT567" i="8"/>
  <c r="BS567" i="8"/>
  <c r="BR567" i="8"/>
  <c r="BQ567" i="8"/>
  <c r="BP567" i="8"/>
  <c r="BO567" i="8"/>
  <c r="BN567" i="8"/>
  <c r="BM567" i="8"/>
  <c r="BL567" i="8"/>
  <c r="BK567" i="8"/>
  <c r="BJ567" i="8"/>
  <c r="BI567" i="8"/>
  <c r="BH567" i="8"/>
  <c r="CJ566" i="8"/>
  <c r="CI566" i="8"/>
  <c r="CH566" i="8"/>
  <c r="CG566" i="8"/>
  <c r="CF566" i="8"/>
  <c r="CE566" i="8"/>
  <c r="CD566" i="8"/>
  <c r="CC566" i="8"/>
  <c r="CB566" i="8"/>
  <c r="CA566" i="8"/>
  <c r="BZ566" i="8"/>
  <c r="BY566" i="8"/>
  <c r="BX566" i="8"/>
  <c r="BW566" i="8"/>
  <c r="BV566" i="8"/>
  <c r="BU566" i="8"/>
  <c r="BT566" i="8"/>
  <c r="BS566" i="8"/>
  <c r="BR566" i="8"/>
  <c r="BQ566" i="8"/>
  <c r="BP566" i="8"/>
  <c r="BO566" i="8"/>
  <c r="BN566" i="8"/>
  <c r="BM566" i="8"/>
  <c r="BL566" i="8"/>
  <c r="BK566" i="8"/>
  <c r="BJ566" i="8"/>
  <c r="BI566" i="8"/>
  <c r="BH566" i="8"/>
  <c r="CJ565" i="8"/>
  <c r="CI565" i="8"/>
  <c r="CH565" i="8"/>
  <c r="CG565" i="8"/>
  <c r="CF565" i="8"/>
  <c r="CE565" i="8"/>
  <c r="CD565" i="8"/>
  <c r="CC565" i="8"/>
  <c r="CB565" i="8"/>
  <c r="CA565" i="8"/>
  <c r="BZ565" i="8"/>
  <c r="BY565" i="8"/>
  <c r="BX565" i="8"/>
  <c r="BW565" i="8"/>
  <c r="BV565" i="8"/>
  <c r="BU565" i="8"/>
  <c r="BT565" i="8"/>
  <c r="BS565" i="8"/>
  <c r="BR565" i="8"/>
  <c r="BQ565" i="8"/>
  <c r="BP565" i="8"/>
  <c r="BO565" i="8"/>
  <c r="BN565" i="8"/>
  <c r="BM565" i="8"/>
  <c r="BL565" i="8"/>
  <c r="BK565" i="8"/>
  <c r="BJ565" i="8"/>
  <c r="BI565" i="8"/>
  <c r="BH565" i="8"/>
  <c r="CJ564" i="8"/>
  <c r="CI564" i="8"/>
  <c r="CH564" i="8"/>
  <c r="CG564" i="8"/>
  <c r="CF564" i="8"/>
  <c r="CE564" i="8"/>
  <c r="CD564" i="8"/>
  <c r="CC564" i="8"/>
  <c r="CB564" i="8"/>
  <c r="CA564" i="8"/>
  <c r="BZ564" i="8"/>
  <c r="BY564" i="8"/>
  <c r="BX564" i="8"/>
  <c r="BW564" i="8"/>
  <c r="BV564" i="8"/>
  <c r="BU564" i="8"/>
  <c r="BT564" i="8"/>
  <c r="BS564" i="8"/>
  <c r="BR564" i="8"/>
  <c r="BQ564" i="8"/>
  <c r="BP564" i="8"/>
  <c r="BO564" i="8"/>
  <c r="BN564" i="8"/>
  <c r="BM564" i="8"/>
  <c r="BL564" i="8"/>
  <c r="BK564" i="8"/>
  <c r="BJ564" i="8"/>
  <c r="BI564" i="8"/>
  <c r="BH564" i="8"/>
  <c r="CJ563" i="8"/>
  <c r="CI563" i="8"/>
  <c r="CH563" i="8"/>
  <c r="CG563" i="8"/>
  <c r="CF563" i="8"/>
  <c r="CE563" i="8"/>
  <c r="CD563" i="8"/>
  <c r="CC563" i="8"/>
  <c r="CB563" i="8"/>
  <c r="CA563" i="8"/>
  <c r="BZ563" i="8"/>
  <c r="BY563" i="8"/>
  <c r="BX563" i="8"/>
  <c r="BW563" i="8"/>
  <c r="BV563" i="8"/>
  <c r="BU563" i="8"/>
  <c r="BT563" i="8"/>
  <c r="BS563" i="8"/>
  <c r="BR563" i="8"/>
  <c r="BQ563" i="8"/>
  <c r="BP563" i="8"/>
  <c r="BO563" i="8"/>
  <c r="BN563" i="8"/>
  <c r="BM563" i="8"/>
  <c r="BL563" i="8"/>
  <c r="BK563" i="8"/>
  <c r="BJ563" i="8"/>
  <c r="BI563" i="8"/>
  <c r="BH563" i="8"/>
  <c r="CJ562" i="8"/>
  <c r="CI562" i="8"/>
  <c r="CH562" i="8"/>
  <c r="CG562" i="8"/>
  <c r="CF562" i="8"/>
  <c r="CE562" i="8"/>
  <c r="CD562" i="8"/>
  <c r="CC562" i="8"/>
  <c r="CB562" i="8"/>
  <c r="CA562" i="8"/>
  <c r="BZ562" i="8"/>
  <c r="BY562" i="8"/>
  <c r="BX562" i="8"/>
  <c r="BW562" i="8"/>
  <c r="BV562" i="8"/>
  <c r="BU562" i="8"/>
  <c r="BT562" i="8"/>
  <c r="BS562" i="8"/>
  <c r="BR562" i="8"/>
  <c r="BQ562" i="8"/>
  <c r="BP562" i="8"/>
  <c r="BO562" i="8"/>
  <c r="BN562" i="8"/>
  <c r="BM562" i="8"/>
  <c r="BL562" i="8"/>
  <c r="BK562" i="8"/>
  <c r="BJ562" i="8"/>
  <c r="BI562" i="8"/>
  <c r="BH562" i="8"/>
  <c r="CJ561" i="8"/>
  <c r="CI561" i="8"/>
  <c r="CH561" i="8"/>
  <c r="CG561" i="8"/>
  <c r="CF561" i="8"/>
  <c r="CE561" i="8"/>
  <c r="CD561" i="8"/>
  <c r="CC561" i="8"/>
  <c r="CB561" i="8"/>
  <c r="CA561" i="8"/>
  <c r="BZ561" i="8"/>
  <c r="BY561" i="8"/>
  <c r="BX561" i="8"/>
  <c r="BW561" i="8"/>
  <c r="BV561" i="8"/>
  <c r="BU561" i="8"/>
  <c r="BT561" i="8"/>
  <c r="BS561" i="8"/>
  <c r="BR561" i="8"/>
  <c r="BQ561" i="8"/>
  <c r="BP561" i="8"/>
  <c r="BO561" i="8"/>
  <c r="BN561" i="8"/>
  <c r="BM561" i="8"/>
  <c r="BL561" i="8"/>
  <c r="BK561" i="8"/>
  <c r="BJ561" i="8"/>
  <c r="BI561" i="8"/>
  <c r="BH561" i="8"/>
  <c r="CJ560" i="8"/>
  <c r="CI560" i="8"/>
  <c r="CH560" i="8"/>
  <c r="CG560" i="8"/>
  <c r="CF560" i="8"/>
  <c r="CE560" i="8"/>
  <c r="CD560" i="8"/>
  <c r="CC560" i="8"/>
  <c r="CB560" i="8"/>
  <c r="CA560" i="8"/>
  <c r="BZ560" i="8"/>
  <c r="BY560" i="8"/>
  <c r="BX560" i="8"/>
  <c r="BW560" i="8"/>
  <c r="BV560" i="8"/>
  <c r="BU560" i="8"/>
  <c r="BT560" i="8"/>
  <c r="BS560" i="8"/>
  <c r="BR560" i="8"/>
  <c r="BQ560" i="8"/>
  <c r="BP560" i="8"/>
  <c r="BO560" i="8"/>
  <c r="BN560" i="8"/>
  <c r="BM560" i="8"/>
  <c r="BL560" i="8"/>
  <c r="BK560" i="8"/>
  <c r="BJ560" i="8"/>
  <c r="BI560" i="8"/>
  <c r="BH560" i="8"/>
  <c r="CJ559" i="8"/>
  <c r="CI559" i="8"/>
  <c r="CH559" i="8"/>
  <c r="CG559" i="8"/>
  <c r="CF559" i="8"/>
  <c r="CE559" i="8"/>
  <c r="CD559" i="8"/>
  <c r="CC559" i="8"/>
  <c r="CB559" i="8"/>
  <c r="CA559" i="8"/>
  <c r="BZ559" i="8"/>
  <c r="BY559" i="8"/>
  <c r="BX559" i="8"/>
  <c r="BW559" i="8"/>
  <c r="BV559" i="8"/>
  <c r="BU559" i="8"/>
  <c r="BT559" i="8"/>
  <c r="BS559" i="8"/>
  <c r="BR559" i="8"/>
  <c r="BQ559" i="8"/>
  <c r="BP559" i="8"/>
  <c r="BO559" i="8"/>
  <c r="BN559" i="8"/>
  <c r="BM559" i="8"/>
  <c r="BL559" i="8"/>
  <c r="BK559" i="8"/>
  <c r="BJ559" i="8"/>
  <c r="BI559" i="8"/>
  <c r="BH559" i="8"/>
  <c r="CJ558" i="8"/>
  <c r="CI558" i="8"/>
  <c r="CH558" i="8"/>
  <c r="CG558" i="8"/>
  <c r="CF558" i="8"/>
  <c r="CE558" i="8"/>
  <c r="CD558" i="8"/>
  <c r="CC558" i="8"/>
  <c r="CB558" i="8"/>
  <c r="CA558" i="8"/>
  <c r="BZ558" i="8"/>
  <c r="BY558" i="8"/>
  <c r="BX558" i="8"/>
  <c r="BW558" i="8"/>
  <c r="BV558" i="8"/>
  <c r="BU558" i="8"/>
  <c r="BT558" i="8"/>
  <c r="BS558" i="8"/>
  <c r="BR558" i="8"/>
  <c r="BQ558" i="8"/>
  <c r="BP558" i="8"/>
  <c r="BO558" i="8"/>
  <c r="BN558" i="8"/>
  <c r="BM558" i="8"/>
  <c r="BL558" i="8"/>
  <c r="BK558" i="8"/>
  <c r="BJ558" i="8"/>
  <c r="BI558" i="8"/>
  <c r="BH558" i="8"/>
  <c r="CJ557" i="8"/>
  <c r="CI557" i="8"/>
  <c r="CH557" i="8"/>
  <c r="CG557" i="8"/>
  <c r="CF557" i="8"/>
  <c r="CE557" i="8"/>
  <c r="CD557" i="8"/>
  <c r="CC557" i="8"/>
  <c r="CB557" i="8"/>
  <c r="CA557" i="8"/>
  <c r="BZ557" i="8"/>
  <c r="BY557" i="8"/>
  <c r="BX557" i="8"/>
  <c r="BW557" i="8"/>
  <c r="BV557" i="8"/>
  <c r="BU557" i="8"/>
  <c r="BT557" i="8"/>
  <c r="BS557" i="8"/>
  <c r="BR557" i="8"/>
  <c r="BQ557" i="8"/>
  <c r="BP557" i="8"/>
  <c r="BO557" i="8"/>
  <c r="BN557" i="8"/>
  <c r="BM557" i="8"/>
  <c r="BL557" i="8"/>
  <c r="BK557" i="8"/>
  <c r="BJ557" i="8"/>
  <c r="BI557" i="8"/>
  <c r="BH557" i="8"/>
  <c r="CJ556" i="8"/>
  <c r="CI556" i="8"/>
  <c r="CH556" i="8"/>
  <c r="CG556" i="8"/>
  <c r="CF556" i="8"/>
  <c r="CE556" i="8"/>
  <c r="CD556" i="8"/>
  <c r="CC556" i="8"/>
  <c r="CB556" i="8"/>
  <c r="CA556" i="8"/>
  <c r="BZ556" i="8"/>
  <c r="BY556" i="8"/>
  <c r="BX556" i="8"/>
  <c r="BW556" i="8"/>
  <c r="BV556" i="8"/>
  <c r="BU556" i="8"/>
  <c r="BT556" i="8"/>
  <c r="BS556" i="8"/>
  <c r="BR556" i="8"/>
  <c r="BQ556" i="8"/>
  <c r="BP556" i="8"/>
  <c r="BO556" i="8"/>
  <c r="BN556" i="8"/>
  <c r="BM556" i="8"/>
  <c r="BL556" i="8"/>
  <c r="BK556" i="8"/>
  <c r="BJ556" i="8"/>
  <c r="BI556" i="8"/>
  <c r="BH556" i="8"/>
  <c r="CJ555" i="8"/>
  <c r="CI555" i="8"/>
  <c r="CH555" i="8"/>
  <c r="CG555" i="8"/>
  <c r="CF555" i="8"/>
  <c r="CE555" i="8"/>
  <c r="CD555" i="8"/>
  <c r="CC555" i="8"/>
  <c r="CB555" i="8"/>
  <c r="CA555" i="8"/>
  <c r="BZ555" i="8"/>
  <c r="BY555" i="8"/>
  <c r="BX555" i="8"/>
  <c r="BW555" i="8"/>
  <c r="BV555" i="8"/>
  <c r="BU555" i="8"/>
  <c r="BT555" i="8"/>
  <c r="BS555" i="8"/>
  <c r="BR555" i="8"/>
  <c r="BQ555" i="8"/>
  <c r="BP555" i="8"/>
  <c r="BO555" i="8"/>
  <c r="BN555" i="8"/>
  <c r="BM555" i="8"/>
  <c r="BL555" i="8"/>
  <c r="BK555" i="8"/>
  <c r="BJ555" i="8"/>
  <c r="BI555" i="8"/>
  <c r="BH555" i="8"/>
  <c r="CJ546" i="8"/>
  <c r="CI546" i="8"/>
  <c r="CH546" i="8"/>
  <c r="CG546" i="8"/>
  <c r="CF546" i="8"/>
  <c r="CE546" i="8"/>
  <c r="CD546" i="8"/>
  <c r="CC546" i="8"/>
  <c r="CB546" i="8"/>
  <c r="CA546" i="8"/>
  <c r="BZ546" i="8"/>
  <c r="BY546" i="8"/>
  <c r="BX546" i="8"/>
  <c r="BW546" i="8"/>
  <c r="BV546" i="8"/>
  <c r="BU546" i="8"/>
  <c r="BT546" i="8"/>
  <c r="BS546" i="8"/>
  <c r="BR546" i="8"/>
  <c r="BQ546" i="8"/>
  <c r="BP546" i="8"/>
  <c r="BO546" i="8"/>
  <c r="BN546" i="8"/>
  <c r="BM546" i="8"/>
  <c r="BL546" i="8"/>
  <c r="BK546" i="8"/>
  <c r="BJ546" i="8"/>
  <c r="BI546" i="8"/>
  <c r="BH546" i="8"/>
  <c r="CJ545" i="8"/>
  <c r="CI545" i="8"/>
  <c r="CH545" i="8"/>
  <c r="CG545" i="8"/>
  <c r="CF545" i="8"/>
  <c r="CE545" i="8"/>
  <c r="CD545" i="8"/>
  <c r="CC545" i="8"/>
  <c r="CB545" i="8"/>
  <c r="CA545" i="8"/>
  <c r="BZ545" i="8"/>
  <c r="BY545" i="8"/>
  <c r="BX545" i="8"/>
  <c r="BW545" i="8"/>
  <c r="BV545" i="8"/>
  <c r="BU545" i="8"/>
  <c r="BT545" i="8"/>
  <c r="BS545" i="8"/>
  <c r="BR545" i="8"/>
  <c r="BQ545" i="8"/>
  <c r="BP545" i="8"/>
  <c r="BO545" i="8"/>
  <c r="BN545" i="8"/>
  <c r="BM545" i="8"/>
  <c r="BL545" i="8"/>
  <c r="BK545" i="8"/>
  <c r="BJ545" i="8"/>
  <c r="BI545" i="8"/>
  <c r="BH545" i="8"/>
  <c r="CJ544" i="8"/>
  <c r="CI544" i="8"/>
  <c r="CH544" i="8"/>
  <c r="CG544" i="8"/>
  <c r="CF544" i="8"/>
  <c r="CE544" i="8"/>
  <c r="CD544" i="8"/>
  <c r="CC544" i="8"/>
  <c r="CB544" i="8"/>
  <c r="CA544" i="8"/>
  <c r="BZ544" i="8"/>
  <c r="BY544" i="8"/>
  <c r="BX544" i="8"/>
  <c r="BW544" i="8"/>
  <c r="BV544" i="8"/>
  <c r="BU544" i="8"/>
  <c r="BT544" i="8"/>
  <c r="BS544" i="8"/>
  <c r="BR544" i="8"/>
  <c r="BQ544" i="8"/>
  <c r="BP544" i="8"/>
  <c r="BO544" i="8"/>
  <c r="BN544" i="8"/>
  <c r="BM544" i="8"/>
  <c r="BL544" i="8"/>
  <c r="BK544" i="8"/>
  <c r="BJ544" i="8"/>
  <c r="BI544" i="8"/>
  <c r="BH544" i="8"/>
  <c r="CJ543" i="8"/>
  <c r="CI543" i="8"/>
  <c r="CH543" i="8"/>
  <c r="CG543" i="8"/>
  <c r="CF543" i="8"/>
  <c r="CE543" i="8"/>
  <c r="CD543" i="8"/>
  <c r="CC543" i="8"/>
  <c r="CB543" i="8"/>
  <c r="CA543" i="8"/>
  <c r="BZ543" i="8"/>
  <c r="BY543" i="8"/>
  <c r="BX543" i="8"/>
  <c r="BW543" i="8"/>
  <c r="BV543" i="8"/>
  <c r="BU543" i="8"/>
  <c r="BT543" i="8"/>
  <c r="BS543" i="8"/>
  <c r="BR543" i="8"/>
  <c r="BQ543" i="8"/>
  <c r="BP543" i="8"/>
  <c r="BO543" i="8"/>
  <c r="BN543" i="8"/>
  <c r="BM543" i="8"/>
  <c r="BL543" i="8"/>
  <c r="BK543" i="8"/>
  <c r="BJ543" i="8"/>
  <c r="BI543" i="8"/>
  <c r="BH543" i="8"/>
  <c r="CJ542" i="8"/>
  <c r="CI542" i="8"/>
  <c r="CH542" i="8"/>
  <c r="CG542" i="8"/>
  <c r="CF542" i="8"/>
  <c r="CE542" i="8"/>
  <c r="CD542" i="8"/>
  <c r="CC542" i="8"/>
  <c r="CB542" i="8"/>
  <c r="CA542" i="8"/>
  <c r="BZ542" i="8"/>
  <c r="BY542" i="8"/>
  <c r="BX542" i="8"/>
  <c r="BW542" i="8"/>
  <c r="BV542" i="8"/>
  <c r="BU542" i="8"/>
  <c r="BT542" i="8"/>
  <c r="BS542" i="8"/>
  <c r="BR542" i="8"/>
  <c r="BQ542" i="8"/>
  <c r="BP542" i="8"/>
  <c r="BO542" i="8"/>
  <c r="BN542" i="8"/>
  <c r="BM542" i="8"/>
  <c r="BL542" i="8"/>
  <c r="BK542" i="8"/>
  <c r="BJ542" i="8"/>
  <c r="BI542" i="8"/>
  <c r="BH542" i="8"/>
  <c r="CJ541" i="8"/>
  <c r="CI541" i="8"/>
  <c r="CH541" i="8"/>
  <c r="CG541" i="8"/>
  <c r="CF541" i="8"/>
  <c r="CE541" i="8"/>
  <c r="CD541" i="8"/>
  <c r="CC541" i="8"/>
  <c r="CB541" i="8"/>
  <c r="CA541" i="8"/>
  <c r="BZ541" i="8"/>
  <c r="BY541" i="8"/>
  <c r="BX541" i="8"/>
  <c r="BW541" i="8"/>
  <c r="BV541" i="8"/>
  <c r="BU541" i="8"/>
  <c r="BT541" i="8"/>
  <c r="BS541" i="8"/>
  <c r="BR541" i="8"/>
  <c r="BQ541" i="8"/>
  <c r="BP541" i="8"/>
  <c r="BO541" i="8"/>
  <c r="BN541" i="8"/>
  <c r="BM541" i="8"/>
  <c r="BL541" i="8"/>
  <c r="BK541" i="8"/>
  <c r="BJ541" i="8"/>
  <c r="BI541" i="8"/>
  <c r="BH541" i="8"/>
  <c r="CJ540" i="8"/>
  <c r="CI540" i="8"/>
  <c r="CH540" i="8"/>
  <c r="CG540" i="8"/>
  <c r="CF540" i="8"/>
  <c r="CE540" i="8"/>
  <c r="CD540" i="8"/>
  <c r="CC540" i="8"/>
  <c r="CB540" i="8"/>
  <c r="CA540" i="8"/>
  <c r="BZ540" i="8"/>
  <c r="BY540" i="8"/>
  <c r="BX540" i="8"/>
  <c r="BW540" i="8"/>
  <c r="BV540" i="8"/>
  <c r="BU540" i="8"/>
  <c r="BT540" i="8"/>
  <c r="BS540" i="8"/>
  <c r="BR540" i="8"/>
  <c r="BQ540" i="8"/>
  <c r="BP540" i="8"/>
  <c r="BO540" i="8"/>
  <c r="BN540" i="8"/>
  <c r="BM540" i="8"/>
  <c r="BL540" i="8"/>
  <c r="BK540" i="8"/>
  <c r="BJ540" i="8"/>
  <c r="BI540" i="8"/>
  <c r="BH540" i="8"/>
  <c r="CJ539" i="8"/>
  <c r="CI539" i="8"/>
  <c r="CH539" i="8"/>
  <c r="CG539" i="8"/>
  <c r="CF539" i="8"/>
  <c r="CE539" i="8"/>
  <c r="CD539" i="8"/>
  <c r="CC539" i="8"/>
  <c r="CB539" i="8"/>
  <c r="CA539" i="8"/>
  <c r="BZ539" i="8"/>
  <c r="BY539" i="8"/>
  <c r="BX539" i="8"/>
  <c r="BW539" i="8"/>
  <c r="BV539" i="8"/>
  <c r="BU539" i="8"/>
  <c r="BT539" i="8"/>
  <c r="BS539" i="8"/>
  <c r="BR539" i="8"/>
  <c r="BQ539" i="8"/>
  <c r="BP539" i="8"/>
  <c r="BO539" i="8"/>
  <c r="BN539" i="8"/>
  <c r="BM539" i="8"/>
  <c r="BL539" i="8"/>
  <c r="BK539" i="8"/>
  <c r="BJ539" i="8"/>
  <c r="BI539" i="8"/>
  <c r="BH539" i="8"/>
  <c r="CJ538" i="8"/>
  <c r="CI538" i="8"/>
  <c r="CH538" i="8"/>
  <c r="CG538" i="8"/>
  <c r="CF538" i="8"/>
  <c r="CE538" i="8"/>
  <c r="CD538" i="8"/>
  <c r="CC538" i="8"/>
  <c r="CB538" i="8"/>
  <c r="CA538" i="8"/>
  <c r="BZ538" i="8"/>
  <c r="BY538" i="8"/>
  <c r="BX538" i="8"/>
  <c r="BW538" i="8"/>
  <c r="BV538" i="8"/>
  <c r="BU538" i="8"/>
  <c r="BT538" i="8"/>
  <c r="BS538" i="8"/>
  <c r="BR538" i="8"/>
  <c r="BQ538" i="8"/>
  <c r="BP538" i="8"/>
  <c r="BO538" i="8"/>
  <c r="BN538" i="8"/>
  <c r="BM538" i="8"/>
  <c r="BL538" i="8"/>
  <c r="BK538" i="8"/>
  <c r="BJ538" i="8"/>
  <c r="BI538" i="8"/>
  <c r="BH538" i="8"/>
  <c r="CJ537" i="8"/>
  <c r="CI537" i="8"/>
  <c r="CH537" i="8"/>
  <c r="CG537" i="8"/>
  <c r="CF537" i="8"/>
  <c r="CE537" i="8"/>
  <c r="CD537" i="8"/>
  <c r="CC537" i="8"/>
  <c r="CB537" i="8"/>
  <c r="CA537" i="8"/>
  <c r="BZ537" i="8"/>
  <c r="BY537" i="8"/>
  <c r="BX537" i="8"/>
  <c r="BW537" i="8"/>
  <c r="BV537" i="8"/>
  <c r="BU537" i="8"/>
  <c r="BT537" i="8"/>
  <c r="BS537" i="8"/>
  <c r="BR537" i="8"/>
  <c r="BQ537" i="8"/>
  <c r="BP537" i="8"/>
  <c r="BO537" i="8"/>
  <c r="BN537" i="8"/>
  <c r="BM537" i="8"/>
  <c r="BL537" i="8"/>
  <c r="BK537" i="8"/>
  <c r="BJ537" i="8"/>
  <c r="BI537" i="8"/>
  <c r="BH537" i="8"/>
  <c r="CJ536" i="8"/>
  <c r="CI536" i="8"/>
  <c r="CH536" i="8"/>
  <c r="CG536" i="8"/>
  <c r="CF536" i="8"/>
  <c r="CE536" i="8"/>
  <c r="CD536" i="8"/>
  <c r="CC536" i="8"/>
  <c r="CB536" i="8"/>
  <c r="CA536" i="8"/>
  <c r="BZ536" i="8"/>
  <c r="BY536" i="8"/>
  <c r="BX536" i="8"/>
  <c r="BW536" i="8"/>
  <c r="BV536" i="8"/>
  <c r="BU536" i="8"/>
  <c r="BT536" i="8"/>
  <c r="BS536" i="8"/>
  <c r="BR536" i="8"/>
  <c r="BQ536" i="8"/>
  <c r="BP536" i="8"/>
  <c r="BO536" i="8"/>
  <c r="BN536" i="8"/>
  <c r="BM536" i="8"/>
  <c r="BL536" i="8"/>
  <c r="BK536" i="8"/>
  <c r="BJ536" i="8"/>
  <c r="BI536" i="8"/>
  <c r="BH536" i="8"/>
  <c r="CJ535" i="8"/>
  <c r="CI535" i="8"/>
  <c r="CH535" i="8"/>
  <c r="CG535" i="8"/>
  <c r="CF535" i="8"/>
  <c r="CE535" i="8"/>
  <c r="CD535" i="8"/>
  <c r="CC535" i="8"/>
  <c r="CB535" i="8"/>
  <c r="CA535" i="8"/>
  <c r="BZ535" i="8"/>
  <c r="BY535" i="8"/>
  <c r="BX535" i="8"/>
  <c r="BW535" i="8"/>
  <c r="BV535" i="8"/>
  <c r="BU535" i="8"/>
  <c r="BT535" i="8"/>
  <c r="BS535" i="8"/>
  <c r="BR535" i="8"/>
  <c r="BQ535" i="8"/>
  <c r="BP535" i="8"/>
  <c r="BO535" i="8"/>
  <c r="BN535" i="8"/>
  <c r="BM535" i="8"/>
  <c r="BL535" i="8"/>
  <c r="BK535" i="8"/>
  <c r="BJ535" i="8"/>
  <c r="BI535" i="8"/>
  <c r="BH535" i="8"/>
  <c r="CJ534" i="8"/>
  <c r="CI534" i="8"/>
  <c r="CH534" i="8"/>
  <c r="CG534" i="8"/>
  <c r="CF534" i="8"/>
  <c r="CE534" i="8"/>
  <c r="CD534" i="8"/>
  <c r="CC534" i="8"/>
  <c r="CB534" i="8"/>
  <c r="CA534" i="8"/>
  <c r="BZ534" i="8"/>
  <c r="BY534" i="8"/>
  <c r="BX534" i="8"/>
  <c r="BW534" i="8"/>
  <c r="BV534" i="8"/>
  <c r="BU534" i="8"/>
  <c r="BT534" i="8"/>
  <c r="BS534" i="8"/>
  <c r="BR534" i="8"/>
  <c r="BQ534" i="8"/>
  <c r="BP534" i="8"/>
  <c r="BO534" i="8"/>
  <c r="BN534" i="8"/>
  <c r="BM534" i="8"/>
  <c r="BL534" i="8"/>
  <c r="BK534" i="8"/>
  <c r="BJ534" i="8"/>
  <c r="BI534" i="8"/>
  <c r="BH534" i="8"/>
  <c r="CJ533" i="8"/>
  <c r="CI533" i="8"/>
  <c r="CH533" i="8"/>
  <c r="CG533" i="8"/>
  <c r="CF533" i="8"/>
  <c r="CE533" i="8"/>
  <c r="CD533" i="8"/>
  <c r="CC533" i="8"/>
  <c r="CB533" i="8"/>
  <c r="CA533" i="8"/>
  <c r="BZ533" i="8"/>
  <c r="BY533" i="8"/>
  <c r="BX533" i="8"/>
  <c r="BW533" i="8"/>
  <c r="BV533" i="8"/>
  <c r="BU533" i="8"/>
  <c r="BT533" i="8"/>
  <c r="BS533" i="8"/>
  <c r="BR533" i="8"/>
  <c r="BQ533" i="8"/>
  <c r="BP533" i="8"/>
  <c r="BO533" i="8"/>
  <c r="BN533" i="8"/>
  <c r="BM533" i="8"/>
  <c r="BL533" i="8"/>
  <c r="BK533" i="8"/>
  <c r="BJ533" i="8"/>
  <c r="BI533" i="8"/>
  <c r="BH533" i="8"/>
  <c r="CJ532" i="8"/>
  <c r="CI532" i="8"/>
  <c r="CH532" i="8"/>
  <c r="CG532" i="8"/>
  <c r="CF532" i="8"/>
  <c r="CE532" i="8"/>
  <c r="CD532" i="8"/>
  <c r="CC532" i="8"/>
  <c r="CB532" i="8"/>
  <c r="CA532" i="8"/>
  <c r="BZ532" i="8"/>
  <c r="BY532" i="8"/>
  <c r="BX532" i="8"/>
  <c r="BW532" i="8"/>
  <c r="BV532" i="8"/>
  <c r="BU532" i="8"/>
  <c r="BT532" i="8"/>
  <c r="BS532" i="8"/>
  <c r="BR532" i="8"/>
  <c r="BQ532" i="8"/>
  <c r="BP532" i="8"/>
  <c r="BO532" i="8"/>
  <c r="BN532" i="8"/>
  <c r="BM532" i="8"/>
  <c r="BL532" i="8"/>
  <c r="BK532" i="8"/>
  <c r="BJ532" i="8"/>
  <c r="BI532" i="8"/>
  <c r="BH532" i="8"/>
  <c r="M7" i="15"/>
  <c r="N7" i="15"/>
  <c r="N11" i="15" s="1"/>
  <c r="O7" i="15"/>
  <c r="P7" i="15"/>
  <c r="P11" i="15" s="1"/>
  <c r="Q7" i="15"/>
  <c r="R7" i="15"/>
  <c r="R11" i="15" s="1"/>
  <c r="S7" i="15"/>
  <c r="O39" i="15"/>
  <c r="S39" i="15"/>
  <c r="S8" i="15" s="1"/>
  <c r="CJ531" i="8"/>
  <c r="CI531" i="8"/>
  <c r="CH531" i="8"/>
  <c r="CG531" i="8"/>
  <c r="CF531" i="8"/>
  <c r="CE531" i="8"/>
  <c r="CD531" i="8"/>
  <c r="CC531" i="8"/>
  <c r="CB531" i="8"/>
  <c r="CA531" i="8"/>
  <c r="BZ531" i="8"/>
  <c r="BY531" i="8"/>
  <c r="BX531" i="8"/>
  <c r="BW531" i="8"/>
  <c r="BV531" i="8"/>
  <c r="BU531" i="8"/>
  <c r="BT531" i="8"/>
  <c r="BS531" i="8"/>
  <c r="BR531" i="8"/>
  <c r="BQ531" i="8"/>
  <c r="BP531" i="8"/>
  <c r="BO531" i="8"/>
  <c r="BN531" i="8"/>
  <c r="BM531" i="8"/>
  <c r="BL531" i="8"/>
  <c r="BK531" i="8"/>
  <c r="BJ531" i="8"/>
  <c r="BI531" i="8"/>
  <c r="BH531" i="8"/>
  <c r="CJ469" i="8"/>
  <c r="CI469" i="8"/>
  <c r="CH469" i="8"/>
  <c r="CG469" i="8"/>
  <c r="CF469" i="8"/>
  <c r="CE469" i="8"/>
  <c r="CD469" i="8"/>
  <c r="CC469" i="8"/>
  <c r="CB469" i="8"/>
  <c r="CA469" i="8"/>
  <c r="BZ469" i="8"/>
  <c r="BY469" i="8"/>
  <c r="BX469" i="8"/>
  <c r="BW469" i="8"/>
  <c r="BV469" i="8"/>
  <c r="BU469" i="8"/>
  <c r="BT469" i="8"/>
  <c r="BS469" i="8"/>
  <c r="BR469" i="8"/>
  <c r="BQ469" i="8"/>
  <c r="BP469" i="8"/>
  <c r="BO469" i="8"/>
  <c r="BN469" i="8"/>
  <c r="BM469" i="8"/>
  <c r="BL469" i="8"/>
  <c r="BK469" i="8"/>
  <c r="BJ469" i="8"/>
  <c r="BI469" i="8"/>
  <c r="BH469" i="8"/>
  <c r="CJ467" i="8"/>
  <c r="CI467" i="8"/>
  <c r="CH467" i="8"/>
  <c r="CG467" i="8"/>
  <c r="CF467" i="8"/>
  <c r="CE467" i="8"/>
  <c r="CD467" i="8"/>
  <c r="CC467" i="8"/>
  <c r="CB467" i="8"/>
  <c r="CA467" i="8"/>
  <c r="BZ467" i="8"/>
  <c r="BY467" i="8"/>
  <c r="BX467" i="8"/>
  <c r="BW467" i="8"/>
  <c r="BV467" i="8"/>
  <c r="BU467" i="8"/>
  <c r="BT467" i="8"/>
  <c r="BS467" i="8"/>
  <c r="BR467" i="8"/>
  <c r="BQ467" i="8"/>
  <c r="BP467" i="8"/>
  <c r="BO467" i="8"/>
  <c r="BN467" i="8"/>
  <c r="BM467" i="8"/>
  <c r="BL467" i="8"/>
  <c r="BK467" i="8"/>
  <c r="BJ467" i="8"/>
  <c r="BI467" i="8"/>
  <c r="BH467" i="8"/>
  <c r="CJ466" i="8"/>
  <c r="CI466" i="8"/>
  <c r="CH466" i="8"/>
  <c r="CG466" i="8"/>
  <c r="CF466" i="8"/>
  <c r="CE466" i="8"/>
  <c r="CD466" i="8"/>
  <c r="CC466" i="8"/>
  <c r="CB466" i="8"/>
  <c r="CA466" i="8"/>
  <c r="BZ466" i="8"/>
  <c r="BY466" i="8"/>
  <c r="BX466" i="8"/>
  <c r="BW466" i="8"/>
  <c r="BV466" i="8"/>
  <c r="BU466" i="8"/>
  <c r="BT466" i="8"/>
  <c r="BS466" i="8"/>
  <c r="BR466" i="8"/>
  <c r="BQ466" i="8"/>
  <c r="BP466" i="8"/>
  <c r="BO466" i="8"/>
  <c r="BN466" i="8"/>
  <c r="BM466" i="8"/>
  <c r="BL466" i="8"/>
  <c r="BK466" i="8"/>
  <c r="BJ466" i="8"/>
  <c r="BI466" i="8"/>
  <c r="BH466" i="8"/>
  <c r="CJ465" i="8"/>
  <c r="CI465" i="8"/>
  <c r="CH465" i="8"/>
  <c r="CG465" i="8"/>
  <c r="CF465" i="8"/>
  <c r="CE465" i="8"/>
  <c r="CD465" i="8"/>
  <c r="CC465" i="8"/>
  <c r="CB465" i="8"/>
  <c r="CA465" i="8"/>
  <c r="BZ465" i="8"/>
  <c r="BY465" i="8"/>
  <c r="BX465" i="8"/>
  <c r="BW465" i="8"/>
  <c r="BV465" i="8"/>
  <c r="BU465" i="8"/>
  <c r="BT465" i="8"/>
  <c r="BS465" i="8"/>
  <c r="BR465" i="8"/>
  <c r="BQ465" i="8"/>
  <c r="BP465" i="8"/>
  <c r="BO465" i="8"/>
  <c r="BN465" i="8"/>
  <c r="BM465" i="8"/>
  <c r="BL465" i="8"/>
  <c r="BK465" i="8"/>
  <c r="BJ465" i="8"/>
  <c r="BI465" i="8"/>
  <c r="BH465" i="8"/>
  <c r="CJ463" i="8"/>
  <c r="CI463" i="8"/>
  <c r="CH463" i="8"/>
  <c r="CG463" i="8"/>
  <c r="CF463" i="8"/>
  <c r="CE463" i="8"/>
  <c r="CD463" i="8"/>
  <c r="CC463" i="8"/>
  <c r="CB463" i="8"/>
  <c r="CA463" i="8"/>
  <c r="BZ463" i="8"/>
  <c r="BY463" i="8"/>
  <c r="BX463" i="8"/>
  <c r="BW463" i="8"/>
  <c r="BV463" i="8"/>
  <c r="BU463" i="8"/>
  <c r="BT463" i="8"/>
  <c r="BS463" i="8"/>
  <c r="BR463" i="8"/>
  <c r="BQ463" i="8"/>
  <c r="BP463" i="8"/>
  <c r="BO463" i="8"/>
  <c r="BN463" i="8"/>
  <c r="BM463" i="8"/>
  <c r="BL463" i="8"/>
  <c r="BK463" i="8"/>
  <c r="BJ463" i="8"/>
  <c r="BI463" i="8"/>
  <c r="BH463" i="8"/>
  <c r="CJ462" i="8"/>
  <c r="CI462" i="8"/>
  <c r="CH462" i="8"/>
  <c r="CG462" i="8"/>
  <c r="CF462" i="8"/>
  <c r="CE462" i="8"/>
  <c r="CD462" i="8"/>
  <c r="CC462" i="8"/>
  <c r="CB462" i="8"/>
  <c r="CA462" i="8"/>
  <c r="BZ462" i="8"/>
  <c r="BY462" i="8"/>
  <c r="BX462" i="8"/>
  <c r="BW462" i="8"/>
  <c r="BV462" i="8"/>
  <c r="BU462" i="8"/>
  <c r="BT462" i="8"/>
  <c r="BS462" i="8"/>
  <c r="BR462" i="8"/>
  <c r="BQ462" i="8"/>
  <c r="BP462" i="8"/>
  <c r="BO462" i="8"/>
  <c r="BN462" i="8"/>
  <c r="BM462" i="8"/>
  <c r="BL462" i="8"/>
  <c r="BK462" i="8"/>
  <c r="BJ462" i="8"/>
  <c r="BI462" i="8"/>
  <c r="BH462" i="8"/>
  <c r="CJ461" i="8"/>
  <c r="CI461" i="8"/>
  <c r="CH461" i="8"/>
  <c r="CG461" i="8"/>
  <c r="CF461" i="8"/>
  <c r="CE461" i="8"/>
  <c r="CD461" i="8"/>
  <c r="CC461" i="8"/>
  <c r="CB461" i="8"/>
  <c r="CA461" i="8"/>
  <c r="BZ461" i="8"/>
  <c r="BY461" i="8"/>
  <c r="BX461" i="8"/>
  <c r="BW461" i="8"/>
  <c r="BV461" i="8"/>
  <c r="BU461" i="8"/>
  <c r="BT461" i="8"/>
  <c r="BS461" i="8"/>
  <c r="BR461" i="8"/>
  <c r="BQ461" i="8"/>
  <c r="BP461" i="8"/>
  <c r="BO461" i="8"/>
  <c r="BN461" i="8"/>
  <c r="BM461" i="8"/>
  <c r="BL461" i="8"/>
  <c r="BK461" i="8"/>
  <c r="BJ461" i="8"/>
  <c r="BI461" i="8"/>
  <c r="BH461" i="8"/>
  <c r="CJ459" i="8"/>
  <c r="CI459" i="8"/>
  <c r="CH459" i="8"/>
  <c r="CG459" i="8"/>
  <c r="CF459" i="8"/>
  <c r="CE459" i="8"/>
  <c r="CD459" i="8"/>
  <c r="CC459" i="8"/>
  <c r="CB459" i="8"/>
  <c r="CA459" i="8"/>
  <c r="BZ459" i="8"/>
  <c r="BY459" i="8"/>
  <c r="BX459" i="8"/>
  <c r="BW459" i="8"/>
  <c r="BV459" i="8"/>
  <c r="BU459" i="8"/>
  <c r="BT459" i="8"/>
  <c r="BS459" i="8"/>
  <c r="BR459" i="8"/>
  <c r="BQ459" i="8"/>
  <c r="BP459" i="8"/>
  <c r="BO459" i="8"/>
  <c r="BN459" i="8"/>
  <c r="BM459" i="8"/>
  <c r="BL459" i="8"/>
  <c r="BK459" i="8"/>
  <c r="BJ459" i="8"/>
  <c r="BI459" i="8"/>
  <c r="BH459" i="8"/>
  <c r="CJ458" i="8"/>
  <c r="CI458" i="8"/>
  <c r="CH458" i="8"/>
  <c r="CG458" i="8"/>
  <c r="CF458" i="8"/>
  <c r="CE458" i="8"/>
  <c r="CD458" i="8"/>
  <c r="CC458" i="8"/>
  <c r="CB458" i="8"/>
  <c r="CA458" i="8"/>
  <c r="BZ458" i="8"/>
  <c r="BY458" i="8"/>
  <c r="BX458" i="8"/>
  <c r="BW458" i="8"/>
  <c r="BV458" i="8"/>
  <c r="BU458" i="8"/>
  <c r="BT458" i="8"/>
  <c r="BS458" i="8"/>
  <c r="BR458" i="8"/>
  <c r="BQ458" i="8"/>
  <c r="BP458" i="8"/>
  <c r="BO458" i="8"/>
  <c r="BN458" i="8"/>
  <c r="BM458" i="8"/>
  <c r="BL458" i="8"/>
  <c r="BK458" i="8"/>
  <c r="BJ458" i="8"/>
  <c r="BI458" i="8"/>
  <c r="BH458" i="8"/>
  <c r="CJ457" i="8"/>
  <c r="CI457" i="8"/>
  <c r="CH457" i="8"/>
  <c r="CG457" i="8"/>
  <c r="CF457" i="8"/>
  <c r="CE457" i="8"/>
  <c r="CD457" i="8"/>
  <c r="CC457" i="8"/>
  <c r="CB457" i="8"/>
  <c r="CA457" i="8"/>
  <c r="BZ457" i="8"/>
  <c r="BY457" i="8"/>
  <c r="BX457" i="8"/>
  <c r="BW457" i="8"/>
  <c r="BV457" i="8"/>
  <c r="BU457" i="8"/>
  <c r="BT457" i="8"/>
  <c r="BS457" i="8"/>
  <c r="BR457" i="8"/>
  <c r="BQ457" i="8"/>
  <c r="BP457" i="8"/>
  <c r="BO457" i="8"/>
  <c r="BN457" i="8"/>
  <c r="BM457" i="8"/>
  <c r="BL457" i="8"/>
  <c r="BK457" i="8"/>
  <c r="BJ457" i="8"/>
  <c r="BI457" i="8"/>
  <c r="BH457" i="8"/>
  <c r="CJ455" i="8"/>
  <c r="CI455" i="8"/>
  <c r="CH455" i="8"/>
  <c r="CG455" i="8"/>
  <c r="CF455" i="8"/>
  <c r="CE455" i="8"/>
  <c r="CD455" i="8"/>
  <c r="CC455" i="8"/>
  <c r="CB455" i="8"/>
  <c r="CA455" i="8"/>
  <c r="BZ455" i="8"/>
  <c r="BY455" i="8"/>
  <c r="BX455" i="8"/>
  <c r="BW455" i="8"/>
  <c r="BV455" i="8"/>
  <c r="BU455" i="8"/>
  <c r="BT455" i="8"/>
  <c r="BS455" i="8"/>
  <c r="BR455" i="8"/>
  <c r="BQ455" i="8"/>
  <c r="BP455" i="8"/>
  <c r="BO455" i="8"/>
  <c r="BN455" i="8"/>
  <c r="BM455" i="8"/>
  <c r="BL455" i="8"/>
  <c r="BK455" i="8"/>
  <c r="BJ455" i="8"/>
  <c r="BI455" i="8"/>
  <c r="BH455" i="8"/>
  <c r="CJ454" i="8"/>
  <c r="CI454" i="8"/>
  <c r="CH454" i="8"/>
  <c r="CG454" i="8"/>
  <c r="CF454" i="8"/>
  <c r="CE454" i="8"/>
  <c r="CD454" i="8"/>
  <c r="CC454" i="8"/>
  <c r="CB454" i="8"/>
  <c r="CA454" i="8"/>
  <c r="BZ454" i="8"/>
  <c r="BY454" i="8"/>
  <c r="BX454" i="8"/>
  <c r="BW454" i="8"/>
  <c r="BV454" i="8"/>
  <c r="BU454" i="8"/>
  <c r="BT454" i="8"/>
  <c r="BS454" i="8"/>
  <c r="BR454" i="8"/>
  <c r="BQ454" i="8"/>
  <c r="BP454" i="8"/>
  <c r="BO454" i="8"/>
  <c r="BN454" i="8"/>
  <c r="BM454" i="8"/>
  <c r="BL454" i="8"/>
  <c r="BK454" i="8"/>
  <c r="BJ454" i="8"/>
  <c r="BI454" i="8"/>
  <c r="BH454" i="8"/>
  <c r="CJ453" i="8"/>
  <c r="CI453" i="8"/>
  <c r="CH453" i="8"/>
  <c r="CG453" i="8"/>
  <c r="CF453" i="8"/>
  <c r="CE453" i="8"/>
  <c r="CD453" i="8"/>
  <c r="CC453" i="8"/>
  <c r="CB453" i="8"/>
  <c r="CA453" i="8"/>
  <c r="BZ453" i="8"/>
  <c r="BY453" i="8"/>
  <c r="BX453" i="8"/>
  <c r="BW453" i="8"/>
  <c r="BV453" i="8"/>
  <c r="BU453" i="8"/>
  <c r="BT453" i="8"/>
  <c r="BS453" i="8"/>
  <c r="BR453" i="8"/>
  <c r="BQ453" i="8"/>
  <c r="BP453" i="8"/>
  <c r="BO453" i="8"/>
  <c r="BN453" i="8"/>
  <c r="BM453" i="8"/>
  <c r="BL453" i="8"/>
  <c r="BK453" i="8"/>
  <c r="BJ453" i="8"/>
  <c r="BI453" i="8"/>
  <c r="BH453" i="8"/>
  <c r="CJ451" i="8"/>
  <c r="CI451" i="8"/>
  <c r="CH451" i="8"/>
  <c r="CG451" i="8"/>
  <c r="CF451" i="8"/>
  <c r="CE451" i="8"/>
  <c r="CD451" i="8"/>
  <c r="CC451" i="8"/>
  <c r="CB451" i="8"/>
  <c r="CA451" i="8"/>
  <c r="BZ451" i="8"/>
  <c r="BY451" i="8"/>
  <c r="BX451" i="8"/>
  <c r="BW451" i="8"/>
  <c r="BV451" i="8"/>
  <c r="BU451" i="8"/>
  <c r="BT451" i="8"/>
  <c r="BS451" i="8"/>
  <c r="BR451" i="8"/>
  <c r="BQ451" i="8"/>
  <c r="BP451" i="8"/>
  <c r="BO451" i="8"/>
  <c r="BN451" i="8"/>
  <c r="BM451" i="8"/>
  <c r="BL451" i="8"/>
  <c r="BK451" i="8"/>
  <c r="BJ451" i="8"/>
  <c r="BI451" i="8"/>
  <c r="BH451" i="8"/>
  <c r="CJ450" i="8"/>
  <c r="CI450" i="8"/>
  <c r="CH450" i="8"/>
  <c r="CG450" i="8"/>
  <c r="CF450" i="8"/>
  <c r="CE450" i="8"/>
  <c r="CD450" i="8"/>
  <c r="CC450" i="8"/>
  <c r="CB450" i="8"/>
  <c r="CA450" i="8"/>
  <c r="BZ450" i="8"/>
  <c r="BY450" i="8"/>
  <c r="BX450" i="8"/>
  <c r="BW450" i="8"/>
  <c r="BV450" i="8"/>
  <c r="BU450" i="8"/>
  <c r="BT450" i="8"/>
  <c r="BS450" i="8"/>
  <c r="BR450" i="8"/>
  <c r="BQ450" i="8"/>
  <c r="BP450" i="8"/>
  <c r="BO450" i="8"/>
  <c r="BN450" i="8"/>
  <c r="BM450" i="8"/>
  <c r="BL450" i="8"/>
  <c r="BK450" i="8"/>
  <c r="BJ450" i="8"/>
  <c r="BI450" i="8"/>
  <c r="BH450" i="8"/>
  <c r="CJ449" i="8"/>
  <c r="CI449" i="8"/>
  <c r="CH449" i="8"/>
  <c r="CG449" i="8"/>
  <c r="CF449" i="8"/>
  <c r="CE449" i="8"/>
  <c r="CD449" i="8"/>
  <c r="CC449" i="8"/>
  <c r="CB449" i="8"/>
  <c r="CA449" i="8"/>
  <c r="BZ449" i="8"/>
  <c r="BY449" i="8"/>
  <c r="BX449" i="8"/>
  <c r="BW449" i="8"/>
  <c r="BV449" i="8"/>
  <c r="BU449" i="8"/>
  <c r="BT449" i="8"/>
  <c r="BS449" i="8"/>
  <c r="BR449" i="8"/>
  <c r="BQ449" i="8"/>
  <c r="BP449" i="8"/>
  <c r="BO449" i="8"/>
  <c r="BN449" i="8"/>
  <c r="BM449" i="8"/>
  <c r="BL449" i="8"/>
  <c r="BK449" i="8"/>
  <c r="BJ449" i="8"/>
  <c r="BI449" i="8"/>
  <c r="BH449" i="8"/>
  <c r="CJ447" i="8"/>
  <c r="CI447" i="8"/>
  <c r="CH447" i="8"/>
  <c r="CG447" i="8"/>
  <c r="CF447" i="8"/>
  <c r="CE447" i="8"/>
  <c r="CD447" i="8"/>
  <c r="CC447" i="8"/>
  <c r="CB447" i="8"/>
  <c r="CA447" i="8"/>
  <c r="BZ447" i="8"/>
  <c r="BY447" i="8"/>
  <c r="BX447" i="8"/>
  <c r="BW447" i="8"/>
  <c r="BV447" i="8"/>
  <c r="BU447" i="8"/>
  <c r="BT447" i="8"/>
  <c r="BS447" i="8"/>
  <c r="BR447" i="8"/>
  <c r="BQ447" i="8"/>
  <c r="BP447" i="8"/>
  <c r="BO447" i="8"/>
  <c r="BN447" i="8"/>
  <c r="BM447" i="8"/>
  <c r="BL447" i="8"/>
  <c r="BK447" i="8"/>
  <c r="BJ447" i="8"/>
  <c r="BI447" i="8"/>
  <c r="BH447" i="8"/>
  <c r="CJ446" i="8"/>
  <c r="CI446" i="8"/>
  <c r="CH446" i="8"/>
  <c r="CG446" i="8"/>
  <c r="CF446" i="8"/>
  <c r="CE446" i="8"/>
  <c r="CD446" i="8"/>
  <c r="CC446" i="8"/>
  <c r="CB446" i="8"/>
  <c r="CA446" i="8"/>
  <c r="BZ446" i="8"/>
  <c r="BY446" i="8"/>
  <c r="BX446" i="8"/>
  <c r="BW446" i="8"/>
  <c r="BV446" i="8"/>
  <c r="BU446" i="8"/>
  <c r="BT446" i="8"/>
  <c r="BS446" i="8"/>
  <c r="BR446" i="8"/>
  <c r="BQ446" i="8"/>
  <c r="BP446" i="8"/>
  <c r="BO446" i="8"/>
  <c r="BN446" i="8"/>
  <c r="BM446" i="8"/>
  <c r="BL446" i="8"/>
  <c r="BK446" i="8"/>
  <c r="BJ446" i="8"/>
  <c r="BI446" i="8"/>
  <c r="BH446" i="8"/>
  <c r="CJ437" i="8"/>
  <c r="CI437" i="8"/>
  <c r="CH437" i="8"/>
  <c r="CG437" i="8"/>
  <c r="CF437" i="8"/>
  <c r="CE437" i="8"/>
  <c r="CD437" i="8"/>
  <c r="CC437" i="8"/>
  <c r="CB437" i="8"/>
  <c r="CA437" i="8"/>
  <c r="BZ437" i="8"/>
  <c r="BY437" i="8"/>
  <c r="BX437" i="8"/>
  <c r="BW437" i="8"/>
  <c r="BV437" i="8"/>
  <c r="BU437" i="8"/>
  <c r="BT437" i="8"/>
  <c r="BS437" i="8"/>
  <c r="BR437" i="8"/>
  <c r="BQ437" i="8"/>
  <c r="BP437" i="8"/>
  <c r="BO437" i="8"/>
  <c r="BN437" i="8"/>
  <c r="BM437" i="8"/>
  <c r="BL437" i="8"/>
  <c r="BK437" i="8"/>
  <c r="BJ437" i="8"/>
  <c r="BI437" i="8"/>
  <c r="BH437" i="8"/>
  <c r="CJ435" i="8"/>
  <c r="CI435" i="8"/>
  <c r="CH435" i="8"/>
  <c r="CG435" i="8"/>
  <c r="CF435" i="8"/>
  <c r="CE435" i="8"/>
  <c r="CD435" i="8"/>
  <c r="CC435" i="8"/>
  <c r="CB435" i="8"/>
  <c r="CA435" i="8"/>
  <c r="BZ435" i="8"/>
  <c r="BY435" i="8"/>
  <c r="BX435" i="8"/>
  <c r="BW435" i="8"/>
  <c r="BV435" i="8"/>
  <c r="BU435" i="8"/>
  <c r="BT435" i="8"/>
  <c r="BS435" i="8"/>
  <c r="BR435" i="8"/>
  <c r="BQ435" i="8"/>
  <c r="BP435" i="8"/>
  <c r="BO435" i="8"/>
  <c r="BN435" i="8"/>
  <c r="BM435" i="8"/>
  <c r="BL435" i="8"/>
  <c r="BK435" i="8"/>
  <c r="BJ435" i="8"/>
  <c r="BI435" i="8"/>
  <c r="BH435" i="8"/>
  <c r="CJ434" i="8"/>
  <c r="CI434" i="8"/>
  <c r="CH434" i="8"/>
  <c r="CG434" i="8"/>
  <c r="CF434" i="8"/>
  <c r="CE434" i="8"/>
  <c r="CD434" i="8"/>
  <c r="CC434" i="8"/>
  <c r="CB434" i="8"/>
  <c r="CA434" i="8"/>
  <c r="BZ434" i="8"/>
  <c r="BY434" i="8"/>
  <c r="BX434" i="8"/>
  <c r="BW434" i="8"/>
  <c r="BV434" i="8"/>
  <c r="BU434" i="8"/>
  <c r="BT434" i="8"/>
  <c r="BS434" i="8"/>
  <c r="BR434" i="8"/>
  <c r="BQ434" i="8"/>
  <c r="BP434" i="8"/>
  <c r="BO434" i="8"/>
  <c r="BN434" i="8"/>
  <c r="BM434" i="8"/>
  <c r="BL434" i="8"/>
  <c r="BK434" i="8"/>
  <c r="BJ434" i="8"/>
  <c r="BI434" i="8"/>
  <c r="BH434" i="8"/>
  <c r="CJ433" i="8"/>
  <c r="CI433" i="8"/>
  <c r="CH433" i="8"/>
  <c r="CG433" i="8"/>
  <c r="CF433" i="8"/>
  <c r="CE433" i="8"/>
  <c r="CD433" i="8"/>
  <c r="CC433" i="8"/>
  <c r="CB433" i="8"/>
  <c r="CA433" i="8"/>
  <c r="BZ433" i="8"/>
  <c r="BY433" i="8"/>
  <c r="BX433" i="8"/>
  <c r="BW433" i="8"/>
  <c r="BV433" i="8"/>
  <c r="BU433" i="8"/>
  <c r="BT433" i="8"/>
  <c r="BS433" i="8"/>
  <c r="BR433" i="8"/>
  <c r="BQ433" i="8"/>
  <c r="BP433" i="8"/>
  <c r="BO433" i="8"/>
  <c r="BN433" i="8"/>
  <c r="BM433" i="8"/>
  <c r="BL433" i="8"/>
  <c r="BK433" i="8"/>
  <c r="BJ433" i="8"/>
  <c r="BI433" i="8"/>
  <c r="BH433" i="8"/>
  <c r="CJ431" i="8"/>
  <c r="CI431" i="8"/>
  <c r="CH431" i="8"/>
  <c r="CG431" i="8"/>
  <c r="CF431" i="8"/>
  <c r="CE431" i="8"/>
  <c r="CD431" i="8"/>
  <c r="CC431" i="8"/>
  <c r="CB431" i="8"/>
  <c r="CA431" i="8"/>
  <c r="BZ431" i="8"/>
  <c r="BY431" i="8"/>
  <c r="BX431" i="8"/>
  <c r="BW431" i="8"/>
  <c r="BV431" i="8"/>
  <c r="BU431" i="8"/>
  <c r="BT431" i="8"/>
  <c r="BS431" i="8"/>
  <c r="BR431" i="8"/>
  <c r="BQ431" i="8"/>
  <c r="BP431" i="8"/>
  <c r="BO431" i="8"/>
  <c r="BN431" i="8"/>
  <c r="BM431" i="8"/>
  <c r="BL431" i="8"/>
  <c r="BK431" i="8"/>
  <c r="BJ431" i="8"/>
  <c r="BI431" i="8"/>
  <c r="BH431" i="8"/>
  <c r="CJ430" i="8"/>
  <c r="CI430" i="8"/>
  <c r="CH430" i="8"/>
  <c r="CG430" i="8"/>
  <c r="CF430" i="8"/>
  <c r="CE430" i="8"/>
  <c r="CD430" i="8"/>
  <c r="CC430" i="8"/>
  <c r="CB430" i="8"/>
  <c r="CA430" i="8"/>
  <c r="BZ430" i="8"/>
  <c r="BY430" i="8"/>
  <c r="BX430" i="8"/>
  <c r="BW430" i="8"/>
  <c r="BV430" i="8"/>
  <c r="BU430" i="8"/>
  <c r="BT430" i="8"/>
  <c r="BS430" i="8"/>
  <c r="BR430" i="8"/>
  <c r="BQ430" i="8"/>
  <c r="BP430" i="8"/>
  <c r="BO430" i="8"/>
  <c r="BN430" i="8"/>
  <c r="BM430" i="8"/>
  <c r="BL430" i="8"/>
  <c r="BK430" i="8"/>
  <c r="BJ430" i="8"/>
  <c r="BI430" i="8"/>
  <c r="BH430" i="8"/>
  <c r="CJ429" i="8"/>
  <c r="CI429" i="8"/>
  <c r="CH429" i="8"/>
  <c r="CG429" i="8"/>
  <c r="CF429" i="8"/>
  <c r="CE429" i="8"/>
  <c r="CD429" i="8"/>
  <c r="CC429" i="8"/>
  <c r="CB429" i="8"/>
  <c r="CA429" i="8"/>
  <c r="BZ429" i="8"/>
  <c r="BY429" i="8"/>
  <c r="BX429" i="8"/>
  <c r="BW429" i="8"/>
  <c r="BV429" i="8"/>
  <c r="BU429" i="8"/>
  <c r="BT429" i="8"/>
  <c r="BS429" i="8"/>
  <c r="BR429" i="8"/>
  <c r="BQ429" i="8"/>
  <c r="BP429" i="8"/>
  <c r="BO429" i="8"/>
  <c r="BN429" i="8"/>
  <c r="BM429" i="8"/>
  <c r="BL429" i="8"/>
  <c r="BK429" i="8"/>
  <c r="BJ429" i="8"/>
  <c r="BI429" i="8"/>
  <c r="BH429" i="8"/>
  <c r="CJ427" i="8"/>
  <c r="CI427" i="8"/>
  <c r="CH427" i="8"/>
  <c r="CG427" i="8"/>
  <c r="CF427" i="8"/>
  <c r="CE427" i="8"/>
  <c r="CD427" i="8"/>
  <c r="CC427" i="8"/>
  <c r="CB427" i="8"/>
  <c r="CA427" i="8"/>
  <c r="BZ427" i="8"/>
  <c r="BY427" i="8"/>
  <c r="BX427" i="8"/>
  <c r="BW427" i="8"/>
  <c r="BV427" i="8"/>
  <c r="BU427" i="8"/>
  <c r="BT427" i="8"/>
  <c r="BS427" i="8"/>
  <c r="BR427" i="8"/>
  <c r="BQ427" i="8"/>
  <c r="BP427" i="8"/>
  <c r="BO427" i="8"/>
  <c r="BN427" i="8"/>
  <c r="BM427" i="8"/>
  <c r="BL427" i="8"/>
  <c r="BK427" i="8"/>
  <c r="BJ427" i="8"/>
  <c r="BI427" i="8"/>
  <c r="BH427" i="8"/>
  <c r="CJ426" i="8"/>
  <c r="CI426" i="8"/>
  <c r="CH426" i="8"/>
  <c r="CG426" i="8"/>
  <c r="CF426" i="8"/>
  <c r="CE426" i="8"/>
  <c r="CD426" i="8"/>
  <c r="CC426" i="8"/>
  <c r="CB426" i="8"/>
  <c r="CA426" i="8"/>
  <c r="BZ426" i="8"/>
  <c r="BY426" i="8"/>
  <c r="BX426" i="8"/>
  <c r="BW426" i="8"/>
  <c r="BV426" i="8"/>
  <c r="BU426" i="8"/>
  <c r="BT426" i="8"/>
  <c r="BS426" i="8"/>
  <c r="BR426" i="8"/>
  <c r="BQ426" i="8"/>
  <c r="BP426" i="8"/>
  <c r="BO426" i="8"/>
  <c r="BN426" i="8"/>
  <c r="BM426" i="8"/>
  <c r="BL426" i="8"/>
  <c r="BK426" i="8"/>
  <c r="BJ426" i="8"/>
  <c r="BI426" i="8"/>
  <c r="BH426" i="8"/>
  <c r="CJ425" i="8"/>
  <c r="CI425" i="8"/>
  <c r="CH425" i="8"/>
  <c r="CG425" i="8"/>
  <c r="CF425" i="8"/>
  <c r="CE425" i="8"/>
  <c r="CD425" i="8"/>
  <c r="CC425" i="8"/>
  <c r="CB425" i="8"/>
  <c r="CA425" i="8"/>
  <c r="BZ425" i="8"/>
  <c r="BY425" i="8"/>
  <c r="BX425" i="8"/>
  <c r="BW425" i="8"/>
  <c r="BV425" i="8"/>
  <c r="BU425" i="8"/>
  <c r="BT425" i="8"/>
  <c r="BS425" i="8"/>
  <c r="BR425" i="8"/>
  <c r="BQ425" i="8"/>
  <c r="BP425" i="8"/>
  <c r="BO425" i="8"/>
  <c r="BN425" i="8"/>
  <c r="BM425" i="8"/>
  <c r="BL425" i="8"/>
  <c r="BK425" i="8"/>
  <c r="BJ425" i="8"/>
  <c r="BI425" i="8"/>
  <c r="BH425" i="8"/>
  <c r="CJ423" i="8"/>
  <c r="CI423" i="8"/>
  <c r="CH423" i="8"/>
  <c r="CG423" i="8"/>
  <c r="CF423" i="8"/>
  <c r="CE423" i="8"/>
  <c r="CD423" i="8"/>
  <c r="CC423" i="8"/>
  <c r="CB423" i="8"/>
  <c r="CA423" i="8"/>
  <c r="BZ423" i="8"/>
  <c r="BY423" i="8"/>
  <c r="BX423" i="8"/>
  <c r="BW423" i="8"/>
  <c r="BV423" i="8"/>
  <c r="BU423" i="8"/>
  <c r="BT423" i="8"/>
  <c r="BS423" i="8"/>
  <c r="BR423" i="8"/>
  <c r="BQ423" i="8"/>
  <c r="BP423" i="8"/>
  <c r="BO423" i="8"/>
  <c r="BN423" i="8"/>
  <c r="BM423" i="8"/>
  <c r="BL423" i="8"/>
  <c r="BK423" i="8"/>
  <c r="BJ423" i="8"/>
  <c r="BI423" i="8"/>
  <c r="BH423" i="8"/>
  <c r="CJ422" i="8"/>
  <c r="CI422" i="8"/>
  <c r="CH422" i="8"/>
  <c r="CG422" i="8"/>
  <c r="CF422" i="8"/>
  <c r="CE422" i="8"/>
  <c r="CD422" i="8"/>
  <c r="CC422" i="8"/>
  <c r="CB422" i="8"/>
  <c r="CA422" i="8"/>
  <c r="BZ422" i="8"/>
  <c r="BY422" i="8"/>
  <c r="BX422" i="8"/>
  <c r="BW422" i="8"/>
  <c r="BV422" i="8"/>
  <c r="BU422" i="8"/>
  <c r="BT422" i="8"/>
  <c r="BS422" i="8"/>
  <c r="BR422" i="8"/>
  <c r="BQ422" i="8"/>
  <c r="BP422" i="8"/>
  <c r="BO422" i="8"/>
  <c r="BN422" i="8"/>
  <c r="BM422" i="8"/>
  <c r="BL422" i="8"/>
  <c r="BK422" i="8"/>
  <c r="BJ422" i="8"/>
  <c r="BI422" i="8"/>
  <c r="BH422" i="8"/>
  <c r="CJ415" i="8"/>
  <c r="CI415" i="8"/>
  <c r="CH415" i="8"/>
  <c r="CG415" i="8"/>
  <c r="CF415" i="8"/>
  <c r="CE415" i="8"/>
  <c r="CD415" i="8"/>
  <c r="CC415" i="8"/>
  <c r="CB415" i="8"/>
  <c r="CA415" i="8"/>
  <c r="BZ415" i="8"/>
  <c r="BY415" i="8"/>
  <c r="BX415" i="8"/>
  <c r="BW415" i="8"/>
  <c r="BV415" i="8"/>
  <c r="BU415" i="8"/>
  <c r="BT415" i="8"/>
  <c r="BS415" i="8"/>
  <c r="BR415" i="8"/>
  <c r="BQ415" i="8"/>
  <c r="BP415" i="8"/>
  <c r="BO415" i="8"/>
  <c r="BN415" i="8"/>
  <c r="BM415" i="8"/>
  <c r="BL415" i="8"/>
  <c r="BK415" i="8"/>
  <c r="BJ415" i="8"/>
  <c r="BI415" i="8"/>
  <c r="BH415" i="8"/>
  <c r="CJ414" i="8"/>
  <c r="CI414" i="8"/>
  <c r="CH414" i="8"/>
  <c r="CG414" i="8"/>
  <c r="CF414" i="8"/>
  <c r="CE414" i="8"/>
  <c r="CD414" i="8"/>
  <c r="CC414" i="8"/>
  <c r="CB414" i="8"/>
  <c r="CA414" i="8"/>
  <c r="BZ414" i="8"/>
  <c r="BY414" i="8"/>
  <c r="BX414" i="8"/>
  <c r="BW414" i="8"/>
  <c r="BV414" i="8"/>
  <c r="BU414" i="8"/>
  <c r="BT414" i="8"/>
  <c r="BS414" i="8"/>
  <c r="BR414" i="8"/>
  <c r="BQ414" i="8"/>
  <c r="BP414" i="8"/>
  <c r="BO414" i="8"/>
  <c r="BN414" i="8"/>
  <c r="BM414" i="8"/>
  <c r="BL414" i="8"/>
  <c r="BK414" i="8"/>
  <c r="BJ414" i="8"/>
  <c r="BI414" i="8"/>
  <c r="BH414" i="8"/>
  <c r="CJ413" i="8"/>
  <c r="CI413" i="8"/>
  <c r="CH413" i="8"/>
  <c r="CG413" i="8"/>
  <c r="CF413" i="8"/>
  <c r="CE413" i="8"/>
  <c r="CD413" i="8"/>
  <c r="CC413" i="8"/>
  <c r="CB413" i="8"/>
  <c r="CA413" i="8"/>
  <c r="BZ413" i="8"/>
  <c r="BY413" i="8"/>
  <c r="BX413" i="8"/>
  <c r="BW413" i="8"/>
  <c r="BV413" i="8"/>
  <c r="BU413" i="8"/>
  <c r="BT413" i="8"/>
  <c r="BS413" i="8"/>
  <c r="BR413" i="8"/>
  <c r="BQ413" i="8"/>
  <c r="BP413" i="8"/>
  <c r="BO413" i="8"/>
  <c r="BN413" i="8"/>
  <c r="BM413" i="8"/>
  <c r="BL413" i="8"/>
  <c r="BK413" i="8"/>
  <c r="BJ413" i="8"/>
  <c r="BI413" i="8"/>
  <c r="BH413" i="8"/>
  <c r="CJ412" i="8"/>
  <c r="CI412" i="8"/>
  <c r="CH412" i="8"/>
  <c r="CG412" i="8"/>
  <c r="CF412" i="8"/>
  <c r="CE412" i="8"/>
  <c r="CD412" i="8"/>
  <c r="CC412" i="8"/>
  <c r="CB412" i="8"/>
  <c r="CA412" i="8"/>
  <c r="BZ412" i="8"/>
  <c r="BY412" i="8"/>
  <c r="BX412" i="8"/>
  <c r="BW412" i="8"/>
  <c r="BV412" i="8"/>
  <c r="BU412" i="8"/>
  <c r="BT412" i="8"/>
  <c r="BS412" i="8"/>
  <c r="BR412" i="8"/>
  <c r="BQ412" i="8"/>
  <c r="BP412" i="8"/>
  <c r="BO412" i="8"/>
  <c r="BN412" i="8"/>
  <c r="BM412" i="8"/>
  <c r="BL412" i="8"/>
  <c r="BK412" i="8"/>
  <c r="BJ412" i="8"/>
  <c r="BI412" i="8"/>
  <c r="BH412" i="8"/>
  <c r="CJ411" i="8"/>
  <c r="CI411" i="8"/>
  <c r="CH411" i="8"/>
  <c r="CG411" i="8"/>
  <c r="CF411" i="8"/>
  <c r="CE411" i="8"/>
  <c r="CD411" i="8"/>
  <c r="CC411" i="8"/>
  <c r="CB411" i="8"/>
  <c r="CA411" i="8"/>
  <c r="BZ411" i="8"/>
  <c r="BY411" i="8"/>
  <c r="BX411" i="8"/>
  <c r="BW411" i="8"/>
  <c r="BV411" i="8"/>
  <c r="BU411" i="8"/>
  <c r="BT411" i="8"/>
  <c r="BS411" i="8"/>
  <c r="BR411" i="8"/>
  <c r="BQ411" i="8"/>
  <c r="BP411" i="8"/>
  <c r="BO411" i="8"/>
  <c r="BN411" i="8"/>
  <c r="BM411" i="8"/>
  <c r="BL411" i="8"/>
  <c r="BK411" i="8"/>
  <c r="BJ411" i="8"/>
  <c r="BI411" i="8"/>
  <c r="BH411" i="8"/>
  <c r="CJ410" i="8"/>
  <c r="CI410" i="8"/>
  <c r="CH410" i="8"/>
  <c r="CG410" i="8"/>
  <c r="CF410" i="8"/>
  <c r="CE410" i="8"/>
  <c r="CD410" i="8"/>
  <c r="CC410" i="8"/>
  <c r="CB410" i="8"/>
  <c r="CA410" i="8"/>
  <c r="BZ410" i="8"/>
  <c r="BY410" i="8"/>
  <c r="BX410" i="8"/>
  <c r="BW410" i="8"/>
  <c r="BV410" i="8"/>
  <c r="BU410" i="8"/>
  <c r="BT410" i="8"/>
  <c r="BS410" i="8"/>
  <c r="BR410" i="8"/>
  <c r="BQ410" i="8"/>
  <c r="BP410" i="8"/>
  <c r="BO410" i="8"/>
  <c r="BN410" i="8"/>
  <c r="BM410" i="8"/>
  <c r="BL410" i="8"/>
  <c r="BK410" i="8"/>
  <c r="BJ410" i="8"/>
  <c r="BI410" i="8"/>
  <c r="BH410" i="8"/>
  <c r="CJ409" i="8"/>
  <c r="CI409" i="8"/>
  <c r="CH409" i="8"/>
  <c r="CG409" i="8"/>
  <c r="CF409" i="8"/>
  <c r="CE409" i="8"/>
  <c r="CD409" i="8"/>
  <c r="CC409" i="8"/>
  <c r="CB409" i="8"/>
  <c r="CA409" i="8"/>
  <c r="BZ409" i="8"/>
  <c r="BY409" i="8"/>
  <c r="BX409" i="8"/>
  <c r="BW409" i="8"/>
  <c r="BV409" i="8"/>
  <c r="BU409" i="8"/>
  <c r="BT409" i="8"/>
  <c r="BS409" i="8"/>
  <c r="BR409" i="8"/>
  <c r="BQ409" i="8"/>
  <c r="BP409" i="8"/>
  <c r="BO409" i="8"/>
  <c r="BN409" i="8"/>
  <c r="BM409" i="8"/>
  <c r="BL409" i="8"/>
  <c r="BK409" i="8"/>
  <c r="BJ409" i="8"/>
  <c r="BI409" i="8"/>
  <c r="BH409" i="8"/>
  <c r="CJ408" i="8"/>
  <c r="CI408" i="8"/>
  <c r="CH408" i="8"/>
  <c r="CG408" i="8"/>
  <c r="CF408" i="8"/>
  <c r="CE408" i="8"/>
  <c r="CD408" i="8"/>
  <c r="CC408" i="8"/>
  <c r="CB408" i="8"/>
  <c r="CA408" i="8"/>
  <c r="BZ408" i="8"/>
  <c r="BY408" i="8"/>
  <c r="BX408" i="8"/>
  <c r="BW408" i="8"/>
  <c r="BV408" i="8"/>
  <c r="BU408" i="8"/>
  <c r="BT408" i="8"/>
  <c r="BS408" i="8"/>
  <c r="BR408" i="8"/>
  <c r="BQ408" i="8"/>
  <c r="BP408" i="8"/>
  <c r="BO408" i="8"/>
  <c r="BN408" i="8"/>
  <c r="BM408" i="8"/>
  <c r="BL408" i="8"/>
  <c r="BK408" i="8"/>
  <c r="BJ408" i="8"/>
  <c r="BI408" i="8"/>
  <c r="BH408" i="8"/>
  <c r="CJ407" i="8"/>
  <c r="CI407" i="8"/>
  <c r="CH407" i="8"/>
  <c r="CG407" i="8"/>
  <c r="CF407" i="8"/>
  <c r="CE407" i="8"/>
  <c r="CD407" i="8"/>
  <c r="CC407" i="8"/>
  <c r="CB407" i="8"/>
  <c r="CA407" i="8"/>
  <c r="BZ407" i="8"/>
  <c r="BY407" i="8"/>
  <c r="BX407" i="8"/>
  <c r="BW407" i="8"/>
  <c r="BV407" i="8"/>
  <c r="BU407" i="8"/>
  <c r="BT407" i="8"/>
  <c r="BS407" i="8"/>
  <c r="BR407" i="8"/>
  <c r="BQ407" i="8"/>
  <c r="BP407" i="8"/>
  <c r="BO407" i="8"/>
  <c r="BN407" i="8"/>
  <c r="BM407" i="8"/>
  <c r="BL407" i="8"/>
  <c r="BK407" i="8"/>
  <c r="BJ407" i="8"/>
  <c r="BI407" i="8"/>
  <c r="BH407" i="8"/>
  <c r="CJ406" i="8"/>
  <c r="CI406" i="8"/>
  <c r="CH406" i="8"/>
  <c r="CG406" i="8"/>
  <c r="CF406" i="8"/>
  <c r="CE406" i="8"/>
  <c r="CD406" i="8"/>
  <c r="CC406" i="8"/>
  <c r="CB406" i="8"/>
  <c r="CA406" i="8"/>
  <c r="BZ406" i="8"/>
  <c r="BY406" i="8"/>
  <c r="BX406" i="8"/>
  <c r="BW406" i="8"/>
  <c r="BV406" i="8"/>
  <c r="BU406" i="8"/>
  <c r="BT406" i="8"/>
  <c r="BS406" i="8"/>
  <c r="BR406" i="8"/>
  <c r="BQ406" i="8"/>
  <c r="BP406" i="8"/>
  <c r="BO406" i="8"/>
  <c r="BN406" i="8"/>
  <c r="BM406" i="8"/>
  <c r="BL406" i="8"/>
  <c r="BK406" i="8"/>
  <c r="BJ406" i="8"/>
  <c r="BI406" i="8"/>
  <c r="BH406" i="8"/>
  <c r="CJ405" i="8"/>
  <c r="CI405" i="8"/>
  <c r="CH405" i="8"/>
  <c r="CG405" i="8"/>
  <c r="CF405" i="8"/>
  <c r="CE405" i="8"/>
  <c r="CD405" i="8"/>
  <c r="CC405" i="8"/>
  <c r="CB405" i="8"/>
  <c r="CA405" i="8"/>
  <c r="BZ405" i="8"/>
  <c r="BY405" i="8"/>
  <c r="BX405" i="8"/>
  <c r="BW405" i="8"/>
  <c r="BV405" i="8"/>
  <c r="BU405" i="8"/>
  <c r="BT405" i="8"/>
  <c r="BS405" i="8"/>
  <c r="BR405" i="8"/>
  <c r="BQ405" i="8"/>
  <c r="BP405" i="8"/>
  <c r="BO405" i="8"/>
  <c r="BN405" i="8"/>
  <c r="BM405" i="8"/>
  <c r="BK405" i="8"/>
  <c r="BJ405" i="8"/>
  <c r="BI405" i="8"/>
  <c r="BH405" i="8"/>
  <c r="CJ404" i="8"/>
  <c r="CI404" i="8"/>
  <c r="CH404" i="8"/>
  <c r="CG404" i="8"/>
  <c r="CF404" i="8"/>
  <c r="CE404" i="8"/>
  <c r="CD404" i="8"/>
  <c r="CC404" i="8"/>
  <c r="CB404" i="8"/>
  <c r="CA404" i="8"/>
  <c r="BZ404" i="8"/>
  <c r="BY404" i="8"/>
  <c r="BX404" i="8"/>
  <c r="BW404" i="8"/>
  <c r="BV404" i="8"/>
  <c r="BU404" i="8"/>
  <c r="BT404" i="8"/>
  <c r="BS404" i="8"/>
  <c r="BR404" i="8"/>
  <c r="BQ404" i="8"/>
  <c r="BP404" i="8"/>
  <c r="BO404" i="8"/>
  <c r="BN404" i="8"/>
  <c r="BM404" i="8"/>
  <c r="BL404" i="8"/>
  <c r="BK404" i="8"/>
  <c r="BJ404" i="8"/>
  <c r="BI404" i="8"/>
  <c r="BH404" i="8"/>
  <c r="CJ403" i="8"/>
  <c r="CI403" i="8"/>
  <c r="CH403" i="8"/>
  <c r="CG403" i="8"/>
  <c r="CF403" i="8"/>
  <c r="CE403" i="8"/>
  <c r="CD403" i="8"/>
  <c r="CC403" i="8"/>
  <c r="CB403" i="8"/>
  <c r="CA403" i="8"/>
  <c r="BZ403" i="8"/>
  <c r="BY403" i="8"/>
  <c r="BX403" i="8"/>
  <c r="BW403" i="8"/>
  <c r="BV403" i="8"/>
  <c r="BU403" i="8"/>
  <c r="BT403" i="8"/>
  <c r="BS403" i="8"/>
  <c r="BR403" i="8"/>
  <c r="BQ403" i="8"/>
  <c r="BP403" i="8"/>
  <c r="BO403" i="8"/>
  <c r="BN403" i="8"/>
  <c r="BM403" i="8"/>
  <c r="BL403" i="8"/>
  <c r="BK403" i="8"/>
  <c r="BJ403" i="8"/>
  <c r="BI403" i="8"/>
  <c r="BH403" i="8"/>
  <c r="CJ402" i="8"/>
  <c r="CI402" i="8"/>
  <c r="CH402" i="8"/>
  <c r="CG402" i="8"/>
  <c r="CF402" i="8"/>
  <c r="CE402" i="8"/>
  <c r="CD402" i="8"/>
  <c r="CC402" i="8"/>
  <c r="CB402" i="8"/>
  <c r="CA402" i="8"/>
  <c r="BZ402" i="8"/>
  <c r="BY402" i="8"/>
  <c r="BX402" i="8"/>
  <c r="BW402" i="8"/>
  <c r="BV402" i="8"/>
  <c r="BU402" i="8"/>
  <c r="BT402" i="8"/>
  <c r="BS402" i="8"/>
  <c r="BR402" i="8"/>
  <c r="BQ402" i="8"/>
  <c r="BP402" i="8"/>
  <c r="BO402" i="8"/>
  <c r="BN402" i="8"/>
  <c r="BM402" i="8"/>
  <c r="BL402" i="8"/>
  <c r="BK402" i="8"/>
  <c r="BJ402" i="8"/>
  <c r="BI402" i="8"/>
  <c r="BH402" i="8"/>
  <c r="CJ401" i="8"/>
  <c r="CI401" i="8"/>
  <c r="CH401" i="8"/>
  <c r="CG401" i="8"/>
  <c r="CF401" i="8"/>
  <c r="CE401" i="8"/>
  <c r="CD401" i="8"/>
  <c r="CC401" i="8"/>
  <c r="CB401" i="8"/>
  <c r="CA401" i="8"/>
  <c r="BZ401" i="8"/>
  <c r="BY401" i="8"/>
  <c r="BX401" i="8"/>
  <c r="BW401" i="8"/>
  <c r="BV401" i="8"/>
  <c r="BU401" i="8"/>
  <c r="BT401" i="8"/>
  <c r="BS401" i="8"/>
  <c r="BR401" i="8"/>
  <c r="BQ401" i="8"/>
  <c r="BP401" i="8"/>
  <c r="BO401" i="8"/>
  <c r="BN401" i="8"/>
  <c r="BM401" i="8"/>
  <c r="BL401" i="8"/>
  <c r="BK401" i="8"/>
  <c r="BJ401" i="8"/>
  <c r="BI401" i="8"/>
  <c r="BH401" i="8"/>
  <c r="CJ400" i="8"/>
  <c r="CI400" i="8"/>
  <c r="CH400" i="8"/>
  <c r="CG400" i="8"/>
  <c r="CF400" i="8"/>
  <c r="CE400" i="8"/>
  <c r="CD400" i="8"/>
  <c r="CC400" i="8"/>
  <c r="CB400" i="8"/>
  <c r="CA400" i="8"/>
  <c r="BZ400" i="8"/>
  <c r="BY400" i="8"/>
  <c r="BX400" i="8"/>
  <c r="BW400" i="8"/>
  <c r="BV400" i="8"/>
  <c r="BU400" i="8"/>
  <c r="BT400" i="8"/>
  <c r="BS400" i="8"/>
  <c r="BR400" i="8"/>
  <c r="BQ400" i="8"/>
  <c r="BP400" i="8"/>
  <c r="BO400" i="8"/>
  <c r="BN400" i="8"/>
  <c r="BM400" i="8"/>
  <c r="BL400" i="8"/>
  <c r="BK400" i="8"/>
  <c r="BJ400" i="8"/>
  <c r="BI400" i="8"/>
  <c r="BH400" i="8"/>
  <c r="CJ399" i="8"/>
  <c r="CI399" i="8"/>
  <c r="CH399" i="8"/>
  <c r="CG399" i="8"/>
  <c r="CF399" i="8"/>
  <c r="CE399" i="8"/>
  <c r="CD399" i="8"/>
  <c r="CC399" i="8"/>
  <c r="CB399" i="8"/>
  <c r="CA399" i="8"/>
  <c r="BZ399" i="8"/>
  <c r="BY399" i="8"/>
  <c r="BX399" i="8"/>
  <c r="BW399" i="8"/>
  <c r="BV399" i="8"/>
  <c r="BU399" i="8"/>
  <c r="BT399" i="8"/>
  <c r="BS399" i="8"/>
  <c r="BR399" i="8"/>
  <c r="BQ399" i="8"/>
  <c r="BP399" i="8"/>
  <c r="BO399" i="8"/>
  <c r="BN399" i="8"/>
  <c r="BM399" i="8"/>
  <c r="BL399" i="8"/>
  <c r="BK399" i="8"/>
  <c r="BJ399" i="8"/>
  <c r="BI399" i="8"/>
  <c r="BH399" i="8"/>
  <c r="CJ398" i="8"/>
  <c r="CI398" i="8"/>
  <c r="CH398" i="8"/>
  <c r="CG398" i="8"/>
  <c r="CF398" i="8"/>
  <c r="CE398" i="8"/>
  <c r="CD398" i="8"/>
  <c r="CC398" i="8"/>
  <c r="CB398" i="8"/>
  <c r="CA398" i="8"/>
  <c r="BZ398" i="8"/>
  <c r="BY398" i="8"/>
  <c r="BX398" i="8"/>
  <c r="BW398" i="8"/>
  <c r="BV398" i="8"/>
  <c r="BU398" i="8"/>
  <c r="BT398" i="8"/>
  <c r="BS398" i="8"/>
  <c r="BR398" i="8"/>
  <c r="BQ398" i="8"/>
  <c r="BP398" i="8"/>
  <c r="BO398" i="8"/>
  <c r="BN398" i="8"/>
  <c r="BM398" i="8"/>
  <c r="BL398" i="8"/>
  <c r="BK398" i="8"/>
  <c r="BJ398" i="8"/>
  <c r="BI398" i="8"/>
  <c r="BH398" i="8"/>
  <c r="CJ397" i="8"/>
  <c r="CI397" i="8"/>
  <c r="CH397" i="8"/>
  <c r="CG397" i="8"/>
  <c r="CF397" i="8"/>
  <c r="CE397" i="8"/>
  <c r="CD397" i="8"/>
  <c r="CC397" i="8"/>
  <c r="CB397" i="8"/>
  <c r="CA397" i="8"/>
  <c r="BZ397" i="8"/>
  <c r="BY397" i="8"/>
  <c r="BX397" i="8"/>
  <c r="BW397" i="8"/>
  <c r="BV397" i="8"/>
  <c r="BU397" i="8"/>
  <c r="BT397" i="8"/>
  <c r="BS397" i="8"/>
  <c r="BR397" i="8"/>
  <c r="BQ397" i="8"/>
  <c r="BP397" i="8"/>
  <c r="BO397" i="8"/>
  <c r="BN397" i="8"/>
  <c r="BM397" i="8"/>
  <c r="BL397" i="8"/>
  <c r="BK397" i="8"/>
  <c r="BJ397" i="8"/>
  <c r="BI397" i="8"/>
  <c r="BH397" i="8"/>
  <c r="CJ396" i="8"/>
  <c r="CI396" i="8"/>
  <c r="CH396" i="8"/>
  <c r="CG396" i="8"/>
  <c r="CF396" i="8"/>
  <c r="CE396" i="8"/>
  <c r="CD396" i="8"/>
  <c r="CC396" i="8"/>
  <c r="CB396" i="8"/>
  <c r="CA396" i="8"/>
  <c r="BZ396" i="8"/>
  <c r="BY396" i="8"/>
  <c r="BX396" i="8"/>
  <c r="BW396" i="8"/>
  <c r="BV396" i="8"/>
  <c r="BU396" i="8"/>
  <c r="BT396" i="8"/>
  <c r="BS396" i="8"/>
  <c r="BR396" i="8"/>
  <c r="BQ396" i="8"/>
  <c r="BP396" i="8"/>
  <c r="BO396" i="8"/>
  <c r="BN396" i="8"/>
  <c r="BM396" i="8"/>
  <c r="BL396" i="8"/>
  <c r="BK396" i="8"/>
  <c r="BJ396" i="8"/>
  <c r="BI396" i="8"/>
  <c r="BH396" i="8"/>
  <c r="CJ395" i="8"/>
  <c r="CI395" i="8"/>
  <c r="CH395" i="8"/>
  <c r="CG395" i="8"/>
  <c r="CF395" i="8"/>
  <c r="CE395" i="8"/>
  <c r="CD395" i="8"/>
  <c r="CC395" i="8"/>
  <c r="CB395" i="8"/>
  <c r="CA395" i="8"/>
  <c r="BZ395" i="8"/>
  <c r="BY395" i="8"/>
  <c r="BX395" i="8"/>
  <c r="BW395" i="8"/>
  <c r="BV395" i="8"/>
  <c r="BU395" i="8"/>
  <c r="BT395" i="8"/>
  <c r="BS395" i="8"/>
  <c r="BR395" i="8"/>
  <c r="BQ395" i="8"/>
  <c r="BP395" i="8"/>
  <c r="BO395" i="8"/>
  <c r="BN395" i="8"/>
  <c r="BM395" i="8"/>
  <c r="BL395" i="8"/>
  <c r="BK395" i="8"/>
  <c r="BJ395" i="8"/>
  <c r="BI395" i="8"/>
  <c r="BH395" i="8"/>
  <c r="CJ394" i="8"/>
  <c r="CI394" i="8"/>
  <c r="CH394" i="8"/>
  <c r="CG394" i="8"/>
  <c r="CF394" i="8"/>
  <c r="CE394" i="8"/>
  <c r="CD394" i="8"/>
  <c r="CC394" i="8"/>
  <c r="CB394" i="8"/>
  <c r="CA394" i="8"/>
  <c r="BZ394" i="8"/>
  <c r="BY394" i="8"/>
  <c r="BX394" i="8"/>
  <c r="BW394" i="8"/>
  <c r="BV394" i="8"/>
  <c r="BU394" i="8"/>
  <c r="BT394" i="8"/>
  <c r="BS394" i="8"/>
  <c r="BR394" i="8"/>
  <c r="BQ394" i="8"/>
  <c r="BP394" i="8"/>
  <c r="BO394" i="8"/>
  <c r="BN394" i="8"/>
  <c r="BM394" i="8"/>
  <c r="BL394" i="8"/>
  <c r="BK394" i="8"/>
  <c r="BJ394" i="8"/>
  <c r="BI394" i="8"/>
  <c r="BH394" i="8"/>
  <c r="CJ393" i="8"/>
  <c r="CI393" i="8"/>
  <c r="CH393" i="8"/>
  <c r="CG393" i="8"/>
  <c r="CF393" i="8"/>
  <c r="CE393" i="8"/>
  <c r="CD393" i="8"/>
  <c r="CC393" i="8"/>
  <c r="CB393" i="8"/>
  <c r="CA393" i="8"/>
  <c r="BZ393" i="8"/>
  <c r="BY393" i="8"/>
  <c r="BX393" i="8"/>
  <c r="BW393" i="8"/>
  <c r="BV393" i="8"/>
  <c r="BU393" i="8"/>
  <c r="BT393" i="8"/>
  <c r="BS393" i="8"/>
  <c r="BR393" i="8"/>
  <c r="BQ393" i="8"/>
  <c r="BP393" i="8"/>
  <c r="BO393" i="8"/>
  <c r="BN393" i="8"/>
  <c r="BM393" i="8"/>
  <c r="BL393" i="8"/>
  <c r="BK393" i="8"/>
  <c r="BJ393" i="8"/>
  <c r="BI393" i="8"/>
  <c r="BH393" i="8"/>
  <c r="CJ392" i="8"/>
  <c r="CI392" i="8"/>
  <c r="CH392" i="8"/>
  <c r="CG392" i="8"/>
  <c r="CF392" i="8"/>
  <c r="CE392" i="8"/>
  <c r="CD392" i="8"/>
  <c r="CC392" i="8"/>
  <c r="CB392" i="8"/>
  <c r="CA392" i="8"/>
  <c r="BZ392" i="8"/>
  <c r="BY392" i="8"/>
  <c r="BX392" i="8"/>
  <c r="BW392" i="8"/>
  <c r="BV392" i="8"/>
  <c r="BU392" i="8"/>
  <c r="BT392" i="8"/>
  <c r="BS392" i="8"/>
  <c r="BR392" i="8"/>
  <c r="BQ392" i="8"/>
  <c r="BP392" i="8"/>
  <c r="BO392" i="8"/>
  <c r="BN392" i="8"/>
  <c r="BM392" i="8"/>
  <c r="BL392" i="8"/>
  <c r="BK392" i="8"/>
  <c r="BJ392" i="8"/>
  <c r="BI392" i="8"/>
  <c r="BH392" i="8"/>
  <c r="CJ391" i="8"/>
  <c r="CI391" i="8"/>
  <c r="CH391" i="8"/>
  <c r="CG391" i="8"/>
  <c r="CF391" i="8"/>
  <c r="CE391" i="8"/>
  <c r="CD391" i="8"/>
  <c r="CC391" i="8"/>
  <c r="CB391" i="8"/>
  <c r="CA391" i="8"/>
  <c r="BZ391" i="8"/>
  <c r="BY391" i="8"/>
  <c r="BX391" i="8"/>
  <c r="BW391" i="8"/>
  <c r="BV391" i="8"/>
  <c r="BU391" i="8"/>
  <c r="BT391" i="8"/>
  <c r="BS391" i="8"/>
  <c r="BR391" i="8"/>
  <c r="BQ391" i="8"/>
  <c r="BP391" i="8"/>
  <c r="BO391" i="8"/>
  <c r="BN391" i="8"/>
  <c r="BM391" i="8"/>
  <c r="BL391" i="8"/>
  <c r="BK391" i="8"/>
  <c r="BJ391" i="8"/>
  <c r="BI391" i="8"/>
  <c r="BH391" i="8"/>
  <c r="CJ382" i="8"/>
  <c r="CI382" i="8"/>
  <c r="CH382" i="8"/>
  <c r="CG382" i="8"/>
  <c r="CF382" i="8"/>
  <c r="CE382" i="8"/>
  <c r="CD382" i="8"/>
  <c r="CC382" i="8"/>
  <c r="CB382" i="8"/>
  <c r="CA382" i="8"/>
  <c r="BZ382" i="8"/>
  <c r="BY382" i="8"/>
  <c r="BX382" i="8"/>
  <c r="BW382" i="8"/>
  <c r="BV382" i="8"/>
  <c r="BU382" i="8"/>
  <c r="BT382" i="8"/>
  <c r="BS382" i="8"/>
  <c r="BR382" i="8"/>
  <c r="BQ382" i="8"/>
  <c r="BP382" i="8"/>
  <c r="BO382" i="8"/>
  <c r="BN382" i="8"/>
  <c r="BM382" i="8"/>
  <c r="BL382" i="8"/>
  <c r="BK382" i="8"/>
  <c r="BJ382" i="8"/>
  <c r="BI382" i="8"/>
  <c r="BH382" i="8"/>
  <c r="CJ381" i="8"/>
  <c r="CI381" i="8"/>
  <c r="CH381" i="8"/>
  <c r="CG381" i="8"/>
  <c r="CF381" i="8"/>
  <c r="CE381" i="8"/>
  <c r="CD381" i="8"/>
  <c r="CC381" i="8"/>
  <c r="CB381" i="8"/>
  <c r="CA381" i="8"/>
  <c r="BZ381" i="8"/>
  <c r="BY381" i="8"/>
  <c r="BX381" i="8"/>
  <c r="BW381" i="8"/>
  <c r="BV381" i="8"/>
  <c r="BU381" i="8"/>
  <c r="BT381" i="8"/>
  <c r="BS381" i="8"/>
  <c r="BR381" i="8"/>
  <c r="BQ381" i="8"/>
  <c r="BP381" i="8"/>
  <c r="BO381" i="8"/>
  <c r="BN381" i="8"/>
  <c r="BM381" i="8"/>
  <c r="BL381" i="8"/>
  <c r="BK381" i="8"/>
  <c r="BJ381" i="8"/>
  <c r="BI381" i="8"/>
  <c r="BH381" i="8"/>
  <c r="CJ380" i="8"/>
  <c r="CI380" i="8"/>
  <c r="CH380" i="8"/>
  <c r="CG380" i="8"/>
  <c r="CF380" i="8"/>
  <c r="CE380" i="8"/>
  <c r="CD380" i="8"/>
  <c r="CC380" i="8"/>
  <c r="CB380" i="8"/>
  <c r="CA380" i="8"/>
  <c r="BZ380" i="8"/>
  <c r="BY380" i="8"/>
  <c r="BX380" i="8"/>
  <c r="BW380" i="8"/>
  <c r="BV380" i="8"/>
  <c r="BU380" i="8"/>
  <c r="BT380" i="8"/>
  <c r="BS380" i="8"/>
  <c r="BR380" i="8"/>
  <c r="BQ380" i="8"/>
  <c r="BP380" i="8"/>
  <c r="BO380" i="8"/>
  <c r="BN380" i="8"/>
  <c r="BM380" i="8"/>
  <c r="BL380" i="8"/>
  <c r="BK380" i="8"/>
  <c r="BJ380" i="8"/>
  <c r="BI380" i="8"/>
  <c r="BH380" i="8"/>
  <c r="CJ379" i="8"/>
  <c r="CI379" i="8"/>
  <c r="CH379" i="8"/>
  <c r="CG379" i="8"/>
  <c r="CF379" i="8"/>
  <c r="CE379" i="8"/>
  <c r="CD379" i="8"/>
  <c r="CC379" i="8"/>
  <c r="CB379" i="8"/>
  <c r="CA379" i="8"/>
  <c r="BZ379" i="8"/>
  <c r="BY379" i="8"/>
  <c r="BX379" i="8"/>
  <c r="BW379" i="8"/>
  <c r="BV379" i="8"/>
  <c r="BU379" i="8"/>
  <c r="BT379" i="8"/>
  <c r="BS379" i="8"/>
  <c r="BR379" i="8"/>
  <c r="BQ379" i="8"/>
  <c r="BP379" i="8"/>
  <c r="BO379" i="8"/>
  <c r="BN379" i="8"/>
  <c r="BM379" i="8"/>
  <c r="BL379" i="8"/>
  <c r="BK379" i="8"/>
  <c r="BJ379" i="8"/>
  <c r="BI379" i="8"/>
  <c r="BH379" i="8"/>
  <c r="CJ378" i="8"/>
  <c r="CI378" i="8"/>
  <c r="CH378" i="8"/>
  <c r="CG378" i="8"/>
  <c r="CF378" i="8"/>
  <c r="CE378" i="8"/>
  <c r="CD378" i="8"/>
  <c r="CC378" i="8"/>
  <c r="CB378" i="8"/>
  <c r="CA378" i="8"/>
  <c r="BZ378" i="8"/>
  <c r="BY378" i="8"/>
  <c r="BX378" i="8"/>
  <c r="BW378" i="8"/>
  <c r="BV378" i="8"/>
  <c r="BU378" i="8"/>
  <c r="BT378" i="8"/>
  <c r="BS378" i="8"/>
  <c r="BR378" i="8"/>
  <c r="BQ378" i="8"/>
  <c r="BP378" i="8"/>
  <c r="BO378" i="8"/>
  <c r="BN378" i="8"/>
  <c r="BM378" i="8"/>
  <c r="BL378" i="8"/>
  <c r="BK378" i="8"/>
  <c r="BJ378" i="8"/>
  <c r="BI378" i="8"/>
  <c r="BH378" i="8"/>
  <c r="CJ377" i="8"/>
  <c r="CI377" i="8"/>
  <c r="CH377" i="8"/>
  <c r="CG377" i="8"/>
  <c r="CF377" i="8"/>
  <c r="CE377" i="8"/>
  <c r="CD377" i="8"/>
  <c r="CC377" i="8"/>
  <c r="CB377" i="8"/>
  <c r="CA377" i="8"/>
  <c r="BZ377" i="8"/>
  <c r="BY377" i="8"/>
  <c r="BX377" i="8"/>
  <c r="BW377" i="8"/>
  <c r="BV377" i="8"/>
  <c r="BU377" i="8"/>
  <c r="BT377" i="8"/>
  <c r="BS377" i="8"/>
  <c r="BR377" i="8"/>
  <c r="BQ377" i="8"/>
  <c r="BP377" i="8"/>
  <c r="BO377" i="8"/>
  <c r="BN377" i="8"/>
  <c r="BM377" i="8"/>
  <c r="BL377" i="8"/>
  <c r="BK377" i="8"/>
  <c r="BJ377" i="8"/>
  <c r="BI377" i="8"/>
  <c r="BH377" i="8"/>
  <c r="CJ376" i="8"/>
  <c r="CI376" i="8"/>
  <c r="CH376" i="8"/>
  <c r="CG376" i="8"/>
  <c r="CF376" i="8"/>
  <c r="CE376" i="8"/>
  <c r="CD376" i="8"/>
  <c r="CC376" i="8"/>
  <c r="CB376" i="8"/>
  <c r="CA376" i="8"/>
  <c r="BZ376" i="8"/>
  <c r="BY376" i="8"/>
  <c r="BX376" i="8"/>
  <c r="BW376" i="8"/>
  <c r="BV376" i="8"/>
  <c r="BU376" i="8"/>
  <c r="BT376" i="8"/>
  <c r="BS376" i="8"/>
  <c r="BR376" i="8"/>
  <c r="BQ376" i="8"/>
  <c r="BP376" i="8"/>
  <c r="BO376" i="8"/>
  <c r="BN376" i="8"/>
  <c r="BM376" i="8"/>
  <c r="BL376" i="8"/>
  <c r="BK376" i="8"/>
  <c r="BJ376" i="8"/>
  <c r="BI376" i="8"/>
  <c r="BH376" i="8"/>
  <c r="CJ375" i="8"/>
  <c r="CI375" i="8"/>
  <c r="CH375" i="8"/>
  <c r="CG375" i="8"/>
  <c r="CF375" i="8"/>
  <c r="CE375" i="8"/>
  <c r="CD375" i="8"/>
  <c r="CC375" i="8"/>
  <c r="CB375" i="8"/>
  <c r="CA375" i="8"/>
  <c r="BZ375" i="8"/>
  <c r="BY375" i="8"/>
  <c r="BX375" i="8"/>
  <c r="BW375" i="8"/>
  <c r="BV375" i="8"/>
  <c r="BU375" i="8"/>
  <c r="BT375" i="8"/>
  <c r="BS375" i="8"/>
  <c r="BR375" i="8"/>
  <c r="BQ375" i="8"/>
  <c r="BP375" i="8"/>
  <c r="BO375" i="8"/>
  <c r="BN375" i="8"/>
  <c r="BM375" i="8"/>
  <c r="BL375" i="8"/>
  <c r="BK375" i="8"/>
  <c r="BJ375" i="8"/>
  <c r="BI375" i="8"/>
  <c r="BH375" i="8"/>
  <c r="CJ374" i="8"/>
  <c r="CI374" i="8"/>
  <c r="CH374" i="8"/>
  <c r="CG374" i="8"/>
  <c r="CF374" i="8"/>
  <c r="CE374" i="8"/>
  <c r="CD374" i="8"/>
  <c r="CC374" i="8"/>
  <c r="CB374" i="8"/>
  <c r="CA374" i="8"/>
  <c r="BZ374" i="8"/>
  <c r="BY374" i="8"/>
  <c r="BX374" i="8"/>
  <c r="BW374" i="8"/>
  <c r="BV374" i="8"/>
  <c r="BU374" i="8"/>
  <c r="BT374" i="8"/>
  <c r="BS374" i="8"/>
  <c r="BR374" i="8"/>
  <c r="BQ374" i="8"/>
  <c r="BP374" i="8"/>
  <c r="BO374" i="8"/>
  <c r="BN374" i="8"/>
  <c r="BM374" i="8"/>
  <c r="BL374" i="8"/>
  <c r="BK374" i="8"/>
  <c r="BJ374" i="8"/>
  <c r="BI374" i="8"/>
  <c r="BH374" i="8"/>
  <c r="CJ373" i="8"/>
  <c r="CI373" i="8"/>
  <c r="CH373" i="8"/>
  <c r="CG373" i="8"/>
  <c r="CF373" i="8"/>
  <c r="CE373" i="8"/>
  <c r="CD373" i="8"/>
  <c r="CC373" i="8"/>
  <c r="CB373" i="8"/>
  <c r="CA373" i="8"/>
  <c r="BZ373" i="8"/>
  <c r="BY373" i="8"/>
  <c r="BX373" i="8"/>
  <c r="BW373" i="8"/>
  <c r="BV373" i="8"/>
  <c r="BU373" i="8"/>
  <c r="BT373" i="8"/>
  <c r="BS373" i="8"/>
  <c r="BR373" i="8"/>
  <c r="BQ373" i="8"/>
  <c r="BP373" i="8"/>
  <c r="BO373" i="8"/>
  <c r="BN373" i="8"/>
  <c r="BM373" i="8"/>
  <c r="BL373" i="8"/>
  <c r="BK373" i="8"/>
  <c r="BJ373" i="8"/>
  <c r="BI373" i="8"/>
  <c r="BH373" i="8"/>
  <c r="CJ372" i="8"/>
  <c r="CI372" i="8"/>
  <c r="CH372" i="8"/>
  <c r="CG372" i="8"/>
  <c r="CF372" i="8"/>
  <c r="CE372" i="8"/>
  <c r="CD372" i="8"/>
  <c r="CC372" i="8"/>
  <c r="CB372" i="8"/>
  <c r="CA372" i="8"/>
  <c r="BZ372" i="8"/>
  <c r="BY372" i="8"/>
  <c r="BX372" i="8"/>
  <c r="BW372" i="8"/>
  <c r="BV372" i="8"/>
  <c r="BU372" i="8"/>
  <c r="BT372" i="8"/>
  <c r="BS372" i="8"/>
  <c r="BR372" i="8"/>
  <c r="BQ372" i="8"/>
  <c r="BP372" i="8"/>
  <c r="BO372" i="8"/>
  <c r="BN372" i="8"/>
  <c r="BM372" i="8"/>
  <c r="BL372" i="8"/>
  <c r="BK372" i="8"/>
  <c r="BJ372" i="8"/>
  <c r="BI372" i="8"/>
  <c r="BH372" i="8"/>
  <c r="CJ371" i="8"/>
  <c r="CI371" i="8"/>
  <c r="CH371" i="8"/>
  <c r="CG371" i="8"/>
  <c r="CF371" i="8"/>
  <c r="CE371" i="8"/>
  <c r="CD371" i="8"/>
  <c r="CC371" i="8"/>
  <c r="CB371" i="8"/>
  <c r="CA371" i="8"/>
  <c r="BZ371" i="8"/>
  <c r="BY371" i="8"/>
  <c r="BX371" i="8"/>
  <c r="BW371" i="8"/>
  <c r="BV371" i="8"/>
  <c r="BU371" i="8"/>
  <c r="BT371" i="8"/>
  <c r="BS371" i="8"/>
  <c r="BR371" i="8"/>
  <c r="BQ371" i="8"/>
  <c r="BP371" i="8"/>
  <c r="BO371" i="8"/>
  <c r="BN371" i="8"/>
  <c r="BM371" i="8"/>
  <c r="BL371" i="8"/>
  <c r="BK371" i="8"/>
  <c r="BJ371" i="8"/>
  <c r="BI371" i="8"/>
  <c r="BH371" i="8"/>
  <c r="CJ370" i="8"/>
  <c r="CI370" i="8"/>
  <c r="CH370" i="8"/>
  <c r="CG370" i="8"/>
  <c r="CF370" i="8"/>
  <c r="CE370" i="8"/>
  <c r="CD370" i="8"/>
  <c r="CC370" i="8"/>
  <c r="CB370" i="8"/>
  <c r="CA370" i="8"/>
  <c r="BZ370" i="8"/>
  <c r="BY370" i="8"/>
  <c r="BX370" i="8"/>
  <c r="BW370" i="8"/>
  <c r="BV370" i="8"/>
  <c r="BU370" i="8"/>
  <c r="BT370" i="8"/>
  <c r="BS370" i="8"/>
  <c r="BR370" i="8"/>
  <c r="BQ370" i="8"/>
  <c r="BP370" i="8"/>
  <c r="BO370" i="8"/>
  <c r="BN370" i="8"/>
  <c r="BM370" i="8"/>
  <c r="BL370" i="8"/>
  <c r="BK370" i="8"/>
  <c r="BJ370" i="8"/>
  <c r="BI370" i="8"/>
  <c r="BH370" i="8"/>
  <c r="CJ369" i="8"/>
  <c r="CI369" i="8"/>
  <c r="CH369" i="8"/>
  <c r="CG369" i="8"/>
  <c r="CF369" i="8"/>
  <c r="CE369" i="8"/>
  <c r="CD369" i="8"/>
  <c r="CC369" i="8"/>
  <c r="CB369" i="8"/>
  <c r="CA369" i="8"/>
  <c r="BZ369" i="8"/>
  <c r="BY369" i="8"/>
  <c r="BX369" i="8"/>
  <c r="BW369" i="8"/>
  <c r="BV369" i="8"/>
  <c r="BU369" i="8"/>
  <c r="BT369" i="8"/>
  <c r="BS369" i="8"/>
  <c r="BR369" i="8"/>
  <c r="BQ369" i="8"/>
  <c r="BP369" i="8"/>
  <c r="BO369" i="8"/>
  <c r="BN369" i="8"/>
  <c r="BM369" i="8"/>
  <c r="BL369" i="8"/>
  <c r="BK369" i="8"/>
  <c r="BJ369" i="8"/>
  <c r="BI369" i="8"/>
  <c r="BH369" i="8"/>
  <c r="CJ368" i="8"/>
  <c r="CI368" i="8"/>
  <c r="CH368" i="8"/>
  <c r="CG368" i="8"/>
  <c r="CF368" i="8"/>
  <c r="CE368" i="8"/>
  <c r="CD368" i="8"/>
  <c r="CC368" i="8"/>
  <c r="CB368" i="8"/>
  <c r="CA368" i="8"/>
  <c r="BZ368" i="8"/>
  <c r="BY368" i="8"/>
  <c r="BX368" i="8"/>
  <c r="BW368" i="8"/>
  <c r="BV368" i="8"/>
  <c r="BU368" i="8"/>
  <c r="BT368" i="8"/>
  <c r="BS368" i="8"/>
  <c r="BR368" i="8"/>
  <c r="BQ368" i="8"/>
  <c r="BP368" i="8"/>
  <c r="BO368" i="8"/>
  <c r="BN368" i="8"/>
  <c r="BM368" i="8"/>
  <c r="BL368" i="8"/>
  <c r="BK368" i="8"/>
  <c r="BJ368" i="8"/>
  <c r="BI368" i="8"/>
  <c r="BH368" i="8"/>
  <c r="CJ367" i="8"/>
  <c r="CI367" i="8"/>
  <c r="CH367" i="8"/>
  <c r="CG367" i="8"/>
  <c r="CF367" i="8"/>
  <c r="CE367" i="8"/>
  <c r="CD367" i="8"/>
  <c r="CC367" i="8"/>
  <c r="CB367" i="8"/>
  <c r="CA367" i="8"/>
  <c r="BZ367" i="8"/>
  <c r="BY367" i="8"/>
  <c r="BX367" i="8"/>
  <c r="BW367" i="8"/>
  <c r="BV367" i="8"/>
  <c r="BU367" i="8"/>
  <c r="BT367" i="8"/>
  <c r="BS367" i="8"/>
  <c r="BR367" i="8"/>
  <c r="BQ367" i="8"/>
  <c r="BP367" i="8"/>
  <c r="BO367" i="8"/>
  <c r="BN367" i="8"/>
  <c r="BM367" i="8"/>
  <c r="BL367" i="8"/>
  <c r="BK367" i="8"/>
  <c r="BJ367" i="8"/>
  <c r="BI367" i="8"/>
  <c r="BH367" i="8"/>
  <c r="CJ360" i="8"/>
  <c r="CI360" i="8"/>
  <c r="CH360" i="8"/>
  <c r="CG360" i="8"/>
  <c r="CF360" i="8"/>
  <c r="CE360" i="8"/>
  <c r="CD360" i="8"/>
  <c r="CC360" i="8"/>
  <c r="CB360" i="8"/>
  <c r="CA360" i="8"/>
  <c r="BZ360" i="8"/>
  <c r="BY360" i="8"/>
  <c r="BX360" i="8"/>
  <c r="BW360" i="8"/>
  <c r="BV360" i="8"/>
  <c r="BU360" i="8"/>
  <c r="BT360" i="8"/>
  <c r="BS360" i="8"/>
  <c r="BR360" i="8"/>
  <c r="BQ360" i="8"/>
  <c r="BP360" i="8"/>
  <c r="BO360" i="8"/>
  <c r="BN360" i="8"/>
  <c r="BM360" i="8"/>
  <c r="BL360" i="8"/>
  <c r="BK360" i="8"/>
  <c r="BJ360" i="8"/>
  <c r="BI360" i="8"/>
  <c r="BH360" i="8"/>
  <c r="CJ359" i="8"/>
  <c r="CI359" i="8"/>
  <c r="CH359" i="8"/>
  <c r="CG359" i="8"/>
  <c r="CF359" i="8"/>
  <c r="CE359" i="8"/>
  <c r="CD359" i="8"/>
  <c r="CC359" i="8"/>
  <c r="CB359" i="8"/>
  <c r="CA359" i="8"/>
  <c r="BZ359" i="8"/>
  <c r="BY359" i="8"/>
  <c r="BX359" i="8"/>
  <c r="BW359" i="8"/>
  <c r="BV359" i="8"/>
  <c r="BU359" i="8"/>
  <c r="BT359" i="8"/>
  <c r="BS359" i="8"/>
  <c r="BR359" i="8"/>
  <c r="BQ359" i="8"/>
  <c r="BP359" i="8"/>
  <c r="BO359" i="8"/>
  <c r="BN359" i="8"/>
  <c r="BM359" i="8"/>
  <c r="BL359" i="8"/>
  <c r="BK359" i="8"/>
  <c r="BJ359" i="8"/>
  <c r="BI359" i="8"/>
  <c r="BH359" i="8"/>
  <c r="CJ358" i="8"/>
  <c r="CI358" i="8"/>
  <c r="CH358" i="8"/>
  <c r="CG358" i="8"/>
  <c r="CF358" i="8"/>
  <c r="CE358" i="8"/>
  <c r="CD358" i="8"/>
  <c r="CC358" i="8"/>
  <c r="CB358" i="8"/>
  <c r="CA358" i="8"/>
  <c r="BZ358" i="8"/>
  <c r="BY358" i="8"/>
  <c r="BX358" i="8"/>
  <c r="BW358" i="8"/>
  <c r="BV358" i="8"/>
  <c r="BU358" i="8"/>
  <c r="BT358" i="8"/>
  <c r="BS358" i="8"/>
  <c r="BR358" i="8"/>
  <c r="BQ358" i="8"/>
  <c r="BP358" i="8"/>
  <c r="BO358" i="8"/>
  <c r="BN358" i="8"/>
  <c r="BM358" i="8"/>
  <c r="BL358" i="8"/>
  <c r="BK358" i="8"/>
  <c r="BJ358" i="8"/>
  <c r="BI358" i="8"/>
  <c r="BH358" i="8"/>
  <c r="CJ357" i="8"/>
  <c r="CI357" i="8"/>
  <c r="CH357" i="8"/>
  <c r="CG357" i="8"/>
  <c r="CF357" i="8"/>
  <c r="CE357" i="8"/>
  <c r="CD357" i="8"/>
  <c r="CC357" i="8"/>
  <c r="CB357" i="8"/>
  <c r="CA357" i="8"/>
  <c r="BZ357" i="8"/>
  <c r="BY357" i="8"/>
  <c r="BX357" i="8"/>
  <c r="BW357" i="8"/>
  <c r="BV357" i="8"/>
  <c r="BU357" i="8"/>
  <c r="BT357" i="8"/>
  <c r="BS357" i="8"/>
  <c r="BR357" i="8"/>
  <c r="BQ357" i="8"/>
  <c r="BP357" i="8"/>
  <c r="BO357" i="8"/>
  <c r="BN357" i="8"/>
  <c r="BM357" i="8"/>
  <c r="BL357" i="8"/>
  <c r="BK357" i="8"/>
  <c r="BJ357" i="8"/>
  <c r="BI357" i="8"/>
  <c r="BH357" i="8"/>
  <c r="CJ356" i="8"/>
  <c r="CI356" i="8"/>
  <c r="CH356" i="8"/>
  <c r="CG356" i="8"/>
  <c r="CF356" i="8"/>
  <c r="CE356" i="8"/>
  <c r="CD356" i="8"/>
  <c r="CC356" i="8"/>
  <c r="CB356" i="8"/>
  <c r="CA356" i="8"/>
  <c r="BZ356" i="8"/>
  <c r="BY356" i="8"/>
  <c r="BX356" i="8"/>
  <c r="BW356" i="8"/>
  <c r="BV356" i="8"/>
  <c r="BU356" i="8"/>
  <c r="BT356" i="8"/>
  <c r="BS356" i="8"/>
  <c r="BR356" i="8"/>
  <c r="BQ356" i="8"/>
  <c r="BP356" i="8"/>
  <c r="BO356" i="8"/>
  <c r="BN356" i="8"/>
  <c r="BM356" i="8"/>
  <c r="BL356" i="8"/>
  <c r="BK356" i="8"/>
  <c r="BJ356" i="8"/>
  <c r="BI356" i="8"/>
  <c r="BH356" i="8"/>
  <c r="CJ355" i="8"/>
  <c r="CI355" i="8"/>
  <c r="CH355" i="8"/>
  <c r="CG355" i="8"/>
  <c r="CF355" i="8"/>
  <c r="CE355" i="8"/>
  <c r="CD355" i="8"/>
  <c r="CC355" i="8"/>
  <c r="CB355" i="8"/>
  <c r="CA355" i="8"/>
  <c r="BZ355" i="8"/>
  <c r="BY355" i="8"/>
  <c r="BX355" i="8"/>
  <c r="BW355" i="8"/>
  <c r="BV355" i="8"/>
  <c r="BU355" i="8"/>
  <c r="BT355" i="8"/>
  <c r="BS355" i="8"/>
  <c r="BR355" i="8"/>
  <c r="BQ355" i="8"/>
  <c r="BP355" i="8"/>
  <c r="BO355" i="8"/>
  <c r="BN355" i="8"/>
  <c r="BM355" i="8"/>
  <c r="BL355" i="8"/>
  <c r="BK355" i="8"/>
  <c r="BJ355" i="8"/>
  <c r="BI355" i="8"/>
  <c r="BH355" i="8"/>
  <c r="CJ354" i="8"/>
  <c r="CI354" i="8"/>
  <c r="CH354" i="8"/>
  <c r="CG354" i="8"/>
  <c r="CF354" i="8"/>
  <c r="CE354" i="8"/>
  <c r="CD354" i="8"/>
  <c r="CC354" i="8"/>
  <c r="CB354" i="8"/>
  <c r="CA354" i="8"/>
  <c r="BZ354" i="8"/>
  <c r="BY354" i="8"/>
  <c r="BX354" i="8"/>
  <c r="BW354" i="8"/>
  <c r="BV354" i="8"/>
  <c r="BU354" i="8"/>
  <c r="BT354" i="8"/>
  <c r="BS354" i="8"/>
  <c r="BR354" i="8"/>
  <c r="BQ354" i="8"/>
  <c r="BP354" i="8"/>
  <c r="BO354" i="8"/>
  <c r="BN354" i="8"/>
  <c r="BM354" i="8"/>
  <c r="BL354" i="8"/>
  <c r="BK354" i="8"/>
  <c r="BJ354" i="8"/>
  <c r="BI354" i="8"/>
  <c r="BH354" i="8"/>
  <c r="CJ353" i="8"/>
  <c r="CI353" i="8"/>
  <c r="CH353" i="8"/>
  <c r="CG353" i="8"/>
  <c r="CF353" i="8"/>
  <c r="CE353" i="8"/>
  <c r="CD353" i="8"/>
  <c r="CC353" i="8"/>
  <c r="CB353" i="8"/>
  <c r="CA353" i="8"/>
  <c r="BZ353" i="8"/>
  <c r="BY353" i="8"/>
  <c r="BX353" i="8"/>
  <c r="BW353" i="8"/>
  <c r="BV353" i="8"/>
  <c r="BU353" i="8"/>
  <c r="BT353" i="8"/>
  <c r="BS353" i="8"/>
  <c r="BR353" i="8"/>
  <c r="BQ353" i="8"/>
  <c r="BP353" i="8"/>
  <c r="BO353" i="8"/>
  <c r="BN353" i="8"/>
  <c r="BM353" i="8"/>
  <c r="BL353" i="8"/>
  <c r="BK353" i="8"/>
  <c r="BJ353" i="8"/>
  <c r="BI353" i="8"/>
  <c r="BH353" i="8"/>
  <c r="CJ352" i="8"/>
  <c r="CI352" i="8"/>
  <c r="CH352" i="8"/>
  <c r="CG352" i="8"/>
  <c r="CF352" i="8"/>
  <c r="CE352" i="8"/>
  <c r="CD352" i="8"/>
  <c r="CC352" i="8"/>
  <c r="CB352" i="8"/>
  <c r="CA352" i="8"/>
  <c r="BZ352" i="8"/>
  <c r="BY352" i="8"/>
  <c r="BX352" i="8"/>
  <c r="BW352" i="8"/>
  <c r="BV352" i="8"/>
  <c r="BU352" i="8"/>
  <c r="BT352" i="8"/>
  <c r="BS352" i="8"/>
  <c r="BR352" i="8"/>
  <c r="BQ352" i="8"/>
  <c r="BP352" i="8"/>
  <c r="BO352" i="8"/>
  <c r="BN352" i="8"/>
  <c r="BM352" i="8"/>
  <c r="BL352" i="8"/>
  <c r="BK352" i="8"/>
  <c r="BJ352" i="8"/>
  <c r="BI352" i="8"/>
  <c r="BH352" i="8"/>
  <c r="CJ351" i="8"/>
  <c r="CI351" i="8"/>
  <c r="CH351" i="8"/>
  <c r="CG351" i="8"/>
  <c r="CF351" i="8"/>
  <c r="CE351" i="8"/>
  <c r="CD351" i="8"/>
  <c r="CC351" i="8"/>
  <c r="CB351" i="8"/>
  <c r="CA351" i="8"/>
  <c r="BZ351" i="8"/>
  <c r="BY351" i="8"/>
  <c r="BX351" i="8"/>
  <c r="BW351" i="8"/>
  <c r="BV351" i="8"/>
  <c r="BU351" i="8"/>
  <c r="BT351" i="8"/>
  <c r="BS351" i="8"/>
  <c r="BR351" i="8"/>
  <c r="BQ351" i="8"/>
  <c r="BP351" i="8"/>
  <c r="BO351" i="8"/>
  <c r="BN351" i="8"/>
  <c r="BM351" i="8"/>
  <c r="BL351" i="8"/>
  <c r="BK351" i="8"/>
  <c r="BJ351" i="8"/>
  <c r="BI351" i="8"/>
  <c r="BH351" i="8"/>
  <c r="CJ350" i="8"/>
  <c r="CI350" i="8"/>
  <c r="CH350" i="8"/>
  <c r="CG350" i="8"/>
  <c r="CF350" i="8"/>
  <c r="CE350" i="8"/>
  <c r="CD350" i="8"/>
  <c r="CC350" i="8"/>
  <c r="CB350" i="8"/>
  <c r="CA350" i="8"/>
  <c r="BZ350" i="8"/>
  <c r="BY350" i="8"/>
  <c r="BX350" i="8"/>
  <c r="BW350" i="8"/>
  <c r="BV350" i="8"/>
  <c r="BU350" i="8"/>
  <c r="BT350" i="8"/>
  <c r="BS350" i="8"/>
  <c r="BR350" i="8"/>
  <c r="BQ350" i="8"/>
  <c r="BP350" i="8"/>
  <c r="BO350" i="8"/>
  <c r="BN350" i="8"/>
  <c r="BM350" i="8"/>
  <c r="BL350" i="8"/>
  <c r="BK350" i="8"/>
  <c r="BJ350" i="8"/>
  <c r="BI350" i="8"/>
  <c r="BH350" i="8"/>
  <c r="CJ349" i="8"/>
  <c r="CI349" i="8"/>
  <c r="CH349" i="8"/>
  <c r="CG349" i="8"/>
  <c r="CF349" i="8"/>
  <c r="CE349" i="8"/>
  <c r="CD349" i="8"/>
  <c r="CC349" i="8"/>
  <c r="CB349" i="8"/>
  <c r="CA349" i="8"/>
  <c r="BZ349" i="8"/>
  <c r="BY349" i="8"/>
  <c r="BX349" i="8"/>
  <c r="BW349" i="8"/>
  <c r="BV349" i="8"/>
  <c r="BU349" i="8"/>
  <c r="BT349" i="8"/>
  <c r="BS349" i="8"/>
  <c r="BR349" i="8"/>
  <c r="BQ349" i="8"/>
  <c r="BP349" i="8"/>
  <c r="BO349" i="8"/>
  <c r="BN349" i="8"/>
  <c r="BM349" i="8"/>
  <c r="BL349" i="8"/>
  <c r="BK349" i="8"/>
  <c r="BJ349" i="8"/>
  <c r="BI349" i="8"/>
  <c r="BH349" i="8"/>
  <c r="CJ348" i="8"/>
  <c r="CI348" i="8"/>
  <c r="CH348" i="8"/>
  <c r="CG348" i="8"/>
  <c r="CF348" i="8"/>
  <c r="CE348" i="8"/>
  <c r="CD348" i="8"/>
  <c r="CC348" i="8"/>
  <c r="CB348" i="8"/>
  <c r="CA348" i="8"/>
  <c r="BZ348" i="8"/>
  <c r="BY348" i="8"/>
  <c r="BX348" i="8"/>
  <c r="BW348" i="8"/>
  <c r="BV348" i="8"/>
  <c r="BU348" i="8"/>
  <c r="BT348" i="8"/>
  <c r="BS348" i="8"/>
  <c r="BR348" i="8"/>
  <c r="BQ348" i="8"/>
  <c r="BP348" i="8"/>
  <c r="BO348" i="8"/>
  <c r="BN348" i="8"/>
  <c r="BM348" i="8"/>
  <c r="BL348" i="8"/>
  <c r="BK348" i="8"/>
  <c r="BJ348" i="8"/>
  <c r="BI348" i="8"/>
  <c r="BH348" i="8"/>
  <c r="CJ347" i="8"/>
  <c r="CI347" i="8"/>
  <c r="CH347" i="8"/>
  <c r="CG347" i="8"/>
  <c r="CF347" i="8"/>
  <c r="CE347" i="8"/>
  <c r="CD347" i="8"/>
  <c r="CC347" i="8"/>
  <c r="CB347" i="8"/>
  <c r="CA347" i="8"/>
  <c r="BZ347" i="8"/>
  <c r="BY347" i="8"/>
  <c r="BX347" i="8"/>
  <c r="BW347" i="8"/>
  <c r="BV347" i="8"/>
  <c r="BU347" i="8"/>
  <c r="BT347" i="8"/>
  <c r="BS347" i="8"/>
  <c r="BR347" i="8"/>
  <c r="BQ347" i="8"/>
  <c r="BP347" i="8"/>
  <c r="BO347" i="8"/>
  <c r="BN347" i="8"/>
  <c r="BM347" i="8"/>
  <c r="BL347" i="8"/>
  <c r="BK347" i="8"/>
  <c r="BJ347" i="8"/>
  <c r="BI347" i="8"/>
  <c r="BH347" i="8"/>
  <c r="CJ346" i="8"/>
  <c r="CI346" i="8"/>
  <c r="CH346" i="8"/>
  <c r="CG346" i="8"/>
  <c r="CF346" i="8"/>
  <c r="CE346" i="8"/>
  <c r="CD346" i="8"/>
  <c r="CC346" i="8"/>
  <c r="CB346" i="8"/>
  <c r="CA346" i="8"/>
  <c r="BZ346" i="8"/>
  <c r="BY346" i="8"/>
  <c r="BX346" i="8"/>
  <c r="BW346" i="8"/>
  <c r="BV346" i="8"/>
  <c r="BU346" i="8"/>
  <c r="BT346" i="8"/>
  <c r="BS346" i="8"/>
  <c r="BR346" i="8"/>
  <c r="BQ346" i="8"/>
  <c r="BP346" i="8"/>
  <c r="BO346" i="8"/>
  <c r="BN346" i="8"/>
  <c r="BM346" i="8"/>
  <c r="BL346" i="8"/>
  <c r="BK346" i="8"/>
  <c r="BJ346" i="8"/>
  <c r="BI346" i="8"/>
  <c r="BH346" i="8"/>
  <c r="CJ345" i="8"/>
  <c r="CI345" i="8"/>
  <c r="CH345" i="8"/>
  <c r="CG345" i="8"/>
  <c r="CF345" i="8"/>
  <c r="CE345" i="8"/>
  <c r="CD345" i="8"/>
  <c r="CC345" i="8"/>
  <c r="CB345" i="8"/>
  <c r="CA345" i="8"/>
  <c r="BZ345" i="8"/>
  <c r="BY345" i="8"/>
  <c r="BX345" i="8"/>
  <c r="BW345" i="8"/>
  <c r="BV345" i="8"/>
  <c r="BU345" i="8"/>
  <c r="BT345" i="8"/>
  <c r="BS345" i="8"/>
  <c r="BR345" i="8"/>
  <c r="BQ345" i="8"/>
  <c r="BP345" i="8"/>
  <c r="BO345" i="8"/>
  <c r="BN345" i="8"/>
  <c r="BM345" i="8"/>
  <c r="BL345" i="8"/>
  <c r="BK345" i="8"/>
  <c r="BJ345" i="8"/>
  <c r="BI345" i="8"/>
  <c r="BH345" i="8"/>
  <c r="CJ344" i="8"/>
  <c r="CI344" i="8"/>
  <c r="CH344" i="8"/>
  <c r="CG344" i="8"/>
  <c r="CF344" i="8"/>
  <c r="CE344" i="8"/>
  <c r="CD344" i="8"/>
  <c r="CC344" i="8"/>
  <c r="CB344" i="8"/>
  <c r="CA344" i="8"/>
  <c r="BZ344" i="8"/>
  <c r="BY344" i="8"/>
  <c r="BX344" i="8"/>
  <c r="BW344" i="8"/>
  <c r="BV344" i="8"/>
  <c r="BU344" i="8"/>
  <c r="BT344" i="8"/>
  <c r="BS344" i="8"/>
  <c r="BR344" i="8"/>
  <c r="BQ344" i="8"/>
  <c r="BP344" i="8"/>
  <c r="BO344" i="8"/>
  <c r="BN344" i="8"/>
  <c r="BM344" i="8"/>
  <c r="BL344" i="8"/>
  <c r="BK344" i="8"/>
  <c r="BJ344" i="8"/>
  <c r="BI344" i="8"/>
  <c r="BH344" i="8"/>
  <c r="CJ343" i="8"/>
  <c r="CI343" i="8"/>
  <c r="CH343" i="8"/>
  <c r="CG343" i="8"/>
  <c r="CF343" i="8"/>
  <c r="CE343" i="8"/>
  <c r="CD343" i="8"/>
  <c r="CC343" i="8"/>
  <c r="CB343" i="8"/>
  <c r="CA343" i="8"/>
  <c r="BZ343" i="8"/>
  <c r="BY343" i="8"/>
  <c r="BX343" i="8"/>
  <c r="BW343" i="8"/>
  <c r="BV343" i="8"/>
  <c r="BU343" i="8"/>
  <c r="BT343" i="8"/>
  <c r="BS343" i="8"/>
  <c r="BR343" i="8"/>
  <c r="BQ343" i="8"/>
  <c r="BP343" i="8"/>
  <c r="BO343" i="8"/>
  <c r="BN343" i="8"/>
  <c r="BM343" i="8"/>
  <c r="BL343" i="8"/>
  <c r="BK343" i="8"/>
  <c r="BJ343" i="8"/>
  <c r="BI343" i="8"/>
  <c r="BH343" i="8"/>
  <c r="CJ342" i="8"/>
  <c r="CI342" i="8"/>
  <c r="CH342" i="8"/>
  <c r="CG342" i="8"/>
  <c r="CF342" i="8"/>
  <c r="CE342" i="8"/>
  <c r="CD342" i="8"/>
  <c r="CC342" i="8"/>
  <c r="CB342" i="8"/>
  <c r="CA342" i="8"/>
  <c r="BZ342" i="8"/>
  <c r="BY342" i="8"/>
  <c r="BX342" i="8"/>
  <c r="BW342" i="8"/>
  <c r="BV342" i="8"/>
  <c r="BU342" i="8"/>
  <c r="BT342" i="8"/>
  <c r="BS342" i="8"/>
  <c r="BR342" i="8"/>
  <c r="BQ342" i="8"/>
  <c r="BP342" i="8"/>
  <c r="BO342" i="8"/>
  <c r="BN342" i="8"/>
  <c r="BM342" i="8"/>
  <c r="BL342" i="8"/>
  <c r="BK342" i="8"/>
  <c r="BJ342" i="8"/>
  <c r="BI342" i="8"/>
  <c r="BH342" i="8"/>
  <c r="CJ341" i="8"/>
  <c r="CI341" i="8"/>
  <c r="CH341" i="8"/>
  <c r="CG341" i="8"/>
  <c r="CF341" i="8"/>
  <c r="CE341" i="8"/>
  <c r="CD341" i="8"/>
  <c r="CC341" i="8"/>
  <c r="CB341" i="8"/>
  <c r="CA341" i="8"/>
  <c r="BZ341" i="8"/>
  <c r="BY341" i="8"/>
  <c r="BX341" i="8"/>
  <c r="BW341" i="8"/>
  <c r="BV341" i="8"/>
  <c r="BU341" i="8"/>
  <c r="BT341" i="8"/>
  <c r="BS341" i="8"/>
  <c r="BR341" i="8"/>
  <c r="BQ341" i="8"/>
  <c r="BP341" i="8"/>
  <c r="BO341" i="8"/>
  <c r="BN341" i="8"/>
  <c r="BM341" i="8"/>
  <c r="BL341" i="8"/>
  <c r="BK341" i="8"/>
  <c r="BJ341" i="8"/>
  <c r="BI341" i="8"/>
  <c r="BH341" i="8"/>
  <c r="CJ340" i="8"/>
  <c r="CI340" i="8"/>
  <c r="CH340" i="8"/>
  <c r="CG340" i="8"/>
  <c r="CF340" i="8"/>
  <c r="CE340" i="8"/>
  <c r="CD340" i="8"/>
  <c r="CC340" i="8"/>
  <c r="CB340" i="8"/>
  <c r="CA340" i="8"/>
  <c r="BZ340" i="8"/>
  <c r="BY340" i="8"/>
  <c r="BX340" i="8"/>
  <c r="BW340" i="8"/>
  <c r="BV340" i="8"/>
  <c r="BU340" i="8"/>
  <c r="BT340" i="8"/>
  <c r="BS340" i="8"/>
  <c r="BR340" i="8"/>
  <c r="BQ340" i="8"/>
  <c r="BP340" i="8"/>
  <c r="BO340" i="8"/>
  <c r="BN340" i="8"/>
  <c r="BM340" i="8"/>
  <c r="BL340" i="8"/>
  <c r="BK340" i="8"/>
  <c r="BJ340" i="8"/>
  <c r="BI340" i="8"/>
  <c r="BH340" i="8"/>
  <c r="CJ339" i="8"/>
  <c r="CI339" i="8"/>
  <c r="CH339" i="8"/>
  <c r="CG339" i="8"/>
  <c r="CF339" i="8"/>
  <c r="CE339" i="8"/>
  <c r="CD339" i="8"/>
  <c r="CC339" i="8"/>
  <c r="CB339" i="8"/>
  <c r="CA339" i="8"/>
  <c r="BZ339" i="8"/>
  <c r="BY339" i="8"/>
  <c r="BX339" i="8"/>
  <c r="BW339" i="8"/>
  <c r="BV339" i="8"/>
  <c r="BU339" i="8"/>
  <c r="BT339" i="8"/>
  <c r="BS339" i="8"/>
  <c r="BR339" i="8"/>
  <c r="BQ339" i="8"/>
  <c r="BP339" i="8"/>
  <c r="BO339" i="8"/>
  <c r="BN339" i="8"/>
  <c r="BM339" i="8"/>
  <c r="BL339" i="8"/>
  <c r="BK339" i="8"/>
  <c r="BJ339" i="8"/>
  <c r="BI339" i="8"/>
  <c r="BH339" i="8"/>
  <c r="CJ338" i="8"/>
  <c r="CI338" i="8"/>
  <c r="CH338" i="8"/>
  <c r="CG338" i="8"/>
  <c r="CF338" i="8"/>
  <c r="CE338" i="8"/>
  <c r="CD338" i="8"/>
  <c r="CC338" i="8"/>
  <c r="CB338" i="8"/>
  <c r="CA338" i="8"/>
  <c r="BZ338" i="8"/>
  <c r="BY338" i="8"/>
  <c r="BX338" i="8"/>
  <c r="BW338" i="8"/>
  <c r="BV338" i="8"/>
  <c r="BU338" i="8"/>
  <c r="BT338" i="8"/>
  <c r="BS338" i="8"/>
  <c r="BR338" i="8"/>
  <c r="BQ338" i="8"/>
  <c r="BP338" i="8"/>
  <c r="BO338" i="8"/>
  <c r="BN338" i="8"/>
  <c r="BM338" i="8"/>
  <c r="BL338" i="8"/>
  <c r="BK338" i="8"/>
  <c r="BJ338" i="8"/>
  <c r="BI338" i="8"/>
  <c r="BH338" i="8"/>
  <c r="CJ337" i="8"/>
  <c r="CI337" i="8"/>
  <c r="CH337" i="8"/>
  <c r="CG337" i="8"/>
  <c r="CF337" i="8"/>
  <c r="CE337" i="8"/>
  <c r="CD337" i="8"/>
  <c r="CC337" i="8"/>
  <c r="CB337" i="8"/>
  <c r="CA337" i="8"/>
  <c r="BZ337" i="8"/>
  <c r="BY337" i="8"/>
  <c r="BX337" i="8"/>
  <c r="BW337" i="8"/>
  <c r="BV337" i="8"/>
  <c r="BU337" i="8"/>
  <c r="BT337" i="8"/>
  <c r="BS337" i="8"/>
  <c r="BR337" i="8"/>
  <c r="BQ337" i="8"/>
  <c r="BP337" i="8"/>
  <c r="BO337" i="8"/>
  <c r="BN337" i="8"/>
  <c r="BM337" i="8"/>
  <c r="BL337" i="8"/>
  <c r="BK337" i="8"/>
  <c r="BJ337" i="8"/>
  <c r="BI337" i="8"/>
  <c r="BH337" i="8"/>
  <c r="CJ336" i="8"/>
  <c r="CI336" i="8"/>
  <c r="CH336" i="8"/>
  <c r="CG336" i="8"/>
  <c r="CF336" i="8"/>
  <c r="CE336" i="8"/>
  <c r="CD336" i="8"/>
  <c r="CC336" i="8"/>
  <c r="CB336" i="8"/>
  <c r="CA336" i="8"/>
  <c r="BZ336" i="8"/>
  <c r="BY336" i="8"/>
  <c r="BX336" i="8"/>
  <c r="BW336" i="8"/>
  <c r="BV336" i="8"/>
  <c r="BU336" i="8"/>
  <c r="BT336" i="8"/>
  <c r="BS336" i="8"/>
  <c r="BR336" i="8"/>
  <c r="BQ336" i="8"/>
  <c r="BP336" i="8"/>
  <c r="BO336" i="8"/>
  <c r="BN336" i="8"/>
  <c r="BM336" i="8"/>
  <c r="BL336" i="8"/>
  <c r="BK336" i="8"/>
  <c r="BJ336" i="8"/>
  <c r="BI336" i="8"/>
  <c r="BH336" i="8"/>
  <c r="CJ335" i="8"/>
  <c r="CI335" i="8"/>
  <c r="CH335" i="8"/>
  <c r="CG335" i="8"/>
  <c r="CF335" i="8"/>
  <c r="CE335" i="8"/>
  <c r="CD335" i="8"/>
  <c r="CC335" i="8"/>
  <c r="CB335" i="8"/>
  <c r="CA335" i="8"/>
  <c r="BZ335" i="8"/>
  <c r="BY335" i="8"/>
  <c r="BX335" i="8"/>
  <c r="BW335" i="8"/>
  <c r="BV335" i="8"/>
  <c r="BU335" i="8"/>
  <c r="BT335" i="8"/>
  <c r="BS335" i="8"/>
  <c r="BR335" i="8"/>
  <c r="BQ335" i="8"/>
  <c r="BP335" i="8"/>
  <c r="BO335" i="8"/>
  <c r="BN335" i="8"/>
  <c r="BM335" i="8"/>
  <c r="BL335" i="8"/>
  <c r="BK335" i="8"/>
  <c r="BJ335" i="8"/>
  <c r="BI335" i="8"/>
  <c r="BH335" i="8"/>
  <c r="CJ334" i="8"/>
  <c r="CI334" i="8"/>
  <c r="CH334" i="8"/>
  <c r="CG334" i="8"/>
  <c r="CF334" i="8"/>
  <c r="CE334" i="8"/>
  <c r="CD334" i="8"/>
  <c r="CC334" i="8"/>
  <c r="CB334" i="8"/>
  <c r="CA334" i="8"/>
  <c r="BZ334" i="8"/>
  <c r="BY334" i="8"/>
  <c r="BX334" i="8"/>
  <c r="BW334" i="8"/>
  <c r="BV334" i="8"/>
  <c r="BU334" i="8"/>
  <c r="BT334" i="8"/>
  <c r="BS334" i="8"/>
  <c r="BR334" i="8"/>
  <c r="BQ334" i="8"/>
  <c r="BP334" i="8"/>
  <c r="BO334" i="8"/>
  <c r="BN334" i="8"/>
  <c r="BM334" i="8"/>
  <c r="BL334" i="8"/>
  <c r="BK334" i="8"/>
  <c r="BJ334" i="8"/>
  <c r="BI334" i="8"/>
  <c r="BH334" i="8"/>
  <c r="CJ333" i="8"/>
  <c r="CI333" i="8"/>
  <c r="CH333" i="8"/>
  <c r="CG333" i="8"/>
  <c r="CF333" i="8"/>
  <c r="CE333" i="8"/>
  <c r="CD333" i="8"/>
  <c r="CC333" i="8"/>
  <c r="CB333" i="8"/>
  <c r="CA333" i="8"/>
  <c r="BZ333" i="8"/>
  <c r="BY333" i="8"/>
  <c r="BX333" i="8"/>
  <c r="BW333" i="8"/>
  <c r="BV333" i="8"/>
  <c r="BU333" i="8"/>
  <c r="BT333" i="8"/>
  <c r="BS333" i="8"/>
  <c r="BR333" i="8"/>
  <c r="BQ333" i="8"/>
  <c r="BP333" i="8"/>
  <c r="BO333" i="8"/>
  <c r="BN333" i="8"/>
  <c r="BM333" i="8"/>
  <c r="BL333" i="8"/>
  <c r="BK333" i="8"/>
  <c r="BJ333" i="8"/>
  <c r="BI333" i="8"/>
  <c r="BH333" i="8"/>
  <c r="CJ323" i="8"/>
  <c r="CI323" i="8"/>
  <c r="CH323" i="8"/>
  <c r="CG323" i="8"/>
  <c r="CF323" i="8"/>
  <c r="CE323" i="8"/>
  <c r="CD323" i="8"/>
  <c r="CC323" i="8"/>
  <c r="CB323" i="8"/>
  <c r="CA323" i="8"/>
  <c r="BZ323" i="8"/>
  <c r="BY323" i="8"/>
  <c r="BX323" i="8"/>
  <c r="BW323" i="8"/>
  <c r="BV323" i="8"/>
  <c r="BU323" i="8"/>
  <c r="BT323" i="8"/>
  <c r="BS323" i="8"/>
  <c r="BR323" i="8"/>
  <c r="BQ323" i="8"/>
  <c r="BP323" i="8"/>
  <c r="BO323" i="8"/>
  <c r="BN323" i="8"/>
  <c r="BM323" i="8"/>
  <c r="BL323" i="8"/>
  <c r="BK323" i="8"/>
  <c r="BJ323" i="8"/>
  <c r="BI323" i="8"/>
  <c r="BH323" i="8"/>
  <c r="CJ322" i="8"/>
  <c r="CI322" i="8"/>
  <c r="CH322" i="8"/>
  <c r="CG322" i="8"/>
  <c r="CF322" i="8"/>
  <c r="CE322" i="8"/>
  <c r="CD322" i="8"/>
  <c r="CC322" i="8"/>
  <c r="CB322" i="8"/>
  <c r="CA322" i="8"/>
  <c r="BZ322" i="8"/>
  <c r="BY322" i="8"/>
  <c r="BX322" i="8"/>
  <c r="BW322" i="8"/>
  <c r="BV322" i="8"/>
  <c r="BU322" i="8"/>
  <c r="BT322" i="8"/>
  <c r="BS322" i="8"/>
  <c r="BR322" i="8"/>
  <c r="BQ322" i="8"/>
  <c r="BP322" i="8"/>
  <c r="BO322" i="8"/>
  <c r="BN322" i="8"/>
  <c r="BM322" i="8"/>
  <c r="BL322" i="8"/>
  <c r="BK322" i="8"/>
  <c r="BJ322" i="8"/>
  <c r="BI322" i="8"/>
  <c r="BH322" i="8"/>
  <c r="CJ321" i="8"/>
  <c r="CI321" i="8"/>
  <c r="CH321" i="8"/>
  <c r="CG321" i="8"/>
  <c r="CF321" i="8"/>
  <c r="CE321" i="8"/>
  <c r="CD321" i="8"/>
  <c r="CC321" i="8"/>
  <c r="CB321" i="8"/>
  <c r="CA321" i="8"/>
  <c r="BZ321" i="8"/>
  <c r="BY321" i="8"/>
  <c r="BX321" i="8"/>
  <c r="BW321" i="8"/>
  <c r="BV321" i="8"/>
  <c r="BU321" i="8"/>
  <c r="BT321" i="8"/>
  <c r="BS321" i="8"/>
  <c r="BR321" i="8"/>
  <c r="BQ321" i="8"/>
  <c r="BP321" i="8"/>
  <c r="BO321" i="8"/>
  <c r="BN321" i="8"/>
  <c r="BM321" i="8"/>
  <c r="BL321" i="8"/>
  <c r="BK321" i="8"/>
  <c r="BJ321" i="8"/>
  <c r="BI321" i="8"/>
  <c r="BH321" i="8"/>
  <c r="CJ320" i="8"/>
  <c r="CI320" i="8"/>
  <c r="CH320" i="8"/>
  <c r="CG320" i="8"/>
  <c r="CF320" i="8"/>
  <c r="CE320" i="8"/>
  <c r="CD320" i="8"/>
  <c r="CC320" i="8"/>
  <c r="CB320" i="8"/>
  <c r="CA320" i="8"/>
  <c r="BZ320" i="8"/>
  <c r="BY320" i="8"/>
  <c r="BX320" i="8"/>
  <c r="BW320" i="8"/>
  <c r="BV320" i="8"/>
  <c r="BU320" i="8"/>
  <c r="BT320" i="8"/>
  <c r="BS320" i="8"/>
  <c r="BR320" i="8"/>
  <c r="BQ320" i="8"/>
  <c r="BP320" i="8"/>
  <c r="BO320" i="8"/>
  <c r="BN320" i="8"/>
  <c r="BM320" i="8"/>
  <c r="BL320" i="8"/>
  <c r="BK320" i="8"/>
  <c r="BJ320" i="8"/>
  <c r="BI320" i="8"/>
  <c r="BH320" i="8"/>
  <c r="CJ319" i="8"/>
  <c r="CI319" i="8"/>
  <c r="CH319" i="8"/>
  <c r="CG319" i="8"/>
  <c r="CF319" i="8"/>
  <c r="CE319" i="8"/>
  <c r="CD319" i="8"/>
  <c r="CC319" i="8"/>
  <c r="CB319" i="8"/>
  <c r="CA319" i="8"/>
  <c r="BZ319" i="8"/>
  <c r="BY319" i="8"/>
  <c r="BX319" i="8"/>
  <c r="BW319" i="8"/>
  <c r="BV319" i="8"/>
  <c r="BU319" i="8"/>
  <c r="BT319" i="8"/>
  <c r="BS319" i="8"/>
  <c r="BR319" i="8"/>
  <c r="BQ319" i="8"/>
  <c r="BP319" i="8"/>
  <c r="BO319" i="8"/>
  <c r="BN319" i="8"/>
  <c r="BM319" i="8"/>
  <c r="BL319" i="8"/>
  <c r="BK319" i="8"/>
  <c r="BJ319" i="8"/>
  <c r="BI319" i="8"/>
  <c r="BH319" i="8"/>
  <c r="CJ318" i="8"/>
  <c r="CI318" i="8"/>
  <c r="CH318" i="8"/>
  <c r="CG318" i="8"/>
  <c r="CF318" i="8"/>
  <c r="CE318" i="8"/>
  <c r="CD318" i="8"/>
  <c r="CC318" i="8"/>
  <c r="CB318" i="8"/>
  <c r="CA318" i="8"/>
  <c r="BZ318" i="8"/>
  <c r="BY318" i="8"/>
  <c r="BX318" i="8"/>
  <c r="BW318" i="8"/>
  <c r="BV318" i="8"/>
  <c r="BU318" i="8"/>
  <c r="BT318" i="8"/>
  <c r="BS318" i="8"/>
  <c r="BR318" i="8"/>
  <c r="BQ318" i="8"/>
  <c r="BP318" i="8"/>
  <c r="BO318" i="8"/>
  <c r="BN318" i="8"/>
  <c r="BM318" i="8"/>
  <c r="BL318" i="8"/>
  <c r="BK318" i="8"/>
  <c r="BJ318" i="8"/>
  <c r="BI318" i="8"/>
  <c r="BH318" i="8"/>
  <c r="CJ317" i="8"/>
  <c r="CI317" i="8"/>
  <c r="CH317" i="8"/>
  <c r="CG317" i="8"/>
  <c r="CF317" i="8"/>
  <c r="CE317" i="8"/>
  <c r="CD317" i="8"/>
  <c r="CC317" i="8"/>
  <c r="CB317" i="8"/>
  <c r="CA317" i="8"/>
  <c r="BZ317" i="8"/>
  <c r="BY317" i="8"/>
  <c r="BX317" i="8"/>
  <c r="BW317" i="8"/>
  <c r="BV317" i="8"/>
  <c r="BU317" i="8"/>
  <c r="BT317" i="8"/>
  <c r="BS317" i="8"/>
  <c r="BR317" i="8"/>
  <c r="BQ317" i="8"/>
  <c r="BP317" i="8"/>
  <c r="BO317" i="8"/>
  <c r="BN317" i="8"/>
  <c r="BM317" i="8"/>
  <c r="BL317" i="8"/>
  <c r="BK317" i="8"/>
  <c r="BJ317" i="8"/>
  <c r="BI317" i="8"/>
  <c r="BH317" i="8"/>
  <c r="CJ316" i="8"/>
  <c r="CI316" i="8"/>
  <c r="CH316" i="8"/>
  <c r="CG316" i="8"/>
  <c r="CF316" i="8"/>
  <c r="CE316" i="8"/>
  <c r="CD316" i="8"/>
  <c r="CC316" i="8"/>
  <c r="CB316" i="8"/>
  <c r="CA316" i="8"/>
  <c r="BZ316" i="8"/>
  <c r="BY316" i="8"/>
  <c r="BX316" i="8"/>
  <c r="BW316" i="8"/>
  <c r="BV316" i="8"/>
  <c r="BU316" i="8"/>
  <c r="BT316" i="8"/>
  <c r="BS316" i="8"/>
  <c r="BR316" i="8"/>
  <c r="BQ316" i="8"/>
  <c r="BP316" i="8"/>
  <c r="BO316" i="8"/>
  <c r="BN316" i="8"/>
  <c r="BM316" i="8"/>
  <c r="BL316" i="8"/>
  <c r="BK316" i="8"/>
  <c r="BJ316" i="8"/>
  <c r="BI316" i="8"/>
  <c r="BH316" i="8"/>
  <c r="CJ315" i="8"/>
  <c r="CI315" i="8"/>
  <c r="CH315" i="8"/>
  <c r="CG315" i="8"/>
  <c r="CF315" i="8"/>
  <c r="CE315" i="8"/>
  <c r="CD315" i="8"/>
  <c r="CC315" i="8"/>
  <c r="CB315" i="8"/>
  <c r="CA315" i="8"/>
  <c r="BZ315" i="8"/>
  <c r="BY315" i="8"/>
  <c r="BX315" i="8"/>
  <c r="BW315" i="8"/>
  <c r="BV315" i="8"/>
  <c r="BU315" i="8"/>
  <c r="BT315" i="8"/>
  <c r="BS315" i="8"/>
  <c r="BR315" i="8"/>
  <c r="BQ315" i="8"/>
  <c r="BP315" i="8"/>
  <c r="BO315" i="8"/>
  <c r="BN315" i="8"/>
  <c r="BM315" i="8"/>
  <c r="BL315" i="8"/>
  <c r="BK315" i="8"/>
  <c r="BJ315" i="8"/>
  <c r="BI315" i="8"/>
  <c r="BH315" i="8"/>
  <c r="CJ314" i="8"/>
  <c r="CI314" i="8"/>
  <c r="CH314" i="8"/>
  <c r="CG314" i="8"/>
  <c r="CF314" i="8"/>
  <c r="CE314" i="8"/>
  <c r="CD314" i="8"/>
  <c r="CC314" i="8"/>
  <c r="CB314" i="8"/>
  <c r="CA314" i="8"/>
  <c r="BZ314" i="8"/>
  <c r="BY314" i="8"/>
  <c r="BX314" i="8"/>
  <c r="BW314" i="8"/>
  <c r="BV314" i="8"/>
  <c r="BU314" i="8"/>
  <c r="BT314" i="8"/>
  <c r="BS314" i="8"/>
  <c r="BR314" i="8"/>
  <c r="BQ314" i="8"/>
  <c r="BP314" i="8"/>
  <c r="BO314" i="8"/>
  <c r="BN314" i="8"/>
  <c r="BM314" i="8"/>
  <c r="BL314" i="8"/>
  <c r="BK314" i="8"/>
  <c r="BJ314" i="8"/>
  <c r="BI314" i="8"/>
  <c r="BH314" i="8"/>
  <c r="CJ313" i="8"/>
  <c r="CI313" i="8"/>
  <c r="CH313" i="8"/>
  <c r="CG313" i="8"/>
  <c r="CF313" i="8"/>
  <c r="CE313" i="8"/>
  <c r="CD313" i="8"/>
  <c r="CC313" i="8"/>
  <c r="CB313" i="8"/>
  <c r="CA313" i="8"/>
  <c r="BZ313" i="8"/>
  <c r="BY313" i="8"/>
  <c r="BX313" i="8"/>
  <c r="BW313" i="8"/>
  <c r="BV313" i="8"/>
  <c r="BU313" i="8"/>
  <c r="BT313" i="8"/>
  <c r="BS313" i="8"/>
  <c r="BR313" i="8"/>
  <c r="BQ313" i="8"/>
  <c r="BP313" i="8"/>
  <c r="BO313" i="8"/>
  <c r="BN313" i="8"/>
  <c r="BM313" i="8"/>
  <c r="BL313" i="8"/>
  <c r="BK313" i="8"/>
  <c r="BJ313" i="8"/>
  <c r="BI313" i="8"/>
  <c r="BH313" i="8"/>
  <c r="CJ312" i="8"/>
  <c r="CI312" i="8"/>
  <c r="CH312" i="8"/>
  <c r="CG312" i="8"/>
  <c r="CF312" i="8"/>
  <c r="CE312" i="8"/>
  <c r="CD312" i="8"/>
  <c r="CC312" i="8"/>
  <c r="CB312" i="8"/>
  <c r="CA312" i="8"/>
  <c r="BZ312" i="8"/>
  <c r="BY312" i="8"/>
  <c r="BX312" i="8"/>
  <c r="BW312" i="8"/>
  <c r="BV312" i="8"/>
  <c r="BU312" i="8"/>
  <c r="BT312" i="8"/>
  <c r="BS312" i="8"/>
  <c r="BR312" i="8"/>
  <c r="BQ312" i="8"/>
  <c r="BP312" i="8"/>
  <c r="BO312" i="8"/>
  <c r="BN312" i="8"/>
  <c r="BM312" i="8"/>
  <c r="BL312" i="8"/>
  <c r="BK312" i="8"/>
  <c r="BJ312" i="8"/>
  <c r="BI312" i="8"/>
  <c r="BH312" i="8"/>
  <c r="CJ311" i="8"/>
  <c r="CI311" i="8"/>
  <c r="CH311" i="8"/>
  <c r="CG311" i="8"/>
  <c r="CF311" i="8"/>
  <c r="CE311" i="8"/>
  <c r="CD311" i="8"/>
  <c r="CC311" i="8"/>
  <c r="CB311" i="8"/>
  <c r="CA311" i="8"/>
  <c r="BZ311" i="8"/>
  <c r="BY311" i="8"/>
  <c r="BX311" i="8"/>
  <c r="BW311" i="8"/>
  <c r="BV311" i="8"/>
  <c r="BU311" i="8"/>
  <c r="BT311" i="8"/>
  <c r="BS311" i="8"/>
  <c r="BR311" i="8"/>
  <c r="BQ311" i="8"/>
  <c r="BP311" i="8"/>
  <c r="BO311" i="8"/>
  <c r="BN311" i="8"/>
  <c r="BM311" i="8"/>
  <c r="BL311" i="8"/>
  <c r="BK311" i="8"/>
  <c r="BJ311" i="8"/>
  <c r="BI311" i="8"/>
  <c r="BH311" i="8"/>
  <c r="CJ310" i="8"/>
  <c r="CI310" i="8"/>
  <c r="CH310" i="8"/>
  <c r="CG310" i="8"/>
  <c r="CF310" i="8"/>
  <c r="CE310" i="8"/>
  <c r="CD310" i="8"/>
  <c r="CC310" i="8"/>
  <c r="CB310" i="8"/>
  <c r="CA310" i="8"/>
  <c r="BZ310" i="8"/>
  <c r="BY310" i="8"/>
  <c r="BX310" i="8"/>
  <c r="BW310" i="8"/>
  <c r="BV310" i="8"/>
  <c r="BU310" i="8"/>
  <c r="BT310" i="8"/>
  <c r="BS310" i="8"/>
  <c r="BR310" i="8"/>
  <c r="BQ310" i="8"/>
  <c r="BP310" i="8"/>
  <c r="BO310" i="8"/>
  <c r="BN310" i="8"/>
  <c r="BM310" i="8"/>
  <c r="BL310" i="8"/>
  <c r="BK310" i="8"/>
  <c r="BJ310" i="8"/>
  <c r="BI310" i="8"/>
  <c r="BH310" i="8"/>
  <c r="CJ309" i="8"/>
  <c r="CI309" i="8"/>
  <c r="CH309" i="8"/>
  <c r="CG309" i="8"/>
  <c r="CF309" i="8"/>
  <c r="CE309" i="8"/>
  <c r="CD309" i="8"/>
  <c r="CC309" i="8"/>
  <c r="CB309" i="8"/>
  <c r="CA309" i="8"/>
  <c r="BZ309" i="8"/>
  <c r="BY309" i="8"/>
  <c r="BX309" i="8"/>
  <c r="BW309" i="8"/>
  <c r="BV309" i="8"/>
  <c r="BU309" i="8"/>
  <c r="BT309" i="8"/>
  <c r="BS309" i="8"/>
  <c r="BR309" i="8"/>
  <c r="BQ309" i="8"/>
  <c r="BP309" i="8"/>
  <c r="BO309" i="8"/>
  <c r="BN309" i="8"/>
  <c r="BM309" i="8"/>
  <c r="BL309" i="8"/>
  <c r="BK309" i="8"/>
  <c r="BJ309" i="8"/>
  <c r="BI309" i="8"/>
  <c r="BH309" i="8"/>
  <c r="CJ308" i="8"/>
  <c r="CI308" i="8"/>
  <c r="CH308" i="8"/>
  <c r="CG308" i="8"/>
  <c r="CF308" i="8"/>
  <c r="CE308" i="8"/>
  <c r="CD308" i="8"/>
  <c r="CC308" i="8"/>
  <c r="CB308" i="8"/>
  <c r="CA308" i="8"/>
  <c r="BZ308" i="8"/>
  <c r="BY308" i="8"/>
  <c r="BX308" i="8"/>
  <c r="BW308" i="8"/>
  <c r="BV308" i="8"/>
  <c r="BU308" i="8"/>
  <c r="BT308" i="8"/>
  <c r="BS308" i="8"/>
  <c r="BR308" i="8"/>
  <c r="BQ308" i="8"/>
  <c r="BP308" i="8"/>
  <c r="BO308" i="8"/>
  <c r="BN308" i="8"/>
  <c r="BM308" i="8"/>
  <c r="BL308" i="8"/>
  <c r="BK308" i="8"/>
  <c r="BJ308" i="8"/>
  <c r="BI308" i="8"/>
  <c r="BH308" i="8"/>
  <c r="CJ300" i="8"/>
  <c r="CI300" i="8"/>
  <c r="CH300" i="8"/>
  <c r="CG300" i="8"/>
  <c r="CF300" i="8"/>
  <c r="CE300" i="8"/>
  <c r="CD300" i="8"/>
  <c r="CC300" i="8"/>
  <c r="CB300" i="8"/>
  <c r="CA300" i="8"/>
  <c r="BZ300" i="8"/>
  <c r="BY300" i="8"/>
  <c r="BX300" i="8"/>
  <c r="BW300" i="8"/>
  <c r="BV300" i="8"/>
  <c r="BU300" i="8"/>
  <c r="BT300" i="8"/>
  <c r="BS300" i="8"/>
  <c r="BR300" i="8"/>
  <c r="BQ300" i="8"/>
  <c r="BP300" i="8"/>
  <c r="BO300" i="8"/>
  <c r="BN300" i="8"/>
  <c r="BM300" i="8"/>
  <c r="BL300" i="8"/>
  <c r="BK300" i="8"/>
  <c r="BJ300" i="8"/>
  <c r="BI300" i="8"/>
  <c r="BH300" i="8"/>
  <c r="CJ299" i="8"/>
  <c r="CI299" i="8"/>
  <c r="CH299" i="8"/>
  <c r="CG299" i="8"/>
  <c r="CF299" i="8"/>
  <c r="CE299" i="8"/>
  <c r="CD299" i="8"/>
  <c r="CC299" i="8"/>
  <c r="CB299" i="8"/>
  <c r="CA299" i="8"/>
  <c r="BZ299" i="8"/>
  <c r="BY299" i="8"/>
  <c r="BX299" i="8"/>
  <c r="BW299" i="8"/>
  <c r="BV299" i="8"/>
  <c r="BU299" i="8"/>
  <c r="BT299" i="8"/>
  <c r="BS299" i="8"/>
  <c r="BR299" i="8"/>
  <c r="BQ299" i="8"/>
  <c r="BP299" i="8"/>
  <c r="BO299" i="8"/>
  <c r="BN299" i="8"/>
  <c r="BM299" i="8"/>
  <c r="BL299" i="8"/>
  <c r="BK299" i="8"/>
  <c r="BJ299" i="8"/>
  <c r="BI299" i="8"/>
  <c r="BH299" i="8"/>
  <c r="CJ298" i="8"/>
  <c r="CI298" i="8"/>
  <c r="CH298" i="8"/>
  <c r="CG298" i="8"/>
  <c r="CF298" i="8"/>
  <c r="CE298" i="8"/>
  <c r="CD298" i="8"/>
  <c r="CC298" i="8"/>
  <c r="CB298" i="8"/>
  <c r="CA298" i="8"/>
  <c r="BZ298" i="8"/>
  <c r="BY298" i="8"/>
  <c r="BX298" i="8"/>
  <c r="BW298" i="8"/>
  <c r="BV298" i="8"/>
  <c r="BU298" i="8"/>
  <c r="BT298" i="8"/>
  <c r="BS298" i="8"/>
  <c r="BR298" i="8"/>
  <c r="BQ298" i="8"/>
  <c r="BP298" i="8"/>
  <c r="BO298" i="8"/>
  <c r="BN298" i="8"/>
  <c r="BM298" i="8"/>
  <c r="BL298" i="8"/>
  <c r="BK298" i="8"/>
  <c r="BJ298" i="8"/>
  <c r="BI298" i="8"/>
  <c r="BH298" i="8"/>
  <c r="CJ297" i="8"/>
  <c r="CI297" i="8"/>
  <c r="CH297" i="8"/>
  <c r="CG297" i="8"/>
  <c r="CF297" i="8"/>
  <c r="CE297" i="8"/>
  <c r="CD297" i="8"/>
  <c r="CC297" i="8"/>
  <c r="CB297" i="8"/>
  <c r="CA297" i="8"/>
  <c r="BZ297" i="8"/>
  <c r="BY297" i="8"/>
  <c r="BX297" i="8"/>
  <c r="BW297" i="8"/>
  <c r="BV297" i="8"/>
  <c r="BU297" i="8"/>
  <c r="BT297" i="8"/>
  <c r="BS297" i="8"/>
  <c r="BR297" i="8"/>
  <c r="BQ297" i="8"/>
  <c r="BP297" i="8"/>
  <c r="BO297" i="8"/>
  <c r="BN297" i="8"/>
  <c r="BM297" i="8"/>
  <c r="BL297" i="8"/>
  <c r="BK297" i="8"/>
  <c r="BJ297" i="8"/>
  <c r="BI297" i="8"/>
  <c r="BH297" i="8"/>
  <c r="CJ296" i="8"/>
  <c r="CI296" i="8"/>
  <c r="CH296" i="8"/>
  <c r="CG296" i="8"/>
  <c r="CF296" i="8"/>
  <c r="CE296" i="8"/>
  <c r="CD296" i="8"/>
  <c r="CC296" i="8"/>
  <c r="CB296" i="8"/>
  <c r="CA296" i="8"/>
  <c r="BZ296" i="8"/>
  <c r="BY296" i="8"/>
  <c r="BX296" i="8"/>
  <c r="BW296" i="8"/>
  <c r="BV296" i="8"/>
  <c r="BU296" i="8"/>
  <c r="BT296" i="8"/>
  <c r="BS296" i="8"/>
  <c r="BR296" i="8"/>
  <c r="BQ296" i="8"/>
  <c r="BP296" i="8"/>
  <c r="BO296" i="8"/>
  <c r="BN296" i="8"/>
  <c r="BM296" i="8"/>
  <c r="BL296" i="8"/>
  <c r="BK296" i="8"/>
  <c r="BJ296" i="8"/>
  <c r="BI296" i="8"/>
  <c r="BH296" i="8"/>
  <c r="CJ295" i="8"/>
  <c r="CI295" i="8"/>
  <c r="CH295" i="8"/>
  <c r="CG295" i="8"/>
  <c r="CF295" i="8"/>
  <c r="CE295" i="8"/>
  <c r="CD295" i="8"/>
  <c r="CC295" i="8"/>
  <c r="CB295" i="8"/>
  <c r="CA295" i="8"/>
  <c r="BZ295" i="8"/>
  <c r="BY295" i="8"/>
  <c r="BX295" i="8"/>
  <c r="BW295" i="8"/>
  <c r="BV295" i="8"/>
  <c r="BU295" i="8"/>
  <c r="BT295" i="8"/>
  <c r="BS295" i="8"/>
  <c r="BR295" i="8"/>
  <c r="BQ295" i="8"/>
  <c r="BP295" i="8"/>
  <c r="BO295" i="8"/>
  <c r="BN295" i="8"/>
  <c r="BM295" i="8"/>
  <c r="BL295" i="8"/>
  <c r="BK295" i="8"/>
  <c r="BJ295" i="8"/>
  <c r="BI295" i="8"/>
  <c r="BH295" i="8"/>
  <c r="CJ294" i="8"/>
  <c r="CI294" i="8"/>
  <c r="CH294" i="8"/>
  <c r="CG294" i="8"/>
  <c r="CF294" i="8"/>
  <c r="CE294" i="8"/>
  <c r="CD294" i="8"/>
  <c r="CC294" i="8"/>
  <c r="CB294" i="8"/>
  <c r="CA294" i="8"/>
  <c r="BZ294" i="8"/>
  <c r="BY294" i="8"/>
  <c r="BX294" i="8"/>
  <c r="BW294" i="8"/>
  <c r="BV294" i="8"/>
  <c r="BU294" i="8"/>
  <c r="BT294" i="8"/>
  <c r="BS294" i="8"/>
  <c r="BR294" i="8"/>
  <c r="BQ294" i="8"/>
  <c r="BP294" i="8"/>
  <c r="BO294" i="8"/>
  <c r="BN294" i="8"/>
  <c r="BM294" i="8"/>
  <c r="BL294" i="8"/>
  <c r="BK294" i="8"/>
  <c r="BJ294" i="8"/>
  <c r="BI294" i="8"/>
  <c r="BH294" i="8"/>
  <c r="CJ293" i="8"/>
  <c r="CI293" i="8"/>
  <c r="CH293" i="8"/>
  <c r="CG293" i="8"/>
  <c r="CF293" i="8"/>
  <c r="CE293" i="8"/>
  <c r="CD293" i="8"/>
  <c r="CC293" i="8"/>
  <c r="CB293" i="8"/>
  <c r="CA293" i="8"/>
  <c r="BZ293" i="8"/>
  <c r="BY293" i="8"/>
  <c r="BX293" i="8"/>
  <c r="BW293" i="8"/>
  <c r="BV293" i="8"/>
  <c r="BU293" i="8"/>
  <c r="BT293" i="8"/>
  <c r="BS293" i="8"/>
  <c r="BR293" i="8"/>
  <c r="BQ293" i="8"/>
  <c r="BP293" i="8"/>
  <c r="BO293" i="8"/>
  <c r="BN293" i="8"/>
  <c r="BM293" i="8"/>
  <c r="BL293" i="8"/>
  <c r="BK293" i="8"/>
  <c r="BJ293" i="8"/>
  <c r="BI293" i="8"/>
  <c r="BH293" i="8"/>
  <c r="CJ292" i="8"/>
  <c r="CI292" i="8"/>
  <c r="CH292" i="8"/>
  <c r="CG292" i="8"/>
  <c r="CF292" i="8"/>
  <c r="CE292" i="8"/>
  <c r="CD292" i="8"/>
  <c r="CC292" i="8"/>
  <c r="CB292" i="8"/>
  <c r="CA292" i="8"/>
  <c r="BZ292" i="8"/>
  <c r="BY292" i="8"/>
  <c r="BX292" i="8"/>
  <c r="BW292" i="8"/>
  <c r="BV292" i="8"/>
  <c r="BU292" i="8"/>
  <c r="BT292" i="8"/>
  <c r="BS292" i="8"/>
  <c r="BR292" i="8"/>
  <c r="BQ292" i="8"/>
  <c r="BP292" i="8"/>
  <c r="BO292" i="8"/>
  <c r="BN292" i="8"/>
  <c r="BM292" i="8"/>
  <c r="BL292" i="8"/>
  <c r="BK292" i="8"/>
  <c r="BJ292" i="8"/>
  <c r="BI292" i="8"/>
  <c r="BH292" i="8"/>
  <c r="CJ291" i="8"/>
  <c r="CI291" i="8"/>
  <c r="CH291" i="8"/>
  <c r="CG291" i="8"/>
  <c r="CF291" i="8"/>
  <c r="CE291" i="8"/>
  <c r="CD291" i="8"/>
  <c r="CC291" i="8"/>
  <c r="CB291" i="8"/>
  <c r="CA291" i="8"/>
  <c r="BZ291" i="8"/>
  <c r="BY291" i="8"/>
  <c r="BX291" i="8"/>
  <c r="BW291" i="8"/>
  <c r="BV291" i="8"/>
  <c r="BU291" i="8"/>
  <c r="BT291" i="8"/>
  <c r="BS291" i="8"/>
  <c r="BR291" i="8"/>
  <c r="BQ291" i="8"/>
  <c r="BP291" i="8"/>
  <c r="BO291" i="8"/>
  <c r="BN291" i="8"/>
  <c r="BM291" i="8"/>
  <c r="BL291" i="8"/>
  <c r="BK291" i="8"/>
  <c r="BJ291" i="8"/>
  <c r="BI291" i="8"/>
  <c r="BH291" i="8"/>
  <c r="CJ290" i="8"/>
  <c r="CI290" i="8"/>
  <c r="CH290" i="8"/>
  <c r="CG290" i="8"/>
  <c r="CF290" i="8"/>
  <c r="CE290" i="8"/>
  <c r="CD290" i="8"/>
  <c r="CC290" i="8"/>
  <c r="CB290" i="8"/>
  <c r="CA290" i="8"/>
  <c r="BZ290" i="8"/>
  <c r="BY290" i="8"/>
  <c r="BX290" i="8"/>
  <c r="BW290" i="8"/>
  <c r="BV290" i="8"/>
  <c r="BU290" i="8"/>
  <c r="BT290" i="8"/>
  <c r="BS290" i="8"/>
  <c r="BR290" i="8"/>
  <c r="BQ290" i="8"/>
  <c r="BP290" i="8"/>
  <c r="BO290" i="8"/>
  <c r="BN290" i="8"/>
  <c r="BM290" i="8"/>
  <c r="BL290" i="8"/>
  <c r="BK290" i="8"/>
  <c r="BJ290" i="8"/>
  <c r="BI290" i="8"/>
  <c r="BH290" i="8"/>
  <c r="CJ289" i="8"/>
  <c r="CI289" i="8"/>
  <c r="CH289" i="8"/>
  <c r="CG289" i="8"/>
  <c r="CF289" i="8"/>
  <c r="CE289" i="8"/>
  <c r="CD289" i="8"/>
  <c r="CC289" i="8"/>
  <c r="CB289" i="8"/>
  <c r="CA289" i="8"/>
  <c r="BZ289" i="8"/>
  <c r="BY289" i="8"/>
  <c r="BX289" i="8"/>
  <c r="BW289" i="8"/>
  <c r="BV289" i="8"/>
  <c r="BU289" i="8"/>
  <c r="BT289" i="8"/>
  <c r="BS289" i="8"/>
  <c r="BR289" i="8"/>
  <c r="BQ289" i="8"/>
  <c r="BP289" i="8"/>
  <c r="BO289" i="8"/>
  <c r="BN289" i="8"/>
  <c r="BM289" i="8"/>
  <c r="BL289" i="8"/>
  <c r="BK289" i="8"/>
  <c r="BJ289" i="8"/>
  <c r="BI289" i="8"/>
  <c r="BH289" i="8"/>
  <c r="CJ288" i="8"/>
  <c r="CI288" i="8"/>
  <c r="CH288" i="8"/>
  <c r="CG288" i="8"/>
  <c r="CF288" i="8"/>
  <c r="CE288" i="8"/>
  <c r="CD288" i="8"/>
  <c r="CC288" i="8"/>
  <c r="CB288" i="8"/>
  <c r="CA288" i="8"/>
  <c r="BZ288" i="8"/>
  <c r="BY288" i="8"/>
  <c r="BX288" i="8"/>
  <c r="BW288" i="8"/>
  <c r="BV288" i="8"/>
  <c r="BU288" i="8"/>
  <c r="BT288" i="8"/>
  <c r="BS288" i="8"/>
  <c r="BR288" i="8"/>
  <c r="BQ288" i="8"/>
  <c r="BP288" i="8"/>
  <c r="BO288" i="8"/>
  <c r="BN288" i="8"/>
  <c r="BM288" i="8"/>
  <c r="BL288" i="8"/>
  <c r="BK288" i="8"/>
  <c r="BJ288" i="8"/>
  <c r="BI288" i="8"/>
  <c r="BH288" i="8"/>
  <c r="CJ287" i="8"/>
  <c r="CI287" i="8"/>
  <c r="CH287" i="8"/>
  <c r="CG287" i="8"/>
  <c r="CF287" i="8"/>
  <c r="CE287" i="8"/>
  <c r="CD287" i="8"/>
  <c r="CC287" i="8"/>
  <c r="CB287" i="8"/>
  <c r="CA287" i="8"/>
  <c r="BZ287" i="8"/>
  <c r="BY287" i="8"/>
  <c r="BX287" i="8"/>
  <c r="BW287" i="8"/>
  <c r="BV287" i="8"/>
  <c r="BU287" i="8"/>
  <c r="BT287" i="8"/>
  <c r="BS287" i="8"/>
  <c r="BR287" i="8"/>
  <c r="BQ287" i="8"/>
  <c r="BP287" i="8"/>
  <c r="BO287" i="8"/>
  <c r="BN287" i="8"/>
  <c r="BM287" i="8"/>
  <c r="BL287" i="8"/>
  <c r="BK287" i="8"/>
  <c r="BJ287" i="8"/>
  <c r="BI287" i="8"/>
  <c r="BH287" i="8"/>
  <c r="CJ286" i="8"/>
  <c r="CI286" i="8"/>
  <c r="CH286" i="8"/>
  <c r="CG286" i="8"/>
  <c r="CF286" i="8"/>
  <c r="CE286" i="8"/>
  <c r="CD286" i="8"/>
  <c r="CC286" i="8"/>
  <c r="CB286" i="8"/>
  <c r="CA286" i="8"/>
  <c r="BZ286" i="8"/>
  <c r="BY286" i="8"/>
  <c r="BX286" i="8"/>
  <c r="BW286" i="8"/>
  <c r="BV286" i="8"/>
  <c r="BU286" i="8"/>
  <c r="BT286" i="8"/>
  <c r="BS286" i="8"/>
  <c r="BR286" i="8"/>
  <c r="BQ286" i="8"/>
  <c r="BP286" i="8"/>
  <c r="BO286" i="8"/>
  <c r="BN286" i="8"/>
  <c r="BM286" i="8"/>
  <c r="BL286" i="8"/>
  <c r="BK286" i="8"/>
  <c r="BJ286" i="8"/>
  <c r="BI286" i="8"/>
  <c r="BH286" i="8"/>
  <c r="CJ285" i="8"/>
  <c r="CI285" i="8"/>
  <c r="CH285" i="8"/>
  <c r="CG285" i="8"/>
  <c r="CF285" i="8"/>
  <c r="CE285" i="8"/>
  <c r="CD285" i="8"/>
  <c r="CC285" i="8"/>
  <c r="CB285" i="8"/>
  <c r="CA285" i="8"/>
  <c r="BZ285" i="8"/>
  <c r="BY285" i="8"/>
  <c r="BX285" i="8"/>
  <c r="BW285" i="8"/>
  <c r="BV285" i="8"/>
  <c r="BU285" i="8"/>
  <c r="BT285" i="8"/>
  <c r="BS285" i="8"/>
  <c r="BR285" i="8"/>
  <c r="BQ285" i="8"/>
  <c r="BP285" i="8"/>
  <c r="BO285" i="8"/>
  <c r="BN285" i="8"/>
  <c r="BM285" i="8"/>
  <c r="BL285" i="8"/>
  <c r="BK285" i="8"/>
  <c r="BJ285" i="8"/>
  <c r="BI285" i="8"/>
  <c r="BH285" i="8"/>
  <c r="CJ284" i="8"/>
  <c r="CI284" i="8"/>
  <c r="CH284" i="8"/>
  <c r="CG284" i="8"/>
  <c r="CF284" i="8"/>
  <c r="CE284" i="8"/>
  <c r="CD284" i="8"/>
  <c r="CC284" i="8"/>
  <c r="CB284" i="8"/>
  <c r="CA284" i="8"/>
  <c r="BZ284" i="8"/>
  <c r="BY284" i="8"/>
  <c r="BX284" i="8"/>
  <c r="BW284" i="8"/>
  <c r="BV284" i="8"/>
  <c r="BU284" i="8"/>
  <c r="BT284" i="8"/>
  <c r="BS284" i="8"/>
  <c r="BR284" i="8"/>
  <c r="BQ284" i="8"/>
  <c r="BP284" i="8"/>
  <c r="BO284" i="8"/>
  <c r="BN284" i="8"/>
  <c r="BM284" i="8"/>
  <c r="BL284" i="8"/>
  <c r="BK284" i="8"/>
  <c r="BJ284" i="8"/>
  <c r="BI284" i="8"/>
  <c r="BH284" i="8"/>
  <c r="CJ283" i="8"/>
  <c r="CI283" i="8"/>
  <c r="CH283" i="8"/>
  <c r="CG283" i="8"/>
  <c r="CF283" i="8"/>
  <c r="CE283" i="8"/>
  <c r="CD283" i="8"/>
  <c r="CC283" i="8"/>
  <c r="CB283" i="8"/>
  <c r="CA283" i="8"/>
  <c r="BZ283" i="8"/>
  <c r="BY283" i="8"/>
  <c r="BX283" i="8"/>
  <c r="BW283" i="8"/>
  <c r="BV283" i="8"/>
  <c r="BU283" i="8"/>
  <c r="BT283" i="8"/>
  <c r="BS283" i="8"/>
  <c r="BR283" i="8"/>
  <c r="BQ283" i="8"/>
  <c r="BP283" i="8"/>
  <c r="BO283" i="8"/>
  <c r="BN283" i="8"/>
  <c r="BM283" i="8"/>
  <c r="BL283" i="8"/>
  <c r="BK283" i="8"/>
  <c r="BJ283" i="8"/>
  <c r="BI283" i="8"/>
  <c r="BH283" i="8"/>
  <c r="CJ282" i="8"/>
  <c r="CI282" i="8"/>
  <c r="CH282" i="8"/>
  <c r="CG282" i="8"/>
  <c r="CF282" i="8"/>
  <c r="CE282" i="8"/>
  <c r="CD282" i="8"/>
  <c r="CC282" i="8"/>
  <c r="CB282" i="8"/>
  <c r="CA282" i="8"/>
  <c r="BZ282" i="8"/>
  <c r="BY282" i="8"/>
  <c r="BX282" i="8"/>
  <c r="BW282" i="8"/>
  <c r="BV282" i="8"/>
  <c r="BU282" i="8"/>
  <c r="BT282" i="8"/>
  <c r="BS282" i="8"/>
  <c r="BR282" i="8"/>
  <c r="BQ282" i="8"/>
  <c r="BP282" i="8"/>
  <c r="BO282" i="8"/>
  <c r="BN282" i="8"/>
  <c r="BM282" i="8"/>
  <c r="BL282" i="8"/>
  <c r="BK282" i="8"/>
  <c r="BJ282" i="8"/>
  <c r="BI282" i="8"/>
  <c r="BH282" i="8"/>
  <c r="CJ281" i="8"/>
  <c r="CI281" i="8"/>
  <c r="CH281" i="8"/>
  <c r="CG281" i="8"/>
  <c r="CF281" i="8"/>
  <c r="CE281" i="8"/>
  <c r="CD281" i="8"/>
  <c r="CC281" i="8"/>
  <c r="CB281" i="8"/>
  <c r="CA281" i="8"/>
  <c r="BZ281" i="8"/>
  <c r="BY281" i="8"/>
  <c r="BX281" i="8"/>
  <c r="BW281" i="8"/>
  <c r="BV281" i="8"/>
  <c r="BU281" i="8"/>
  <c r="BT281" i="8"/>
  <c r="BS281" i="8"/>
  <c r="BR281" i="8"/>
  <c r="BQ281" i="8"/>
  <c r="BP281" i="8"/>
  <c r="BO281" i="8"/>
  <c r="BN281" i="8"/>
  <c r="BM281" i="8"/>
  <c r="BL281" i="8"/>
  <c r="BK281" i="8"/>
  <c r="BJ281" i="8"/>
  <c r="BI281" i="8"/>
  <c r="BH281" i="8"/>
  <c r="CJ280" i="8"/>
  <c r="CI280" i="8"/>
  <c r="CH280" i="8"/>
  <c r="CG280" i="8"/>
  <c r="CF280" i="8"/>
  <c r="CE280" i="8"/>
  <c r="CD280" i="8"/>
  <c r="CC280" i="8"/>
  <c r="CB280" i="8"/>
  <c r="CA280" i="8"/>
  <c r="BZ280" i="8"/>
  <c r="BY280" i="8"/>
  <c r="BX280" i="8"/>
  <c r="BW280" i="8"/>
  <c r="BV280" i="8"/>
  <c r="BU280" i="8"/>
  <c r="BT280" i="8"/>
  <c r="BS280" i="8"/>
  <c r="BR280" i="8"/>
  <c r="BQ280" i="8"/>
  <c r="BP280" i="8"/>
  <c r="BO280" i="8"/>
  <c r="BN280" i="8"/>
  <c r="BM280" i="8"/>
  <c r="BL280" i="8"/>
  <c r="BK280" i="8"/>
  <c r="BJ280" i="8"/>
  <c r="BI280" i="8"/>
  <c r="BH280" i="8"/>
  <c r="CJ279" i="8"/>
  <c r="CI279" i="8"/>
  <c r="CH279" i="8"/>
  <c r="CG279" i="8"/>
  <c r="CF279" i="8"/>
  <c r="CE279" i="8"/>
  <c r="CD279" i="8"/>
  <c r="CC279" i="8"/>
  <c r="CB279" i="8"/>
  <c r="CA279" i="8"/>
  <c r="BZ279" i="8"/>
  <c r="BY279" i="8"/>
  <c r="BX279" i="8"/>
  <c r="BW279" i="8"/>
  <c r="BV279" i="8"/>
  <c r="BU279" i="8"/>
  <c r="BT279" i="8"/>
  <c r="BS279" i="8"/>
  <c r="BR279" i="8"/>
  <c r="BQ279" i="8"/>
  <c r="BP279" i="8"/>
  <c r="BO279" i="8"/>
  <c r="BN279" i="8"/>
  <c r="BM279" i="8"/>
  <c r="BL279" i="8"/>
  <c r="BK279" i="8"/>
  <c r="BJ279" i="8"/>
  <c r="BI279" i="8"/>
  <c r="BH279" i="8"/>
  <c r="CJ278" i="8"/>
  <c r="CI278" i="8"/>
  <c r="CH278" i="8"/>
  <c r="CG278" i="8"/>
  <c r="CF278" i="8"/>
  <c r="CE278" i="8"/>
  <c r="CD278" i="8"/>
  <c r="CC278" i="8"/>
  <c r="CB278" i="8"/>
  <c r="CA278" i="8"/>
  <c r="BZ278" i="8"/>
  <c r="BY278" i="8"/>
  <c r="BX278" i="8"/>
  <c r="BW278" i="8"/>
  <c r="BV278" i="8"/>
  <c r="BU278" i="8"/>
  <c r="BT278" i="8"/>
  <c r="BS278" i="8"/>
  <c r="BR278" i="8"/>
  <c r="BQ278" i="8"/>
  <c r="BP278" i="8"/>
  <c r="BO278" i="8"/>
  <c r="BN278" i="8"/>
  <c r="BM278" i="8"/>
  <c r="BL278" i="8"/>
  <c r="BK278" i="8"/>
  <c r="BJ278" i="8"/>
  <c r="BI278" i="8"/>
  <c r="BH278" i="8"/>
  <c r="CJ277" i="8"/>
  <c r="CI277" i="8"/>
  <c r="CH277" i="8"/>
  <c r="CG277" i="8"/>
  <c r="CF277" i="8"/>
  <c r="CE277" i="8"/>
  <c r="CD277" i="8"/>
  <c r="CC277" i="8"/>
  <c r="CB277" i="8"/>
  <c r="CA277" i="8"/>
  <c r="BZ277" i="8"/>
  <c r="BY277" i="8"/>
  <c r="BX277" i="8"/>
  <c r="BW277" i="8"/>
  <c r="BV277" i="8"/>
  <c r="BU277" i="8"/>
  <c r="BT277" i="8"/>
  <c r="BS277" i="8"/>
  <c r="BR277" i="8"/>
  <c r="BQ277" i="8"/>
  <c r="BP277" i="8"/>
  <c r="BO277" i="8"/>
  <c r="BN277" i="8"/>
  <c r="BM277" i="8"/>
  <c r="BL277" i="8"/>
  <c r="BK277" i="8"/>
  <c r="BJ277" i="8"/>
  <c r="BI277" i="8"/>
  <c r="BH277" i="8"/>
  <c r="CJ276" i="8"/>
  <c r="CI276" i="8"/>
  <c r="CH276" i="8"/>
  <c r="CG276" i="8"/>
  <c r="CF276" i="8"/>
  <c r="CE276" i="8"/>
  <c r="CD276" i="8"/>
  <c r="CC276" i="8"/>
  <c r="CB276" i="8"/>
  <c r="CA276" i="8"/>
  <c r="BZ276" i="8"/>
  <c r="BY276" i="8"/>
  <c r="BX276" i="8"/>
  <c r="BW276" i="8"/>
  <c r="BV276" i="8"/>
  <c r="BU276" i="8"/>
  <c r="BT276" i="8"/>
  <c r="BS276" i="8"/>
  <c r="BR276" i="8"/>
  <c r="BQ276" i="8"/>
  <c r="BP276" i="8"/>
  <c r="BO276" i="8"/>
  <c r="BN276" i="8"/>
  <c r="BM276" i="8"/>
  <c r="BL276" i="8"/>
  <c r="BK276" i="8"/>
  <c r="BJ276" i="8"/>
  <c r="BI276" i="8"/>
  <c r="BH276" i="8"/>
  <c r="CJ275" i="8"/>
  <c r="CI275" i="8"/>
  <c r="CH275" i="8"/>
  <c r="CG275" i="8"/>
  <c r="CF275" i="8"/>
  <c r="CE275" i="8"/>
  <c r="CD275" i="8"/>
  <c r="CC275" i="8"/>
  <c r="CB275" i="8"/>
  <c r="CA275" i="8"/>
  <c r="BZ275" i="8"/>
  <c r="BY275" i="8"/>
  <c r="BX275" i="8"/>
  <c r="BW275" i="8"/>
  <c r="BV275" i="8"/>
  <c r="BU275" i="8"/>
  <c r="BT275" i="8"/>
  <c r="BS275" i="8"/>
  <c r="BR275" i="8"/>
  <c r="BQ275" i="8"/>
  <c r="BP275" i="8"/>
  <c r="BO275" i="8"/>
  <c r="BN275" i="8"/>
  <c r="BM275" i="8"/>
  <c r="BL275" i="8"/>
  <c r="BK275" i="8"/>
  <c r="BJ275" i="8"/>
  <c r="BI275" i="8"/>
  <c r="BH275" i="8"/>
  <c r="CJ274" i="8"/>
  <c r="CI274" i="8"/>
  <c r="CH274" i="8"/>
  <c r="CG274" i="8"/>
  <c r="CF274" i="8"/>
  <c r="CE274" i="8"/>
  <c r="CD274" i="8"/>
  <c r="CC274" i="8"/>
  <c r="CB274" i="8"/>
  <c r="CA274" i="8"/>
  <c r="BZ274" i="8"/>
  <c r="BY274" i="8"/>
  <c r="BX274" i="8"/>
  <c r="BW274" i="8"/>
  <c r="BV274" i="8"/>
  <c r="BU274" i="8"/>
  <c r="BT274" i="8"/>
  <c r="BS274" i="8"/>
  <c r="BR274" i="8"/>
  <c r="BQ274" i="8"/>
  <c r="BP274" i="8"/>
  <c r="BO274" i="8"/>
  <c r="BN274" i="8"/>
  <c r="BM274" i="8"/>
  <c r="BL274" i="8"/>
  <c r="BK274" i="8"/>
  <c r="BJ274" i="8"/>
  <c r="BI274" i="8"/>
  <c r="BH274" i="8"/>
  <c r="CJ273" i="8"/>
  <c r="CI273" i="8"/>
  <c r="CH273" i="8"/>
  <c r="CG273" i="8"/>
  <c r="CF273" i="8"/>
  <c r="CE273" i="8"/>
  <c r="CD273" i="8"/>
  <c r="CC273" i="8"/>
  <c r="CB273" i="8"/>
  <c r="CA273" i="8"/>
  <c r="BZ273" i="8"/>
  <c r="BY273" i="8"/>
  <c r="BX273" i="8"/>
  <c r="BW273" i="8"/>
  <c r="BV273" i="8"/>
  <c r="BU273" i="8"/>
  <c r="BT273" i="8"/>
  <c r="BS273" i="8"/>
  <c r="BR273" i="8"/>
  <c r="BQ273" i="8"/>
  <c r="BP273" i="8"/>
  <c r="BO273" i="8"/>
  <c r="BN273" i="8"/>
  <c r="BM273" i="8"/>
  <c r="BL273" i="8"/>
  <c r="BK273" i="8"/>
  <c r="BJ273" i="8"/>
  <c r="BI273" i="8"/>
  <c r="BH273" i="8"/>
  <c r="CJ263" i="8"/>
  <c r="CI263" i="8"/>
  <c r="CH263" i="8"/>
  <c r="CG263" i="8"/>
  <c r="CF263" i="8"/>
  <c r="CE263" i="8"/>
  <c r="CD263" i="8"/>
  <c r="CC263" i="8"/>
  <c r="CB263" i="8"/>
  <c r="CA263" i="8"/>
  <c r="BZ263" i="8"/>
  <c r="BY263" i="8"/>
  <c r="BX263" i="8"/>
  <c r="BW263" i="8"/>
  <c r="BV263" i="8"/>
  <c r="BU263" i="8"/>
  <c r="BT263" i="8"/>
  <c r="BS263" i="8"/>
  <c r="BR263" i="8"/>
  <c r="BQ263" i="8"/>
  <c r="BP263" i="8"/>
  <c r="BO263" i="8"/>
  <c r="BN263" i="8"/>
  <c r="BM263" i="8"/>
  <c r="BL263" i="8"/>
  <c r="BK263" i="8"/>
  <c r="BJ263" i="8"/>
  <c r="BI263" i="8"/>
  <c r="BH263" i="8"/>
  <c r="CJ262" i="8"/>
  <c r="CI262" i="8"/>
  <c r="CH262" i="8"/>
  <c r="CG262" i="8"/>
  <c r="CF262" i="8"/>
  <c r="CE262" i="8"/>
  <c r="CD262" i="8"/>
  <c r="CC262" i="8"/>
  <c r="CB262" i="8"/>
  <c r="CA262" i="8"/>
  <c r="BZ262" i="8"/>
  <c r="BY262" i="8"/>
  <c r="BX262" i="8"/>
  <c r="BW262" i="8"/>
  <c r="BV262" i="8"/>
  <c r="BU262" i="8"/>
  <c r="BT262" i="8"/>
  <c r="BS262" i="8"/>
  <c r="BR262" i="8"/>
  <c r="BQ262" i="8"/>
  <c r="BP262" i="8"/>
  <c r="BO262" i="8"/>
  <c r="BN262" i="8"/>
  <c r="BM262" i="8"/>
  <c r="BL262" i="8"/>
  <c r="BK262" i="8"/>
  <c r="BJ262" i="8"/>
  <c r="BI262" i="8"/>
  <c r="BH262" i="8"/>
  <c r="CJ261" i="8"/>
  <c r="CI261" i="8"/>
  <c r="CH261" i="8"/>
  <c r="CG261" i="8"/>
  <c r="CF261" i="8"/>
  <c r="CE261" i="8"/>
  <c r="CD261" i="8"/>
  <c r="CC261" i="8"/>
  <c r="CB261" i="8"/>
  <c r="CA261" i="8"/>
  <c r="BZ261" i="8"/>
  <c r="BY261" i="8"/>
  <c r="BX261" i="8"/>
  <c r="BW261" i="8"/>
  <c r="BV261" i="8"/>
  <c r="BU261" i="8"/>
  <c r="BT261" i="8"/>
  <c r="BS261" i="8"/>
  <c r="BR261" i="8"/>
  <c r="BQ261" i="8"/>
  <c r="BP261" i="8"/>
  <c r="BO261" i="8"/>
  <c r="BN261" i="8"/>
  <c r="BM261" i="8"/>
  <c r="BL261" i="8"/>
  <c r="BK261" i="8"/>
  <c r="BJ261" i="8"/>
  <c r="BI261" i="8"/>
  <c r="BH261" i="8"/>
  <c r="CJ260" i="8"/>
  <c r="CI260" i="8"/>
  <c r="CH260" i="8"/>
  <c r="CG260" i="8"/>
  <c r="CF260" i="8"/>
  <c r="CE260" i="8"/>
  <c r="CD260" i="8"/>
  <c r="CC260" i="8"/>
  <c r="CB260" i="8"/>
  <c r="CA260" i="8"/>
  <c r="BZ260" i="8"/>
  <c r="BY260" i="8"/>
  <c r="BX260" i="8"/>
  <c r="BW260" i="8"/>
  <c r="BV260" i="8"/>
  <c r="BU260" i="8"/>
  <c r="BT260" i="8"/>
  <c r="BS260" i="8"/>
  <c r="BR260" i="8"/>
  <c r="BQ260" i="8"/>
  <c r="BP260" i="8"/>
  <c r="BO260" i="8"/>
  <c r="BN260" i="8"/>
  <c r="BM260" i="8"/>
  <c r="BL260" i="8"/>
  <c r="BK260" i="8"/>
  <c r="BJ260" i="8"/>
  <c r="BI260" i="8"/>
  <c r="BH260" i="8"/>
  <c r="CJ259" i="8"/>
  <c r="CI259" i="8"/>
  <c r="CH259" i="8"/>
  <c r="CG259" i="8"/>
  <c r="CF259" i="8"/>
  <c r="CE259" i="8"/>
  <c r="CD259" i="8"/>
  <c r="CC259" i="8"/>
  <c r="CB259" i="8"/>
  <c r="CA259" i="8"/>
  <c r="BZ259" i="8"/>
  <c r="BY259" i="8"/>
  <c r="BX259" i="8"/>
  <c r="BW259" i="8"/>
  <c r="BV259" i="8"/>
  <c r="BU259" i="8"/>
  <c r="BT259" i="8"/>
  <c r="BS259" i="8"/>
  <c r="BR259" i="8"/>
  <c r="BQ259" i="8"/>
  <c r="BP259" i="8"/>
  <c r="BO259" i="8"/>
  <c r="BN259" i="8"/>
  <c r="BM259" i="8"/>
  <c r="BL259" i="8"/>
  <c r="BK259" i="8"/>
  <c r="BJ259" i="8"/>
  <c r="BI259" i="8"/>
  <c r="BH259" i="8"/>
  <c r="CJ258" i="8"/>
  <c r="CI258" i="8"/>
  <c r="CH258" i="8"/>
  <c r="CG258" i="8"/>
  <c r="CF258" i="8"/>
  <c r="CE258" i="8"/>
  <c r="CD258" i="8"/>
  <c r="CC258" i="8"/>
  <c r="CB258" i="8"/>
  <c r="CA258" i="8"/>
  <c r="BZ258" i="8"/>
  <c r="BY258" i="8"/>
  <c r="BX258" i="8"/>
  <c r="BW258" i="8"/>
  <c r="BV258" i="8"/>
  <c r="BU258" i="8"/>
  <c r="BT258" i="8"/>
  <c r="BS258" i="8"/>
  <c r="BR258" i="8"/>
  <c r="BQ258" i="8"/>
  <c r="BP258" i="8"/>
  <c r="BO258" i="8"/>
  <c r="BN258" i="8"/>
  <c r="BM258" i="8"/>
  <c r="BL258" i="8"/>
  <c r="BK258" i="8"/>
  <c r="BJ258" i="8"/>
  <c r="BI258" i="8"/>
  <c r="BH258" i="8"/>
  <c r="CJ257" i="8"/>
  <c r="CI257" i="8"/>
  <c r="CH257" i="8"/>
  <c r="CG257" i="8"/>
  <c r="CF257" i="8"/>
  <c r="CE257" i="8"/>
  <c r="CD257" i="8"/>
  <c r="CC257" i="8"/>
  <c r="CB257" i="8"/>
  <c r="CA257" i="8"/>
  <c r="BZ257" i="8"/>
  <c r="BY257" i="8"/>
  <c r="BX257" i="8"/>
  <c r="BW257" i="8"/>
  <c r="BV257" i="8"/>
  <c r="BU257" i="8"/>
  <c r="BT257" i="8"/>
  <c r="BS257" i="8"/>
  <c r="BR257" i="8"/>
  <c r="BQ257" i="8"/>
  <c r="BP257" i="8"/>
  <c r="BO257" i="8"/>
  <c r="BN257" i="8"/>
  <c r="BM257" i="8"/>
  <c r="BL257" i="8"/>
  <c r="BK257" i="8"/>
  <c r="BJ257" i="8"/>
  <c r="BI257" i="8"/>
  <c r="BH257" i="8"/>
  <c r="CJ256" i="8"/>
  <c r="CI256" i="8"/>
  <c r="CH256" i="8"/>
  <c r="CG256" i="8"/>
  <c r="CF256" i="8"/>
  <c r="CE256" i="8"/>
  <c r="CD256" i="8"/>
  <c r="CC256" i="8"/>
  <c r="CB256" i="8"/>
  <c r="CA256" i="8"/>
  <c r="BZ256" i="8"/>
  <c r="BY256" i="8"/>
  <c r="BX256" i="8"/>
  <c r="BW256" i="8"/>
  <c r="BV256" i="8"/>
  <c r="BU256" i="8"/>
  <c r="BT256" i="8"/>
  <c r="BS256" i="8"/>
  <c r="BR256" i="8"/>
  <c r="BQ256" i="8"/>
  <c r="BP256" i="8"/>
  <c r="BO256" i="8"/>
  <c r="BN256" i="8"/>
  <c r="BM256" i="8"/>
  <c r="BL256" i="8"/>
  <c r="BK256" i="8"/>
  <c r="BJ256" i="8"/>
  <c r="BI256" i="8"/>
  <c r="BH256" i="8"/>
  <c r="CJ255" i="8"/>
  <c r="CI255" i="8"/>
  <c r="CH255" i="8"/>
  <c r="CG255" i="8"/>
  <c r="CF255" i="8"/>
  <c r="CE255" i="8"/>
  <c r="CD255" i="8"/>
  <c r="CC255" i="8"/>
  <c r="CB255" i="8"/>
  <c r="CA255" i="8"/>
  <c r="BZ255" i="8"/>
  <c r="BY255" i="8"/>
  <c r="BX255" i="8"/>
  <c r="BW255" i="8"/>
  <c r="BV255" i="8"/>
  <c r="BU255" i="8"/>
  <c r="BT255" i="8"/>
  <c r="BS255" i="8"/>
  <c r="BR255" i="8"/>
  <c r="BQ255" i="8"/>
  <c r="BP255" i="8"/>
  <c r="BO255" i="8"/>
  <c r="BN255" i="8"/>
  <c r="BM255" i="8"/>
  <c r="BL255" i="8"/>
  <c r="BK255" i="8"/>
  <c r="BJ255" i="8"/>
  <c r="BI255" i="8"/>
  <c r="BH255" i="8"/>
  <c r="CJ254" i="8"/>
  <c r="CI254" i="8"/>
  <c r="CH254" i="8"/>
  <c r="CG254" i="8"/>
  <c r="CF254" i="8"/>
  <c r="CE254" i="8"/>
  <c r="CD254" i="8"/>
  <c r="CC254" i="8"/>
  <c r="CB254" i="8"/>
  <c r="CA254" i="8"/>
  <c r="BZ254" i="8"/>
  <c r="BY254" i="8"/>
  <c r="BX254" i="8"/>
  <c r="BW254" i="8"/>
  <c r="BV254" i="8"/>
  <c r="BU254" i="8"/>
  <c r="BT254" i="8"/>
  <c r="BS254" i="8"/>
  <c r="BR254" i="8"/>
  <c r="BQ254" i="8"/>
  <c r="BP254" i="8"/>
  <c r="BO254" i="8"/>
  <c r="BN254" i="8"/>
  <c r="BM254" i="8"/>
  <c r="BL254" i="8"/>
  <c r="BK254" i="8"/>
  <c r="BJ254" i="8"/>
  <c r="BI254" i="8"/>
  <c r="BH254" i="8"/>
  <c r="CJ253" i="8"/>
  <c r="CI253" i="8"/>
  <c r="CH253" i="8"/>
  <c r="CG253" i="8"/>
  <c r="CF253" i="8"/>
  <c r="CE253" i="8"/>
  <c r="CD253" i="8"/>
  <c r="CC253" i="8"/>
  <c r="CB253" i="8"/>
  <c r="CA253" i="8"/>
  <c r="BZ253" i="8"/>
  <c r="BY253" i="8"/>
  <c r="BX253" i="8"/>
  <c r="BW253" i="8"/>
  <c r="BV253" i="8"/>
  <c r="BU253" i="8"/>
  <c r="BT253" i="8"/>
  <c r="BS253" i="8"/>
  <c r="BR253" i="8"/>
  <c r="BQ253" i="8"/>
  <c r="BP253" i="8"/>
  <c r="BO253" i="8"/>
  <c r="BN253" i="8"/>
  <c r="BM253" i="8"/>
  <c r="BL253" i="8"/>
  <c r="BK253" i="8"/>
  <c r="BJ253" i="8"/>
  <c r="BI253" i="8"/>
  <c r="BH253" i="8"/>
  <c r="CJ252" i="8"/>
  <c r="CI252" i="8"/>
  <c r="CH252" i="8"/>
  <c r="CG252" i="8"/>
  <c r="CF252" i="8"/>
  <c r="CE252" i="8"/>
  <c r="CD252" i="8"/>
  <c r="CC252" i="8"/>
  <c r="CB252" i="8"/>
  <c r="CA252" i="8"/>
  <c r="BZ252" i="8"/>
  <c r="BY252" i="8"/>
  <c r="BX252" i="8"/>
  <c r="BW252" i="8"/>
  <c r="BV252" i="8"/>
  <c r="BU252" i="8"/>
  <c r="BT252" i="8"/>
  <c r="BS252" i="8"/>
  <c r="BR252" i="8"/>
  <c r="BQ252" i="8"/>
  <c r="BP252" i="8"/>
  <c r="BO252" i="8"/>
  <c r="BN252" i="8"/>
  <c r="BM252" i="8"/>
  <c r="BL252" i="8"/>
  <c r="BK252" i="8"/>
  <c r="BJ252" i="8"/>
  <c r="BI252" i="8"/>
  <c r="BH252" i="8"/>
  <c r="CJ251" i="8"/>
  <c r="CI251" i="8"/>
  <c r="CH251" i="8"/>
  <c r="CG251" i="8"/>
  <c r="CF251" i="8"/>
  <c r="CE251" i="8"/>
  <c r="CD251" i="8"/>
  <c r="CC251" i="8"/>
  <c r="CB251" i="8"/>
  <c r="CA251" i="8"/>
  <c r="BZ251" i="8"/>
  <c r="BY251" i="8"/>
  <c r="BX251" i="8"/>
  <c r="BW251" i="8"/>
  <c r="BV251" i="8"/>
  <c r="BU251" i="8"/>
  <c r="BT251" i="8"/>
  <c r="BS251" i="8"/>
  <c r="BR251" i="8"/>
  <c r="BQ251" i="8"/>
  <c r="BP251" i="8"/>
  <c r="BO251" i="8"/>
  <c r="BN251" i="8"/>
  <c r="BM251" i="8"/>
  <c r="BL251" i="8"/>
  <c r="BK251" i="8"/>
  <c r="BJ251" i="8"/>
  <c r="BI251" i="8"/>
  <c r="BH251" i="8"/>
  <c r="CJ250" i="8"/>
  <c r="CI250" i="8"/>
  <c r="CH250" i="8"/>
  <c r="CG250" i="8"/>
  <c r="CF250" i="8"/>
  <c r="CE250" i="8"/>
  <c r="CD250" i="8"/>
  <c r="CC250" i="8"/>
  <c r="CB250" i="8"/>
  <c r="CA250" i="8"/>
  <c r="BZ250" i="8"/>
  <c r="BY250" i="8"/>
  <c r="BX250" i="8"/>
  <c r="BW250" i="8"/>
  <c r="BV250" i="8"/>
  <c r="BU250" i="8"/>
  <c r="BT250" i="8"/>
  <c r="BS250" i="8"/>
  <c r="BR250" i="8"/>
  <c r="BQ250" i="8"/>
  <c r="BP250" i="8"/>
  <c r="BO250" i="8"/>
  <c r="BN250" i="8"/>
  <c r="BM250" i="8"/>
  <c r="BL250" i="8"/>
  <c r="BK250" i="8"/>
  <c r="BJ250" i="8"/>
  <c r="BI250" i="8"/>
  <c r="BH250" i="8"/>
  <c r="CJ249" i="8"/>
  <c r="CI249" i="8"/>
  <c r="CH249" i="8"/>
  <c r="CG249" i="8"/>
  <c r="CF249" i="8"/>
  <c r="CE249" i="8"/>
  <c r="CD249" i="8"/>
  <c r="CC249" i="8"/>
  <c r="CB249" i="8"/>
  <c r="CA249" i="8"/>
  <c r="BZ249" i="8"/>
  <c r="BY249" i="8"/>
  <c r="BX249" i="8"/>
  <c r="BW249" i="8"/>
  <c r="BV249" i="8"/>
  <c r="BU249" i="8"/>
  <c r="BT249" i="8"/>
  <c r="BS249" i="8"/>
  <c r="BR249" i="8"/>
  <c r="BQ249" i="8"/>
  <c r="BP249" i="8"/>
  <c r="BO249" i="8"/>
  <c r="BN249" i="8"/>
  <c r="BM249" i="8"/>
  <c r="BL249" i="8"/>
  <c r="BK249" i="8"/>
  <c r="BJ249" i="8"/>
  <c r="BI249" i="8"/>
  <c r="BH249" i="8"/>
  <c r="CJ248" i="8"/>
  <c r="CI248" i="8"/>
  <c r="CH248" i="8"/>
  <c r="CG248" i="8"/>
  <c r="CF248" i="8"/>
  <c r="CE248" i="8"/>
  <c r="CD248" i="8"/>
  <c r="CC248" i="8"/>
  <c r="CB248" i="8"/>
  <c r="CA248" i="8"/>
  <c r="BZ248" i="8"/>
  <c r="BY248" i="8"/>
  <c r="BX248" i="8"/>
  <c r="BW248" i="8"/>
  <c r="BV248" i="8"/>
  <c r="BU248" i="8"/>
  <c r="BT248" i="8"/>
  <c r="BS248" i="8"/>
  <c r="BR248" i="8"/>
  <c r="BQ248" i="8"/>
  <c r="BP248" i="8"/>
  <c r="BO248" i="8"/>
  <c r="BN248" i="8"/>
  <c r="BM248" i="8"/>
  <c r="BL248" i="8"/>
  <c r="BK248" i="8"/>
  <c r="BJ248" i="8"/>
  <c r="BI248" i="8"/>
  <c r="BH248" i="8"/>
  <c r="CJ199" i="8"/>
  <c r="CI199" i="8"/>
  <c r="CH199" i="8"/>
  <c r="CG199" i="8"/>
  <c r="CF199" i="8"/>
  <c r="CE199" i="8"/>
  <c r="CD199" i="8"/>
  <c r="CC199" i="8"/>
  <c r="CB199" i="8"/>
  <c r="CA199" i="8"/>
  <c r="BZ199" i="8"/>
  <c r="BY199" i="8"/>
  <c r="BX199" i="8"/>
  <c r="BW199" i="8"/>
  <c r="BV199" i="8"/>
  <c r="BU199" i="8"/>
  <c r="BT199" i="8"/>
  <c r="BS199" i="8"/>
  <c r="BR199" i="8"/>
  <c r="BQ199" i="8"/>
  <c r="BP199" i="8"/>
  <c r="BO199" i="8"/>
  <c r="BN199" i="8"/>
  <c r="BM199" i="8"/>
  <c r="BL199" i="8"/>
  <c r="BK199" i="8"/>
  <c r="BJ199" i="8"/>
  <c r="BI199" i="8"/>
  <c r="BH199" i="8"/>
  <c r="CJ197" i="8"/>
  <c r="CI197" i="8"/>
  <c r="CH197" i="8"/>
  <c r="CG197" i="8"/>
  <c r="CF197" i="8"/>
  <c r="CE197" i="8"/>
  <c r="CD197" i="8"/>
  <c r="CC197" i="8"/>
  <c r="CB197" i="8"/>
  <c r="CA197" i="8"/>
  <c r="BZ197" i="8"/>
  <c r="BY197" i="8"/>
  <c r="BX197" i="8"/>
  <c r="BW197" i="8"/>
  <c r="BV197" i="8"/>
  <c r="BU197" i="8"/>
  <c r="BT197" i="8"/>
  <c r="BS197" i="8"/>
  <c r="BR197" i="8"/>
  <c r="BQ197" i="8"/>
  <c r="BP197" i="8"/>
  <c r="BO197" i="8"/>
  <c r="BN197" i="8"/>
  <c r="BM197" i="8"/>
  <c r="BL197" i="8"/>
  <c r="BK197" i="8"/>
  <c r="BJ197" i="8"/>
  <c r="BI197" i="8"/>
  <c r="BH197" i="8"/>
  <c r="CJ196" i="8"/>
  <c r="CI196" i="8"/>
  <c r="CH196" i="8"/>
  <c r="CG196" i="8"/>
  <c r="CF196" i="8"/>
  <c r="CE196" i="8"/>
  <c r="CD196" i="8"/>
  <c r="CC196" i="8"/>
  <c r="CB196" i="8"/>
  <c r="CA196" i="8"/>
  <c r="BZ196" i="8"/>
  <c r="BY196" i="8"/>
  <c r="BX196" i="8"/>
  <c r="BW196" i="8"/>
  <c r="BV196" i="8"/>
  <c r="BU196" i="8"/>
  <c r="BT196" i="8"/>
  <c r="BS196" i="8"/>
  <c r="BR196" i="8"/>
  <c r="BQ196" i="8"/>
  <c r="BP196" i="8"/>
  <c r="BO196" i="8"/>
  <c r="BN196" i="8"/>
  <c r="BM196" i="8"/>
  <c r="BL196" i="8"/>
  <c r="BK196" i="8"/>
  <c r="BJ196" i="8"/>
  <c r="BI196" i="8"/>
  <c r="BH196" i="8"/>
  <c r="CJ195" i="8"/>
  <c r="CI195" i="8"/>
  <c r="CH195" i="8"/>
  <c r="CG195" i="8"/>
  <c r="CF195" i="8"/>
  <c r="CE195" i="8"/>
  <c r="CD195" i="8"/>
  <c r="CC195" i="8"/>
  <c r="CB195" i="8"/>
  <c r="CA195" i="8"/>
  <c r="BZ195" i="8"/>
  <c r="BY195" i="8"/>
  <c r="BX195" i="8"/>
  <c r="BW195" i="8"/>
  <c r="BV195" i="8"/>
  <c r="BU195" i="8"/>
  <c r="BT195" i="8"/>
  <c r="BS195" i="8"/>
  <c r="BR195" i="8"/>
  <c r="BQ195" i="8"/>
  <c r="BP195" i="8"/>
  <c r="BO195" i="8"/>
  <c r="BN195" i="8"/>
  <c r="BM195" i="8"/>
  <c r="BL195" i="8"/>
  <c r="BK195" i="8"/>
  <c r="BJ195" i="8"/>
  <c r="BI195" i="8"/>
  <c r="BH195" i="8"/>
  <c r="CJ193" i="8"/>
  <c r="CI193" i="8"/>
  <c r="CH193" i="8"/>
  <c r="CG193" i="8"/>
  <c r="CF193" i="8"/>
  <c r="CE193" i="8"/>
  <c r="CD193" i="8"/>
  <c r="CC193" i="8"/>
  <c r="CB193" i="8"/>
  <c r="CA193" i="8"/>
  <c r="BZ193" i="8"/>
  <c r="BY193" i="8"/>
  <c r="BX193" i="8"/>
  <c r="BW193" i="8"/>
  <c r="BV193" i="8"/>
  <c r="BU193" i="8"/>
  <c r="BT193" i="8"/>
  <c r="BS193" i="8"/>
  <c r="BR193" i="8"/>
  <c r="BQ193" i="8"/>
  <c r="BP193" i="8"/>
  <c r="BO193" i="8"/>
  <c r="BN193" i="8"/>
  <c r="BM193" i="8"/>
  <c r="BL193" i="8"/>
  <c r="BK193" i="8"/>
  <c r="BJ193" i="8"/>
  <c r="BI193" i="8"/>
  <c r="BH193" i="8"/>
  <c r="CJ192" i="8"/>
  <c r="CI192" i="8"/>
  <c r="CH192" i="8"/>
  <c r="CG192" i="8"/>
  <c r="CF192" i="8"/>
  <c r="CE192" i="8"/>
  <c r="CD192" i="8"/>
  <c r="CC192" i="8"/>
  <c r="CB192" i="8"/>
  <c r="CA192" i="8"/>
  <c r="BZ192" i="8"/>
  <c r="BY192" i="8"/>
  <c r="BX192" i="8"/>
  <c r="BW192" i="8"/>
  <c r="BV192" i="8"/>
  <c r="BU192" i="8"/>
  <c r="BT192" i="8"/>
  <c r="BS192" i="8"/>
  <c r="BR192" i="8"/>
  <c r="BQ192" i="8"/>
  <c r="BP192" i="8"/>
  <c r="BO192" i="8"/>
  <c r="BN192" i="8"/>
  <c r="BM192" i="8"/>
  <c r="BL192" i="8"/>
  <c r="BK192" i="8"/>
  <c r="BJ192" i="8"/>
  <c r="BI192" i="8"/>
  <c r="BH192" i="8"/>
  <c r="CJ191" i="8"/>
  <c r="CI191" i="8"/>
  <c r="CH191" i="8"/>
  <c r="CG191" i="8"/>
  <c r="CF191" i="8"/>
  <c r="CE191" i="8"/>
  <c r="CD191" i="8"/>
  <c r="CC191" i="8"/>
  <c r="CB191" i="8"/>
  <c r="CA191" i="8"/>
  <c r="BZ191" i="8"/>
  <c r="BY191" i="8"/>
  <c r="BX191" i="8"/>
  <c r="BW191" i="8"/>
  <c r="BV191" i="8"/>
  <c r="BU191" i="8"/>
  <c r="BT191" i="8"/>
  <c r="BS191" i="8"/>
  <c r="BR191" i="8"/>
  <c r="BQ191" i="8"/>
  <c r="BP191" i="8"/>
  <c r="BO191" i="8"/>
  <c r="BN191" i="8"/>
  <c r="BM191" i="8"/>
  <c r="BL191" i="8"/>
  <c r="BK191" i="8"/>
  <c r="BJ191" i="8"/>
  <c r="BI191" i="8"/>
  <c r="BH191" i="8"/>
  <c r="CJ189" i="8"/>
  <c r="CI189" i="8"/>
  <c r="CH189" i="8"/>
  <c r="CG189" i="8"/>
  <c r="CF189" i="8"/>
  <c r="CE189" i="8"/>
  <c r="CD189" i="8"/>
  <c r="CC189" i="8"/>
  <c r="CB189" i="8"/>
  <c r="CA189" i="8"/>
  <c r="BZ189" i="8"/>
  <c r="BY189" i="8"/>
  <c r="BX189" i="8"/>
  <c r="BW189" i="8"/>
  <c r="BV189" i="8"/>
  <c r="BU189" i="8"/>
  <c r="BT189" i="8"/>
  <c r="BS189" i="8"/>
  <c r="BR189" i="8"/>
  <c r="BQ189" i="8"/>
  <c r="BP189" i="8"/>
  <c r="BO189" i="8"/>
  <c r="BN189" i="8"/>
  <c r="BM189" i="8"/>
  <c r="BL189" i="8"/>
  <c r="BK189" i="8"/>
  <c r="BJ189" i="8"/>
  <c r="BI189" i="8"/>
  <c r="BH189" i="8"/>
  <c r="CJ188" i="8"/>
  <c r="CI188" i="8"/>
  <c r="CH188" i="8"/>
  <c r="CG188" i="8"/>
  <c r="CF188" i="8"/>
  <c r="CE188" i="8"/>
  <c r="CD188" i="8"/>
  <c r="CC188" i="8"/>
  <c r="CB188" i="8"/>
  <c r="CA188" i="8"/>
  <c r="BZ188" i="8"/>
  <c r="BY188" i="8"/>
  <c r="BX188" i="8"/>
  <c r="BW188" i="8"/>
  <c r="BV188" i="8"/>
  <c r="BU188" i="8"/>
  <c r="BT188" i="8"/>
  <c r="BS188" i="8"/>
  <c r="BR188" i="8"/>
  <c r="BQ188" i="8"/>
  <c r="BP188" i="8"/>
  <c r="BO188" i="8"/>
  <c r="BN188" i="8"/>
  <c r="BM188" i="8"/>
  <c r="BL188" i="8"/>
  <c r="BK188" i="8"/>
  <c r="BJ188" i="8"/>
  <c r="BI188" i="8"/>
  <c r="BH188" i="8"/>
  <c r="CJ187" i="8"/>
  <c r="CI187" i="8"/>
  <c r="CH187" i="8"/>
  <c r="CG187" i="8"/>
  <c r="CF187" i="8"/>
  <c r="CE187" i="8"/>
  <c r="CD187" i="8"/>
  <c r="CC187" i="8"/>
  <c r="CB187" i="8"/>
  <c r="CA187" i="8"/>
  <c r="BZ187" i="8"/>
  <c r="BY187" i="8"/>
  <c r="BX187" i="8"/>
  <c r="BW187" i="8"/>
  <c r="BV187" i="8"/>
  <c r="BU187" i="8"/>
  <c r="BT187" i="8"/>
  <c r="BS187" i="8"/>
  <c r="BR187" i="8"/>
  <c r="BQ187" i="8"/>
  <c r="BP187" i="8"/>
  <c r="BO187" i="8"/>
  <c r="BN187" i="8"/>
  <c r="BM187" i="8"/>
  <c r="BL187" i="8"/>
  <c r="BK187" i="8"/>
  <c r="BJ187" i="8"/>
  <c r="BI187" i="8"/>
  <c r="BH187" i="8"/>
  <c r="CJ185" i="8"/>
  <c r="CI185" i="8"/>
  <c r="CH185" i="8"/>
  <c r="CG185" i="8"/>
  <c r="CF185" i="8"/>
  <c r="CE185" i="8"/>
  <c r="CD185" i="8"/>
  <c r="CC185" i="8"/>
  <c r="CB185" i="8"/>
  <c r="CA185" i="8"/>
  <c r="BZ185" i="8"/>
  <c r="BY185" i="8"/>
  <c r="BX185" i="8"/>
  <c r="BW185" i="8"/>
  <c r="BV185" i="8"/>
  <c r="BU185" i="8"/>
  <c r="BT185" i="8"/>
  <c r="BS185" i="8"/>
  <c r="BR185" i="8"/>
  <c r="BQ185" i="8"/>
  <c r="BP185" i="8"/>
  <c r="BO185" i="8"/>
  <c r="BN185" i="8"/>
  <c r="BM185" i="8"/>
  <c r="BL185" i="8"/>
  <c r="BK185" i="8"/>
  <c r="BJ185" i="8"/>
  <c r="BI185" i="8"/>
  <c r="BH185" i="8"/>
  <c r="CJ184" i="8"/>
  <c r="CI184" i="8"/>
  <c r="CH184" i="8"/>
  <c r="CG184" i="8"/>
  <c r="CF184" i="8"/>
  <c r="CE184" i="8"/>
  <c r="CD184" i="8"/>
  <c r="CC184" i="8"/>
  <c r="CB184" i="8"/>
  <c r="CA184" i="8"/>
  <c r="BZ184" i="8"/>
  <c r="BY184" i="8"/>
  <c r="BX184" i="8"/>
  <c r="BW184" i="8"/>
  <c r="BV184" i="8"/>
  <c r="BU184" i="8"/>
  <c r="BT184" i="8"/>
  <c r="BS184" i="8"/>
  <c r="BR184" i="8"/>
  <c r="BQ184" i="8"/>
  <c r="BP184" i="8"/>
  <c r="BO184" i="8"/>
  <c r="BN184" i="8"/>
  <c r="BM184" i="8"/>
  <c r="BL184" i="8"/>
  <c r="BK184" i="8"/>
  <c r="BJ184" i="8"/>
  <c r="BI184" i="8"/>
  <c r="BH184" i="8"/>
  <c r="CJ183" i="8"/>
  <c r="CI183" i="8"/>
  <c r="CH183" i="8"/>
  <c r="CG183" i="8"/>
  <c r="CF183" i="8"/>
  <c r="CE183" i="8"/>
  <c r="CD183" i="8"/>
  <c r="CC183" i="8"/>
  <c r="CB183" i="8"/>
  <c r="CA183" i="8"/>
  <c r="BZ183" i="8"/>
  <c r="BY183" i="8"/>
  <c r="BX183" i="8"/>
  <c r="BW183" i="8"/>
  <c r="BV183" i="8"/>
  <c r="BU183" i="8"/>
  <c r="BT183" i="8"/>
  <c r="BS183" i="8"/>
  <c r="BR183" i="8"/>
  <c r="BQ183" i="8"/>
  <c r="BP183" i="8"/>
  <c r="BO183" i="8"/>
  <c r="BN183" i="8"/>
  <c r="BM183" i="8"/>
  <c r="BL183" i="8"/>
  <c r="BK183" i="8"/>
  <c r="BJ183" i="8"/>
  <c r="BI183" i="8"/>
  <c r="BH183" i="8"/>
  <c r="CJ181" i="8"/>
  <c r="CI181" i="8"/>
  <c r="CH181" i="8"/>
  <c r="CG181" i="8"/>
  <c r="CF181" i="8"/>
  <c r="CE181" i="8"/>
  <c r="CD181" i="8"/>
  <c r="CC181" i="8"/>
  <c r="CB181" i="8"/>
  <c r="CA181" i="8"/>
  <c r="BZ181" i="8"/>
  <c r="BY181" i="8"/>
  <c r="BX181" i="8"/>
  <c r="BW181" i="8"/>
  <c r="BV181" i="8"/>
  <c r="BU181" i="8"/>
  <c r="BT181" i="8"/>
  <c r="BS181" i="8"/>
  <c r="BR181" i="8"/>
  <c r="BQ181" i="8"/>
  <c r="BP181" i="8"/>
  <c r="BO181" i="8"/>
  <c r="BN181" i="8"/>
  <c r="BM181" i="8"/>
  <c r="BL181" i="8"/>
  <c r="BK181" i="8"/>
  <c r="BJ181" i="8"/>
  <c r="BI181" i="8"/>
  <c r="BH181" i="8"/>
  <c r="CJ180" i="8"/>
  <c r="CI180" i="8"/>
  <c r="CH180" i="8"/>
  <c r="CG180" i="8"/>
  <c r="CF180" i="8"/>
  <c r="CE180" i="8"/>
  <c r="CD180" i="8"/>
  <c r="CC180" i="8"/>
  <c r="CB180" i="8"/>
  <c r="CA180" i="8"/>
  <c r="BZ180" i="8"/>
  <c r="BY180" i="8"/>
  <c r="BX180" i="8"/>
  <c r="BW180" i="8"/>
  <c r="BV180" i="8"/>
  <c r="BU180" i="8"/>
  <c r="BT180" i="8"/>
  <c r="BS180" i="8"/>
  <c r="BR180" i="8"/>
  <c r="BQ180" i="8"/>
  <c r="BP180" i="8"/>
  <c r="BO180" i="8"/>
  <c r="BN180" i="8"/>
  <c r="BM180" i="8"/>
  <c r="BL180" i="8"/>
  <c r="BK180" i="8"/>
  <c r="BJ180" i="8"/>
  <c r="BI180" i="8"/>
  <c r="BH180" i="8"/>
  <c r="CJ179" i="8"/>
  <c r="CI179" i="8"/>
  <c r="CH179" i="8"/>
  <c r="CG179" i="8"/>
  <c r="CF179" i="8"/>
  <c r="CE179" i="8"/>
  <c r="CD179" i="8"/>
  <c r="CC179" i="8"/>
  <c r="CB179" i="8"/>
  <c r="CA179" i="8"/>
  <c r="BZ179" i="8"/>
  <c r="BY179" i="8"/>
  <c r="BX179" i="8"/>
  <c r="BW179" i="8"/>
  <c r="BV179" i="8"/>
  <c r="BU179" i="8"/>
  <c r="BT179" i="8"/>
  <c r="BS179" i="8"/>
  <c r="BR179" i="8"/>
  <c r="BQ179" i="8"/>
  <c r="BP179" i="8"/>
  <c r="BO179" i="8"/>
  <c r="BN179" i="8"/>
  <c r="BM179" i="8"/>
  <c r="BL179" i="8"/>
  <c r="BK179" i="8"/>
  <c r="BJ179" i="8"/>
  <c r="BI179" i="8"/>
  <c r="BH179" i="8"/>
  <c r="CJ177" i="8"/>
  <c r="CI177" i="8"/>
  <c r="CH177" i="8"/>
  <c r="CG177" i="8"/>
  <c r="CF177" i="8"/>
  <c r="CE177" i="8"/>
  <c r="CD177" i="8"/>
  <c r="CC177" i="8"/>
  <c r="CB177" i="8"/>
  <c r="CA177" i="8"/>
  <c r="BZ177" i="8"/>
  <c r="BY177" i="8"/>
  <c r="BX177" i="8"/>
  <c r="BW177" i="8"/>
  <c r="BV177" i="8"/>
  <c r="BU177" i="8"/>
  <c r="BT177" i="8"/>
  <c r="BS177" i="8"/>
  <c r="BR177" i="8"/>
  <c r="BQ177" i="8"/>
  <c r="BP177" i="8"/>
  <c r="BO177" i="8"/>
  <c r="BN177" i="8"/>
  <c r="BM177" i="8"/>
  <c r="BL177" i="8"/>
  <c r="BK177" i="8"/>
  <c r="BJ177" i="8"/>
  <c r="BI177" i="8"/>
  <c r="BH177" i="8"/>
  <c r="CJ176" i="8"/>
  <c r="CI176" i="8"/>
  <c r="CH176" i="8"/>
  <c r="CG176" i="8"/>
  <c r="CF176" i="8"/>
  <c r="CE176" i="8"/>
  <c r="CD176" i="8"/>
  <c r="CC176" i="8"/>
  <c r="CB176" i="8"/>
  <c r="CA176" i="8"/>
  <c r="BZ176" i="8"/>
  <c r="BY176" i="8"/>
  <c r="BX176" i="8"/>
  <c r="BW176" i="8"/>
  <c r="BV176" i="8"/>
  <c r="BU176" i="8"/>
  <c r="BT176" i="8"/>
  <c r="BS176" i="8"/>
  <c r="BR176" i="8"/>
  <c r="BQ176" i="8"/>
  <c r="BP176" i="8"/>
  <c r="BO176" i="8"/>
  <c r="BN176" i="8"/>
  <c r="BM176" i="8"/>
  <c r="BL176" i="8"/>
  <c r="BK176" i="8"/>
  <c r="BJ176" i="8"/>
  <c r="BI176" i="8"/>
  <c r="BH176" i="8"/>
  <c r="CJ175" i="8"/>
  <c r="CI175" i="8"/>
  <c r="CH175" i="8"/>
  <c r="CG175" i="8"/>
  <c r="CF175" i="8"/>
  <c r="CE175" i="8"/>
  <c r="CD175" i="8"/>
  <c r="CC175" i="8"/>
  <c r="CB175" i="8"/>
  <c r="CA175" i="8"/>
  <c r="BZ175" i="8"/>
  <c r="BY175" i="8"/>
  <c r="BX175" i="8"/>
  <c r="BW175" i="8"/>
  <c r="BV175" i="8"/>
  <c r="BU175" i="8"/>
  <c r="BT175" i="8"/>
  <c r="BS175" i="8"/>
  <c r="BR175" i="8"/>
  <c r="BQ175" i="8"/>
  <c r="BP175" i="8"/>
  <c r="BO175" i="8"/>
  <c r="BN175" i="8"/>
  <c r="BM175" i="8"/>
  <c r="BL175" i="8"/>
  <c r="BK175" i="8"/>
  <c r="BJ175" i="8"/>
  <c r="BI175" i="8"/>
  <c r="BH175" i="8"/>
  <c r="CJ173" i="8"/>
  <c r="CI173" i="8"/>
  <c r="CH173" i="8"/>
  <c r="CG173" i="8"/>
  <c r="CF173" i="8"/>
  <c r="CE173" i="8"/>
  <c r="CD173" i="8"/>
  <c r="CC173" i="8"/>
  <c r="CB173" i="8"/>
  <c r="CA173" i="8"/>
  <c r="BZ173" i="8"/>
  <c r="BY173" i="8"/>
  <c r="BX173" i="8"/>
  <c r="BW173" i="8"/>
  <c r="BV173" i="8"/>
  <c r="BU173" i="8"/>
  <c r="BT173" i="8"/>
  <c r="BS173" i="8"/>
  <c r="BR173" i="8"/>
  <c r="BQ173" i="8"/>
  <c r="BP173" i="8"/>
  <c r="BO173" i="8"/>
  <c r="BN173" i="8"/>
  <c r="BM173" i="8"/>
  <c r="BL173" i="8"/>
  <c r="BK173" i="8"/>
  <c r="BJ173" i="8"/>
  <c r="BI173" i="8"/>
  <c r="BH173" i="8"/>
  <c r="CJ172" i="8"/>
  <c r="CI172" i="8"/>
  <c r="CH172" i="8"/>
  <c r="CG172" i="8"/>
  <c r="CF172" i="8"/>
  <c r="CE172" i="8"/>
  <c r="CD172" i="8"/>
  <c r="CC172" i="8"/>
  <c r="CB172" i="8"/>
  <c r="CA172" i="8"/>
  <c r="BZ172" i="8"/>
  <c r="BY172" i="8"/>
  <c r="BX172" i="8"/>
  <c r="BW172" i="8"/>
  <c r="BV172" i="8"/>
  <c r="BU172" i="8"/>
  <c r="BT172" i="8"/>
  <c r="BS172" i="8"/>
  <c r="BR172" i="8"/>
  <c r="BQ172" i="8"/>
  <c r="BP172" i="8"/>
  <c r="BO172" i="8"/>
  <c r="BN172" i="8"/>
  <c r="BM172" i="8"/>
  <c r="BL172" i="8"/>
  <c r="BK172" i="8"/>
  <c r="BJ172" i="8"/>
  <c r="BI172" i="8"/>
  <c r="BH172" i="8"/>
  <c r="CJ171" i="8"/>
  <c r="CI171" i="8"/>
  <c r="CH171" i="8"/>
  <c r="CG171" i="8"/>
  <c r="CF171" i="8"/>
  <c r="CE171" i="8"/>
  <c r="CD171" i="8"/>
  <c r="CC171" i="8"/>
  <c r="CB171" i="8"/>
  <c r="CA171" i="8"/>
  <c r="BZ171" i="8"/>
  <c r="BY171" i="8"/>
  <c r="BX171" i="8"/>
  <c r="BW171" i="8"/>
  <c r="BV171" i="8"/>
  <c r="BU171" i="8"/>
  <c r="BT171" i="8"/>
  <c r="BS171" i="8"/>
  <c r="BR171" i="8"/>
  <c r="BQ171" i="8"/>
  <c r="BP171" i="8"/>
  <c r="BO171" i="8"/>
  <c r="BN171" i="8"/>
  <c r="BM171" i="8"/>
  <c r="BL171" i="8"/>
  <c r="BK171" i="8"/>
  <c r="BJ171" i="8"/>
  <c r="BI171" i="8"/>
  <c r="BH171" i="8"/>
  <c r="CJ169" i="8"/>
  <c r="CI169" i="8"/>
  <c r="CH169" i="8"/>
  <c r="CG169" i="8"/>
  <c r="CF169" i="8"/>
  <c r="CE169" i="8"/>
  <c r="CD169" i="8"/>
  <c r="CC169" i="8"/>
  <c r="CB169" i="8"/>
  <c r="CA169" i="8"/>
  <c r="BZ169" i="8"/>
  <c r="BY169" i="8"/>
  <c r="BX169" i="8"/>
  <c r="BW169" i="8"/>
  <c r="BV169" i="8"/>
  <c r="BU169" i="8"/>
  <c r="BT169" i="8"/>
  <c r="BS169" i="8"/>
  <c r="BR169" i="8"/>
  <c r="BQ169" i="8"/>
  <c r="BP169" i="8"/>
  <c r="BO169" i="8"/>
  <c r="BN169" i="8"/>
  <c r="BM169" i="8"/>
  <c r="BL169" i="8"/>
  <c r="BK169" i="8"/>
  <c r="BJ169" i="8"/>
  <c r="BI169" i="8"/>
  <c r="BH169" i="8"/>
  <c r="CJ168" i="8"/>
  <c r="CI168" i="8"/>
  <c r="CH168" i="8"/>
  <c r="CG168" i="8"/>
  <c r="CF168" i="8"/>
  <c r="CE168" i="8"/>
  <c r="CD168" i="8"/>
  <c r="CC168" i="8"/>
  <c r="CB168" i="8"/>
  <c r="CA168" i="8"/>
  <c r="BZ168" i="8"/>
  <c r="BY168" i="8"/>
  <c r="BX168" i="8"/>
  <c r="BW168" i="8"/>
  <c r="BV168" i="8"/>
  <c r="BU168" i="8"/>
  <c r="BT168" i="8"/>
  <c r="BS168" i="8"/>
  <c r="BR168" i="8"/>
  <c r="BQ168" i="8"/>
  <c r="BP168" i="8"/>
  <c r="BO168" i="8"/>
  <c r="BN168" i="8"/>
  <c r="BM168" i="8"/>
  <c r="BL168" i="8"/>
  <c r="BK168" i="8"/>
  <c r="BJ168" i="8"/>
  <c r="BI168" i="8"/>
  <c r="BH168" i="8"/>
  <c r="CJ167" i="8"/>
  <c r="CI167" i="8"/>
  <c r="CH167" i="8"/>
  <c r="CG167" i="8"/>
  <c r="CF167" i="8"/>
  <c r="CE167" i="8"/>
  <c r="CD167" i="8"/>
  <c r="CC167" i="8"/>
  <c r="CB167" i="8"/>
  <c r="CA167" i="8"/>
  <c r="BZ167" i="8"/>
  <c r="BY167" i="8"/>
  <c r="BX167" i="8"/>
  <c r="BW167" i="8"/>
  <c r="BV167" i="8"/>
  <c r="BU167" i="8"/>
  <c r="BT167" i="8"/>
  <c r="BS167" i="8"/>
  <c r="BR167" i="8"/>
  <c r="BQ167" i="8"/>
  <c r="BP167" i="8"/>
  <c r="BO167" i="8"/>
  <c r="BN167" i="8"/>
  <c r="BM167" i="8"/>
  <c r="BL167" i="8"/>
  <c r="BK167" i="8"/>
  <c r="BJ167" i="8"/>
  <c r="BI167" i="8"/>
  <c r="BH167" i="8"/>
  <c r="CJ165" i="8"/>
  <c r="CI165" i="8"/>
  <c r="CH165" i="8"/>
  <c r="CG165" i="8"/>
  <c r="CF165" i="8"/>
  <c r="CE165" i="8"/>
  <c r="CD165" i="8"/>
  <c r="CC165" i="8"/>
  <c r="CB165" i="8"/>
  <c r="CA165" i="8"/>
  <c r="BZ165" i="8"/>
  <c r="BY165" i="8"/>
  <c r="BX165" i="8"/>
  <c r="BW165" i="8"/>
  <c r="BV165" i="8"/>
  <c r="BU165" i="8"/>
  <c r="BT165" i="8"/>
  <c r="BS165" i="8"/>
  <c r="BR165" i="8"/>
  <c r="BQ165" i="8"/>
  <c r="BP165" i="8"/>
  <c r="BO165" i="8"/>
  <c r="BN165" i="8"/>
  <c r="BM165" i="8"/>
  <c r="BL165" i="8"/>
  <c r="BK165" i="8"/>
  <c r="BJ165" i="8"/>
  <c r="BI165" i="8"/>
  <c r="BH165" i="8"/>
  <c r="CJ164" i="8"/>
  <c r="CI164" i="8"/>
  <c r="CH164" i="8"/>
  <c r="CG164" i="8"/>
  <c r="CF164" i="8"/>
  <c r="CE164" i="8"/>
  <c r="CD164" i="8"/>
  <c r="CC164" i="8"/>
  <c r="CB164" i="8"/>
  <c r="CA164" i="8"/>
  <c r="BZ164" i="8"/>
  <c r="BY164" i="8"/>
  <c r="BX164" i="8"/>
  <c r="BW164" i="8"/>
  <c r="BV164" i="8"/>
  <c r="BU164" i="8"/>
  <c r="BT164" i="8"/>
  <c r="BS164" i="8"/>
  <c r="BR164" i="8"/>
  <c r="BQ164" i="8"/>
  <c r="BP164" i="8"/>
  <c r="BO164" i="8"/>
  <c r="BN164" i="8"/>
  <c r="BM164" i="8"/>
  <c r="BL164" i="8"/>
  <c r="BK164" i="8"/>
  <c r="BJ164" i="8"/>
  <c r="BI164" i="8"/>
  <c r="BH164" i="8"/>
  <c r="CJ163" i="8"/>
  <c r="CI163" i="8"/>
  <c r="CH163" i="8"/>
  <c r="CG163" i="8"/>
  <c r="CF163" i="8"/>
  <c r="CE163" i="8"/>
  <c r="CD163" i="8"/>
  <c r="CC163" i="8"/>
  <c r="CB163" i="8"/>
  <c r="CA163" i="8"/>
  <c r="BZ163" i="8"/>
  <c r="BY163" i="8"/>
  <c r="BX163" i="8"/>
  <c r="BW163" i="8"/>
  <c r="BV163" i="8"/>
  <c r="BU163" i="8"/>
  <c r="BT163" i="8"/>
  <c r="BS163" i="8"/>
  <c r="BR163" i="8"/>
  <c r="BQ163" i="8"/>
  <c r="BP163" i="8"/>
  <c r="BO163" i="8"/>
  <c r="BN163" i="8"/>
  <c r="BM163" i="8"/>
  <c r="BL163" i="8"/>
  <c r="BK163" i="8"/>
  <c r="BJ163" i="8"/>
  <c r="BI163" i="8"/>
  <c r="BH163" i="8"/>
  <c r="CJ161" i="8"/>
  <c r="CI161" i="8"/>
  <c r="CH161" i="8"/>
  <c r="CG161" i="8"/>
  <c r="CF161" i="8"/>
  <c r="CE161" i="8"/>
  <c r="CD161" i="8"/>
  <c r="CC161" i="8"/>
  <c r="CB161" i="8"/>
  <c r="CA161" i="8"/>
  <c r="BZ161" i="8"/>
  <c r="BY161" i="8"/>
  <c r="BX161" i="8"/>
  <c r="BW161" i="8"/>
  <c r="BV161" i="8"/>
  <c r="BU161" i="8"/>
  <c r="BT161" i="8"/>
  <c r="BS161" i="8"/>
  <c r="BR161" i="8"/>
  <c r="BQ161" i="8"/>
  <c r="BP161" i="8"/>
  <c r="BO161" i="8"/>
  <c r="BN161" i="8"/>
  <c r="BM161" i="8"/>
  <c r="BL161" i="8"/>
  <c r="BK161" i="8"/>
  <c r="BJ161" i="8"/>
  <c r="BI161" i="8"/>
  <c r="BH161" i="8"/>
  <c r="CJ160" i="8"/>
  <c r="CI160" i="8"/>
  <c r="CH160" i="8"/>
  <c r="CG160" i="8"/>
  <c r="CF160" i="8"/>
  <c r="CE160" i="8"/>
  <c r="CD160" i="8"/>
  <c r="CC160" i="8"/>
  <c r="CB160" i="8"/>
  <c r="CA160" i="8"/>
  <c r="BZ160" i="8"/>
  <c r="BY160" i="8"/>
  <c r="BX160" i="8"/>
  <c r="BW160" i="8"/>
  <c r="BV160" i="8"/>
  <c r="BU160" i="8"/>
  <c r="BT160" i="8"/>
  <c r="BS160" i="8"/>
  <c r="BR160" i="8"/>
  <c r="BQ160" i="8"/>
  <c r="BP160" i="8"/>
  <c r="BO160" i="8"/>
  <c r="BN160" i="8"/>
  <c r="BM160" i="8"/>
  <c r="BL160" i="8"/>
  <c r="BK160" i="8"/>
  <c r="BJ160" i="8"/>
  <c r="BI160" i="8"/>
  <c r="BH160" i="8"/>
  <c r="CJ159" i="8"/>
  <c r="CI159" i="8"/>
  <c r="CH159" i="8"/>
  <c r="CG159" i="8"/>
  <c r="CF159" i="8"/>
  <c r="CE159" i="8"/>
  <c r="CD159" i="8"/>
  <c r="CC159" i="8"/>
  <c r="CB159" i="8"/>
  <c r="CA159" i="8"/>
  <c r="BZ159" i="8"/>
  <c r="BY159" i="8"/>
  <c r="BX159" i="8"/>
  <c r="BW159" i="8"/>
  <c r="BV159" i="8"/>
  <c r="BU159" i="8"/>
  <c r="BT159" i="8"/>
  <c r="BS159" i="8"/>
  <c r="BR159" i="8"/>
  <c r="BQ159" i="8"/>
  <c r="BP159" i="8"/>
  <c r="BO159" i="8"/>
  <c r="BN159" i="8"/>
  <c r="BM159" i="8"/>
  <c r="BL159" i="8"/>
  <c r="BK159" i="8"/>
  <c r="BJ159" i="8"/>
  <c r="BI159" i="8"/>
  <c r="BH159" i="8"/>
  <c r="CJ158" i="8"/>
  <c r="CI158" i="8"/>
  <c r="CH158" i="8"/>
  <c r="CG158" i="8"/>
  <c r="CF158" i="8"/>
  <c r="CE158" i="8"/>
  <c r="CD158" i="8"/>
  <c r="CC158" i="8"/>
  <c r="CB158" i="8"/>
  <c r="CA158" i="8"/>
  <c r="BZ158" i="8"/>
  <c r="BY158" i="8"/>
  <c r="BX158" i="8"/>
  <c r="BW158" i="8"/>
  <c r="BV158" i="8"/>
  <c r="BU158" i="8"/>
  <c r="BT158" i="8"/>
  <c r="BS158" i="8"/>
  <c r="BR158" i="8"/>
  <c r="BQ158" i="8"/>
  <c r="BP158" i="8"/>
  <c r="BO158" i="8"/>
  <c r="BN158" i="8"/>
  <c r="BM158" i="8"/>
  <c r="BL158" i="8"/>
  <c r="BK158" i="8"/>
  <c r="BJ158" i="8"/>
  <c r="BI158" i="8"/>
  <c r="BH158" i="8"/>
  <c r="CJ157" i="8"/>
  <c r="CI157" i="8"/>
  <c r="CH157" i="8"/>
  <c r="CG157" i="8"/>
  <c r="CF157" i="8"/>
  <c r="CE157" i="8"/>
  <c r="CD157" i="8"/>
  <c r="CC157" i="8"/>
  <c r="CB157" i="8"/>
  <c r="CA157" i="8"/>
  <c r="BZ157" i="8"/>
  <c r="BY157" i="8"/>
  <c r="BX157" i="8"/>
  <c r="BW157" i="8"/>
  <c r="BV157" i="8"/>
  <c r="BU157" i="8"/>
  <c r="BT157" i="8"/>
  <c r="BS157" i="8"/>
  <c r="BR157" i="8"/>
  <c r="BQ157" i="8"/>
  <c r="BP157" i="8"/>
  <c r="BO157" i="8"/>
  <c r="BN157" i="8"/>
  <c r="BM157" i="8"/>
  <c r="BL157" i="8"/>
  <c r="BK157" i="8"/>
  <c r="BJ157" i="8"/>
  <c r="BI157" i="8"/>
  <c r="BH157" i="8"/>
  <c r="CJ156" i="8"/>
  <c r="CI156" i="8"/>
  <c r="CH156" i="8"/>
  <c r="CG156" i="8"/>
  <c r="CF156" i="8"/>
  <c r="CE156" i="8"/>
  <c r="CD156" i="8"/>
  <c r="CC156" i="8"/>
  <c r="CB156" i="8"/>
  <c r="CA156" i="8"/>
  <c r="BZ156" i="8"/>
  <c r="BY156" i="8"/>
  <c r="BX156" i="8"/>
  <c r="BW156" i="8"/>
  <c r="BV156" i="8"/>
  <c r="BU156" i="8"/>
  <c r="BT156" i="8"/>
  <c r="BS156" i="8"/>
  <c r="BR156" i="8"/>
  <c r="BQ156" i="8"/>
  <c r="BP156" i="8"/>
  <c r="BO156" i="8"/>
  <c r="BN156" i="8"/>
  <c r="BM156" i="8"/>
  <c r="BL156" i="8"/>
  <c r="BK156" i="8"/>
  <c r="BJ156" i="8"/>
  <c r="BI156" i="8"/>
  <c r="BH156" i="8"/>
  <c r="CJ155" i="8"/>
  <c r="CI155" i="8"/>
  <c r="CH155" i="8"/>
  <c r="CG155" i="8"/>
  <c r="CF155" i="8"/>
  <c r="CE155" i="8"/>
  <c r="CD155" i="8"/>
  <c r="CC155" i="8"/>
  <c r="CB155" i="8"/>
  <c r="CA155" i="8"/>
  <c r="BZ155" i="8"/>
  <c r="BY155" i="8"/>
  <c r="BX155" i="8"/>
  <c r="BW155" i="8"/>
  <c r="BV155" i="8"/>
  <c r="BU155" i="8"/>
  <c r="BT155" i="8"/>
  <c r="BS155" i="8"/>
  <c r="BR155" i="8"/>
  <c r="BQ155" i="8"/>
  <c r="BP155" i="8"/>
  <c r="BO155" i="8"/>
  <c r="BN155" i="8"/>
  <c r="BM155" i="8"/>
  <c r="BL155" i="8"/>
  <c r="BK155" i="8"/>
  <c r="BJ155" i="8"/>
  <c r="BI155" i="8"/>
  <c r="BH155" i="8"/>
  <c r="CJ154" i="8"/>
  <c r="CI154" i="8"/>
  <c r="CH154" i="8"/>
  <c r="CG154" i="8"/>
  <c r="CF154" i="8"/>
  <c r="CE154" i="8"/>
  <c r="CD154" i="8"/>
  <c r="CC154" i="8"/>
  <c r="CB154" i="8"/>
  <c r="CA154" i="8"/>
  <c r="BZ154" i="8"/>
  <c r="BY154" i="8"/>
  <c r="BX154" i="8"/>
  <c r="BW154" i="8"/>
  <c r="BV154" i="8"/>
  <c r="BU154" i="8"/>
  <c r="BT154" i="8"/>
  <c r="BS154" i="8"/>
  <c r="BR154" i="8"/>
  <c r="BQ154" i="8"/>
  <c r="BP154" i="8"/>
  <c r="BO154" i="8"/>
  <c r="BN154" i="8"/>
  <c r="BM154" i="8"/>
  <c r="BL154" i="8"/>
  <c r="BK154" i="8"/>
  <c r="BJ154" i="8"/>
  <c r="BI154" i="8"/>
  <c r="BH154" i="8"/>
  <c r="CJ153" i="8"/>
  <c r="CI153" i="8"/>
  <c r="CH153" i="8"/>
  <c r="CG153" i="8"/>
  <c r="CF153" i="8"/>
  <c r="CE153" i="8"/>
  <c r="CD153" i="8"/>
  <c r="CC153" i="8"/>
  <c r="CB153" i="8"/>
  <c r="CA153" i="8"/>
  <c r="BZ153" i="8"/>
  <c r="BY153" i="8"/>
  <c r="BX153" i="8"/>
  <c r="BW153" i="8"/>
  <c r="BV153" i="8"/>
  <c r="BU153" i="8"/>
  <c r="BT153" i="8"/>
  <c r="BS153" i="8"/>
  <c r="BR153" i="8"/>
  <c r="BQ153" i="8"/>
  <c r="BP153" i="8"/>
  <c r="BO153" i="8"/>
  <c r="BN153" i="8"/>
  <c r="BM153" i="8"/>
  <c r="BL153" i="8"/>
  <c r="BK153" i="8"/>
  <c r="BJ153" i="8"/>
  <c r="BI153" i="8"/>
  <c r="BH153" i="8"/>
  <c r="CJ152" i="8"/>
  <c r="CI152" i="8"/>
  <c r="CH152" i="8"/>
  <c r="CG152" i="8"/>
  <c r="CF152" i="8"/>
  <c r="CE152" i="8"/>
  <c r="CD152" i="8"/>
  <c r="CC152" i="8"/>
  <c r="CB152" i="8"/>
  <c r="CA152" i="8"/>
  <c r="BZ152" i="8"/>
  <c r="BY152" i="8"/>
  <c r="BX152" i="8"/>
  <c r="BW152" i="8"/>
  <c r="BV152" i="8"/>
  <c r="BU152" i="8"/>
  <c r="BT152" i="8"/>
  <c r="BS152" i="8"/>
  <c r="BR152" i="8"/>
  <c r="BQ152" i="8"/>
  <c r="BP152" i="8"/>
  <c r="BO152" i="8"/>
  <c r="BN152" i="8"/>
  <c r="BM152" i="8"/>
  <c r="BL152" i="8"/>
  <c r="BK152" i="8"/>
  <c r="BJ152" i="8"/>
  <c r="BI152" i="8"/>
  <c r="BH152" i="8"/>
  <c r="CJ151" i="8"/>
  <c r="CI151" i="8"/>
  <c r="CH151" i="8"/>
  <c r="CG151" i="8"/>
  <c r="CF151" i="8"/>
  <c r="CE151" i="8"/>
  <c r="CD151" i="8"/>
  <c r="CC151" i="8"/>
  <c r="CB151" i="8"/>
  <c r="CA151" i="8"/>
  <c r="BZ151" i="8"/>
  <c r="BY151" i="8"/>
  <c r="BX151" i="8"/>
  <c r="BW151" i="8"/>
  <c r="BV151" i="8"/>
  <c r="BU151" i="8"/>
  <c r="BT151" i="8"/>
  <c r="BS151" i="8"/>
  <c r="BR151" i="8"/>
  <c r="BQ151" i="8"/>
  <c r="BP151" i="8"/>
  <c r="BO151" i="8"/>
  <c r="BN151" i="8"/>
  <c r="BM151" i="8"/>
  <c r="BL151" i="8"/>
  <c r="BK151" i="8"/>
  <c r="BJ151" i="8"/>
  <c r="BI151" i="8"/>
  <c r="BH151" i="8"/>
  <c r="CJ150" i="8"/>
  <c r="CI150" i="8"/>
  <c r="CH150" i="8"/>
  <c r="CG150" i="8"/>
  <c r="CF150" i="8"/>
  <c r="CE150" i="8"/>
  <c r="CD150" i="8"/>
  <c r="CC150" i="8"/>
  <c r="CB150" i="8"/>
  <c r="CA150" i="8"/>
  <c r="BZ150" i="8"/>
  <c r="BY150" i="8"/>
  <c r="BX150" i="8"/>
  <c r="BW150" i="8"/>
  <c r="BV150" i="8"/>
  <c r="BU150" i="8"/>
  <c r="BT150" i="8"/>
  <c r="BS150" i="8"/>
  <c r="BR150" i="8"/>
  <c r="BQ150" i="8"/>
  <c r="BP150" i="8"/>
  <c r="BO150" i="8"/>
  <c r="BN150" i="8"/>
  <c r="BM150" i="8"/>
  <c r="BL150" i="8"/>
  <c r="BK150" i="8"/>
  <c r="BJ150" i="8"/>
  <c r="BI150" i="8"/>
  <c r="BH150" i="8"/>
  <c r="CJ149" i="8"/>
  <c r="CI149" i="8"/>
  <c r="CH149" i="8"/>
  <c r="CG149" i="8"/>
  <c r="CF149" i="8"/>
  <c r="CE149" i="8"/>
  <c r="CD149" i="8"/>
  <c r="CC149" i="8"/>
  <c r="CB149" i="8"/>
  <c r="CA149" i="8"/>
  <c r="BZ149" i="8"/>
  <c r="BY149" i="8"/>
  <c r="BX149" i="8"/>
  <c r="BW149" i="8"/>
  <c r="BV149" i="8"/>
  <c r="BU149" i="8"/>
  <c r="BT149" i="8"/>
  <c r="BS149" i="8"/>
  <c r="BR149" i="8"/>
  <c r="BQ149" i="8"/>
  <c r="BP149" i="8"/>
  <c r="BO149" i="8"/>
  <c r="BN149" i="8"/>
  <c r="BM149" i="8"/>
  <c r="BL149" i="8"/>
  <c r="BK149" i="8"/>
  <c r="BJ149" i="8"/>
  <c r="BI149" i="8"/>
  <c r="BH149" i="8"/>
  <c r="CJ148" i="8"/>
  <c r="CI148" i="8"/>
  <c r="CH148" i="8"/>
  <c r="CG148" i="8"/>
  <c r="CF148" i="8"/>
  <c r="CE148" i="8"/>
  <c r="CD148" i="8"/>
  <c r="CC148" i="8"/>
  <c r="CB148" i="8"/>
  <c r="CA148" i="8"/>
  <c r="BZ148" i="8"/>
  <c r="BY148" i="8"/>
  <c r="BX148" i="8"/>
  <c r="BW148" i="8"/>
  <c r="BV148" i="8"/>
  <c r="BU148" i="8"/>
  <c r="BT148" i="8"/>
  <c r="BS148" i="8"/>
  <c r="BR148" i="8"/>
  <c r="BQ148" i="8"/>
  <c r="BP148" i="8"/>
  <c r="BO148" i="8"/>
  <c r="BN148" i="8"/>
  <c r="BM148" i="8"/>
  <c r="BL148" i="8"/>
  <c r="BK148" i="8"/>
  <c r="BJ148" i="8"/>
  <c r="BI148" i="8"/>
  <c r="BH148" i="8"/>
  <c r="CJ146" i="8"/>
  <c r="CI146" i="8"/>
  <c r="CH146" i="8"/>
  <c r="CG146" i="8"/>
  <c r="CF146" i="8"/>
  <c r="CE146" i="8"/>
  <c r="CD146" i="8"/>
  <c r="CC146" i="8"/>
  <c r="CB146" i="8"/>
  <c r="CA146" i="8"/>
  <c r="BZ146" i="8"/>
  <c r="BY146" i="8"/>
  <c r="BX146" i="8"/>
  <c r="BW146" i="8"/>
  <c r="BV146" i="8"/>
  <c r="BU146" i="8"/>
  <c r="BT146" i="8"/>
  <c r="BS146" i="8"/>
  <c r="BR146" i="8"/>
  <c r="BQ146" i="8"/>
  <c r="BP146" i="8"/>
  <c r="BO146" i="8"/>
  <c r="BN146" i="8"/>
  <c r="BM146" i="8"/>
  <c r="BL146" i="8"/>
  <c r="BK146" i="8"/>
  <c r="BJ146" i="8"/>
  <c r="BI146" i="8"/>
  <c r="BH146" i="8"/>
  <c r="CJ145" i="8"/>
  <c r="CI145" i="8"/>
  <c r="CH145" i="8"/>
  <c r="CG145" i="8"/>
  <c r="CF145" i="8"/>
  <c r="CE145" i="8"/>
  <c r="CD145" i="8"/>
  <c r="CC145" i="8"/>
  <c r="CB145" i="8"/>
  <c r="CA145" i="8"/>
  <c r="BZ145" i="8"/>
  <c r="BY145" i="8"/>
  <c r="BX145" i="8"/>
  <c r="BW145" i="8"/>
  <c r="BV145" i="8"/>
  <c r="BU145" i="8"/>
  <c r="BT145" i="8"/>
  <c r="BS145" i="8"/>
  <c r="BR145" i="8"/>
  <c r="BQ145" i="8"/>
  <c r="BP145" i="8"/>
  <c r="BO145" i="8"/>
  <c r="BN145" i="8"/>
  <c r="BM145" i="8"/>
  <c r="BL145" i="8"/>
  <c r="BK145" i="8"/>
  <c r="BJ145" i="8"/>
  <c r="BI145" i="8"/>
  <c r="BH145" i="8"/>
  <c r="CJ144" i="8"/>
  <c r="CI144" i="8"/>
  <c r="CH144" i="8"/>
  <c r="CG144" i="8"/>
  <c r="CF144" i="8"/>
  <c r="CE144" i="8"/>
  <c r="CD144" i="8"/>
  <c r="CC144" i="8"/>
  <c r="CB144" i="8"/>
  <c r="CA144" i="8"/>
  <c r="BZ144" i="8"/>
  <c r="BY144" i="8"/>
  <c r="BX144" i="8"/>
  <c r="BW144" i="8"/>
  <c r="BV144" i="8"/>
  <c r="BU144" i="8"/>
  <c r="BT144" i="8"/>
  <c r="BS144" i="8"/>
  <c r="BR144" i="8"/>
  <c r="BQ144" i="8"/>
  <c r="BP144" i="8"/>
  <c r="BO144" i="8"/>
  <c r="BN144" i="8"/>
  <c r="BM144" i="8"/>
  <c r="BL144" i="8"/>
  <c r="BK144" i="8"/>
  <c r="BJ144" i="8"/>
  <c r="BI144" i="8"/>
  <c r="BH144" i="8"/>
  <c r="CJ143" i="8"/>
  <c r="CI143" i="8"/>
  <c r="CH143" i="8"/>
  <c r="CG143" i="8"/>
  <c r="CF143" i="8"/>
  <c r="CE143" i="8"/>
  <c r="CD143" i="8"/>
  <c r="CC143" i="8"/>
  <c r="CB143" i="8"/>
  <c r="CA143" i="8"/>
  <c r="BZ143" i="8"/>
  <c r="BY143" i="8"/>
  <c r="BX143" i="8"/>
  <c r="BW143" i="8"/>
  <c r="BV143" i="8"/>
  <c r="BU143" i="8"/>
  <c r="BT143" i="8"/>
  <c r="BS143" i="8"/>
  <c r="BR143" i="8"/>
  <c r="BQ143" i="8"/>
  <c r="BP143" i="8"/>
  <c r="BO143" i="8"/>
  <c r="BN143" i="8"/>
  <c r="BM143" i="8"/>
  <c r="BL143" i="8"/>
  <c r="BK143" i="8"/>
  <c r="BJ143" i="8"/>
  <c r="BI143" i="8"/>
  <c r="BH143" i="8"/>
  <c r="CJ141" i="8"/>
  <c r="CI141" i="8"/>
  <c r="CH141" i="8"/>
  <c r="CG141" i="8"/>
  <c r="CF141" i="8"/>
  <c r="CE141" i="8"/>
  <c r="CD141" i="8"/>
  <c r="CC141" i="8"/>
  <c r="CB141" i="8"/>
  <c r="CA141" i="8"/>
  <c r="BZ141" i="8"/>
  <c r="BY141" i="8"/>
  <c r="BX141" i="8"/>
  <c r="BW141" i="8"/>
  <c r="BV141" i="8"/>
  <c r="BU141" i="8"/>
  <c r="BT141" i="8"/>
  <c r="BS141" i="8"/>
  <c r="BR141" i="8"/>
  <c r="BQ141" i="8"/>
  <c r="BP141" i="8"/>
  <c r="BO141" i="8"/>
  <c r="BN141" i="8"/>
  <c r="BM141" i="8"/>
  <c r="BL141" i="8"/>
  <c r="BK141" i="8"/>
  <c r="BJ141" i="8"/>
  <c r="BI141" i="8"/>
  <c r="BH141" i="8"/>
  <c r="CJ140" i="8"/>
  <c r="CI140" i="8"/>
  <c r="CH140" i="8"/>
  <c r="CG140" i="8"/>
  <c r="CF140" i="8"/>
  <c r="CE140" i="8"/>
  <c r="CD140" i="8"/>
  <c r="CC140" i="8"/>
  <c r="CB140" i="8"/>
  <c r="CA140" i="8"/>
  <c r="BZ140" i="8"/>
  <c r="BY140" i="8"/>
  <c r="BX140" i="8"/>
  <c r="BW140" i="8"/>
  <c r="BV140" i="8"/>
  <c r="BU140" i="8"/>
  <c r="BT140" i="8"/>
  <c r="BS140" i="8"/>
  <c r="BR140" i="8"/>
  <c r="BQ140" i="8"/>
  <c r="BP140" i="8"/>
  <c r="BO140" i="8"/>
  <c r="BN140" i="8"/>
  <c r="BM140" i="8"/>
  <c r="BL140" i="8"/>
  <c r="BK140" i="8"/>
  <c r="BJ140" i="8"/>
  <c r="BI140" i="8"/>
  <c r="BH140" i="8"/>
  <c r="CJ139" i="8"/>
  <c r="CI139" i="8"/>
  <c r="CH139" i="8"/>
  <c r="CG139" i="8"/>
  <c r="CF139" i="8"/>
  <c r="CE139" i="8"/>
  <c r="CD139" i="8"/>
  <c r="CC139" i="8"/>
  <c r="CB139" i="8"/>
  <c r="CA139" i="8"/>
  <c r="BZ139" i="8"/>
  <c r="BY139" i="8"/>
  <c r="BX139" i="8"/>
  <c r="BW139" i="8"/>
  <c r="BV139" i="8"/>
  <c r="BU139" i="8"/>
  <c r="BT139" i="8"/>
  <c r="BS139" i="8"/>
  <c r="BR139" i="8"/>
  <c r="BQ139" i="8"/>
  <c r="BP139" i="8"/>
  <c r="BO139" i="8"/>
  <c r="BN139" i="8"/>
  <c r="BM139" i="8"/>
  <c r="BL139" i="8"/>
  <c r="BK139" i="8"/>
  <c r="BJ139" i="8"/>
  <c r="BI139" i="8"/>
  <c r="BH139" i="8"/>
  <c r="CJ138" i="8"/>
  <c r="CI138" i="8"/>
  <c r="CH138" i="8"/>
  <c r="CG138" i="8"/>
  <c r="CF138" i="8"/>
  <c r="CE138" i="8"/>
  <c r="CD138" i="8"/>
  <c r="CC138" i="8"/>
  <c r="CB138" i="8"/>
  <c r="CA138" i="8"/>
  <c r="BZ138" i="8"/>
  <c r="BY138" i="8"/>
  <c r="BX138" i="8"/>
  <c r="BW138" i="8"/>
  <c r="BV138" i="8"/>
  <c r="BU138" i="8"/>
  <c r="BT138" i="8"/>
  <c r="BS138" i="8"/>
  <c r="BR138" i="8"/>
  <c r="BQ138" i="8"/>
  <c r="BP138" i="8"/>
  <c r="BO138" i="8"/>
  <c r="BN138" i="8"/>
  <c r="BM138" i="8"/>
  <c r="BL138" i="8"/>
  <c r="BK138" i="8"/>
  <c r="BJ138" i="8"/>
  <c r="BI138" i="8"/>
  <c r="BH138" i="8"/>
  <c r="CJ137" i="8"/>
  <c r="CI137" i="8"/>
  <c r="CH137" i="8"/>
  <c r="CG137" i="8"/>
  <c r="CF137" i="8"/>
  <c r="CE137" i="8"/>
  <c r="CD137" i="8"/>
  <c r="CC137" i="8"/>
  <c r="CB137" i="8"/>
  <c r="CA137" i="8"/>
  <c r="BZ137" i="8"/>
  <c r="BY137" i="8"/>
  <c r="BX137" i="8"/>
  <c r="BW137" i="8"/>
  <c r="BV137" i="8"/>
  <c r="BU137" i="8"/>
  <c r="BT137" i="8"/>
  <c r="BS137" i="8"/>
  <c r="BR137" i="8"/>
  <c r="BQ137" i="8"/>
  <c r="BP137" i="8"/>
  <c r="BO137" i="8"/>
  <c r="BN137" i="8"/>
  <c r="BM137" i="8"/>
  <c r="BL137" i="8"/>
  <c r="BK137" i="8"/>
  <c r="BJ137" i="8"/>
  <c r="BI137" i="8"/>
  <c r="BH137" i="8"/>
  <c r="CJ136" i="8"/>
  <c r="CI136" i="8"/>
  <c r="CH136" i="8"/>
  <c r="CG136" i="8"/>
  <c r="CF136" i="8"/>
  <c r="CE136" i="8"/>
  <c r="CD136" i="8"/>
  <c r="CC136" i="8"/>
  <c r="CB136" i="8"/>
  <c r="CA136" i="8"/>
  <c r="BZ136" i="8"/>
  <c r="BY136" i="8"/>
  <c r="BX136" i="8"/>
  <c r="BW136" i="8"/>
  <c r="BV136" i="8"/>
  <c r="BU136" i="8"/>
  <c r="BT136" i="8"/>
  <c r="BS136" i="8"/>
  <c r="BR136" i="8"/>
  <c r="BQ136" i="8"/>
  <c r="BP136" i="8"/>
  <c r="BO136" i="8"/>
  <c r="BN136" i="8"/>
  <c r="BM136" i="8"/>
  <c r="BL136" i="8"/>
  <c r="BK136" i="8"/>
  <c r="BJ136" i="8"/>
  <c r="BI136" i="8"/>
  <c r="BH136" i="8"/>
  <c r="CJ135" i="8"/>
  <c r="CI135" i="8"/>
  <c r="CH135" i="8"/>
  <c r="CG135" i="8"/>
  <c r="CF135" i="8"/>
  <c r="CE135" i="8"/>
  <c r="CD135" i="8"/>
  <c r="CC135" i="8"/>
  <c r="CB135" i="8"/>
  <c r="CA135" i="8"/>
  <c r="BZ135" i="8"/>
  <c r="BY135" i="8"/>
  <c r="BX135" i="8"/>
  <c r="BW135" i="8"/>
  <c r="BV135" i="8"/>
  <c r="BU135" i="8"/>
  <c r="BT135" i="8"/>
  <c r="BS135" i="8"/>
  <c r="BR135" i="8"/>
  <c r="BQ135" i="8"/>
  <c r="BP135" i="8"/>
  <c r="BO135" i="8"/>
  <c r="BN135" i="8"/>
  <c r="BM135" i="8"/>
  <c r="BL135" i="8"/>
  <c r="BK135" i="8"/>
  <c r="BJ135" i="8"/>
  <c r="BI135" i="8"/>
  <c r="BH135" i="8"/>
  <c r="CJ134" i="8"/>
  <c r="CI134" i="8"/>
  <c r="CH134" i="8"/>
  <c r="CG134" i="8"/>
  <c r="CF134" i="8"/>
  <c r="CE134" i="8"/>
  <c r="CD134" i="8"/>
  <c r="CC134" i="8"/>
  <c r="CB134" i="8"/>
  <c r="CA134" i="8"/>
  <c r="BZ134" i="8"/>
  <c r="BY134" i="8"/>
  <c r="BX134" i="8"/>
  <c r="BW134" i="8"/>
  <c r="BV134" i="8"/>
  <c r="BU134" i="8"/>
  <c r="BT134" i="8"/>
  <c r="BS134" i="8"/>
  <c r="BR134" i="8"/>
  <c r="BQ134" i="8"/>
  <c r="BP134" i="8"/>
  <c r="BO134" i="8"/>
  <c r="BN134" i="8"/>
  <c r="BM134" i="8"/>
  <c r="BL134" i="8"/>
  <c r="BK134" i="8"/>
  <c r="BJ134" i="8"/>
  <c r="BI134" i="8"/>
  <c r="BH134" i="8"/>
  <c r="CJ133" i="8"/>
  <c r="CI133" i="8"/>
  <c r="CH133" i="8"/>
  <c r="CG133" i="8"/>
  <c r="CF133" i="8"/>
  <c r="CE133" i="8"/>
  <c r="CD133" i="8"/>
  <c r="CC133" i="8"/>
  <c r="CB133" i="8"/>
  <c r="CA133" i="8"/>
  <c r="BZ133" i="8"/>
  <c r="BY133" i="8"/>
  <c r="BX133" i="8"/>
  <c r="BW133" i="8"/>
  <c r="BV133" i="8"/>
  <c r="BU133" i="8"/>
  <c r="BT133" i="8"/>
  <c r="BS133" i="8"/>
  <c r="BR133" i="8"/>
  <c r="BQ133" i="8"/>
  <c r="BP133" i="8"/>
  <c r="BO133" i="8"/>
  <c r="BN133" i="8"/>
  <c r="BM133" i="8"/>
  <c r="BL133" i="8"/>
  <c r="BK133" i="8"/>
  <c r="BJ133" i="8"/>
  <c r="BI133" i="8"/>
  <c r="BH133" i="8"/>
  <c r="CJ132" i="8"/>
  <c r="CI132" i="8"/>
  <c r="CH132" i="8"/>
  <c r="CG132" i="8"/>
  <c r="CF132" i="8"/>
  <c r="CE132" i="8"/>
  <c r="CD132" i="8"/>
  <c r="CC132" i="8"/>
  <c r="CB132" i="8"/>
  <c r="CA132" i="8"/>
  <c r="BZ132" i="8"/>
  <c r="BY132" i="8"/>
  <c r="BX132" i="8"/>
  <c r="BW132" i="8"/>
  <c r="BV132" i="8"/>
  <c r="BU132" i="8"/>
  <c r="BT132" i="8"/>
  <c r="BS132" i="8"/>
  <c r="BR132" i="8"/>
  <c r="BQ132" i="8"/>
  <c r="BP132" i="8"/>
  <c r="BO132" i="8"/>
  <c r="BN132" i="8"/>
  <c r="BM132" i="8"/>
  <c r="BL132" i="8"/>
  <c r="BK132" i="8"/>
  <c r="BJ132" i="8"/>
  <c r="BI132" i="8"/>
  <c r="BH132" i="8"/>
  <c r="CJ131" i="8"/>
  <c r="CI131" i="8"/>
  <c r="CH131" i="8"/>
  <c r="CG131" i="8"/>
  <c r="CF131" i="8"/>
  <c r="CE131" i="8"/>
  <c r="CD131" i="8"/>
  <c r="CC131" i="8"/>
  <c r="CB131" i="8"/>
  <c r="CA131" i="8"/>
  <c r="BZ131" i="8"/>
  <c r="BY131" i="8"/>
  <c r="BX131" i="8"/>
  <c r="BW131" i="8"/>
  <c r="BV131" i="8"/>
  <c r="BU131" i="8"/>
  <c r="BT131" i="8"/>
  <c r="BS131" i="8"/>
  <c r="BR131" i="8"/>
  <c r="BQ131" i="8"/>
  <c r="BP131" i="8"/>
  <c r="BO131" i="8"/>
  <c r="BN131" i="8"/>
  <c r="BM131" i="8"/>
  <c r="BL131" i="8"/>
  <c r="BK131" i="8"/>
  <c r="BJ131" i="8"/>
  <c r="BI131" i="8"/>
  <c r="BH131" i="8"/>
  <c r="CJ130" i="8"/>
  <c r="CI130" i="8"/>
  <c r="CH130" i="8"/>
  <c r="CG130" i="8"/>
  <c r="CF130" i="8"/>
  <c r="CE130" i="8"/>
  <c r="CD130" i="8"/>
  <c r="CC130" i="8"/>
  <c r="CB130" i="8"/>
  <c r="CA130" i="8"/>
  <c r="BZ130" i="8"/>
  <c r="BY130" i="8"/>
  <c r="BX130" i="8"/>
  <c r="BW130" i="8"/>
  <c r="BV130" i="8"/>
  <c r="BU130" i="8"/>
  <c r="BT130" i="8"/>
  <c r="BS130" i="8"/>
  <c r="BR130" i="8"/>
  <c r="BQ130" i="8"/>
  <c r="BP130" i="8"/>
  <c r="BO130" i="8"/>
  <c r="BN130" i="8"/>
  <c r="BM130" i="8"/>
  <c r="BL130" i="8"/>
  <c r="BK130" i="8"/>
  <c r="BJ130" i="8"/>
  <c r="BI130" i="8"/>
  <c r="BH130" i="8"/>
  <c r="CJ129" i="8"/>
  <c r="CI129" i="8"/>
  <c r="CH129" i="8"/>
  <c r="CG129" i="8"/>
  <c r="CF129" i="8"/>
  <c r="CE129" i="8"/>
  <c r="CD129" i="8"/>
  <c r="CC129" i="8"/>
  <c r="CB129" i="8"/>
  <c r="CA129" i="8"/>
  <c r="BZ129" i="8"/>
  <c r="BY129" i="8"/>
  <c r="BX129" i="8"/>
  <c r="BW129" i="8"/>
  <c r="BV129" i="8"/>
  <c r="BU129" i="8"/>
  <c r="BT129" i="8"/>
  <c r="BS129" i="8"/>
  <c r="BR129" i="8"/>
  <c r="BQ129" i="8"/>
  <c r="BP129" i="8"/>
  <c r="BO129" i="8"/>
  <c r="BN129" i="8"/>
  <c r="BM129" i="8"/>
  <c r="BL129" i="8"/>
  <c r="BK129" i="8"/>
  <c r="BJ129" i="8"/>
  <c r="BI129" i="8"/>
  <c r="BH129" i="8"/>
  <c r="CJ128" i="8"/>
  <c r="CI128" i="8"/>
  <c r="CH128" i="8"/>
  <c r="CG128" i="8"/>
  <c r="CF128" i="8"/>
  <c r="CE128" i="8"/>
  <c r="CD128" i="8"/>
  <c r="CC128" i="8"/>
  <c r="CB128" i="8"/>
  <c r="CA128" i="8"/>
  <c r="BZ128" i="8"/>
  <c r="BY128" i="8"/>
  <c r="BX128" i="8"/>
  <c r="BW128" i="8"/>
  <c r="BV128" i="8"/>
  <c r="BU128" i="8"/>
  <c r="BT128" i="8"/>
  <c r="BS128" i="8"/>
  <c r="BR128" i="8"/>
  <c r="BQ128" i="8"/>
  <c r="BP128" i="8"/>
  <c r="BO128" i="8"/>
  <c r="BN128" i="8"/>
  <c r="BM128" i="8"/>
  <c r="BL128" i="8"/>
  <c r="BK128" i="8"/>
  <c r="BJ128" i="8"/>
  <c r="BI128" i="8"/>
  <c r="BH128" i="8"/>
  <c r="CJ127" i="8"/>
  <c r="CI127" i="8"/>
  <c r="CH127" i="8"/>
  <c r="CG127" i="8"/>
  <c r="CF127" i="8"/>
  <c r="CE127" i="8"/>
  <c r="CD127" i="8"/>
  <c r="CC127" i="8"/>
  <c r="CB127" i="8"/>
  <c r="CA127" i="8"/>
  <c r="BZ127" i="8"/>
  <c r="BY127" i="8"/>
  <c r="BX127" i="8"/>
  <c r="BW127" i="8"/>
  <c r="BV127" i="8"/>
  <c r="BU127" i="8"/>
  <c r="BT127" i="8"/>
  <c r="BS127" i="8"/>
  <c r="BR127" i="8"/>
  <c r="BQ127" i="8"/>
  <c r="BP127" i="8"/>
  <c r="BO127" i="8"/>
  <c r="BN127" i="8"/>
  <c r="BM127" i="8"/>
  <c r="BL127" i="8"/>
  <c r="BK127" i="8"/>
  <c r="BJ127" i="8"/>
  <c r="BI127" i="8"/>
  <c r="BH127"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CJ125" i="8"/>
  <c r="CI125" i="8"/>
  <c r="CH125" i="8"/>
  <c r="CG125" i="8"/>
  <c r="CF125" i="8"/>
  <c r="CE125" i="8"/>
  <c r="CD125" i="8"/>
  <c r="CC125" i="8"/>
  <c r="CB125" i="8"/>
  <c r="CA125" i="8"/>
  <c r="BZ125" i="8"/>
  <c r="BY125" i="8"/>
  <c r="BX125" i="8"/>
  <c r="BW125" i="8"/>
  <c r="BV125" i="8"/>
  <c r="BU125" i="8"/>
  <c r="BT125" i="8"/>
  <c r="BS125" i="8"/>
  <c r="BR125" i="8"/>
  <c r="BQ125" i="8"/>
  <c r="BP125" i="8"/>
  <c r="BO125" i="8"/>
  <c r="BN125" i="8"/>
  <c r="BM125" i="8"/>
  <c r="BL125" i="8"/>
  <c r="BK125" i="8"/>
  <c r="BJ125" i="8"/>
  <c r="BI125" i="8"/>
  <c r="BH125" i="8"/>
  <c r="CJ124" i="8"/>
  <c r="CI124" i="8"/>
  <c r="CH124" i="8"/>
  <c r="CG124" i="8"/>
  <c r="CF124" i="8"/>
  <c r="CE124" i="8"/>
  <c r="CD124" i="8"/>
  <c r="CC124" i="8"/>
  <c r="CB124" i="8"/>
  <c r="CA124" i="8"/>
  <c r="BZ124" i="8"/>
  <c r="BY124" i="8"/>
  <c r="BX124" i="8"/>
  <c r="BW124" i="8"/>
  <c r="BV124" i="8"/>
  <c r="BU124" i="8"/>
  <c r="BT124" i="8"/>
  <c r="BS124" i="8"/>
  <c r="BR124" i="8"/>
  <c r="BQ124" i="8"/>
  <c r="BP124" i="8"/>
  <c r="BO124" i="8"/>
  <c r="BN124" i="8"/>
  <c r="BM124" i="8"/>
  <c r="BL124" i="8"/>
  <c r="BK124" i="8"/>
  <c r="BJ124" i="8"/>
  <c r="BI124" i="8"/>
  <c r="BH124" i="8"/>
  <c r="CJ123" i="8"/>
  <c r="CI123" i="8"/>
  <c r="CH123" i="8"/>
  <c r="CG123" i="8"/>
  <c r="CF123" i="8"/>
  <c r="CE123" i="8"/>
  <c r="CD123" i="8"/>
  <c r="CC123" i="8"/>
  <c r="CB123" i="8"/>
  <c r="CA123" i="8"/>
  <c r="BZ123" i="8"/>
  <c r="BY123" i="8"/>
  <c r="BX123" i="8"/>
  <c r="BW123" i="8"/>
  <c r="BV123" i="8"/>
  <c r="BU123" i="8"/>
  <c r="BT123" i="8"/>
  <c r="BS123" i="8"/>
  <c r="BR123" i="8"/>
  <c r="BQ123" i="8"/>
  <c r="BP123" i="8"/>
  <c r="BO123" i="8"/>
  <c r="BN123" i="8"/>
  <c r="BM123" i="8"/>
  <c r="BL123" i="8"/>
  <c r="BK123" i="8"/>
  <c r="BJ123" i="8"/>
  <c r="BI123" i="8"/>
  <c r="BH123" i="8"/>
  <c r="CJ122" i="8"/>
  <c r="CI122" i="8"/>
  <c r="CH122" i="8"/>
  <c r="CG122" i="8"/>
  <c r="CF122" i="8"/>
  <c r="CE122" i="8"/>
  <c r="CD122" i="8"/>
  <c r="CC122" i="8"/>
  <c r="CB122" i="8"/>
  <c r="CA122" i="8"/>
  <c r="BZ122" i="8"/>
  <c r="BY122" i="8"/>
  <c r="BX122" i="8"/>
  <c r="BW122" i="8"/>
  <c r="BV122" i="8"/>
  <c r="BU122" i="8"/>
  <c r="BT122" i="8"/>
  <c r="BS122" i="8"/>
  <c r="BR122" i="8"/>
  <c r="BQ122" i="8"/>
  <c r="BP122" i="8"/>
  <c r="BO122" i="8"/>
  <c r="BN122" i="8"/>
  <c r="BM122" i="8"/>
  <c r="BL122" i="8"/>
  <c r="BK122" i="8"/>
  <c r="BJ122" i="8"/>
  <c r="BI122" i="8"/>
  <c r="BH122" i="8"/>
  <c r="CJ121" i="8"/>
  <c r="CI121" i="8"/>
  <c r="CH121" i="8"/>
  <c r="CG121" i="8"/>
  <c r="CF121" i="8"/>
  <c r="CE121" i="8"/>
  <c r="CD121" i="8"/>
  <c r="CC121" i="8"/>
  <c r="CB121" i="8"/>
  <c r="CA121" i="8"/>
  <c r="BZ121" i="8"/>
  <c r="BY121" i="8"/>
  <c r="BX121" i="8"/>
  <c r="BW121" i="8"/>
  <c r="BV121" i="8"/>
  <c r="BU121" i="8"/>
  <c r="BT121" i="8"/>
  <c r="BS121" i="8"/>
  <c r="BR121" i="8"/>
  <c r="BQ121" i="8"/>
  <c r="BP121" i="8"/>
  <c r="BO121" i="8"/>
  <c r="BN121" i="8"/>
  <c r="BM121" i="8"/>
  <c r="BL121" i="8"/>
  <c r="BK121" i="8"/>
  <c r="BJ121" i="8"/>
  <c r="BI121" i="8"/>
  <c r="BH121" i="8"/>
  <c r="CJ120" i="8"/>
  <c r="CI120" i="8"/>
  <c r="CH120" i="8"/>
  <c r="CG120" i="8"/>
  <c r="CF120" i="8"/>
  <c r="CE120" i="8"/>
  <c r="CD120" i="8"/>
  <c r="CC120" i="8"/>
  <c r="CB120" i="8"/>
  <c r="CA120" i="8"/>
  <c r="BZ120" i="8"/>
  <c r="BY120" i="8"/>
  <c r="BX120" i="8"/>
  <c r="BW120" i="8"/>
  <c r="BV120" i="8"/>
  <c r="BU120" i="8"/>
  <c r="BT120" i="8"/>
  <c r="BS120" i="8"/>
  <c r="BR120" i="8"/>
  <c r="BQ120" i="8"/>
  <c r="BP120" i="8"/>
  <c r="BO120" i="8"/>
  <c r="BN120" i="8"/>
  <c r="BM120" i="8"/>
  <c r="BL120" i="8"/>
  <c r="BK120" i="8"/>
  <c r="BJ120" i="8"/>
  <c r="BI120" i="8"/>
  <c r="BH120" i="8"/>
  <c r="CJ119" i="8"/>
  <c r="CI119" i="8"/>
  <c r="CH119" i="8"/>
  <c r="CG119" i="8"/>
  <c r="CF119" i="8"/>
  <c r="CE119" i="8"/>
  <c r="CD119" i="8"/>
  <c r="CC119" i="8"/>
  <c r="CB119" i="8"/>
  <c r="CA119" i="8"/>
  <c r="BZ119" i="8"/>
  <c r="BY119" i="8"/>
  <c r="BX119" i="8"/>
  <c r="BW119" i="8"/>
  <c r="BV119" i="8"/>
  <c r="BU119" i="8"/>
  <c r="BT119" i="8"/>
  <c r="BS119" i="8"/>
  <c r="BR119" i="8"/>
  <c r="BQ119" i="8"/>
  <c r="BP119" i="8"/>
  <c r="BO119" i="8"/>
  <c r="BN119" i="8"/>
  <c r="BM119" i="8"/>
  <c r="BL119" i="8"/>
  <c r="BK119" i="8"/>
  <c r="BJ119" i="8"/>
  <c r="BI119" i="8"/>
  <c r="BH119"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CJ117" i="8"/>
  <c r="CI117" i="8"/>
  <c r="CH117" i="8"/>
  <c r="CG117" i="8"/>
  <c r="CF117" i="8"/>
  <c r="CE117" i="8"/>
  <c r="CD117" i="8"/>
  <c r="CC117" i="8"/>
  <c r="CB117" i="8"/>
  <c r="CA117" i="8"/>
  <c r="BZ117" i="8"/>
  <c r="BY117" i="8"/>
  <c r="BX117" i="8"/>
  <c r="BW117" i="8"/>
  <c r="BV117" i="8"/>
  <c r="BU117" i="8"/>
  <c r="BT117" i="8"/>
  <c r="BS117" i="8"/>
  <c r="BR117" i="8"/>
  <c r="BQ117" i="8"/>
  <c r="BP117" i="8"/>
  <c r="BO117" i="8"/>
  <c r="BN117" i="8"/>
  <c r="BM117" i="8"/>
  <c r="BL117" i="8"/>
  <c r="BK117" i="8"/>
  <c r="BJ117" i="8"/>
  <c r="BI117" i="8"/>
  <c r="BH117" i="8"/>
  <c r="CJ116" i="8"/>
  <c r="CI116" i="8"/>
  <c r="CH116" i="8"/>
  <c r="CG116" i="8"/>
  <c r="CF116" i="8"/>
  <c r="CE116" i="8"/>
  <c r="CD116" i="8"/>
  <c r="CC116" i="8"/>
  <c r="CB116" i="8"/>
  <c r="CA116" i="8"/>
  <c r="BZ116" i="8"/>
  <c r="BY116" i="8"/>
  <c r="BX116" i="8"/>
  <c r="BW116" i="8"/>
  <c r="BV116" i="8"/>
  <c r="BU116" i="8"/>
  <c r="BT116" i="8"/>
  <c r="BS116" i="8"/>
  <c r="BR116" i="8"/>
  <c r="BQ116" i="8"/>
  <c r="BP116" i="8"/>
  <c r="BO116" i="8"/>
  <c r="BN116" i="8"/>
  <c r="BM116" i="8"/>
  <c r="BL116" i="8"/>
  <c r="BK116" i="8"/>
  <c r="BJ116" i="8"/>
  <c r="BI116" i="8"/>
  <c r="BH116" i="8"/>
  <c r="CJ115" i="8"/>
  <c r="CI115" i="8"/>
  <c r="CH115" i="8"/>
  <c r="CG115" i="8"/>
  <c r="CF115" i="8"/>
  <c r="CE115" i="8"/>
  <c r="CD115" i="8"/>
  <c r="CC115" i="8"/>
  <c r="CB115" i="8"/>
  <c r="CA115" i="8"/>
  <c r="BZ115" i="8"/>
  <c r="BY115" i="8"/>
  <c r="BX115" i="8"/>
  <c r="BW115" i="8"/>
  <c r="BV115" i="8"/>
  <c r="BU115" i="8"/>
  <c r="BT115" i="8"/>
  <c r="BS115" i="8"/>
  <c r="BR115" i="8"/>
  <c r="BQ115" i="8"/>
  <c r="BP115" i="8"/>
  <c r="BO115" i="8"/>
  <c r="BN115" i="8"/>
  <c r="BM115" i="8"/>
  <c r="BL115" i="8"/>
  <c r="BK115" i="8"/>
  <c r="BJ115" i="8"/>
  <c r="BI115" i="8"/>
  <c r="BH115" i="8"/>
  <c r="CJ114" i="8"/>
  <c r="CI114" i="8"/>
  <c r="CH114" i="8"/>
  <c r="CG114" i="8"/>
  <c r="CF114" i="8"/>
  <c r="CE114" i="8"/>
  <c r="CD114" i="8"/>
  <c r="CC114" i="8"/>
  <c r="CB114" i="8"/>
  <c r="CA114" i="8"/>
  <c r="BZ114" i="8"/>
  <c r="BY114" i="8"/>
  <c r="BX114" i="8"/>
  <c r="BW114" i="8"/>
  <c r="BV114" i="8"/>
  <c r="BU114" i="8"/>
  <c r="BT114" i="8"/>
  <c r="BS114" i="8"/>
  <c r="BR114" i="8"/>
  <c r="BQ114" i="8"/>
  <c r="BP114" i="8"/>
  <c r="BO114" i="8"/>
  <c r="BN114" i="8"/>
  <c r="BM114" i="8"/>
  <c r="BL114" i="8"/>
  <c r="BK114" i="8"/>
  <c r="BJ114" i="8"/>
  <c r="BI114" i="8"/>
  <c r="BH114" i="8"/>
  <c r="CJ113" i="8"/>
  <c r="CI113" i="8"/>
  <c r="CH113" i="8"/>
  <c r="CG113" i="8"/>
  <c r="CF113" i="8"/>
  <c r="CE113" i="8"/>
  <c r="CD113" i="8"/>
  <c r="CC113" i="8"/>
  <c r="CB113" i="8"/>
  <c r="CA113" i="8"/>
  <c r="BZ113" i="8"/>
  <c r="BY113" i="8"/>
  <c r="BX113" i="8"/>
  <c r="BW113" i="8"/>
  <c r="BV113" i="8"/>
  <c r="BU113" i="8"/>
  <c r="BT113" i="8"/>
  <c r="BS113" i="8"/>
  <c r="BR113" i="8"/>
  <c r="BQ113" i="8"/>
  <c r="BP113" i="8"/>
  <c r="BO113" i="8"/>
  <c r="BN113" i="8"/>
  <c r="BM113" i="8"/>
  <c r="BL113" i="8"/>
  <c r="BK113" i="8"/>
  <c r="BJ113" i="8"/>
  <c r="BI113" i="8"/>
  <c r="BH113" i="8"/>
  <c r="CJ112" i="8"/>
  <c r="CI112" i="8"/>
  <c r="CH112" i="8"/>
  <c r="CG112" i="8"/>
  <c r="CF112" i="8"/>
  <c r="CE112" i="8"/>
  <c r="CD112" i="8"/>
  <c r="CC112" i="8"/>
  <c r="CB112" i="8"/>
  <c r="CA112" i="8"/>
  <c r="BZ112" i="8"/>
  <c r="BY112" i="8"/>
  <c r="BX112" i="8"/>
  <c r="BW112" i="8"/>
  <c r="BV112" i="8"/>
  <c r="BU112" i="8"/>
  <c r="BT112" i="8"/>
  <c r="BS112" i="8"/>
  <c r="BR112" i="8"/>
  <c r="BQ112" i="8"/>
  <c r="BP112" i="8"/>
  <c r="BO112" i="8"/>
  <c r="BN112" i="8"/>
  <c r="BM112" i="8"/>
  <c r="BL112" i="8"/>
  <c r="BK112" i="8"/>
  <c r="BJ112" i="8"/>
  <c r="BI112" i="8"/>
  <c r="BH112" i="8"/>
  <c r="CJ111" i="8"/>
  <c r="CI111" i="8"/>
  <c r="CH111" i="8"/>
  <c r="CG111" i="8"/>
  <c r="CF111" i="8"/>
  <c r="CE111" i="8"/>
  <c r="CD111" i="8"/>
  <c r="CC111" i="8"/>
  <c r="CB111" i="8"/>
  <c r="CA111" i="8"/>
  <c r="BZ111" i="8"/>
  <c r="BY111" i="8"/>
  <c r="BX111" i="8"/>
  <c r="BW111" i="8"/>
  <c r="BV111" i="8"/>
  <c r="BU111" i="8"/>
  <c r="BT111" i="8"/>
  <c r="BS111" i="8"/>
  <c r="BR111" i="8"/>
  <c r="BQ111" i="8"/>
  <c r="BP111" i="8"/>
  <c r="BO111" i="8"/>
  <c r="BN111" i="8"/>
  <c r="BM111" i="8"/>
  <c r="BL111" i="8"/>
  <c r="BK111" i="8"/>
  <c r="BJ111" i="8"/>
  <c r="BI111" i="8"/>
  <c r="BH111" i="8"/>
  <c r="CJ110" i="8"/>
  <c r="CI110" i="8"/>
  <c r="CH110" i="8"/>
  <c r="CG110" i="8"/>
  <c r="CF110" i="8"/>
  <c r="CE110" i="8"/>
  <c r="CD110" i="8"/>
  <c r="CC110" i="8"/>
  <c r="CB110" i="8"/>
  <c r="CA110" i="8"/>
  <c r="BZ110" i="8"/>
  <c r="BY110" i="8"/>
  <c r="BX110" i="8"/>
  <c r="BW110" i="8"/>
  <c r="BV110" i="8"/>
  <c r="BU110" i="8"/>
  <c r="BT110" i="8"/>
  <c r="BS110" i="8"/>
  <c r="BR110" i="8"/>
  <c r="BQ110" i="8"/>
  <c r="BP110" i="8"/>
  <c r="BO110" i="8"/>
  <c r="BN110" i="8"/>
  <c r="BM110" i="8"/>
  <c r="BL110" i="8"/>
  <c r="BK110" i="8"/>
  <c r="BJ110" i="8"/>
  <c r="BI110" i="8"/>
  <c r="BH110" i="8"/>
  <c r="CJ109" i="8"/>
  <c r="CI109" i="8"/>
  <c r="CH109" i="8"/>
  <c r="CG109" i="8"/>
  <c r="CF109" i="8"/>
  <c r="CE109" i="8"/>
  <c r="CD109" i="8"/>
  <c r="CC109" i="8"/>
  <c r="CB109" i="8"/>
  <c r="CA109" i="8"/>
  <c r="BZ109" i="8"/>
  <c r="BY109" i="8"/>
  <c r="BX109" i="8"/>
  <c r="BW109" i="8"/>
  <c r="BV109" i="8"/>
  <c r="BU109" i="8"/>
  <c r="BT109" i="8"/>
  <c r="BS109" i="8"/>
  <c r="BR109" i="8"/>
  <c r="BQ109" i="8"/>
  <c r="BP109" i="8"/>
  <c r="BO109" i="8"/>
  <c r="BN109" i="8"/>
  <c r="BM109" i="8"/>
  <c r="BL109" i="8"/>
  <c r="BK109" i="8"/>
  <c r="BJ109" i="8"/>
  <c r="BI109" i="8"/>
  <c r="BH109" i="8"/>
  <c r="CJ108" i="8"/>
  <c r="CI108" i="8"/>
  <c r="CH108" i="8"/>
  <c r="CG108" i="8"/>
  <c r="CF108" i="8"/>
  <c r="CE108" i="8"/>
  <c r="CD108" i="8"/>
  <c r="CC108" i="8"/>
  <c r="CB108" i="8"/>
  <c r="CA108" i="8"/>
  <c r="BZ108" i="8"/>
  <c r="BY108" i="8"/>
  <c r="BX108" i="8"/>
  <c r="BW108" i="8"/>
  <c r="BV108" i="8"/>
  <c r="BU108" i="8"/>
  <c r="BT108" i="8"/>
  <c r="BS108" i="8"/>
  <c r="BR108" i="8"/>
  <c r="BQ108" i="8"/>
  <c r="BP108" i="8"/>
  <c r="BO108" i="8"/>
  <c r="BN108" i="8"/>
  <c r="BM108" i="8"/>
  <c r="BL108" i="8"/>
  <c r="BK108" i="8"/>
  <c r="BJ108" i="8"/>
  <c r="BI108" i="8"/>
  <c r="BH108" i="8"/>
  <c r="CJ107" i="8"/>
  <c r="CI107" i="8"/>
  <c r="CH107" i="8"/>
  <c r="CG107" i="8"/>
  <c r="CF107" i="8"/>
  <c r="CE107" i="8"/>
  <c r="CD107" i="8"/>
  <c r="CC107" i="8"/>
  <c r="CB107" i="8"/>
  <c r="CA107" i="8"/>
  <c r="BZ107" i="8"/>
  <c r="BY107" i="8"/>
  <c r="BX107" i="8"/>
  <c r="BW107" i="8"/>
  <c r="BV107" i="8"/>
  <c r="BU107" i="8"/>
  <c r="BT107" i="8"/>
  <c r="BS107" i="8"/>
  <c r="BR107" i="8"/>
  <c r="BQ107" i="8"/>
  <c r="BP107" i="8"/>
  <c r="BO107" i="8"/>
  <c r="BN107" i="8"/>
  <c r="BM107" i="8"/>
  <c r="BL107" i="8"/>
  <c r="BK107" i="8"/>
  <c r="BJ107" i="8"/>
  <c r="BI107" i="8"/>
  <c r="BH107" i="8"/>
  <c r="CJ106" i="8"/>
  <c r="CI106" i="8"/>
  <c r="CH106" i="8"/>
  <c r="CG106" i="8"/>
  <c r="CF106" i="8"/>
  <c r="CE106" i="8"/>
  <c r="CD106" i="8"/>
  <c r="CC106" i="8"/>
  <c r="CB106" i="8"/>
  <c r="CA106" i="8"/>
  <c r="BZ106" i="8"/>
  <c r="BY106" i="8"/>
  <c r="BX106" i="8"/>
  <c r="BW106" i="8"/>
  <c r="BV106" i="8"/>
  <c r="BU106" i="8"/>
  <c r="BT106" i="8"/>
  <c r="BS106" i="8"/>
  <c r="BR106" i="8"/>
  <c r="BQ106" i="8"/>
  <c r="BP106" i="8"/>
  <c r="BO106" i="8"/>
  <c r="BN106" i="8"/>
  <c r="BM106" i="8"/>
  <c r="BL106" i="8"/>
  <c r="BK106" i="8"/>
  <c r="BJ106" i="8"/>
  <c r="BI106" i="8"/>
  <c r="BH106" i="8"/>
  <c r="CJ105" i="8"/>
  <c r="CI105" i="8"/>
  <c r="CH105" i="8"/>
  <c r="CG105" i="8"/>
  <c r="CF105" i="8"/>
  <c r="CE105" i="8"/>
  <c r="CD105" i="8"/>
  <c r="CC105" i="8"/>
  <c r="CB105" i="8"/>
  <c r="CA105" i="8"/>
  <c r="BZ105" i="8"/>
  <c r="BY105" i="8"/>
  <c r="BX105" i="8"/>
  <c r="BW105" i="8"/>
  <c r="BV105" i="8"/>
  <c r="BU105" i="8"/>
  <c r="BT105" i="8"/>
  <c r="BS105" i="8"/>
  <c r="BR105" i="8"/>
  <c r="BQ105" i="8"/>
  <c r="BP105" i="8"/>
  <c r="BO105" i="8"/>
  <c r="BN105" i="8"/>
  <c r="BM105" i="8"/>
  <c r="BL105" i="8"/>
  <c r="BK105" i="8"/>
  <c r="BJ105" i="8"/>
  <c r="BI105" i="8"/>
  <c r="BH105" i="8"/>
  <c r="CJ104" i="8"/>
  <c r="CI104" i="8"/>
  <c r="CH104" i="8"/>
  <c r="CG104" i="8"/>
  <c r="CF104" i="8"/>
  <c r="CE104" i="8"/>
  <c r="CD104" i="8"/>
  <c r="CC104" i="8"/>
  <c r="CB104" i="8"/>
  <c r="CA104" i="8"/>
  <c r="BZ104" i="8"/>
  <c r="BY104" i="8"/>
  <c r="BX104" i="8"/>
  <c r="BW104" i="8"/>
  <c r="BV104" i="8"/>
  <c r="BU104" i="8"/>
  <c r="BT104" i="8"/>
  <c r="BS104" i="8"/>
  <c r="BR104" i="8"/>
  <c r="BQ104" i="8"/>
  <c r="BP104" i="8"/>
  <c r="BO104" i="8"/>
  <c r="BN104" i="8"/>
  <c r="BM104" i="8"/>
  <c r="BL104" i="8"/>
  <c r="BK104" i="8"/>
  <c r="BJ104" i="8"/>
  <c r="BI104" i="8"/>
  <c r="BH104" i="8"/>
  <c r="CJ103" i="8"/>
  <c r="CI103" i="8"/>
  <c r="CH103" i="8"/>
  <c r="CG103" i="8"/>
  <c r="CF103" i="8"/>
  <c r="CE103" i="8"/>
  <c r="CD103" i="8"/>
  <c r="CC103" i="8"/>
  <c r="CB103" i="8"/>
  <c r="CA103" i="8"/>
  <c r="BZ103" i="8"/>
  <c r="BY103" i="8"/>
  <c r="BX103" i="8"/>
  <c r="BW103" i="8"/>
  <c r="BV103" i="8"/>
  <c r="BU103" i="8"/>
  <c r="BT103" i="8"/>
  <c r="BS103" i="8"/>
  <c r="BR103" i="8"/>
  <c r="BQ103" i="8"/>
  <c r="BP103" i="8"/>
  <c r="BO103" i="8"/>
  <c r="BN103" i="8"/>
  <c r="BM103" i="8"/>
  <c r="BL103" i="8"/>
  <c r="BK103" i="8"/>
  <c r="BJ103" i="8"/>
  <c r="BI103" i="8"/>
  <c r="BH103" i="8"/>
  <c r="CJ101" i="8"/>
  <c r="CI101" i="8"/>
  <c r="CH101" i="8"/>
  <c r="CG101" i="8"/>
  <c r="CF101" i="8"/>
  <c r="CE101" i="8"/>
  <c r="CD101" i="8"/>
  <c r="CC101" i="8"/>
  <c r="CB101" i="8"/>
  <c r="CA101" i="8"/>
  <c r="BZ101" i="8"/>
  <c r="BY101" i="8"/>
  <c r="BX101" i="8"/>
  <c r="BW101" i="8"/>
  <c r="BV101" i="8"/>
  <c r="BU101" i="8"/>
  <c r="BT101" i="8"/>
  <c r="BS101" i="8"/>
  <c r="BR101" i="8"/>
  <c r="BQ101" i="8"/>
  <c r="BP101" i="8"/>
  <c r="BO101" i="8"/>
  <c r="BN101" i="8"/>
  <c r="BM101" i="8"/>
  <c r="BL101" i="8"/>
  <c r="BK101" i="8"/>
  <c r="BJ101" i="8"/>
  <c r="BI101" i="8"/>
  <c r="BH101"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CJ99" i="8"/>
  <c r="CI99" i="8"/>
  <c r="CH99" i="8"/>
  <c r="CG99" i="8"/>
  <c r="CF99" i="8"/>
  <c r="CE99" i="8"/>
  <c r="CD99" i="8"/>
  <c r="CC99" i="8"/>
  <c r="CB99" i="8"/>
  <c r="CA99" i="8"/>
  <c r="BZ99" i="8"/>
  <c r="BY99" i="8"/>
  <c r="BX99" i="8"/>
  <c r="BW99" i="8"/>
  <c r="BV99" i="8"/>
  <c r="BU99" i="8"/>
  <c r="BT99" i="8"/>
  <c r="BS99" i="8"/>
  <c r="BR99" i="8"/>
  <c r="BQ99" i="8"/>
  <c r="BP99" i="8"/>
  <c r="BO99" i="8"/>
  <c r="BN99" i="8"/>
  <c r="BM99" i="8"/>
  <c r="BL99" i="8"/>
  <c r="BK99" i="8"/>
  <c r="BJ99" i="8"/>
  <c r="BI99" i="8"/>
  <c r="BH99" i="8"/>
  <c r="CJ98" i="8"/>
  <c r="CI98" i="8"/>
  <c r="CH98" i="8"/>
  <c r="CG98" i="8"/>
  <c r="CF98" i="8"/>
  <c r="CE98" i="8"/>
  <c r="CD98" i="8"/>
  <c r="CC98" i="8"/>
  <c r="CB98" i="8"/>
  <c r="CA98" i="8"/>
  <c r="BZ98" i="8"/>
  <c r="BY98" i="8"/>
  <c r="BX98" i="8"/>
  <c r="BW98" i="8"/>
  <c r="BV98" i="8"/>
  <c r="BU98" i="8"/>
  <c r="BT98" i="8"/>
  <c r="BS98" i="8"/>
  <c r="BR98" i="8"/>
  <c r="BQ98" i="8"/>
  <c r="BP98" i="8"/>
  <c r="BO98" i="8"/>
  <c r="BN98" i="8"/>
  <c r="BM98" i="8"/>
  <c r="BL98" i="8"/>
  <c r="BK98" i="8"/>
  <c r="BJ98" i="8"/>
  <c r="BI98" i="8"/>
  <c r="BH98" i="8"/>
  <c r="CJ96" i="8"/>
  <c r="CI96" i="8"/>
  <c r="CH96" i="8"/>
  <c r="CG96" i="8"/>
  <c r="CF96" i="8"/>
  <c r="CE96" i="8"/>
  <c r="CD96" i="8"/>
  <c r="CC96" i="8"/>
  <c r="CB96" i="8"/>
  <c r="CA96" i="8"/>
  <c r="BZ96" i="8"/>
  <c r="BY96" i="8"/>
  <c r="BX96" i="8"/>
  <c r="BW96" i="8"/>
  <c r="BV96" i="8"/>
  <c r="BU96" i="8"/>
  <c r="BT96" i="8"/>
  <c r="BS96" i="8"/>
  <c r="BR96" i="8"/>
  <c r="BQ96" i="8"/>
  <c r="BP96" i="8"/>
  <c r="BO96" i="8"/>
  <c r="BN96" i="8"/>
  <c r="BM96" i="8"/>
  <c r="BL96" i="8"/>
  <c r="BK96" i="8"/>
  <c r="BJ96" i="8"/>
  <c r="BI96" i="8"/>
  <c r="BH96" i="8"/>
  <c r="CJ95" i="8"/>
  <c r="CI95" i="8"/>
  <c r="CH95" i="8"/>
  <c r="CG95" i="8"/>
  <c r="CF95" i="8"/>
  <c r="CE95" i="8"/>
  <c r="CD95" i="8"/>
  <c r="CC95" i="8"/>
  <c r="CB95" i="8"/>
  <c r="CA95" i="8"/>
  <c r="BZ95" i="8"/>
  <c r="BY95" i="8"/>
  <c r="BX95" i="8"/>
  <c r="BW95" i="8"/>
  <c r="BV95" i="8"/>
  <c r="BU95" i="8"/>
  <c r="BT95" i="8"/>
  <c r="BS95" i="8"/>
  <c r="BR95" i="8"/>
  <c r="BQ95" i="8"/>
  <c r="BP95" i="8"/>
  <c r="BO95" i="8"/>
  <c r="BN95" i="8"/>
  <c r="BM95" i="8"/>
  <c r="BL95" i="8"/>
  <c r="BK95" i="8"/>
  <c r="BJ95" i="8"/>
  <c r="BI95" i="8"/>
  <c r="BH95" i="8"/>
  <c r="CJ94" i="8"/>
  <c r="CI94" i="8"/>
  <c r="CH94" i="8"/>
  <c r="CG94" i="8"/>
  <c r="CF94" i="8"/>
  <c r="CE94" i="8"/>
  <c r="CD94" i="8"/>
  <c r="CC94" i="8"/>
  <c r="CB94" i="8"/>
  <c r="CA94" i="8"/>
  <c r="BZ94" i="8"/>
  <c r="BY94" i="8"/>
  <c r="BX94" i="8"/>
  <c r="BW94" i="8"/>
  <c r="BV94" i="8"/>
  <c r="BU94" i="8"/>
  <c r="BT94" i="8"/>
  <c r="BS94" i="8"/>
  <c r="BR94" i="8"/>
  <c r="BQ94" i="8"/>
  <c r="BP94" i="8"/>
  <c r="BO94" i="8"/>
  <c r="BN94" i="8"/>
  <c r="BM94" i="8"/>
  <c r="BL94" i="8"/>
  <c r="BK94" i="8"/>
  <c r="BJ94" i="8"/>
  <c r="BI94" i="8"/>
  <c r="BH94" i="8"/>
  <c r="CJ93" i="8"/>
  <c r="CI93" i="8"/>
  <c r="CH93" i="8"/>
  <c r="CG93" i="8"/>
  <c r="CF93" i="8"/>
  <c r="CE93" i="8"/>
  <c r="CD93" i="8"/>
  <c r="CC93" i="8"/>
  <c r="CB93" i="8"/>
  <c r="CA93" i="8"/>
  <c r="BZ93" i="8"/>
  <c r="BY93" i="8"/>
  <c r="BX93" i="8"/>
  <c r="BW93" i="8"/>
  <c r="BV93" i="8"/>
  <c r="BU93" i="8"/>
  <c r="BT93" i="8"/>
  <c r="BS93" i="8"/>
  <c r="BR93" i="8"/>
  <c r="BQ93" i="8"/>
  <c r="BP93" i="8"/>
  <c r="BO93" i="8"/>
  <c r="BN93" i="8"/>
  <c r="BM93" i="8"/>
  <c r="BL93" i="8"/>
  <c r="BK93" i="8"/>
  <c r="BJ93" i="8"/>
  <c r="BI93" i="8"/>
  <c r="BH93" i="8"/>
  <c r="CJ92" i="8"/>
  <c r="CI92" i="8"/>
  <c r="CH92" i="8"/>
  <c r="CG92" i="8"/>
  <c r="CF92" i="8"/>
  <c r="CE92" i="8"/>
  <c r="CD92" i="8"/>
  <c r="CC92" i="8"/>
  <c r="CB92" i="8"/>
  <c r="CA92" i="8"/>
  <c r="BZ92" i="8"/>
  <c r="BY92" i="8"/>
  <c r="BX92" i="8"/>
  <c r="BW92" i="8"/>
  <c r="BV92" i="8"/>
  <c r="BU92" i="8"/>
  <c r="BT92" i="8"/>
  <c r="BS92" i="8"/>
  <c r="BR92" i="8"/>
  <c r="BQ92" i="8"/>
  <c r="BP92" i="8"/>
  <c r="BO92" i="8"/>
  <c r="BN92" i="8"/>
  <c r="BM92" i="8"/>
  <c r="BL92" i="8"/>
  <c r="BK92" i="8"/>
  <c r="BJ92" i="8"/>
  <c r="BI92" i="8"/>
  <c r="BH92" i="8"/>
  <c r="CJ91" i="8"/>
  <c r="CI91" i="8"/>
  <c r="CH91" i="8"/>
  <c r="CG91" i="8"/>
  <c r="CF91" i="8"/>
  <c r="CE91" i="8"/>
  <c r="CD91" i="8"/>
  <c r="CC91" i="8"/>
  <c r="CB91" i="8"/>
  <c r="CA91" i="8"/>
  <c r="BZ91" i="8"/>
  <c r="BY91" i="8"/>
  <c r="BX91" i="8"/>
  <c r="BW91" i="8"/>
  <c r="BV91" i="8"/>
  <c r="BU91" i="8"/>
  <c r="BT91" i="8"/>
  <c r="BS91" i="8"/>
  <c r="BR91" i="8"/>
  <c r="BQ91" i="8"/>
  <c r="BP91" i="8"/>
  <c r="BO91" i="8"/>
  <c r="BN91" i="8"/>
  <c r="BM91" i="8"/>
  <c r="BL91" i="8"/>
  <c r="BK91" i="8"/>
  <c r="BJ91" i="8"/>
  <c r="BI91" i="8"/>
  <c r="BH91" i="8"/>
  <c r="CJ90" i="8"/>
  <c r="CI90" i="8"/>
  <c r="CH90" i="8"/>
  <c r="CG90" i="8"/>
  <c r="CF90" i="8"/>
  <c r="CE90" i="8"/>
  <c r="CD90" i="8"/>
  <c r="CC90" i="8"/>
  <c r="CB90" i="8"/>
  <c r="CA90" i="8"/>
  <c r="BZ90" i="8"/>
  <c r="BY90" i="8"/>
  <c r="BX90" i="8"/>
  <c r="BW90" i="8"/>
  <c r="BV90" i="8"/>
  <c r="BU90" i="8"/>
  <c r="BT90" i="8"/>
  <c r="BS90" i="8"/>
  <c r="BR90" i="8"/>
  <c r="BQ90" i="8"/>
  <c r="BP90" i="8"/>
  <c r="BO90" i="8"/>
  <c r="BN90" i="8"/>
  <c r="BM90" i="8"/>
  <c r="BL90" i="8"/>
  <c r="BK90" i="8"/>
  <c r="BJ90" i="8"/>
  <c r="BI90" i="8"/>
  <c r="BH90"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CJ88" i="8"/>
  <c r="CI88" i="8"/>
  <c r="CH88" i="8"/>
  <c r="CG88" i="8"/>
  <c r="CF88" i="8"/>
  <c r="CE88" i="8"/>
  <c r="CD88" i="8"/>
  <c r="CC88" i="8"/>
  <c r="CB88" i="8"/>
  <c r="CA88" i="8"/>
  <c r="BZ88" i="8"/>
  <c r="BY88" i="8"/>
  <c r="BX88" i="8"/>
  <c r="BW88" i="8"/>
  <c r="BV88" i="8"/>
  <c r="BU88" i="8"/>
  <c r="BT88" i="8"/>
  <c r="BS88" i="8"/>
  <c r="BR88" i="8"/>
  <c r="BQ88" i="8"/>
  <c r="BP88" i="8"/>
  <c r="BO88" i="8"/>
  <c r="BN88" i="8"/>
  <c r="BM88" i="8"/>
  <c r="BL88" i="8"/>
  <c r="BK88" i="8"/>
  <c r="BJ88" i="8"/>
  <c r="BI88" i="8"/>
  <c r="BH88" i="8"/>
  <c r="CJ87" i="8"/>
  <c r="CI87" i="8"/>
  <c r="CH87" i="8"/>
  <c r="CG87" i="8"/>
  <c r="CF87" i="8"/>
  <c r="CE87" i="8"/>
  <c r="CD87" i="8"/>
  <c r="CC87" i="8"/>
  <c r="CB87" i="8"/>
  <c r="CA87" i="8"/>
  <c r="BZ87" i="8"/>
  <c r="BY87" i="8"/>
  <c r="BX87" i="8"/>
  <c r="BW87" i="8"/>
  <c r="BV87" i="8"/>
  <c r="BU87" i="8"/>
  <c r="BT87" i="8"/>
  <c r="BS87" i="8"/>
  <c r="BR87" i="8"/>
  <c r="BQ87" i="8"/>
  <c r="BP87" i="8"/>
  <c r="BO87" i="8"/>
  <c r="BN87" i="8"/>
  <c r="BM87" i="8"/>
  <c r="BL87" i="8"/>
  <c r="BK87" i="8"/>
  <c r="BJ87" i="8"/>
  <c r="BI87" i="8"/>
  <c r="BH87" i="8"/>
  <c r="CJ86" i="8"/>
  <c r="CI86" i="8"/>
  <c r="CH86" i="8"/>
  <c r="CG86" i="8"/>
  <c r="CF86" i="8"/>
  <c r="CE86" i="8"/>
  <c r="CD86" i="8"/>
  <c r="CC86" i="8"/>
  <c r="CB86" i="8"/>
  <c r="CA86" i="8"/>
  <c r="BZ86" i="8"/>
  <c r="BY86" i="8"/>
  <c r="BX86" i="8"/>
  <c r="BW86" i="8"/>
  <c r="BV86" i="8"/>
  <c r="BU86" i="8"/>
  <c r="BT86" i="8"/>
  <c r="BS86" i="8"/>
  <c r="BR86" i="8"/>
  <c r="BQ86" i="8"/>
  <c r="BP86" i="8"/>
  <c r="BO86" i="8"/>
  <c r="BN86" i="8"/>
  <c r="BM86" i="8"/>
  <c r="BL86" i="8"/>
  <c r="BK86" i="8"/>
  <c r="BJ86" i="8"/>
  <c r="BI86" i="8"/>
  <c r="BH86" i="8"/>
  <c r="CJ85" i="8"/>
  <c r="CI85" i="8"/>
  <c r="CH85" i="8"/>
  <c r="CG85" i="8"/>
  <c r="CF85" i="8"/>
  <c r="CE85" i="8"/>
  <c r="CD85" i="8"/>
  <c r="CC85" i="8"/>
  <c r="CB85" i="8"/>
  <c r="CA85" i="8"/>
  <c r="BZ85" i="8"/>
  <c r="BY85" i="8"/>
  <c r="BX85" i="8"/>
  <c r="BW85" i="8"/>
  <c r="BV85" i="8"/>
  <c r="BU85" i="8"/>
  <c r="BT85" i="8"/>
  <c r="BS85" i="8"/>
  <c r="BR85" i="8"/>
  <c r="BQ85" i="8"/>
  <c r="BP85" i="8"/>
  <c r="BO85" i="8"/>
  <c r="BN85" i="8"/>
  <c r="BM85" i="8"/>
  <c r="BL85" i="8"/>
  <c r="BK85" i="8"/>
  <c r="BJ85" i="8"/>
  <c r="BI85" i="8"/>
  <c r="BH85" i="8"/>
  <c r="CJ84" i="8"/>
  <c r="CI84" i="8"/>
  <c r="CH84" i="8"/>
  <c r="CG84" i="8"/>
  <c r="CF84" i="8"/>
  <c r="CE84" i="8"/>
  <c r="CD84" i="8"/>
  <c r="CC84" i="8"/>
  <c r="CB84" i="8"/>
  <c r="CA84" i="8"/>
  <c r="BZ84" i="8"/>
  <c r="BY84" i="8"/>
  <c r="BX84" i="8"/>
  <c r="BW84" i="8"/>
  <c r="BV84" i="8"/>
  <c r="BU84" i="8"/>
  <c r="BT84" i="8"/>
  <c r="BS84" i="8"/>
  <c r="BR84" i="8"/>
  <c r="BQ84" i="8"/>
  <c r="BP84" i="8"/>
  <c r="BO84" i="8"/>
  <c r="BN84" i="8"/>
  <c r="BM84" i="8"/>
  <c r="BL84" i="8"/>
  <c r="BK84" i="8"/>
  <c r="BJ84" i="8"/>
  <c r="BI84" i="8"/>
  <c r="BH84" i="8"/>
  <c r="CJ83" i="8"/>
  <c r="CI83" i="8"/>
  <c r="CH83" i="8"/>
  <c r="CG83" i="8"/>
  <c r="CF83" i="8"/>
  <c r="CE83" i="8"/>
  <c r="CD83" i="8"/>
  <c r="CC83" i="8"/>
  <c r="CB83" i="8"/>
  <c r="CA83" i="8"/>
  <c r="BZ83" i="8"/>
  <c r="BY83" i="8"/>
  <c r="BX83" i="8"/>
  <c r="BW83" i="8"/>
  <c r="BV83" i="8"/>
  <c r="BU83" i="8"/>
  <c r="BT83" i="8"/>
  <c r="BS83" i="8"/>
  <c r="BR83" i="8"/>
  <c r="BQ83" i="8"/>
  <c r="BP83" i="8"/>
  <c r="BO83" i="8"/>
  <c r="BN83" i="8"/>
  <c r="BM83" i="8"/>
  <c r="BL83" i="8"/>
  <c r="BK83" i="8"/>
  <c r="BJ83" i="8"/>
  <c r="BI83" i="8"/>
  <c r="BH83" i="8"/>
  <c r="CJ82" i="8"/>
  <c r="CI82" i="8"/>
  <c r="CH82" i="8"/>
  <c r="CG82" i="8"/>
  <c r="CF82" i="8"/>
  <c r="CE82" i="8"/>
  <c r="CD82" i="8"/>
  <c r="CC82" i="8"/>
  <c r="CB82" i="8"/>
  <c r="CA82" i="8"/>
  <c r="BZ82" i="8"/>
  <c r="BY82" i="8"/>
  <c r="BX82" i="8"/>
  <c r="BW82" i="8"/>
  <c r="BV82" i="8"/>
  <c r="BU82" i="8"/>
  <c r="BT82" i="8"/>
  <c r="BS82" i="8"/>
  <c r="BR82" i="8"/>
  <c r="BQ82" i="8"/>
  <c r="BP82" i="8"/>
  <c r="BO82" i="8"/>
  <c r="BN82" i="8"/>
  <c r="BM82" i="8"/>
  <c r="BL82" i="8"/>
  <c r="BK82" i="8"/>
  <c r="BJ82" i="8"/>
  <c r="BI82" i="8"/>
  <c r="BH82" i="8"/>
  <c r="CJ81" i="8"/>
  <c r="CI81" i="8"/>
  <c r="CH81" i="8"/>
  <c r="CG81" i="8"/>
  <c r="CF81" i="8"/>
  <c r="CE81" i="8"/>
  <c r="CD81" i="8"/>
  <c r="CC81" i="8"/>
  <c r="CB81" i="8"/>
  <c r="CA81" i="8"/>
  <c r="BZ81" i="8"/>
  <c r="BY81" i="8"/>
  <c r="BX81" i="8"/>
  <c r="BW81" i="8"/>
  <c r="BV81" i="8"/>
  <c r="BU81" i="8"/>
  <c r="BT81" i="8"/>
  <c r="BS81" i="8"/>
  <c r="BR81" i="8"/>
  <c r="BQ81" i="8"/>
  <c r="BP81" i="8"/>
  <c r="BO81" i="8"/>
  <c r="BN81" i="8"/>
  <c r="BM81" i="8"/>
  <c r="BL81" i="8"/>
  <c r="BK81" i="8"/>
  <c r="BJ81" i="8"/>
  <c r="BI81" i="8"/>
  <c r="BH81" i="8"/>
  <c r="CJ80" i="8"/>
  <c r="CI80" i="8"/>
  <c r="CH80" i="8"/>
  <c r="CG80" i="8"/>
  <c r="CF80" i="8"/>
  <c r="CE80" i="8"/>
  <c r="CD80" i="8"/>
  <c r="CC80" i="8"/>
  <c r="CB80" i="8"/>
  <c r="CA80" i="8"/>
  <c r="BZ80" i="8"/>
  <c r="BY80" i="8"/>
  <c r="BX80" i="8"/>
  <c r="BW80" i="8"/>
  <c r="BV80" i="8"/>
  <c r="BU80" i="8"/>
  <c r="BT80" i="8"/>
  <c r="BS80" i="8"/>
  <c r="BR80" i="8"/>
  <c r="BQ80" i="8"/>
  <c r="BP80" i="8"/>
  <c r="BO80" i="8"/>
  <c r="BN80" i="8"/>
  <c r="BM80" i="8"/>
  <c r="BL80" i="8"/>
  <c r="BK80" i="8"/>
  <c r="BJ80" i="8"/>
  <c r="BI80" i="8"/>
  <c r="BH80" i="8"/>
  <c r="CJ79" i="8"/>
  <c r="CI79" i="8"/>
  <c r="CH79" i="8"/>
  <c r="CG79" i="8"/>
  <c r="CF79" i="8"/>
  <c r="CE79" i="8"/>
  <c r="CD79" i="8"/>
  <c r="CC79" i="8"/>
  <c r="CB79" i="8"/>
  <c r="CA79" i="8"/>
  <c r="BZ79" i="8"/>
  <c r="BY79" i="8"/>
  <c r="BX79" i="8"/>
  <c r="BW79" i="8"/>
  <c r="BV79" i="8"/>
  <c r="BU79" i="8"/>
  <c r="BT79" i="8"/>
  <c r="BS79" i="8"/>
  <c r="BR79" i="8"/>
  <c r="BQ79" i="8"/>
  <c r="BP79" i="8"/>
  <c r="BO79" i="8"/>
  <c r="BN79" i="8"/>
  <c r="BM79" i="8"/>
  <c r="BL79" i="8"/>
  <c r="BK79" i="8"/>
  <c r="BJ79" i="8"/>
  <c r="BI79" i="8"/>
  <c r="BH79"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CJ77" i="8"/>
  <c r="CI77" i="8"/>
  <c r="CH77" i="8"/>
  <c r="CG77" i="8"/>
  <c r="CF77" i="8"/>
  <c r="CE77" i="8"/>
  <c r="CD77" i="8"/>
  <c r="CC77" i="8"/>
  <c r="CB77" i="8"/>
  <c r="CA77" i="8"/>
  <c r="BZ77" i="8"/>
  <c r="BY77" i="8"/>
  <c r="BX77" i="8"/>
  <c r="BW77" i="8"/>
  <c r="BV77" i="8"/>
  <c r="BU77" i="8"/>
  <c r="BT77" i="8"/>
  <c r="BS77" i="8"/>
  <c r="BR77" i="8"/>
  <c r="BQ77" i="8"/>
  <c r="BP77" i="8"/>
  <c r="BO77" i="8"/>
  <c r="BN77" i="8"/>
  <c r="BM77" i="8"/>
  <c r="BL77" i="8"/>
  <c r="BK77" i="8"/>
  <c r="BJ77" i="8"/>
  <c r="BI77" i="8"/>
  <c r="BH77" i="8"/>
  <c r="CJ76" i="8"/>
  <c r="CI76" i="8"/>
  <c r="CH76" i="8"/>
  <c r="CG76" i="8"/>
  <c r="CF76" i="8"/>
  <c r="CE76" i="8"/>
  <c r="CD76" i="8"/>
  <c r="CC76" i="8"/>
  <c r="CB76" i="8"/>
  <c r="CA76" i="8"/>
  <c r="BZ76" i="8"/>
  <c r="BY76" i="8"/>
  <c r="BX76" i="8"/>
  <c r="BW76" i="8"/>
  <c r="BV76" i="8"/>
  <c r="BU76" i="8"/>
  <c r="BT76" i="8"/>
  <c r="BS76" i="8"/>
  <c r="BR76" i="8"/>
  <c r="BQ76" i="8"/>
  <c r="BP76" i="8"/>
  <c r="BO76" i="8"/>
  <c r="BN76" i="8"/>
  <c r="BM76" i="8"/>
  <c r="BL76" i="8"/>
  <c r="BK76" i="8"/>
  <c r="BJ76" i="8"/>
  <c r="BI76" i="8"/>
  <c r="BH76" i="8"/>
  <c r="CJ75" i="8"/>
  <c r="CI75" i="8"/>
  <c r="CH75" i="8"/>
  <c r="CG75" i="8"/>
  <c r="CF75" i="8"/>
  <c r="CE75" i="8"/>
  <c r="CD75" i="8"/>
  <c r="CC75" i="8"/>
  <c r="CB75" i="8"/>
  <c r="CA75" i="8"/>
  <c r="BZ75" i="8"/>
  <c r="BY75" i="8"/>
  <c r="BX75" i="8"/>
  <c r="BW75" i="8"/>
  <c r="BV75" i="8"/>
  <c r="BU75" i="8"/>
  <c r="BT75" i="8"/>
  <c r="BS75" i="8"/>
  <c r="BR75" i="8"/>
  <c r="BQ75" i="8"/>
  <c r="BP75" i="8"/>
  <c r="BO75" i="8"/>
  <c r="BN75" i="8"/>
  <c r="BM75" i="8"/>
  <c r="BL75" i="8"/>
  <c r="BK75" i="8"/>
  <c r="BJ75" i="8"/>
  <c r="BI75" i="8"/>
  <c r="BH75" i="8"/>
  <c r="CJ74" i="8"/>
  <c r="CI74" i="8"/>
  <c r="CH74" i="8"/>
  <c r="CG74" i="8"/>
  <c r="CF74" i="8"/>
  <c r="CE74" i="8"/>
  <c r="CD74" i="8"/>
  <c r="CC74" i="8"/>
  <c r="CB74" i="8"/>
  <c r="CA74" i="8"/>
  <c r="BZ74" i="8"/>
  <c r="BY74" i="8"/>
  <c r="BX74" i="8"/>
  <c r="BW74" i="8"/>
  <c r="BV74" i="8"/>
  <c r="BU74" i="8"/>
  <c r="BT74" i="8"/>
  <c r="BS74" i="8"/>
  <c r="BR74" i="8"/>
  <c r="BQ74" i="8"/>
  <c r="BP74" i="8"/>
  <c r="BO74" i="8"/>
  <c r="BN74" i="8"/>
  <c r="BM74" i="8"/>
  <c r="BL74" i="8"/>
  <c r="BK74" i="8"/>
  <c r="BJ74" i="8"/>
  <c r="BI74" i="8"/>
  <c r="BH74" i="8"/>
  <c r="CJ73" i="8"/>
  <c r="CI73" i="8"/>
  <c r="CH73" i="8"/>
  <c r="CG73" i="8"/>
  <c r="CF73" i="8"/>
  <c r="CE73" i="8"/>
  <c r="CD73" i="8"/>
  <c r="CC73" i="8"/>
  <c r="CB73" i="8"/>
  <c r="CA73" i="8"/>
  <c r="BZ73" i="8"/>
  <c r="BY73" i="8"/>
  <c r="BX73" i="8"/>
  <c r="BW73" i="8"/>
  <c r="BV73" i="8"/>
  <c r="BU73" i="8"/>
  <c r="BT73" i="8"/>
  <c r="BS73" i="8"/>
  <c r="BR73" i="8"/>
  <c r="BQ73" i="8"/>
  <c r="BP73" i="8"/>
  <c r="BO73" i="8"/>
  <c r="BN73" i="8"/>
  <c r="BM73" i="8"/>
  <c r="BL73" i="8"/>
  <c r="BK73" i="8"/>
  <c r="BJ73" i="8"/>
  <c r="BI73" i="8"/>
  <c r="BH73" i="8"/>
  <c r="CJ72" i="8"/>
  <c r="CI72" i="8"/>
  <c r="CH72" i="8"/>
  <c r="CG72" i="8"/>
  <c r="CF72" i="8"/>
  <c r="CE72" i="8"/>
  <c r="CD72" i="8"/>
  <c r="CC72" i="8"/>
  <c r="CB72" i="8"/>
  <c r="CA72" i="8"/>
  <c r="BZ72" i="8"/>
  <c r="BY72" i="8"/>
  <c r="BX72" i="8"/>
  <c r="BW72" i="8"/>
  <c r="BV72" i="8"/>
  <c r="BU72" i="8"/>
  <c r="BT72" i="8"/>
  <c r="BS72" i="8"/>
  <c r="BR72" i="8"/>
  <c r="BQ72" i="8"/>
  <c r="BP72" i="8"/>
  <c r="BO72" i="8"/>
  <c r="BN72" i="8"/>
  <c r="BM72" i="8"/>
  <c r="BL72" i="8"/>
  <c r="BK72" i="8"/>
  <c r="BJ72" i="8"/>
  <c r="BI72" i="8"/>
  <c r="BH72" i="8"/>
  <c r="CJ71" i="8"/>
  <c r="CI71" i="8"/>
  <c r="CH71" i="8"/>
  <c r="CG71" i="8"/>
  <c r="CF71" i="8"/>
  <c r="CE71" i="8"/>
  <c r="CD71" i="8"/>
  <c r="CC71" i="8"/>
  <c r="CB71" i="8"/>
  <c r="CA71" i="8"/>
  <c r="BZ71" i="8"/>
  <c r="BY71" i="8"/>
  <c r="BX71" i="8"/>
  <c r="BW71" i="8"/>
  <c r="BV71" i="8"/>
  <c r="BU71" i="8"/>
  <c r="BT71" i="8"/>
  <c r="BS71" i="8"/>
  <c r="BR71" i="8"/>
  <c r="BQ71" i="8"/>
  <c r="BP71" i="8"/>
  <c r="BO71" i="8"/>
  <c r="BN71" i="8"/>
  <c r="BM71" i="8"/>
  <c r="BL71" i="8"/>
  <c r="BK71" i="8"/>
  <c r="BJ71" i="8"/>
  <c r="BI71" i="8"/>
  <c r="BH71" i="8"/>
  <c r="CJ70" i="8"/>
  <c r="CI70" i="8"/>
  <c r="CH70" i="8"/>
  <c r="CG70" i="8"/>
  <c r="CF70" i="8"/>
  <c r="CE70" i="8"/>
  <c r="CD70" i="8"/>
  <c r="CC70" i="8"/>
  <c r="CB70" i="8"/>
  <c r="CA70" i="8"/>
  <c r="BZ70" i="8"/>
  <c r="BY70" i="8"/>
  <c r="BX70" i="8"/>
  <c r="BW70" i="8"/>
  <c r="BV70" i="8"/>
  <c r="BU70" i="8"/>
  <c r="BT70" i="8"/>
  <c r="BS70" i="8"/>
  <c r="BR70" i="8"/>
  <c r="BQ70" i="8"/>
  <c r="BP70" i="8"/>
  <c r="BO70" i="8"/>
  <c r="BN70" i="8"/>
  <c r="BM70" i="8"/>
  <c r="BL70" i="8"/>
  <c r="BK70" i="8"/>
  <c r="BJ70" i="8"/>
  <c r="BI70" i="8"/>
  <c r="BH70" i="8"/>
  <c r="CJ69" i="8"/>
  <c r="CI69" i="8"/>
  <c r="CH69" i="8"/>
  <c r="CG69" i="8"/>
  <c r="CF69" i="8"/>
  <c r="CE69" i="8"/>
  <c r="CD69" i="8"/>
  <c r="CC69" i="8"/>
  <c r="CB69" i="8"/>
  <c r="CA69" i="8"/>
  <c r="BZ69" i="8"/>
  <c r="BY69" i="8"/>
  <c r="BX69" i="8"/>
  <c r="BW69" i="8"/>
  <c r="BV69" i="8"/>
  <c r="BU69" i="8"/>
  <c r="BT69" i="8"/>
  <c r="BS69" i="8"/>
  <c r="BR69" i="8"/>
  <c r="BQ69" i="8"/>
  <c r="BP69" i="8"/>
  <c r="BO69" i="8"/>
  <c r="BN69" i="8"/>
  <c r="BM69" i="8"/>
  <c r="BL69" i="8"/>
  <c r="BK69" i="8"/>
  <c r="BJ69" i="8"/>
  <c r="BI69" i="8"/>
  <c r="BH69"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CJ66" i="8"/>
  <c r="CI66" i="8"/>
  <c r="CH66" i="8"/>
  <c r="CG66" i="8"/>
  <c r="CF66" i="8"/>
  <c r="CE66" i="8"/>
  <c r="CD66" i="8"/>
  <c r="CC66" i="8"/>
  <c r="CB66" i="8"/>
  <c r="CA66" i="8"/>
  <c r="BZ66" i="8"/>
  <c r="BY66" i="8"/>
  <c r="BX66" i="8"/>
  <c r="BW66" i="8"/>
  <c r="BV66" i="8"/>
  <c r="BU66" i="8"/>
  <c r="BT66" i="8"/>
  <c r="BS66" i="8"/>
  <c r="BR66" i="8"/>
  <c r="BQ66" i="8"/>
  <c r="BP66" i="8"/>
  <c r="BO66" i="8"/>
  <c r="BN66" i="8"/>
  <c r="BM66" i="8"/>
  <c r="BL66" i="8"/>
  <c r="BK66" i="8"/>
  <c r="BJ66" i="8"/>
  <c r="BI66" i="8"/>
  <c r="BH66" i="8"/>
  <c r="CJ65" i="8"/>
  <c r="CI65" i="8"/>
  <c r="CH65" i="8"/>
  <c r="CG65" i="8"/>
  <c r="CF65" i="8"/>
  <c r="CE65" i="8"/>
  <c r="CD65" i="8"/>
  <c r="CC65" i="8"/>
  <c r="CB65" i="8"/>
  <c r="CA65" i="8"/>
  <c r="BZ65" i="8"/>
  <c r="BY65" i="8"/>
  <c r="BX65" i="8"/>
  <c r="BW65" i="8"/>
  <c r="BV65" i="8"/>
  <c r="BU65" i="8"/>
  <c r="BT65" i="8"/>
  <c r="BS65" i="8"/>
  <c r="BR65" i="8"/>
  <c r="BQ65" i="8"/>
  <c r="BP65" i="8"/>
  <c r="BO65" i="8"/>
  <c r="BN65" i="8"/>
  <c r="BM65" i="8"/>
  <c r="BL65" i="8"/>
  <c r="BK65" i="8"/>
  <c r="BJ65" i="8"/>
  <c r="BI65" i="8"/>
  <c r="BH65" i="8"/>
  <c r="CJ64" i="8"/>
  <c r="CI64" i="8"/>
  <c r="CH64" i="8"/>
  <c r="CG64" i="8"/>
  <c r="CF64" i="8"/>
  <c r="CE64" i="8"/>
  <c r="CD64" i="8"/>
  <c r="CC64" i="8"/>
  <c r="CB64" i="8"/>
  <c r="CA64" i="8"/>
  <c r="BZ64" i="8"/>
  <c r="BY64" i="8"/>
  <c r="BX64" i="8"/>
  <c r="BW64" i="8"/>
  <c r="BV64" i="8"/>
  <c r="BU64" i="8"/>
  <c r="BT64" i="8"/>
  <c r="BS64" i="8"/>
  <c r="BR64" i="8"/>
  <c r="BQ64" i="8"/>
  <c r="BP64" i="8"/>
  <c r="BO64" i="8"/>
  <c r="BN64" i="8"/>
  <c r="BM64" i="8"/>
  <c r="BL64" i="8"/>
  <c r="BK64" i="8"/>
  <c r="BJ64" i="8"/>
  <c r="BI64" i="8"/>
  <c r="BH64" i="8"/>
  <c r="CJ63" i="8"/>
  <c r="CI63" i="8"/>
  <c r="CH63" i="8"/>
  <c r="CG63" i="8"/>
  <c r="CF63" i="8"/>
  <c r="CE63" i="8"/>
  <c r="CD63" i="8"/>
  <c r="CC63" i="8"/>
  <c r="CB63" i="8"/>
  <c r="CA63" i="8"/>
  <c r="BZ63" i="8"/>
  <c r="BY63" i="8"/>
  <c r="BX63" i="8"/>
  <c r="BW63" i="8"/>
  <c r="BV63" i="8"/>
  <c r="BU63" i="8"/>
  <c r="BT63" i="8"/>
  <c r="BS63" i="8"/>
  <c r="BR63" i="8"/>
  <c r="BQ63" i="8"/>
  <c r="BP63" i="8"/>
  <c r="BO63" i="8"/>
  <c r="BN63" i="8"/>
  <c r="BM63" i="8"/>
  <c r="BL63" i="8"/>
  <c r="BK63" i="8"/>
  <c r="BJ63" i="8"/>
  <c r="BI63" i="8"/>
  <c r="BH63" i="8"/>
  <c r="CJ62" i="8"/>
  <c r="CI62" i="8"/>
  <c r="CH62" i="8"/>
  <c r="CG62" i="8"/>
  <c r="CF62" i="8"/>
  <c r="CE62" i="8"/>
  <c r="CD62" i="8"/>
  <c r="CC62" i="8"/>
  <c r="CB62" i="8"/>
  <c r="CA62" i="8"/>
  <c r="BZ62" i="8"/>
  <c r="BY62" i="8"/>
  <c r="BX62" i="8"/>
  <c r="BW62" i="8"/>
  <c r="BV62" i="8"/>
  <c r="BU62" i="8"/>
  <c r="BT62" i="8"/>
  <c r="BS62" i="8"/>
  <c r="BR62" i="8"/>
  <c r="BQ62" i="8"/>
  <c r="BP62" i="8"/>
  <c r="BO62" i="8"/>
  <c r="BN62" i="8"/>
  <c r="BM62" i="8"/>
  <c r="BL62" i="8"/>
  <c r="BK62" i="8"/>
  <c r="BJ62" i="8"/>
  <c r="BI62" i="8"/>
  <c r="BH62" i="8"/>
  <c r="CJ61" i="8"/>
  <c r="CI61" i="8"/>
  <c r="CH61" i="8"/>
  <c r="CG61" i="8"/>
  <c r="CF61" i="8"/>
  <c r="CE61" i="8"/>
  <c r="CD61" i="8"/>
  <c r="CC61" i="8"/>
  <c r="CB61" i="8"/>
  <c r="CA61" i="8"/>
  <c r="BZ61" i="8"/>
  <c r="BY61" i="8"/>
  <c r="BX61" i="8"/>
  <c r="BW61" i="8"/>
  <c r="BV61" i="8"/>
  <c r="BU61" i="8"/>
  <c r="BT61" i="8"/>
  <c r="BS61" i="8"/>
  <c r="BR61" i="8"/>
  <c r="BQ61" i="8"/>
  <c r="BP61" i="8"/>
  <c r="BO61" i="8"/>
  <c r="BN61" i="8"/>
  <c r="BM61" i="8"/>
  <c r="BL61" i="8"/>
  <c r="BK61" i="8"/>
  <c r="BJ61" i="8"/>
  <c r="BI61" i="8"/>
  <c r="BH61" i="8"/>
  <c r="CJ60" i="8"/>
  <c r="CI60" i="8"/>
  <c r="CH60" i="8"/>
  <c r="CG60" i="8"/>
  <c r="CF60" i="8"/>
  <c r="CE60" i="8"/>
  <c r="CD60" i="8"/>
  <c r="CC60" i="8"/>
  <c r="CB60" i="8"/>
  <c r="CA60" i="8"/>
  <c r="BZ60" i="8"/>
  <c r="BY60" i="8"/>
  <c r="BX60" i="8"/>
  <c r="BW60" i="8"/>
  <c r="BV60" i="8"/>
  <c r="BU60" i="8"/>
  <c r="BT60" i="8"/>
  <c r="BS60" i="8"/>
  <c r="BR60" i="8"/>
  <c r="BQ60" i="8"/>
  <c r="BP60" i="8"/>
  <c r="BO60" i="8"/>
  <c r="BN60" i="8"/>
  <c r="BM60" i="8"/>
  <c r="BL60" i="8"/>
  <c r="BK60" i="8"/>
  <c r="BJ60" i="8"/>
  <c r="BI60" i="8"/>
  <c r="BH60" i="8"/>
  <c r="CJ59" i="8"/>
  <c r="CI59" i="8"/>
  <c r="CH59" i="8"/>
  <c r="CG59" i="8"/>
  <c r="CF59" i="8"/>
  <c r="CE59" i="8"/>
  <c r="CD59" i="8"/>
  <c r="CC59" i="8"/>
  <c r="CB59" i="8"/>
  <c r="CA59" i="8"/>
  <c r="BZ59" i="8"/>
  <c r="BY59" i="8"/>
  <c r="BX59" i="8"/>
  <c r="BW59" i="8"/>
  <c r="BV59" i="8"/>
  <c r="BU59" i="8"/>
  <c r="BT59" i="8"/>
  <c r="BS59" i="8"/>
  <c r="BR59" i="8"/>
  <c r="BQ59" i="8"/>
  <c r="BP59" i="8"/>
  <c r="BO59" i="8"/>
  <c r="BN59" i="8"/>
  <c r="BM59" i="8"/>
  <c r="BL59" i="8"/>
  <c r="BK59" i="8"/>
  <c r="BJ59" i="8"/>
  <c r="BI59" i="8"/>
  <c r="BH59" i="8"/>
  <c r="CJ58" i="8"/>
  <c r="CI58" i="8"/>
  <c r="CH58" i="8"/>
  <c r="CG58" i="8"/>
  <c r="CF58" i="8"/>
  <c r="CE58" i="8"/>
  <c r="CD58" i="8"/>
  <c r="CC58" i="8"/>
  <c r="CB58" i="8"/>
  <c r="CA58" i="8"/>
  <c r="BZ58" i="8"/>
  <c r="BY58" i="8"/>
  <c r="BX58" i="8"/>
  <c r="BW58" i="8"/>
  <c r="BV58" i="8"/>
  <c r="BU58" i="8"/>
  <c r="BT58" i="8"/>
  <c r="BS58" i="8"/>
  <c r="BR58" i="8"/>
  <c r="BQ58" i="8"/>
  <c r="BP58" i="8"/>
  <c r="BO58" i="8"/>
  <c r="BN58" i="8"/>
  <c r="BM58" i="8"/>
  <c r="BL58" i="8"/>
  <c r="BK58" i="8"/>
  <c r="BJ58" i="8"/>
  <c r="BI58" i="8"/>
  <c r="BH58"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CJ55" i="8"/>
  <c r="CI55" i="8"/>
  <c r="CH55" i="8"/>
  <c r="CG55" i="8"/>
  <c r="CF55" i="8"/>
  <c r="CE55" i="8"/>
  <c r="CD55" i="8"/>
  <c r="CC55" i="8"/>
  <c r="CB55" i="8"/>
  <c r="CA55" i="8"/>
  <c r="BZ55" i="8"/>
  <c r="BY55" i="8"/>
  <c r="BX55" i="8"/>
  <c r="BW55" i="8"/>
  <c r="BV55" i="8"/>
  <c r="BU55" i="8"/>
  <c r="BT55" i="8"/>
  <c r="BS55" i="8"/>
  <c r="BR55" i="8"/>
  <c r="BQ55" i="8"/>
  <c r="BP55" i="8"/>
  <c r="BO55" i="8"/>
  <c r="BN55" i="8"/>
  <c r="BM55" i="8"/>
  <c r="BL55" i="8"/>
  <c r="BK55" i="8"/>
  <c r="BJ55" i="8"/>
  <c r="BI55" i="8"/>
  <c r="BH55" i="8"/>
  <c r="CJ54" i="8"/>
  <c r="CI54" i="8"/>
  <c r="CH54" i="8"/>
  <c r="CG54" i="8"/>
  <c r="CF54" i="8"/>
  <c r="CE54" i="8"/>
  <c r="CD54" i="8"/>
  <c r="CC54" i="8"/>
  <c r="CB54" i="8"/>
  <c r="CA54" i="8"/>
  <c r="BZ54" i="8"/>
  <c r="BY54" i="8"/>
  <c r="BX54" i="8"/>
  <c r="BW54" i="8"/>
  <c r="BV54" i="8"/>
  <c r="BU54" i="8"/>
  <c r="BT54" i="8"/>
  <c r="BS54" i="8"/>
  <c r="BR54" i="8"/>
  <c r="BQ54" i="8"/>
  <c r="BP54" i="8"/>
  <c r="BO54" i="8"/>
  <c r="BN54" i="8"/>
  <c r="BM54" i="8"/>
  <c r="BL54" i="8"/>
  <c r="BK54" i="8"/>
  <c r="BJ54" i="8"/>
  <c r="BI54" i="8"/>
  <c r="BH54" i="8"/>
  <c r="CJ53" i="8"/>
  <c r="CI53" i="8"/>
  <c r="CH53" i="8"/>
  <c r="CG53" i="8"/>
  <c r="CF53" i="8"/>
  <c r="CE53" i="8"/>
  <c r="CD53" i="8"/>
  <c r="CC53" i="8"/>
  <c r="CB53" i="8"/>
  <c r="CA53" i="8"/>
  <c r="BZ53" i="8"/>
  <c r="BY53" i="8"/>
  <c r="BX53" i="8"/>
  <c r="BW53" i="8"/>
  <c r="BV53" i="8"/>
  <c r="BU53" i="8"/>
  <c r="BT53" i="8"/>
  <c r="BS53" i="8"/>
  <c r="BR53" i="8"/>
  <c r="BQ53" i="8"/>
  <c r="BP53" i="8"/>
  <c r="BO53" i="8"/>
  <c r="BN53" i="8"/>
  <c r="BM53" i="8"/>
  <c r="BL53" i="8"/>
  <c r="BK53" i="8"/>
  <c r="BJ53" i="8"/>
  <c r="BI53" i="8"/>
  <c r="BH53" i="8"/>
  <c r="CJ52" i="8"/>
  <c r="CI52" i="8"/>
  <c r="CH52" i="8"/>
  <c r="CG52" i="8"/>
  <c r="CF52" i="8"/>
  <c r="CE52" i="8"/>
  <c r="CD52" i="8"/>
  <c r="CC52" i="8"/>
  <c r="CB52" i="8"/>
  <c r="CA52" i="8"/>
  <c r="BZ52" i="8"/>
  <c r="BY52" i="8"/>
  <c r="BX52" i="8"/>
  <c r="BW52" i="8"/>
  <c r="BV52" i="8"/>
  <c r="BU52" i="8"/>
  <c r="BT52" i="8"/>
  <c r="BS52" i="8"/>
  <c r="BR52" i="8"/>
  <c r="BQ52" i="8"/>
  <c r="BP52" i="8"/>
  <c r="BO52" i="8"/>
  <c r="BN52" i="8"/>
  <c r="BM52" i="8"/>
  <c r="BL52" i="8"/>
  <c r="BK52" i="8"/>
  <c r="BJ52" i="8"/>
  <c r="BI52" i="8"/>
  <c r="BH52" i="8"/>
  <c r="CJ51" i="8"/>
  <c r="CI51" i="8"/>
  <c r="CH51" i="8"/>
  <c r="CG51" i="8"/>
  <c r="CF51" i="8"/>
  <c r="CE51" i="8"/>
  <c r="CD51" i="8"/>
  <c r="CC51" i="8"/>
  <c r="CB51" i="8"/>
  <c r="CA51" i="8"/>
  <c r="BZ51" i="8"/>
  <c r="BY51" i="8"/>
  <c r="BX51" i="8"/>
  <c r="BW51" i="8"/>
  <c r="BV51" i="8"/>
  <c r="BU51" i="8"/>
  <c r="BT51" i="8"/>
  <c r="BS51" i="8"/>
  <c r="BR51" i="8"/>
  <c r="BQ51" i="8"/>
  <c r="BP51" i="8"/>
  <c r="BO51" i="8"/>
  <c r="BN51" i="8"/>
  <c r="BM51" i="8"/>
  <c r="BL51" i="8"/>
  <c r="BK51" i="8"/>
  <c r="BJ51" i="8"/>
  <c r="BI51" i="8"/>
  <c r="BH51" i="8"/>
  <c r="CJ50" i="8"/>
  <c r="CI50" i="8"/>
  <c r="CH50" i="8"/>
  <c r="CG50" i="8"/>
  <c r="CF50" i="8"/>
  <c r="CE50" i="8"/>
  <c r="CD50" i="8"/>
  <c r="CC50" i="8"/>
  <c r="CB50" i="8"/>
  <c r="CA50" i="8"/>
  <c r="BZ50" i="8"/>
  <c r="BY50" i="8"/>
  <c r="BX50" i="8"/>
  <c r="BW50" i="8"/>
  <c r="BV50" i="8"/>
  <c r="BU50" i="8"/>
  <c r="BT50" i="8"/>
  <c r="BS50" i="8"/>
  <c r="BR50" i="8"/>
  <c r="BQ50" i="8"/>
  <c r="BP50" i="8"/>
  <c r="BO50" i="8"/>
  <c r="BN50" i="8"/>
  <c r="BM50" i="8"/>
  <c r="BL50" i="8"/>
  <c r="BK50" i="8"/>
  <c r="BJ50" i="8"/>
  <c r="BI50" i="8"/>
  <c r="BH50" i="8"/>
  <c r="CJ49" i="8"/>
  <c r="CI49" i="8"/>
  <c r="CH49" i="8"/>
  <c r="CG49" i="8"/>
  <c r="CF49" i="8"/>
  <c r="CE49" i="8"/>
  <c r="CD49" i="8"/>
  <c r="CC49" i="8"/>
  <c r="CB49" i="8"/>
  <c r="CA49" i="8"/>
  <c r="BZ49" i="8"/>
  <c r="BY49" i="8"/>
  <c r="BX49" i="8"/>
  <c r="BW49" i="8"/>
  <c r="BV49" i="8"/>
  <c r="BU49" i="8"/>
  <c r="BT49" i="8"/>
  <c r="BS49" i="8"/>
  <c r="BR49" i="8"/>
  <c r="BQ49" i="8"/>
  <c r="BP49" i="8"/>
  <c r="BO49" i="8"/>
  <c r="BN49" i="8"/>
  <c r="BM49" i="8"/>
  <c r="BL49" i="8"/>
  <c r="BK49" i="8"/>
  <c r="BJ49" i="8"/>
  <c r="BI49" i="8"/>
  <c r="BH49" i="8"/>
  <c r="CJ47" i="8"/>
  <c r="CI47" i="8"/>
  <c r="CH47" i="8"/>
  <c r="CG47" i="8"/>
  <c r="CF47" i="8"/>
  <c r="CE47" i="8"/>
  <c r="CD47" i="8"/>
  <c r="CC47" i="8"/>
  <c r="CB47" i="8"/>
  <c r="CA47" i="8"/>
  <c r="BZ47" i="8"/>
  <c r="BY47" i="8"/>
  <c r="BX47" i="8"/>
  <c r="BW47" i="8"/>
  <c r="BV47" i="8"/>
  <c r="BU47" i="8"/>
  <c r="BT47" i="8"/>
  <c r="BS47" i="8"/>
  <c r="BR47" i="8"/>
  <c r="BQ47" i="8"/>
  <c r="BP47" i="8"/>
  <c r="BO47" i="8"/>
  <c r="BN47" i="8"/>
  <c r="BM47" i="8"/>
  <c r="BL47" i="8"/>
  <c r="BK47" i="8"/>
  <c r="BJ47" i="8"/>
  <c r="BI47" i="8"/>
  <c r="BH47" i="8"/>
  <c r="CJ46" i="8"/>
  <c r="CI46" i="8"/>
  <c r="CH46" i="8"/>
  <c r="CG46" i="8"/>
  <c r="CF46" i="8"/>
  <c r="CE46" i="8"/>
  <c r="CD46" i="8"/>
  <c r="CC46" i="8"/>
  <c r="CB46" i="8"/>
  <c r="CA46" i="8"/>
  <c r="BZ46" i="8"/>
  <c r="BY46" i="8"/>
  <c r="BX46" i="8"/>
  <c r="BW46" i="8"/>
  <c r="BV46" i="8"/>
  <c r="BU46" i="8"/>
  <c r="BT46" i="8"/>
  <c r="BS46" i="8"/>
  <c r="BR46" i="8"/>
  <c r="BQ46" i="8"/>
  <c r="BP46" i="8"/>
  <c r="BO46" i="8"/>
  <c r="BN46" i="8"/>
  <c r="BM46" i="8"/>
  <c r="BL46" i="8"/>
  <c r="BK46" i="8"/>
  <c r="BJ46" i="8"/>
  <c r="BI46" i="8"/>
  <c r="BH46"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CJ44" i="8"/>
  <c r="CI44" i="8"/>
  <c r="CH44"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CJ42" i="8"/>
  <c r="CI42" i="8"/>
  <c r="CH42" i="8"/>
  <c r="CG42" i="8"/>
  <c r="CF42" i="8"/>
  <c r="CE42" i="8"/>
  <c r="CD42" i="8"/>
  <c r="CC42" i="8"/>
  <c r="CB42" i="8"/>
  <c r="CA42" i="8"/>
  <c r="BZ42" i="8"/>
  <c r="BY42" i="8"/>
  <c r="BX42" i="8"/>
  <c r="BW42" i="8"/>
  <c r="BV42" i="8"/>
  <c r="BU42" i="8"/>
  <c r="BT42" i="8"/>
  <c r="BS42" i="8"/>
  <c r="BR42" i="8"/>
  <c r="BQ42" i="8"/>
  <c r="BP42" i="8"/>
  <c r="BO42" i="8"/>
  <c r="BN42" i="8"/>
  <c r="BM42" i="8"/>
  <c r="BL42" i="8"/>
  <c r="BK42" i="8"/>
  <c r="BJ42" i="8"/>
  <c r="BI42" i="8"/>
  <c r="BH42" i="8"/>
  <c r="CJ41" i="8"/>
  <c r="CI41" i="8"/>
  <c r="CH41" i="8"/>
  <c r="CG41" i="8"/>
  <c r="CF41" i="8"/>
  <c r="CE41" i="8"/>
  <c r="CD41" i="8"/>
  <c r="CC41" i="8"/>
  <c r="CB41" i="8"/>
  <c r="CA41" i="8"/>
  <c r="BZ41" i="8"/>
  <c r="BY41" i="8"/>
  <c r="BX41" i="8"/>
  <c r="BW41" i="8"/>
  <c r="BV41" i="8"/>
  <c r="BU41" i="8"/>
  <c r="BT41" i="8"/>
  <c r="BS41" i="8"/>
  <c r="BR41" i="8"/>
  <c r="BQ41" i="8"/>
  <c r="BP41" i="8"/>
  <c r="BO41" i="8"/>
  <c r="BN41" i="8"/>
  <c r="BM41" i="8"/>
  <c r="BL41" i="8"/>
  <c r="BK41" i="8"/>
  <c r="BJ41" i="8"/>
  <c r="BI41" i="8"/>
  <c r="BH41" i="8"/>
  <c r="CJ40" i="8"/>
  <c r="CI40" i="8"/>
  <c r="CH40" i="8"/>
  <c r="CG40" i="8"/>
  <c r="CF40" i="8"/>
  <c r="CE40" i="8"/>
  <c r="CD40" i="8"/>
  <c r="CC40" i="8"/>
  <c r="CB40" i="8"/>
  <c r="CA40" i="8"/>
  <c r="BZ40" i="8"/>
  <c r="BY40" i="8"/>
  <c r="BX40" i="8"/>
  <c r="BW40" i="8"/>
  <c r="BV40" i="8"/>
  <c r="BU40" i="8"/>
  <c r="BT40" i="8"/>
  <c r="BS40" i="8"/>
  <c r="BR40" i="8"/>
  <c r="BQ40" i="8"/>
  <c r="BP40" i="8"/>
  <c r="BO40" i="8"/>
  <c r="BN40" i="8"/>
  <c r="BM40" i="8"/>
  <c r="BL40" i="8"/>
  <c r="BK40" i="8"/>
  <c r="BJ40" i="8"/>
  <c r="BI40" i="8"/>
  <c r="BH40" i="8"/>
  <c r="CJ39" i="8"/>
  <c r="CI39" i="8"/>
  <c r="CH39" i="8"/>
  <c r="CG39" i="8"/>
  <c r="CF39" i="8"/>
  <c r="CE39" i="8"/>
  <c r="CD39" i="8"/>
  <c r="CC39" i="8"/>
  <c r="CB39" i="8"/>
  <c r="CA39" i="8"/>
  <c r="BZ39" i="8"/>
  <c r="BY39" i="8"/>
  <c r="BX39" i="8"/>
  <c r="BW39" i="8"/>
  <c r="BV39" i="8"/>
  <c r="BU39" i="8"/>
  <c r="BT39" i="8"/>
  <c r="BS39" i="8"/>
  <c r="BR39" i="8"/>
  <c r="BQ39" i="8"/>
  <c r="BP39" i="8"/>
  <c r="BO39" i="8"/>
  <c r="BN39" i="8"/>
  <c r="BM39" i="8"/>
  <c r="BL39" i="8"/>
  <c r="BK39" i="8"/>
  <c r="BJ39" i="8"/>
  <c r="BI39" i="8"/>
  <c r="BH39" i="8"/>
  <c r="CJ38" i="8"/>
  <c r="CI38" i="8"/>
  <c r="CH38" i="8"/>
  <c r="CG38" i="8"/>
  <c r="CF38" i="8"/>
  <c r="CE38" i="8"/>
  <c r="CD38" i="8"/>
  <c r="CC38" i="8"/>
  <c r="CB38" i="8"/>
  <c r="CA38" i="8"/>
  <c r="BZ38" i="8"/>
  <c r="BY38" i="8"/>
  <c r="BX38" i="8"/>
  <c r="BW38" i="8"/>
  <c r="BV38" i="8"/>
  <c r="BU38" i="8"/>
  <c r="BT38" i="8"/>
  <c r="BS38" i="8"/>
  <c r="BR38" i="8"/>
  <c r="BQ38" i="8"/>
  <c r="BP38" i="8"/>
  <c r="BO38" i="8"/>
  <c r="BN38" i="8"/>
  <c r="BM38" i="8"/>
  <c r="BL38" i="8"/>
  <c r="BK38" i="8"/>
  <c r="BJ38" i="8"/>
  <c r="BI38" i="8"/>
  <c r="BH38" i="8"/>
  <c r="CJ37" i="8"/>
  <c r="CI37" i="8"/>
  <c r="CH37" i="8"/>
  <c r="CG37" i="8"/>
  <c r="CF37" i="8"/>
  <c r="CE37" i="8"/>
  <c r="CD37" i="8"/>
  <c r="CC37" i="8"/>
  <c r="CB37" i="8"/>
  <c r="CA37" i="8"/>
  <c r="BZ37" i="8"/>
  <c r="BY37" i="8"/>
  <c r="BX37" i="8"/>
  <c r="BW37" i="8"/>
  <c r="BV37" i="8"/>
  <c r="BU37" i="8"/>
  <c r="BT37" i="8"/>
  <c r="BS37" i="8"/>
  <c r="BR37" i="8"/>
  <c r="BQ37" i="8"/>
  <c r="BP37" i="8"/>
  <c r="BO37" i="8"/>
  <c r="BN37" i="8"/>
  <c r="BM37" i="8"/>
  <c r="BL37" i="8"/>
  <c r="BK37" i="8"/>
  <c r="BJ37" i="8"/>
  <c r="BI37" i="8"/>
  <c r="BH37" i="8"/>
  <c r="CJ36" i="8"/>
  <c r="CI36" i="8"/>
  <c r="CH36" i="8"/>
  <c r="CG36" i="8"/>
  <c r="CF36" i="8"/>
  <c r="CE36" i="8"/>
  <c r="CD36" i="8"/>
  <c r="CC36" i="8"/>
  <c r="CB36" i="8"/>
  <c r="CA36" i="8"/>
  <c r="BZ36" i="8"/>
  <c r="BY36" i="8"/>
  <c r="BX36" i="8"/>
  <c r="BW36" i="8"/>
  <c r="BV36" i="8"/>
  <c r="BU36" i="8"/>
  <c r="BT36" i="8"/>
  <c r="BS36" i="8"/>
  <c r="BR36" i="8"/>
  <c r="BQ36" i="8"/>
  <c r="BP36" i="8"/>
  <c r="BO36" i="8"/>
  <c r="BN36" i="8"/>
  <c r="BM36" i="8"/>
  <c r="BL36" i="8"/>
  <c r="BK36" i="8"/>
  <c r="BJ36" i="8"/>
  <c r="BI36" i="8"/>
  <c r="BH36" i="8"/>
  <c r="CJ35" i="8"/>
  <c r="CI35" i="8"/>
  <c r="CH35" i="8"/>
  <c r="CG35" i="8"/>
  <c r="CF35" i="8"/>
  <c r="CE35" i="8"/>
  <c r="CD35" i="8"/>
  <c r="CC35" i="8"/>
  <c r="CB35" i="8"/>
  <c r="CA35" i="8"/>
  <c r="BZ35" i="8"/>
  <c r="BY35" i="8"/>
  <c r="BX35" i="8"/>
  <c r="BW35" i="8"/>
  <c r="BV35" i="8"/>
  <c r="BU35" i="8"/>
  <c r="BT35" i="8"/>
  <c r="BS35" i="8"/>
  <c r="BR35" i="8"/>
  <c r="BQ35" i="8"/>
  <c r="BP35" i="8"/>
  <c r="BO35" i="8"/>
  <c r="BN35" i="8"/>
  <c r="BM35" i="8"/>
  <c r="BL35" i="8"/>
  <c r="BK35" i="8"/>
  <c r="BJ35" i="8"/>
  <c r="BI35" i="8"/>
  <c r="BH35" i="8"/>
  <c r="CJ34" i="8"/>
  <c r="CI34" i="8"/>
  <c r="CH34" i="8"/>
  <c r="CG34" i="8"/>
  <c r="CF34" i="8"/>
  <c r="CE34" i="8"/>
  <c r="CD34" i="8"/>
  <c r="CC34" i="8"/>
  <c r="CB34" i="8"/>
  <c r="CA34" i="8"/>
  <c r="BZ34" i="8"/>
  <c r="BY34" i="8"/>
  <c r="BX34" i="8"/>
  <c r="BW34" i="8"/>
  <c r="BV34" i="8"/>
  <c r="BU34" i="8"/>
  <c r="BT34" i="8"/>
  <c r="BS34" i="8"/>
  <c r="BR34" i="8"/>
  <c r="BQ34" i="8"/>
  <c r="BP34" i="8"/>
  <c r="BO34" i="8"/>
  <c r="BN34" i="8"/>
  <c r="BM34" i="8"/>
  <c r="BL34" i="8"/>
  <c r="BK34" i="8"/>
  <c r="BJ34" i="8"/>
  <c r="BI34" i="8"/>
  <c r="BH34"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CJ32" i="8"/>
  <c r="CI32" i="8"/>
  <c r="CH32" i="8"/>
  <c r="CG32" i="8"/>
  <c r="CF32" i="8"/>
  <c r="CE32" i="8"/>
  <c r="CD32" i="8"/>
  <c r="CC32" i="8"/>
  <c r="CB32" i="8"/>
  <c r="CA32" i="8"/>
  <c r="BZ32" i="8"/>
  <c r="BY32" i="8"/>
  <c r="BX32" i="8"/>
  <c r="BW32" i="8"/>
  <c r="BV32" i="8"/>
  <c r="BU32" i="8"/>
  <c r="BT32" i="8"/>
  <c r="BS32" i="8"/>
  <c r="BR32" i="8"/>
  <c r="BQ32" i="8"/>
  <c r="BP32" i="8"/>
  <c r="BO32" i="8"/>
  <c r="BN32" i="8"/>
  <c r="BM32" i="8"/>
  <c r="BL32" i="8"/>
  <c r="BK32" i="8"/>
  <c r="BJ32" i="8"/>
  <c r="BI32" i="8"/>
  <c r="BH32" i="8"/>
  <c r="CJ31" i="8"/>
  <c r="CI31" i="8"/>
  <c r="CH31" i="8"/>
  <c r="CG31" i="8"/>
  <c r="CF31" i="8"/>
  <c r="CE31" i="8"/>
  <c r="CD31" i="8"/>
  <c r="CC31" i="8"/>
  <c r="CB31" i="8"/>
  <c r="CA31" i="8"/>
  <c r="BZ31" i="8"/>
  <c r="BY31" i="8"/>
  <c r="BX31" i="8"/>
  <c r="BW31" i="8"/>
  <c r="BV31" i="8"/>
  <c r="BU31" i="8"/>
  <c r="BT31" i="8"/>
  <c r="BS31" i="8"/>
  <c r="BR31" i="8"/>
  <c r="BQ31" i="8"/>
  <c r="BP31" i="8"/>
  <c r="BO31" i="8"/>
  <c r="BN31" i="8"/>
  <c r="BM31" i="8"/>
  <c r="BL31" i="8"/>
  <c r="BK31" i="8"/>
  <c r="BJ31" i="8"/>
  <c r="BI31" i="8"/>
  <c r="BH31" i="8"/>
  <c r="CJ30" i="8"/>
  <c r="CI30" i="8"/>
  <c r="CH30" i="8"/>
  <c r="CG30" i="8"/>
  <c r="CF30" i="8"/>
  <c r="CE30" i="8"/>
  <c r="CD30" i="8"/>
  <c r="CC30" i="8"/>
  <c r="CB30" i="8"/>
  <c r="CA30" i="8"/>
  <c r="BZ30" i="8"/>
  <c r="BY30" i="8"/>
  <c r="BX30" i="8"/>
  <c r="BW30" i="8"/>
  <c r="BV30" i="8"/>
  <c r="BU30" i="8"/>
  <c r="BT30" i="8"/>
  <c r="BS30" i="8"/>
  <c r="BR30" i="8"/>
  <c r="BQ30" i="8"/>
  <c r="BP30" i="8"/>
  <c r="BO30" i="8"/>
  <c r="BN30" i="8"/>
  <c r="BM30" i="8"/>
  <c r="BL30" i="8"/>
  <c r="BK30" i="8"/>
  <c r="BJ30" i="8"/>
  <c r="BI30" i="8"/>
  <c r="BH30"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CJ27" i="8"/>
  <c r="CI27" i="8"/>
  <c r="CH27" i="8"/>
  <c r="CG27" i="8"/>
  <c r="CF27" i="8"/>
  <c r="CE27" i="8"/>
  <c r="CD27" i="8"/>
  <c r="CC27" i="8"/>
  <c r="CB27" i="8"/>
  <c r="CA27" i="8"/>
  <c r="BZ27" i="8"/>
  <c r="BY27" i="8"/>
  <c r="BX27" i="8"/>
  <c r="BW27" i="8"/>
  <c r="BV27" i="8"/>
  <c r="BU27" i="8"/>
  <c r="BT27" i="8"/>
  <c r="BS27" i="8"/>
  <c r="BR27" i="8"/>
  <c r="BQ27" i="8"/>
  <c r="BP27" i="8"/>
  <c r="BO27" i="8"/>
  <c r="BN27" i="8"/>
  <c r="BM27" i="8"/>
  <c r="BL27" i="8"/>
  <c r="BK27" i="8"/>
  <c r="BJ27" i="8"/>
  <c r="BI27" i="8"/>
  <c r="BH27" i="8"/>
  <c r="CJ26" i="8"/>
  <c r="CI26" i="8"/>
  <c r="CH26" i="8"/>
  <c r="CG26" i="8"/>
  <c r="CF26" i="8"/>
  <c r="CE26" i="8"/>
  <c r="CD26" i="8"/>
  <c r="CC26" i="8"/>
  <c r="CB26" i="8"/>
  <c r="CA26" i="8"/>
  <c r="BZ26" i="8"/>
  <c r="BY26" i="8"/>
  <c r="BX26" i="8"/>
  <c r="BW26" i="8"/>
  <c r="BV26" i="8"/>
  <c r="BU26" i="8"/>
  <c r="BT26" i="8"/>
  <c r="BS26" i="8"/>
  <c r="BR26" i="8"/>
  <c r="BQ26" i="8"/>
  <c r="BP26" i="8"/>
  <c r="BO26" i="8"/>
  <c r="BN26" i="8"/>
  <c r="BM26" i="8"/>
  <c r="BL26" i="8"/>
  <c r="BK26" i="8"/>
  <c r="BJ26" i="8"/>
  <c r="BI26" i="8"/>
  <c r="BH26" i="8"/>
  <c r="CJ25" i="8"/>
  <c r="CI25" i="8"/>
  <c r="CH25" i="8"/>
  <c r="CG25" i="8"/>
  <c r="CF25" i="8"/>
  <c r="CE25" i="8"/>
  <c r="CD25" i="8"/>
  <c r="CC25" i="8"/>
  <c r="CB25" i="8"/>
  <c r="CA25" i="8"/>
  <c r="BZ25" i="8"/>
  <c r="BY25" i="8"/>
  <c r="BX25" i="8"/>
  <c r="BW25" i="8"/>
  <c r="BV25" i="8"/>
  <c r="BU25" i="8"/>
  <c r="BT25" i="8"/>
  <c r="BS25" i="8"/>
  <c r="BR25" i="8"/>
  <c r="BQ25" i="8"/>
  <c r="BP25" i="8"/>
  <c r="BO25" i="8"/>
  <c r="BN25" i="8"/>
  <c r="BM25" i="8"/>
  <c r="BL25" i="8"/>
  <c r="BK25" i="8"/>
  <c r="BJ25" i="8"/>
  <c r="BI25" i="8"/>
  <c r="BH25"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CJ17" i="8"/>
  <c r="CI17" i="8"/>
  <c r="CH17" i="8"/>
  <c r="CG17" i="8"/>
  <c r="CF17" i="8"/>
  <c r="CE17" i="8"/>
  <c r="CD17" i="8"/>
  <c r="CC17" i="8"/>
  <c r="CB17" i="8"/>
  <c r="CA17" i="8"/>
  <c r="BZ17" i="8"/>
  <c r="BY17" i="8"/>
  <c r="BX17" i="8"/>
  <c r="BW17" i="8"/>
  <c r="BV17" i="8"/>
  <c r="BU17" i="8"/>
  <c r="BT17" i="8"/>
  <c r="BS17" i="8"/>
  <c r="BR17" i="8"/>
  <c r="BQ17" i="8"/>
  <c r="BP17" i="8"/>
  <c r="BO17" i="8"/>
  <c r="BN17" i="8"/>
  <c r="BM17" i="8"/>
  <c r="BL17" i="8"/>
  <c r="BK17" i="8"/>
  <c r="BJ17" i="8"/>
  <c r="BI17" i="8"/>
  <c r="BH17"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CJ14" i="8"/>
  <c r="CI14" i="8"/>
  <c r="CH14" i="8"/>
  <c r="CG14" i="8"/>
  <c r="CF14" i="8"/>
  <c r="CE14" i="8"/>
  <c r="CD14" i="8"/>
  <c r="CC14" i="8"/>
  <c r="CB14" i="8"/>
  <c r="CA14" i="8"/>
  <c r="BZ14" i="8"/>
  <c r="BY14" i="8"/>
  <c r="BX14" i="8"/>
  <c r="BW14" i="8"/>
  <c r="BV14" i="8"/>
  <c r="BU14" i="8"/>
  <c r="BT14" i="8"/>
  <c r="BS14" i="8"/>
  <c r="BR14" i="8"/>
  <c r="BQ14" i="8"/>
  <c r="BP14" i="8"/>
  <c r="BO14" i="8"/>
  <c r="BN14" i="8"/>
  <c r="BM14" i="8"/>
  <c r="BL14" i="8"/>
  <c r="BK14" i="8"/>
  <c r="BJ14" i="8"/>
  <c r="BI14" i="8"/>
  <c r="BH14" i="8"/>
  <c r="BH8" i="8"/>
  <c r="BI8" i="8"/>
  <c r="BJ8" i="8"/>
  <c r="BK8" i="8"/>
  <c r="BL8" i="8"/>
  <c r="BM8" i="8"/>
  <c r="BN8" i="8"/>
  <c r="BO8" i="8"/>
  <c r="BP8" i="8"/>
  <c r="BQ8" i="8"/>
  <c r="BR8" i="8"/>
  <c r="BS8" i="8"/>
  <c r="BT8" i="8"/>
  <c r="BU8" i="8"/>
  <c r="BV8" i="8"/>
  <c r="BW8" i="8"/>
  <c r="BX8" i="8"/>
  <c r="BY8" i="8"/>
  <c r="BZ8" i="8"/>
  <c r="CA8" i="8"/>
  <c r="CB8" i="8"/>
  <c r="CC8" i="8"/>
  <c r="CD8" i="8"/>
  <c r="CE8" i="8"/>
  <c r="CF8" i="8"/>
  <c r="CG8" i="8"/>
  <c r="CH8" i="8"/>
  <c r="CI8" i="8"/>
  <c r="CJ8" i="8"/>
  <c r="BH9" i="8"/>
  <c r="BI9" i="8"/>
  <c r="BJ9" i="8"/>
  <c r="BK9" i="8"/>
  <c r="BL9" i="8"/>
  <c r="BM9" i="8"/>
  <c r="BN9" i="8"/>
  <c r="BO9" i="8"/>
  <c r="BP9" i="8"/>
  <c r="BQ9" i="8"/>
  <c r="BR9" i="8"/>
  <c r="BS9" i="8"/>
  <c r="BT9" i="8"/>
  <c r="BU9" i="8"/>
  <c r="BV9" i="8"/>
  <c r="BW9" i="8"/>
  <c r="BX9" i="8"/>
  <c r="BY9" i="8"/>
  <c r="BZ9" i="8"/>
  <c r="CA9" i="8"/>
  <c r="CB9" i="8"/>
  <c r="CC9" i="8"/>
  <c r="CD9" i="8"/>
  <c r="CE9" i="8"/>
  <c r="CF9" i="8"/>
  <c r="CG9" i="8"/>
  <c r="CH9" i="8"/>
  <c r="CI9" i="8"/>
  <c r="CJ9" i="8"/>
  <c r="BH10" i="8"/>
  <c r="BI10" i="8"/>
  <c r="BJ10" i="8"/>
  <c r="BK10" i="8"/>
  <c r="BL10" i="8"/>
  <c r="BM10" i="8"/>
  <c r="BN10" i="8"/>
  <c r="BO10" i="8"/>
  <c r="BP10" i="8"/>
  <c r="BQ10" i="8"/>
  <c r="BR10" i="8"/>
  <c r="BS10" i="8"/>
  <c r="BT10" i="8"/>
  <c r="BU10" i="8"/>
  <c r="BV10" i="8"/>
  <c r="BW10" i="8"/>
  <c r="BX10" i="8"/>
  <c r="BY10" i="8"/>
  <c r="BZ10" i="8"/>
  <c r="CA10" i="8"/>
  <c r="CB10" i="8"/>
  <c r="CC10" i="8"/>
  <c r="CD10" i="8"/>
  <c r="CE10" i="8"/>
  <c r="CF10" i="8"/>
  <c r="CG10" i="8"/>
  <c r="CH10" i="8"/>
  <c r="CI10" i="8"/>
  <c r="CJ10" i="8"/>
  <c r="BH11" i="8"/>
  <c r="BI11" i="8"/>
  <c r="BJ11" i="8"/>
  <c r="BK11" i="8"/>
  <c r="BL11" i="8"/>
  <c r="BM11" i="8"/>
  <c r="BN11" i="8"/>
  <c r="BO11" i="8"/>
  <c r="BP11" i="8"/>
  <c r="BQ11" i="8"/>
  <c r="BR11" i="8"/>
  <c r="BS11" i="8"/>
  <c r="BT11" i="8"/>
  <c r="BU11" i="8"/>
  <c r="BV11" i="8"/>
  <c r="BW11" i="8"/>
  <c r="BX11" i="8"/>
  <c r="BY11" i="8"/>
  <c r="BZ11" i="8"/>
  <c r="CA11" i="8"/>
  <c r="CB11" i="8"/>
  <c r="CC11" i="8"/>
  <c r="CD11" i="8"/>
  <c r="CE11" i="8"/>
  <c r="CF11" i="8"/>
  <c r="CG11" i="8"/>
  <c r="CH11" i="8"/>
  <c r="CI11" i="8"/>
  <c r="CJ11" i="8"/>
  <c r="BH12" i="8"/>
  <c r="BI12" i="8"/>
  <c r="BJ12" i="8"/>
  <c r="BK12" i="8"/>
  <c r="BL12" i="8"/>
  <c r="BM12" i="8"/>
  <c r="BN12" i="8"/>
  <c r="BO12" i="8"/>
  <c r="BP12" i="8"/>
  <c r="BQ12" i="8"/>
  <c r="BR12" i="8"/>
  <c r="BS12" i="8"/>
  <c r="BT12" i="8"/>
  <c r="BU12" i="8"/>
  <c r="BV12" i="8"/>
  <c r="BW12" i="8"/>
  <c r="BX12" i="8"/>
  <c r="BY12" i="8"/>
  <c r="BZ12" i="8"/>
  <c r="CA12" i="8"/>
  <c r="CB12" i="8"/>
  <c r="CC12" i="8"/>
  <c r="CD12" i="8"/>
  <c r="CE12" i="8"/>
  <c r="CF12" i="8"/>
  <c r="CG12" i="8"/>
  <c r="CH12" i="8"/>
  <c r="CI12" i="8"/>
  <c r="CJ12" i="8"/>
  <c r="BH13" i="8"/>
  <c r="BI13" i="8"/>
  <c r="BJ13" i="8"/>
  <c r="BK13" i="8"/>
  <c r="BL13" i="8"/>
  <c r="BM13" i="8"/>
  <c r="BN13" i="8"/>
  <c r="BO13" i="8"/>
  <c r="BP13" i="8"/>
  <c r="BQ13" i="8"/>
  <c r="BR13" i="8"/>
  <c r="BS13" i="8"/>
  <c r="BT13" i="8"/>
  <c r="BU13" i="8"/>
  <c r="BV13" i="8"/>
  <c r="BW13" i="8"/>
  <c r="BX13" i="8"/>
  <c r="BY13" i="8"/>
  <c r="BZ13" i="8"/>
  <c r="CA13" i="8"/>
  <c r="CB13" i="8"/>
  <c r="CC13" i="8"/>
  <c r="CD13" i="8"/>
  <c r="CE13" i="8"/>
  <c r="CF13" i="8"/>
  <c r="CG13" i="8"/>
  <c r="CH13" i="8"/>
  <c r="CI13" i="8"/>
  <c r="CJ13" i="8"/>
  <c r="AK113" i="2"/>
  <c r="C5" i="14" s="1" a="1"/>
  <c r="C5" i="14" s="1"/>
  <c r="AN175" i="2"/>
  <c r="AN176" i="2"/>
  <c r="AN177" i="2"/>
  <c r="AN178" i="2"/>
  <c r="AL132" i="2"/>
  <c r="CE7" i="8"/>
  <c r="BO7" i="8"/>
  <c r="BO5" i="8" s="1"/>
  <c r="BO4" i="8" s="1"/>
  <c r="I29" i="2" s="1"/>
  <c r="CI1" i="8"/>
  <c r="CG1" i="8"/>
  <c r="CE1" i="8"/>
  <c r="CC1" i="8"/>
  <c r="CA1" i="8"/>
  <c r="BY1" i="8"/>
  <c r="BW1" i="8"/>
  <c r="CJ7" i="8"/>
  <c r="CJ5" i="8" s="1" a="1"/>
  <c r="CJ5" i="8" s="1"/>
  <c r="CI5" i="8" s="1"/>
  <c r="CI7" i="8"/>
  <c r="CH7" i="8"/>
  <c r="CG7" i="8"/>
  <c r="CF7" i="8"/>
  <c r="CD7" i="8"/>
  <c r="CC7" i="8"/>
  <c r="CB7" i="8"/>
  <c r="CB5" i="8" s="1" a="1"/>
  <c r="CB5" i="8" s="1"/>
  <c r="CA5" i="8" s="1"/>
  <c r="CA7" i="8"/>
  <c r="BZ7" i="8"/>
  <c r="BZ5" i="8" s="1" a="1"/>
  <c r="BZ5" i="8" s="1"/>
  <c r="BY5" i="8" s="1"/>
  <c r="BY7" i="8"/>
  <c r="BX7" i="8"/>
  <c r="BX5" i="8" s="1" a="1"/>
  <c r="BX5" i="8" s="1"/>
  <c r="BW5" i="8" s="1"/>
  <c r="BW7" i="8"/>
  <c r="BV7" i="8"/>
  <c r="BV5" i="8" s="1"/>
  <c r="BU7" i="8"/>
  <c r="BU5" i="8" s="1"/>
  <c r="BT7" i="8"/>
  <c r="BT5" i="8" s="1"/>
  <c r="BS7" i="8"/>
  <c r="BS5" i="8" s="1"/>
  <c r="BR7" i="8"/>
  <c r="BR5" i="8" s="1"/>
  <c r="BQ7" i="8"/>
  <c r="BQ5" i="8" s="1"/>
  <c r="BP7" i="8"/>
  <c r="BP5" i="8" s="1"/>
  <c r="BN7" i="8"/>
  <c r="BN5" i="8" s="1"/>
  <c r="BM7" i="8"/>
  <c r="BM5" i="8" s="1"/>
  <c r="BM3" i="8" s="1"/>
  <c r="BL7" i="8"/>
  <c r="BL5" i="8" s="1"/>
  <c r="BK7" i="8"/>
  <c r="BK5" i="8" s="1"/>
  <c r="BJ7" i="8"/>
  <c r="BJ5" i="8" s="1"/>
  <c r="BI7" i="8"/>
  <c r="BI5" i="8" s="1"/>
  <c r="BH7" i="8"/>
  <c r="BH5" i="8" s="1"/>
  <c r="BA4" i="8"/>
  <c r="AZ4" i="8"/>
  <c r="AY4" i="8"/>
  <c r="AX4" i="8"/>
  <c r="AW4" i="8"/>
  <c r="AV4" i="8"/>
  <c r="AU4" i="8"/>
  <c r="AT4" i="8"/>
  <c r="AS4" i="8"/>
  <c r="AR4" i="8"/>
  <c r="AQ4" i="8"/>
  <c r="AP4" i="8"/>
  <c r="AO4" i="8"/>
  <c r="AN4" i="8"/>
  <c r="AM4" i="8"/>
  <c r="AL4" i="8"/>
  <c r="AK4" i="8"/>
  <c r="AJ4" i="8"/>
  <c r="AI4" i="8"/>
  <c r="AH4" i="8"/>
  <c r="AG4" i="8"/>
  <c r="E9" i="1"/>
  <c r="J2" i="8"/>
  <c r="BE1" i="8"/>
  <c r="AE2" i="8"/>
  <c r="AD2" i="8"/>
  <c r="AC2" i="8"/>
  <c r="AB2" i="8"/>
  <c r="AA2" i="8"/>
  <c r="Z2" i="8"/>
  <c r="Y2" i="8"/>
  <c r="X2" i="8"/>
  <c r="W2" i="8"/>
  <c r="V2" i="8"/>
  <c r="U2" i="8"/>
  <c r="T2" i="8"/>
  <c r="S2" i="8"/>
  <c r="R2" i="8"/>
  <c r="Q2" i="8"/>
  <c r="O2" i="8"/>
  <c r="N2" i="8"/>
  <c r="M2" i="8"/>
  <c r="L2" i="8"/>
  <c r="K2" i="8"/>
  <c r="BC3" i="8"/>
  <c r="I2" i="8"/>
  <c r="H2" i="8"/>
  <c r="F2" i="8"/>
  <c r="E2" i="8"/>
  <c r="D2" i="8"/>
  <c r="G2" i="8"/>
  <c r="C2" i="8"/>
  <c r="U34" i="2"/>
  <c r="I26" i="1"/>
  <c r="AG10" i="2" l="1"/>
  <c r="Z68" i="2"/>
  <c r="Z69" i="2"/>
  <c r="Z70" i="2"/>
  <c r="Z71" i="2"/>
  <c r="Z72" i="2"/>
  <c r="Q110" i="15"/>
  <c r="S9" i="15" a="1"/>
  <c r="S9" i="15" s="1"/>
  <c r="S11" i="15"/>
  <c r="S12" i="15" s="1"/>
  <c r="O15" i="15"/>
  <c r="R12" i="15"/>
  <c r="R10" i="15"/>
  <c r="P12" i="15"/>
  <c r="P10" i="15"/>
  <c r="N12" i="15"/>
  <c r="N10" i="15"/>
  <c r="AL133" i="2"/>
  <c r="AL134" i="2"/>
  <c r="E17" i="2"/>
  <c r="AN179" i="2"/>
  <c r="AN180" i="2"/>
  <c r="AN181" i="2"/>
  <c r="I23" i="1"/>
  <c r="H26" i="2"/>
  <c r="I23" i="2"/>
  <c r="BX4" i="8" a="1"/>
  <c r="BX4" i="8" s="1"/>
  <c r="BW2" i="8" s="1"/>
  <c r="BW3" i="8" a="1"/>
  <c r="BW3" i="8" s="1"/>
  <c r="BZ4" i="8" a="1"/>
  <c r="BZ4" i="8" s="1"/>
  <c r="BY3" i="8" a="1"/>
  <c r="BY3" i="8" s="1"/>
  <c r="BY2" i="8"/>
  <c r="CB4" i="8" a="1"/>
  <c r="CB4" i="8" s="1"/>
  <c r="CA3" i="8" a="1"/>
  <c r="CA3" i="8" s="1"/>
  <c r="CA2" i="8"/>
  <c r="CD4" i="8" a="1"/>
  <c r="CD4" i="8" s="1"/>
  <c r="CD5" i="8" a="1"/>
  <c r="CD5" i="8" s="1"/>
  <c r="CC5" i="8" s="1"/>
  <c r="CC3" i="8" a="1"/>
  <c r="CC3" i="8" s="1"/>
  <c r="CH4" i="8" a="1"/>
  <c r="CH4" i="8" s="1"/>
  <c r="CH5" i="8" a="1"/>
  <c r="CH5" i="8" s="1"/>
  <c r="CG5" i="8" s="1"/>
  <c r="CG3" i="8" a="1"/>
  <c r="CG3" i="8" s="1"/>
  <c r="CJ4" i="8" a="1"/>
  <c r="CJ4" i="8" s="1"/>
  <c r="CI3" i="8" a="1"/>
  <c r="CI3" i="8" s="1"/>
  <c r="CI2" i="8"/>
  <c r="U35" i="2"/>
  <c r="U36" i="2"/>
  <c r="U37" i="2"/>
  <c r="U38" i="2"/>
  <c r="S10" i="15" l="1"/>
  <c r="I24" i="2" s="1"/>
  <c r="CG2" i="8"/>
  <c r="AG11" i="2"/>
  <c r="O8" i="15"/>
  <c r="Q8" i="15"/>
  <c r="M9" i="15"/>
  <c r="M11" i="15"/>
  <c r="M12" i="15" s="1"/>
  <c r="AL135" i="2"/>
  <c r="AN182" i="2"/>
  <c r="AN183" i="2"/>
  <c r="AN184" i="2"/>
  <c r="AN185" i="2"/>
  <c r="AL136" i="2"/>
  <c r="I20" i="1"/>
  <c r="AN186" i="2"/>
  <c r="AN187" i="2"/>
  <c r="AN188" i="2" s="1"/>
  <c r="AN189" i="2"/>
  <c r="H23" i="1"/>
  <c r="CC2" i="8"/>
  <c r="I21" i="1"/>
  <c r="V30" i="2"/>
  <c r="U39" i="2"/>
  <c r="U40" i="2"/>
  <c r="V31" i="2"/>
  <c r="W12" i="15" l="1"/>
  <c r="AG12" i="2"/>
  <c r="O9" i="15"/>
  <c r="O11" i="15"/>
  <c r="AN190" i="2"/>
  <c r="AN191" i="2"/>
  <c r="Q11" i="15"/>
  <c r="E22" i="2"/>
  <c r="AN192" i="2"/>
  <c r="AN193" i="2"/>
  <c r="AN194" i="2"/>
  <c r="AN195" i="2"/>
  <c r="AL137" i="2"/>
  <c r="AL138" i="2"/>
  <c r="AL139" i="2"/>
  <c r="AL140" i="2"/>
  <c r="AN196" i="2"/>
  <c r="AN197" i="2"/>
  <c r="AO113" i="2"/>
  <c r="AO106" i="2"/>
  <c r="AO105" i="2"/>
  <c r="U42" i="2"/>
  <c r="U43" i="2"/>
  <c r="U45" i="2"/>
  <c r="U46" i="2"/>
  <c r="V47" i="2"/>
  <c r="V46" i="2"/>
  <c r="V45" i="2"/>
  <c r="V44" i="2"/>
  <c r="V43" i="2"/>
  <c r="V42" i="2"/>
  <c r="V41" i="2"/>
  <c r="V40" i="2"/>
  <c r="V39" i="2"/>
  <c r="O10" i="15" l="1"/>
  <c r="O12" i="15"/>
  <c r="AG13" i="2"/>
  <c r="Q10" i="15"/>
  <c r="AL141" i="2"/>
  <c r="AO173" i="2"/>
  <c r="AO172" i="2"/>
  <c r="AO171" i="2"/>
  <c r="AO170" i="2"/>
  <c r="AO169" i="2"/>
  <c r="AO168" i="2"/>
  <c r="AO167" i="2"/>
  <c r="AO166" i="2"/>
  <c r="AO165" i="2"/>
  <c r="AO164" i="2"/>
  <c r="AO163" i="2"/>
  <c r="AO162" i="2"/>
  <c r="AO161" i="2"/>
  <c r="AO160" i="2"/>
  <c r="AO159" i="2"/>
  <c r="AO158" i="2"/>
  <c r="AO157" i="2"/>
  <c r="AO156" i="2"/>
  <c r="AO155" i="2"/>
  <c r="AO154" i="2"/>
  <c r="AO153" i="2"/>
  <c r="AO152" i="2"/>
  <c r="AO151" i="2"/>
  <c r="AO150" i="2"/>
  <c r="AO149" i="2"/>
  <c r="AO148" i="2"/>
  <c r="AO147" i="2"/>
  <c r="AO146" i="2"/>
  <c r="AO145" i="2"/>
  <c r="AO144" i="2"/>
  <c r="AO143" i="2"/>
  <c r="AO142" i="2"/>
  <c r="AO141" i="2"/>
  <c r="AO140" i="2"/>
  <c r="AO139" i="2"/>
  <c r="AO138" i="2"/>
  <c r="AO137" i="2"/>
  <c r="AO136" i="2"/>
  <c r="AO135" i="2"/>
  <c r="AO134" i="2"/>
  <c r="AO133" i="2"/>
  <c r="AO132" i="2"/>
  <c r="AO131" i="2"/>
  <c r="AO130" i="2"/>
  <c r="AO129" i="2"/>
  <c r="AO128" i="2"/>
  <c r="AO127" i="2"/>
  <c r="AO126" i="2"/>
  <c r="AO125" i="2"/>
  <c r="AO124" i="2"/>
  <c r="AO123" i="2"/>
  <c r="AO122" i="2"/>
  <c r="AO121" i="2"/>
  <c r="AO120" i="2"/>
  <c r="AO119" i="2"/>
  <c r="AO118" i="2"/>
  <c r="AO117" i="2"/>
  <c r="AO116" i="2"/>
  <c r="AO115" i="2"/>
  <c r="AO114" i="2"/>
  <c r="AO112" i="2"/>
  <c r="AO111" i="2"/>
  <c r="AO110" i="2"/>
  <c r="AO109" i="2"/>
  <c r="AO108" i="2"/>
  <c r="AO198" i="2"/>
  <c r="AO197" i="2"/>
  <c r="AO196" i="2"/>
  <c r="AO195" i="2"/>
  <c r="AO194" i="2"/>
  <c r="AO193" i="2"/>
  <c r="AO192" i="2"/>
  <c r="AO191" i="2"/>
  <c r="AO190" i="2"/>
  <c r="AO189" i="2"/>
  <c r="AO188" i="2"/>
  <c r="AO187" i="2"/>
  <c r="AO186" i="2"/>
  <c r="AO185" i="2"/>
  <c r="AO184" i="2"/>
  <c r="AO183" i="2"/>
  <c r="AO182" i="2"/>
  <c r="AO181" i="2"/>
  <c r="AO180" i="2"/>
  <c r="AO179" i="2"/>
  <c r="AO178" i="2"/>
  <c r="AO177" i="2"/>
  <c r="AO176" i="2"/>
  <c r="AO175" i="2"/>
  <c r="AO174" i="2"/>
  <c r="AO107" i="2"/>
  <c r="E5" i="14" s="1" a="1"/>
  <c r="E5" i="14" s="1"/>
  <c r="I16" i="2" l="1"/>
  <c r="L4" i="2"/>
  <c r="T12" i="15"/>
  <c r="I22" i="2"/>
  <c r="AG14" i="2"/>
  <c r="I19" i="1"/>
  <c r="AL142" i="2"/>
  <c r="AL143" i="2"/>
  <c r="CF5" i="8" a="1"/>
  <c r="CF5" i="8" s="1"/>
  <c r="CE5" i="8" s="1"/>
  <c r="CF4" i="8" a="1"/>
  <c r="CF4" i="8" s="1"/>
  <c r="CE3" i="8" a="1"/>
  <c r="CE3" i="8" s="1"/>
  <c r="AG15" i="2" l="1"/>
  <c r="AL144" i="2"/>
  <c r="AL145" i="2"/>
  <c r="CE2" i="8"/>
  <c r="I15" i="2"/>
  <c r="AG16" i="2" l="1"/>
  <c r="AL146" i="2"/>
  <c r="AL147" i="2"/>
  <c r="I12" i="1"/>
  <c r="AG17" i="2" l="1"/>
  <c r="AL148" i="2"/>
  <c r="AL149" i="2"/>
  <c r="V38" i="2"/>
  <c r="V37" i="2"/>
  <c r="V36" i="2"/>
  <c r="V35" i="2"/>
  <c r="V32" i="2"/>
  <c r="V33" i="2"/>
  <c r="V34" i="2"/>
  <c r="AG18" i="2" l="1"/>
  <c r="AL150" i="2"/>
  <c r="AL151" i="2"/>
  <c r="AL152" i="2"/>
  <c r="AG19" i="2" l="1"/>
  <c r="AL153" i="2"/>
  <c r="AH5" i="2"/>
  <c r="AH6" i="2"/>
  <c r="AH7" i="2" l="1"/>
  <c r="AH8" i="2"/>
  <c r="AH9" i="2"/>
  <c r="AH10" i="2"/>
  <c r="AH11" i="2"/>
  <c r="AH12" i="2"/>
  <c r="AH13" i="2"/>
  <c r="AH14" i="2"/>
  <c r="AH15" i="2"/>
  <c r="AH16" i="2"/>
  <c r="AH17" i="2"/>
  <c r="AH18" i="2"/>
  <c r="AH19" i="2"/>
  <c r="AH24" i="2"/>
  <c r="AH23" i="2"/>
  <c r="AH22" i="2"/>
  <c r="AH21" i="2"/>
  <c r="AH20" i="2"/>
  <c r="AL154" i="2"/>
  <c r="AL155" i="2"/>
  <c r="AL156" i="2"/>
  <c r="AL157" i="2"/>
  <c r="AL158" i="2" l="1"/>
  <c r="AL159" i="2" s="1"/>
  <c r="AL160" i="2"/>
  <c r="AL161" i="2"/>
  <c r="AL168" i="2"/>
  <c r="AL162" i="2" l="1"/>
  <c r="AL163" i="2"/>
  <c r="AL164" i="2"/>
  <c r="AL165" i="2"/>
  <c r="AL166" i="2"/>
  <c r="AL167" i="2"/>
  <c r="AL169" i="2"/>
  <c r="AL170" i="2" l="1"/>
  <c r="AM126" i="2"/>
  <c r="AM122" i="2"/>
  <c r="AM125" i="2"/>
  <c r="AM124" i="2"/>
  <c r="AM123" i="2"/>
  <c r="AM129" i="2"/>
  <c r="AM128" i="2"/>
  <c r="AM130" i="2"/>
  <c r="AM131" i="2"/>
  <c r="AM132" i="2"/>
  <c r="AM127" i="2" l="1"/>
  <c r="AM120" i="2"/>
  <c r="AM119" i="2"/>
  <c r="AM118" i="2"/>
  <c r="AM116" i="2"/>
  <c r="AM117" i="2"/>
  <c r="AM106" i="2"/>
  <c r="AM105" i="2"/>
  <c r="AM110" i="2"/>
  <c r="AM109" i="2"/>
  <c r="AM108" i="2"/>
  <c r="AM107" i="2"/>
  <c r="AM112" i="2"/>
  <c r="AM111" i="2"/>
  <c r="AM115" i="2"/>
  <c r="AM114" i="2"/>
  <c r="AM113" i="2"/>
  <c r="AM121" i="2"/>
  <c r="AM168" i="2"/>
  <c r="AM167" i="2"/>
  <c r="AM166" i="2"/>
  <c r="AM165" i="2"/>
  <c r="AM164" i="2"/>
  <c r="AM163" i="2"/>
  <c r="AM162" i="2"/>
  <c r="AM161" i="2"/>
  <c r="AM160" i="2"/>
  <c r="AM159" i="2"/>
  <c r="AM158" i="2"/>
  <c r="AM157" i="2"/>
  <c r="AM156" i="2"/>
  <c r="AM155" i="2"/>
  <c r="AM154" i="2"/>
  <c r="AM153" i="2"/>
  <c r="AM152" i="2"/>
  <c r="AM151" i="2"/>
  <c r="AM150" i="2"/>
  <c r="AM149" i="2"/>
  <c r="AM148" i="2"/>
  <c r="AM147" i="2"/>
  <c r="AM146" i="2"/>
  <c r="AM145" i="2"/>
  <c r="AM144" i="2"/>
  <c r="AM143" i="2"/>
  <c r="AM142" i="2"/>
  <c r="AM141" i="2"/>
  <c r="AM140" i="2"/>
  <c r="AM139" i="2"/>
  <c r="AM138" i="2"/>
  <c r="AM137" i="2"/>
  <c r="AM136" i="2"/>
  <c r="AM135" i="2"/>
  <c r="AM134" i="2"/>
  <c r="AM133" i="2"/>
  <c r="AM198" i="2"/>
  <c r="AM197" i="2"/>
  <c r="AM196" i="2"/>
  <c r="AM195" i="2"/>
  <c r="AM194" i="2"/>
  <c r="AM193" i="2"/>
  <c r="AM192" i="2"/>
  <c r="AM191" i="2"/>
  <c r="AM190" i="2"/>
  <c r="AM189" i="2"/>
  <c r="AM188" i="2"/>
  <c r="AM187" i="2"/>
  <c r="AM186" i="2"/>
  <c r="AM185" i="2"/>
  <c r="AM184" i="2"/>
  <c r="AM183" i="2"/>
  <c r="AM182" i="2"/>
  <c r="AM181" i="2"/>
  <c r="AM180" i="2"/>
  <c r="AM179" i="2"/>
  <c r="AM178" i="2"/>
  <c r="AM177" i="2"/>
  <c r="AM176" i="2"/>
  <c r="AM175" i="2"/>
  <c r="AM174" i="2"/>
  <c r="AM173" i="2"/>
  <c r="AM172" i="2"/>
  <c r="AM171" i="2"/>
  <c r="AM170" i="2"/>
  <c r="AM169" i="2"/>
  <c r="D5" i="14" a="1"/>
  <c r="D5" i="14" s="1"/>
  <c r="D54" i="1" l="1"/>
  <c r="V24" i="1" l="1"/>
  <c r="W13" i="1"/>
  <c r="X13" i="1" s="1"/>
  <c r="D13" i="2"/>
  <c r="F11" i="2"/>
  <c r="I39" i="2"/>
  <c r="I36" i="1" s="1"/>
  <c r="W24" i="1" l="1"/>
  <c r="C25" i="13" a="1"/>
  <c r="C25" i="13" s="1"/>
  <c r="B25" i="13" a="1"/>
  <c r="B25" i="13" s="1"/>
  <c r="B19" i="13"/>
  <c r="Q13" i="13" l="1"/>
  <c r="R13" i="13" s="1"/>
  <c r="U8" i="13"/>
  <c r="Q9" i="13"/>
  <c r="R9" i="13" s="1"/>
  <c r="Q8" i="13"/>
  <c r="Q18" i="13"/>
  <c r="R18" i="13" s="1"/>
  <c r="Q17" i="13"/>
  <c r="R17" i="13" s="1"/>
  <c r="Q16" i="13"/>
  <c r="B32" i="13"/>
  <c r="B31" i="13"/>
  <c r="C19" i="13"/>
  <c r="AA19" i="1" s="1"/>
  <c r="E16" i="2"/>
  <c r="H41" i="2" l="1"/>
  <c r="H42" i="2"/>
  <c r="H38" i="1"/>
  <c r="Z19" i="1"/>
  <c r="Q30" i="13"/>
  <c r="Q29" i="13"/>
  <c r="Q23" i="13"/>
  <c r="R23" i="13" s="1"/>
  <c r="Q22" i="13"/>
  <c r="R22" i="13" s="1"/>
  <c r="Q21" i="13"/>
  <c r="R21" i="13" s="1"/>
  <c r="Q20" i="13"/>
  <c r="R20" i="13" s="1"/>
  <c r="Q19" i="13"/>
  <c r="Q7" i="13"/>
  <c r="R7" i="13" s="1"/>
  <c r="Q6" i="13"/>
  <c r="R6" i="13" s="1"/>
  <c r="Q5" i="13"/>
  <c r="Q12" i="13"/>
  <c r="R12" i="13" s="1"/>
  <c r="Q11" i="13"/>
  <c r="W12" i="13" s="1"/>
  <c r="R16" i="13"/>
  <c r="W18" i="13"/>
  <c r="AB22" i="1" s="1"/>
  <c r="W17" i="13"/>
  <c r="M10" i="15" l="1"/>
  <c r="R19" i="13"/>
  <c r="W16" i="13"/>
  <c r="W13" i="13"/>
  <c r="W11" i="13"/>
  <c r="I1" i="2"/>
  <c r="I14" i="2"/>
  <c r="I11" i="1" s="1"/>
  <c r="I17" i="2"/>
  <c r="AB21" i="1"/>
  <c r="R11" i="13"/>
  <c r="W7" i="13"/>
  <c r="AB20" i="1" s="1"/>
  <c r="W6" i="13"/>
  <c r="W5" i="13"/>
  <c r="R5" i="13"/>
  <c r="W31" i="13"/>
  <c r="AB23" i="1" s="1"/>
  <c r="W30" i="13"/>
  <c r="W29" i="13"/>
  <c r="I12" i="2" l="1"/>
  <c r="I14" i="1"/>
  <c r="I13" i="1"/>
  <c r="S5" i="2"/>
  <c r="AC5" i="13"/>
  <c r="AD6" i="13"/>
  <c r="AD7" i="13"/>
  <c r="AD8" i="13"/>
  <c r="AD5" i="13"/>
  <c r="AD9" i="13" s="1"/>
  <c r="Z25" i="1" s="1"/>
  <c r="AC8" i="13"/>
  <c r="AC7" i="13"/>
  <c r="AC6" i="13"/>
  <c r="AC9" i="13" l="1"/>
  <c r="Z24" i="1" s="1"/>
  <c r="I9" i="1"/>
  <c r="I52" i="2" l="1"/>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BA45" i="2" l="1"/>
  <c r="BB45" i="2" l="1"/>
  <c r="BC45" i="2" l="1"/>
  <c r="AZ71" i="2"/>
  <c r="AY71" i="2"/>
  <c r="AX71" i="2" l="1"/>
  <c r="D415" i="1"/>
  <c r="AY112" i="2" l="1"/>
  <c r="E92" i="2" l="1"/>
  <c r="N51" i="1" s="1"/>
  <c r="D261" i="1"/>
  <c r="AX112" i="2"/>
  <c r="D92" i="2" s="1"/>
  <c r="AY138" i="2"/>
  <c r="AZ138" i="2"/>
  <c r="AY70" i="2"/>
  <c r="AZ70" i="2"/>
  <c r="BA71" i="2" l="1"/>
  <c r="AX70" i="2"/>
  <c r="D414" i="1"/>
  <c r="D570" i="1"/>
  <c r="AX138" i="2"/>
  <c r="BA112" i="2"/>
  <c r="AY137" i="2"/>
  <c r="AY69" i="2"/>
  <c r="AX69" i="2" l="1"/>
  <c r="D413" i="1"/>
  <c r="BA70" i="2"/>
  <c r="BA137" i="2"/>
  <c r="AX137" i="2"/>
  <c r="D569" i="1"/>
  <c r="BA138" i="2"/>
  <c r="BB112" i="2"/>
  <c r="BB71" i="2"/>
  <c r="BC71" i="2" s="1"/>
  <c r="AY136" i="2"/>
  <c r="AZ137" i="2"/>
  <c r="AY68" i="2"/>
  <c r="AZ69" i="2"/>
  <c r="BC112" i="2" l="1"/>
  <c r="F92" i="2"/>
  <c r="BA69" i="2"/>
  <c r="AX68" i="2"/>
  <c r="D412" i="1"/>
  <c r="BA136" i="2"/>
  <c r="AX136" i="2"/>
  <c r="D568" i="1"/>
  <c r="BB138" i="2"/>
  <c r="BB137" i="2"/>
  <c r="BB70" i="2"/>
  <c r="BC70" i="2" s="1"/>
  <c r="AY135" i="2"/>
  <c r="AZ136" i="2"/>
  <c r="AY67" i="2"/>
  <c r="AZ68" i="2"/>
  <c r="AY44" i="2"/>
  <c r="O51" i="1" l="1"/>
  <c r="H92" i="2"/>
  <c r="G92" i="2"/>
  <c r="AX44" i="2"/>
  <c r="D112" i="1"/>
  <c r="BA68" i="2"/>
  <c r="AX67" i="2"/>
  <c r="D411" i="1"/>
  <c r="BA135" i="2"/>
  <c r="AX135" i="2"/>
  <c r="D567" i="1"/>
  <c r="BC137" i="2"/>
  <c r="BC138" i="2"/>
  <c r="BB136" i="2"/>
  <c r="BB69" i="2"/>
  <c r="BC69" i="2" s="1"/>
  <c r="AY134" i="2"/>
  <c r="AZ135" i="2"/>
  <c r="AY66" i="2"/>
  <c r="AZ67" i="2"/>
  <c r="AY111" i="2"/>
  <c r="AY43" i="2"/>
  <c r="E91" i="2" l="1"/>
  <c r="N50" i="1" s="1"/>
  <c r="P51" i="1"/>
  <c r="Q51" i="1"/>
  <c r="AX43" i="2"/>
  <c r="D111" i="1"/>
  <c r="AX111" i="2"/>
  <c r="D91" i="2" s="1"/>
  <c r="D258" i="1"/>
  <c r="BA44" i="2"/>
  <c r="BA67" i="2"/>
  <c r="AX66" i="2"/>
  <c r="D410" i="1"/>
  <c r="BA134" i="2"/>
  <c r="AX134" i="2"/>
  <c r="D566" i="1"/>
  <c r="BC136" i="2"/>
  <c r="BB135" i="2"/>
  <c r="BB68" i="2"/>
  <c r="BC68" i="2" s="1"/>
  <c r="AY110" i="2"/>
  <c r="AY133" i="2"/>
  <c r="AZ134" i="2"/>
  <c r="AY65" i="2"/>
  <c r="AZ66" i="2"/>
  <c r="AY109" i="2"/>
  <c r="AY42" i="2"/>
  <c r="E89" i="2" l="1"/>
  <c r="N48" i="1" s="1"/>
  <c r="E90" i="2"/>
  <c r="N49" i="1" s="1"/>
  <c r="AX42" i="2"/>
  <c r="D110" i="1"/>
  <c r="AX109" i="2"/>
  <c r="D89" i="2" s="1"/>
  <c r="D256" i="1"/>
  <c r="BA66" i="2"/>
  <c r="AX65" i="2"/>
  <c r="D409" i="1"/>
  <c r="BA133" i="2"/>
  <c r="AX133" i="2"/>
  <c r="D565" i="1"/>
  <c r="AX110" i="2"/>
  <c r="D90" i="2" s="1"/>
  <c r="D257" i="1"/>
  <c r="BC135" i="2"/>
  <c r="BB134" i="2"/>
  <c r="BB67" i="2"/>
  <c r="BC67" i="2" s="1"/>
  <c r="BB44" i="2"/>
  <c r="AY41" i="2"/>
  <c r="AY132" i="2"/>
  <c r="AZ133" i="2"/>
  <c r="AY64" i="2"/>
  <c r="AZ65" i="2"/>
  <c r="AY108" i="2"/>
  <c r="E88" i="2" l="1"/>
  <c r="N47" i="1" s="1"/>
  <c r="BC44" i="2"/>
  <c r="AX108" i="2"/>
  <c r="D88" i="2" s="1"/>
  <c r="D255" i="1"/>
  <c r="BA65" i="2"/>
  <c r="AX64" i="2"/>
  <c r="D408" i="1"/>
  <c r="BA132" i="2"/>
  <c r="AX132" i="2"/>
  <c r="D564" i="1"/>
  <c r="AX41" i="2"/>
  <c r="D109" i="1"/>
  <c r="BC134" i="2"/>
  <c r="BB133" i="2"/>
  <c r="BB66" i="2"/>
  <c r="BC66" i="2" s="1"/>
  <c r="AY40" i="2"/>
  <c r="AY131" i="2"/>
  <c r="AZ132" i="2"/>
  <c r="AY63" i="2"/>
  <c r="AZ64" i="2"/>
  <c r="AY107" i="2"/>
  <c r="E87" i="2" l="1"/>
  <c r="N46" i="1" s="1"/>
  <c r="D254" i="1"/>
  <c r="AX107" i="2"/>
  <c r="D87" i="2" s="1"/>
  <c r="BA64" i="2"/>
  <c r="AX63" i="2"/>
  <c r="D407" i="1"/>
  <c r="BA131" i="2"/>
  <c r="AX131" i="2"/>
  <c r="D563" i="1"/>
  <c r="D108" i="1"/>
  <c r="AX40" i="2"/>
  <c r="BC133" i="2"/>
  <c r="BB132" i="2"/>
  <c r="BB65" i="2"/>
  <c r="BC65" i="2" s="1"/>
  <c r="AY39" i="2"/>
  <c r="AY130" i="2"/>
  <c r="AZ131" i="2"/>
  <c r="AY62" i="2"/>
  <c r="AZ63" i="2"/>
  <c r="AY106" i="2"/>
  <c r="E86" i="2" l="1"/>
  <c r="N45" i="1" s="1"/>
  <c r="D253" i="1"/>
  <c r="AX106" i="2"/>
  <c r="D86" i="2" s="1"/>
  <c r="BA63" i="2"/>
  <c r="AX62" i="2"/>
  <c r="D406" i="1"/>
  <c r="BA130" i="2"/>
  <c r="AX130" i="2"/>
  <c r="D562" i="1"/>
  <c r="D105" i="1"/>
  <c r="AX39" i="2"/>
  <c r="BC132" i="2"/>
  <c r="BB131" i="2"/>
  <c r="BB64" i="2"/>
  <c r="BC64" i="2" s="1"/>
  <c r="AY38" i="2"/>
  <c r="AY129" i="2"/>
  <c r="AZ130" i="2"/>
  <c r="AY61" i="2"/>
  <c r="AZ62" i="2"/>
  <c r="AY105" i="2"/>
  <c r="E85" i="2" l="1"/>
  <c r="N44" i="1" s="1"/>
  <c r="AX105" i="2"/>
  <c r="D85" i="2" s="1"/>
  <c r="D252" i="1"/>
  <c r="BA62" i="2"/>
  <c r="AX61" i="2"/>
  <c r="D405" i="1"/>
  <c r="BA129" i="2"/>
  <c r="D561" i="1"/>
  <c r="AX129" i="2"/>
  <c r="D104" i="1"/>
  <c r="AX38" i="2"/>
  <c r="BC131" i="2"/>
  <c r="BB130" i="2"/>
  <c r="BB63" i="2"/>
  <c r="BC63" i="2" s="1"/>
  <c r="AY37" i="2"/>
  <c r="AZ129" i="2"/>
  <c r="AY60" i="2"/>
  <c r="AZ61" i="2"/>
  <c r="AY104" i="2"/>
  <c r="E84" i="2" l="1"/>
  <c r="N43" i="1" s="1"/>
  <c r="D251" i="1"/>
  <c r="AX104" i="2"/>
  <c r="D84" i="2" s="1"/>
  <c r="BA61" i="2"/>
  <c r="AX60" i="2"/>
  <c r="D404" i="1"/>
  <c r="D103" i="1"/>
  <c r="AX37" i="2"/>
  <c r="BC130" i="2"/>
  <c r="BB129" i="2"/>
  <c r="BB62" i="2"/>
  <c r="BC62" i="2" s="1"/>
  <c r="AY36" i="2"/>
  <c r="AZ60" i="2"/>
  <c r="AY59" i="2"/>
  <c r="AY103" i="2"/>
  <c r="E83" i="2" l="1"/>
  <c r="N42" i="1" s="1"/>
  <c r="D247" i="1"/>
  <c r="AX103" i="2"/>
  <c r="D83" i="2" s="1"/>
  <c r="AX59" i="2"/>
  <c r="D403" i="1"/>
  <c r="BA60" i="2"/>
  <c r="D102" i="1"/>
  <c r="AX36" i="2"/>
  <c r="BC129" i="2"/>
  <c r="BB61" i="2"/>
  <c r="BC61" i="2" s="1"/>
  <c r="AY35" i="2"/>
  <c r="AY58" i="2"/>
  <c r="AZ59" i="2"/>
  <c r="AY102" i="2"/>
  <c r="E82" i="2" l="1"/>
  <c r="N41" i="1" s="1"/>
  <c r="D246" i="1"/>
  <c r="AX102" i="2"/>
  <c r="D82" i="2" s="1"/>
  <c r="BA59" i="2"/>
  <c r="AX58" i="2"/>
  <c r="D402" i="1"/>
  <c r="D101" i="1"/>
  <c r="AX35" i="2"/>
  <c r="BB60" i="2"/>
  <c r="BC60" i="2" s="1"/>
  <c r="AY34" i="2"/>
  <c r="AY57" i="2"/>
  <c r="AZ58" i="2"/>
  <c r="BA58" i="2" l="1"/>
  <c r="AX57" i="2"/>
  <c r="D401" i="1"/>
  <c r="D100" i="1"/>
  <c r="AX34" i="2"/>
  <c r="BB59" i="2"/>
  <c r="BC59" i="2" s="1"/>
  <c r="AY33" i="2"/>
  <c r="AY56" i="2"/>
  <c r="AZ57" i="2"/>
  <c r="AY101" i="2"/>
  <c r="AY100" i="2"/>
  <c r="AY99" i="2"/>
  <c r="AY98" i="2"/>
  <c r="AY97" i="2"/>
  <c r="AY96" i="2"/>
  <c r="AY95" i="2"/>
  <c r="AY94" i="2"/>
  <c r="AY93" i="2"/>
  <c r="AY92" i="2"/>
  <c r="AY91" i="2"/>
  <c r="AY90" i="2"/>
  <c r="AY89" i="2"/>
  <c r="AY88" i="2"/>
  <c r="AY87" i="2"/>
  <c r="AY86" i="2"/>
  <c r="AY85" i="2"/>
  <c r="AY84" i="2"/>
  <c r="AY83" i="2"/>
  <c r="AY82" i="2"/>
  <c r="AY81" i="2"/>
  <c r="AY80" i="2"/>
  <c r="AY79" i="2"/>
  <c r="AY78" i="2"/>
  <c r="AY77" i="2"/>
  <c r="AY76" i="2"/>
  <c r="AY75" i="2"/>
  <c r="AY74" i="2"/>
  <c r="AY73" i="2"/>
  <c r="AY72" i="2"/>
  <c r="E68" i="2" l="1"/>
  <c r="N27" i="1" s="1"/>
  <c r="E69" i="2"/>
  <c r="N28" i="1" s="1"/>
  <c r="E70" i="2"/>
  <c r="N29" i="1" s="1"/>
  <c r="E71" i="2"/>
  <c r="N30" i="1" s="1"/>
  <c r="E72" i="2"/>
  <c r="N31" i="1" s="1"/>
  <c r="E73" i="2"/>
  <c r="N32" i="1" s="1"/>
  <c r="E74" i="2"/>
  <c r="N33" i="1" s="1"/>
  <c r="E75" i="2"/>
  <c r="N34" i="1" s="1"/>
  <c r="E76" i="2"/>
  <c r="N35" i="1" s="1"/>
  <c r="E77" i="2"/>
  <c r="N36" i="1" s="1"/>
  <c r="E78" i="2"/>
  <c r="N37" i="1" s="1"/>
  <c r="E79" i="2"/>
  <c r="N38" i="1" s="1"/>
  <c r="E80" i="2"/>
  <c r="N39" i="1" s="1"/>
  <c r="E81" i="2"/>
  <c r="N40" i="1" s="1"/>
  <c r="AX72" i="2"/>
  <c r="D210" i="1"/>
  <c r="AX73" i="2"/>
  <c r="D211" i="1"/>
  <c r="D212" i="1"/>
  <c r="AX74" i="2"/>
  <c r="D213" i="1"/>
  <c r="AX75" i="2"/>
  <c r="D214" i="1"/>
  <c r="AX76" i="2"/>
  <c r="D215" i="1"/>
  <c r="AX77" i="2"/>
  <c r="D216" i="1"/>
  <c r="AX78" i="2"/>
  <c r="D217" i="1"/>
  <c r="AX79" i="2"/>
  <c r="D218" i="1"/>
  <c r="AX80" i="2"/>
  <c r="D221" i="1"/>
  <c r="AX81" i="2"/>
  <c r="D222" i="1"/>
  <c r="AX82" i="2"/>
  <c r="D223" i="1"/>
  <c r="AX83" i="2"/>
  <c r="D224" i="1"/>
  <c r="AX84" i="2"/>
  <c r="D225" i="1"/>
  <c r="AX85" i="2"/>
  <c r="D226" i="1"/>
  <c r="AX86" i="2"/>
  <c r="D227" i="1"/>
  <c r="AX87" i="2"/>
  <c r="D228" i="1"/>
  <c r="AX88" i="2"/>
  <c r="D68" i="2" s="1"/>
  <c r="D231" i="1"/>
  <c r="AX89" i="2"/>
  <c r="D69" i="2" s="1"/>
  <c r="AX90" i="2"/>
  <c r="D70" i="2" s="1"/>
  <c r="D232" i="1"/>
  <c r="AX91" i="2"/>
  <c r="D71" i="2" s="1"/>
  <c r="D233" i="1"/>
  <c r="AX92" i="2"/>
  <c r="D72" i="2" s="1"/>
  <c r="D234" i="1"/>
  <c r="AX93" i="2"/>
  <c r="D73" i="2" s="1"/>
  <c r="D235" i="1"/>
  <c r="AX94" i="2"/>
  <c r="D74" i="2" s="1"/>
  <c r="D236" i="1"/>
  <c r="D237" i="1"/>
  <c r="AX95" i="2"/>
  <c r="D75" i="2" s="1"/>
  <c r="D238" i="1"/>
  <c r="AX96" i="2"/>
  <c r="D76" i="2" s="1"/>
  <c r="D241" i="1"/>
  <c r="AX97" i="2"/>
  <c r="D77" i="2" s="1"/>
  <c r="D242" i="1"/>
  <c r="AX98" i="2"/>
  <c r="D78" i="2" s="1"/>
  <c r="D243" i="1"/>
  <c r="AX99" i="2"/>
  <c r="D79" i="2" s="1"/>
  <c r="D244" i="1"/>
  <c r="AX100" i="2"/>
  <c r="D80" i="2" s="1"/>
  <c r="D245" i="1"/>
  <c r="AX101" i="2"/>
  <c r="D81" i="2" s="1"/>
  <c r="BA57" i="2"/>
  <c r="AX56" i="2"/>
  <c r="D400" i="1"/>
  <c r="D99" i="1"/>
  <c r="AX33" i="2"/>
  <c r="BB58" i="2"/>
  <c r="BC58" i="2" s="1"/>
  <c r="AY32" i="2"/>
  <c r="AY55" i="2"/>
  <c r="AZ56" i="2"/>
  <c r="BA56" i="2" l="1"/>
  <c r="AX55" i="2"/>
  <c r="D399" i="1"/>
  <c r="D98" i="1"/>
  <c r="AX32" i="2"/>
  <c r="BB57" i="2"/>
  <c r="BC57" i="2" s="1"/>
  <c r="AY31" i="2"/>
  <c r="AY54" i="2"/>
  <c r="AZ55" i="2"/>
  <c r="BA55" i="2" l="1"/>
  <c r="AX54" i="2"/>
  <c r="D398" i="1"/>
  <c r="D97" i="1"/>
  <c r="AX31" i="2"/>
  <c r="BB56" i="2"/>
  <c r="BC56" i="2" s="1"/>
  <c r="AY30" i="2"/>
  <c r="AY53" i="2"/>
  <c r="AZ54" i="2"/>
  <c r="BA54" i="2" l="1"/>
  <c r="AX53" i="2"/>
  <c r="D397" i="1"/>
  <c r="D96" i="1"/>
  <c r="AX30" i="2"/>
  <c r="BB55" i="2"/>
  <c r="BC55" i="2" s="1"/>
  <c r="AZ53" i="2"/>
  <c r="AY52" i="2"/>
  <c r="BA53" i="2" l="1"/>
  <c r="AX52" i="2"/>
  <c r="D396" i="1"/>
  <c r="BB54" i="2"/>
  <c r="BC54" i="2" s="1"/>
  <c r="AZ52" i="2"/>
  <c r="AY29" i="2"/>
  <c r="D93" i="1" l="1"/>
  <c r="AX29" i="2"/>
  <c r="BA52" i="2"/>
  <c r="BB53" i="2"/>
  <c r="BC53" i="2" s="1"/>
  <c r="AY28" i="2"/>
  <c r="D92" i="1" l="1"/>
  <c r="AX28" i="2"/>
  <c r="BB52" i="2"/>
  <c r="BC52" i="2" s="1"/>
  <c r="AY27" i="2"/>
  <c r="D91" i="1" l="1"/>
  <c r="AX27" i="2"/>
  <c r="AY26" i="2"/>
  <c r="D90" i="1" l="1"/>
  <c r="AX26" i="2"/>
  <c r="AY25" i="2"/>
  <c r="D89" i="1" l="1"/>
  <c r="AX25" i="2"/>
  <c r="AY24" i="2"/>
  <c r="D88" i="1" l="1"/>
  <c r="AX24" i="2"/>
  <c r="AY23" i="2"/>
  <c r="D87" i="1" l="1"/>
  <c r="AX23" i="2"/>
  <c r="AY22" i="2"/>
  <c r="D86" i="1" l="1"/>
  <c r="AX22" i="2"/>
  <c r="AY21" i="2"/>
  <c r="D83" i="1" l="1"/>
  <c r="AX21" i="2"/>
  <c r="AY20" i="2"/>
  <c r="D82" i="1" l="1"/>
  <c r="AX20" i="2"/>
  <c r="AY19" i="2"/>
  <c r="D81" i="1" l="1"/>
  <c r="AX19" i="2"/>
  <c r="AY18" i="2"/>
  <c r="D80" i="1" l="1"/>
  <c r="AX18" i="2"/>
  <c r="AY17" i="2"/>
  <c r="D79" i="1" l="1"/>
  <c r="AX17" i="2"/>
  <c r="AY16" i="2"/>
  <c r="D78" i="1" l="1"/>
  <c r="AX16" i="2"/>
  <c r="AY15" i="2"/>
  <c r="D77" i="1" l="1"/>
  <c r="AX15" i="2"/>
  <c r="AY14" i="2"/>
  <c r="D76" i="1" l="1"/>
  <c r="AX14" i="2"/>
  <c r="AY13" i="2"/>
  <c r="D73" i="1" l="1"/>
  <c r="AX13" i="2"/>
  <c r="AY12" i="2"/>
  <c r="D72" i="1" l="1"/>
  <c r="AX12" i="2"/>
  <c r="AY11" i="2"/>
  <c r="D71" i="1" l="1"/>
  <c r="AX11" i="2"/>
  <c r="AY10" i="2"/>
  <c r="D70" i="1" l="1"/>
  <c r="AX10" i="2"/>
  <c r="AY9" i="2"/>
  <c r="D69" i="1" l="1"/>
  <c r="AX9" i="2"/>
  <c r="AY8" i="2"/>
  <c r="D68" i="1" l="1"/>
  <c r="AX8" i="2"/>
  <c r="AY7" i="2"/>
  <c r="D67" i="1" l="1"/>
  <c r="AX7" i="2"/>
  <c r="AY6" i="2"/>
  <c r="D66" i="1" l="1"/>
  <c r="AX6" i="2"/>
  <c r="AY5" i="2"/>
  <c r="D65" i="1" l="1"/>
  <c r="AX5" i="2"/>
  <c r="AY51" i="2"/>
  <c r="AX51" i="2" l="1"/>
  <c r="D395" i="1"/>
  <c r="F113" i="1"/>
  <c r="F112" i="1"/>
  <c r="AZ51" i="2"/>
  <c r="AY50" i="2"/>
  <c r="AX50" i="2" l="1"/>
  <c r="D394" i="1"/>
  <c r="AZ50" i="2"/>
  <c r="AY49" i="2"/>
  <c r="AX49" i="2" l="1"/>
  <c r="D393" i="1"/>
  <c r="AZ49" i="2"/>
  <c r="AY48" i="2"/>
  <c r="AX48" i="2" l="1"/>
  <c r="D392" i="1"/>
  <c r="AZ48" i="2"/>
  <c r="AY47" i="2"/>
  <c r="AX47" i="2" l="1"/>
  <c r="D391" i="1"/>
  <c r="AZ47" i="2"/>
  <c r="AY46" i="2"/>
  <c r="D390" i="1" l="1"/>
  <c r="AX46" i="2"/>
  <c r="E391" i="1"/>
  <c r="AZ46" i="2"/>
  <c r="F415" i="1" l="1"/>
  <c r="E415" i="1"/>
  <c r="F261" i="1"/>
  <c r="F414" i="1"/>
  <c r="E414" i="1"/>
  <c r="F413" i="1"/>
  <c r="E413" i="1"/>
  <c r="F412" i="1"/>
  <c r="E412" i="1"/>
  <c r="F411" i="1"/>
  <c r="E411" i="1"/>
  <c r="F410" i="1"/>
  <c r="E410" i="1"/>
  <c r="F409" i="1"/>
  <c r="E409" i="1"/>
  <c r="F408" i="1"/>
  <c r="E408" i="1"/>
  <c r="F407" i="1"/>
  <c r="E407" i="1"/>
  <c r="F406" i="1"/>
  <c r="E406" i="1"/>
  <c r="F405" i="1"/>
  <c r="E405" i="1"/>
  <c r="F404" i="1"/>
  <c r="E404" i="1"/>
  <c r="F403" i="1"/>
  <c r="E403" i="1"/>
  <c r="E402" i="1"/>
  <c r="F402" i="1"/>
  <c r="F401" i="1"/>
  <c r="E401" i="1"/>
  <c r="F400" i="1"/>
  <c r="E400" i="1"/>
  <c r="E399" i="1"/>
  <c r="F399" i="1"/>
  <c r="E398" i="1"/>
  <c r="F398" i="1"/>
  <c r="E397" i="1"/>
  <c r="F397" i="1"/>
  <c r="E396" i="1"/>
  <c r="F396" i="1"/>
  <c r="E395" i="1"/>
  <c r="E394" i="1"/>
  <c r="E393" i="1"/>
  <c r="E392" i="1"/>
  <c r="E390" i="1"/>
  <c r="BA51" i="2" l="1"/>
  <c r="BA50" i="2" l="1"/>
  <c r="BB51" i="2"/>
  <c r="BC51" i="2" s="1"/>
  <c r="F395" i="1"/>
  <c r="BA49" i="2" l="1"/>
  <c r="BB50" i="2"/>
  <c r="BC50" i="2" s="1"/>
  <c r="F394" i="1"/>
  <c r="BA48" i="2" l="1"/>
  <c r="BB49" i="2"/>
  <c r="BC49" i="2" s="1"/>
  <c r="F393" i="1"/>
  <c r="BA47" i="2" l="1"/>
  <c r="BB48" i="2"/>
  <c r="BC48" i="2" s="1"/>
  <c r="F392" i="1"/>
  <c r="BA46" i="2" l="1"/>
  <c r="BB47" i="2"/>
  <c r="BC47" i="2" s="1"/>
  <c r="F391" i="1"/>
  <c r="BA26" i="2" l="1"/>
  <c r="BA27" i="2"/>
  <c r="BA28" i="2"/>
  <c r="BA29" i="2"/>
  <c r="BA30" i="2"/>
  <c r="BA31" i="2"/>
  <c r="BA32" i="2"/>
  <c r="BA33" i="2"/>
  <c r="BA34" i="2"/>
  <c r="BA35" i="2"/>
  <c r="BA36" i="2"/>
  <c r="BA37" i="2"/>
  <c r="BA38" i="2"/>
  <c r="BA39" i="2"/>
  <c r="BA40" i="2"/>
  <c r="BA41" i="2"/>
  <c r="BA42" i="2"/>
  <c r="BA43" i="2"/>
  <c r="BA111" i="2"/>
  <c r="BB46" i="2"/>
  <c r="BC46" i="2" s="1"/>
  <c r="F390" i="1"/>
  <c r="BA110" i="2" l="1"/>
  <c r="BA25" i="2"/>
  <c r="BB111" i="2"/>
  <c r="F258" i="1"/>
  <c r="BB43" i="2"/>
  <c r="F111" i="1"/>
  <c r="BB42" i="2"/>
  <c r="F110" i="1"/>
  <c r="BB41" i="2"/>
  <c r="F109" i="1"/>
  <c r="BB40" i="2"/>
  <c r="F108" i="1"/>
  <c r="BB39" i="2"/>
  <c r="F105" i="1"/>
  <c r="BB38" i="2"/>
  <c r="F104" i="1"/>
  <c r="BB37" i="2"/>
  <c r="F103" i="1"/>
  <c r="BB36" i="2"/>
  <c r="F102" i="1"/>
  <c r="BB35" i="2"/>
  <c r="F101" i="1"/>
  <c r="BB34" i="2"/>
  <c r="F100" i="1"/>
  <c r="BB33" i="2"/>
  <c r="F99" i="1"/>
  <c r="BB32" i="2"/>
  <c r="F98" i="1"/>
  <c r="BB31" i="2"/>
  <c r="F97" i="1"/>
  <c r="BB30" i="2"/>
  <c r="F96" i="1"/>
  <c r="BB29" i="2"/>
  <c r="F93" i="1"/>
  <c r="BB28" i="2"/>
  <c r="F92" i="1"/>
  <c r="BB27" i="2"/>
  <c r="F91" i="1"/>
  <c r="BB26" i="2"/>
  <c r="F90" i="1"/>
  <c r="BC111" i="2" l="1"/>
  <c r="F91" i="2"/>
  <c r="BC26" i="2"/>
  <c r="BC27" i="2"/>
  <c r="BC28" i="2"/>
  <c r="BC29" i="2"/>
  <c r="BC30" i="2"/>
  <c r="BC31" i="2"/>
  <c r="BC32" i="2"/>
  <c r="BC33" i="2"/>
  <c r="BC34" i="2"/>
  <c r="BC35" i="2"/>
  <c r="BC36" i="2"/>
  <c r="BC37" i="2"/>
  <c r="BC38" i="2"/>
  <c r="BC39" i="2"/>
  <c r="BC40" i="2"/>
  <c r="BC41" i="2"/>
  <c r="BC42" i="2"/>
  <c r="BC43" i="2"/>
  <c r="BA109" i="2"/>
  <c r="BA24" i="2"/>
  <c r="BB25" i="2"/>
  <c r="F89" i="1"/>
  <c r="BB110" i="2"/>
  <c r="F257" i="1"/>
  <c r="BC110" i="2" l="1"/>
  <c r="F90" i="2"/>
  <c r="O50" i="1"/>
  <c r="G91" i="2"/>
  <c r="H91" i="2"/>
  <c r="BC25" i="2"/>
  <c r="O49" i="1"/>
  <c r="G90" i="2"/>
  <c r="H90" i="2"/>
  <c r="BA108" i="2"/>
  <c r="BA23" i="2"/>
  <c r="BB24" i="2"/>
  <c r="F88" i="1"/>
  <c r="BB109" i="2"/>
  <c r="F256" i="1"/>
  <c r="Q49" i="1" l="1"/>
  <c r="P49" i="1"/>
  <c r="Q50" i="1"/>
  <c r="P50" i="1"/>
  <c r="BC109" i="2"/>
  <c r="F89" i="2"/>
  <c r="BC24" i="2"/>
  <c r="BA107" i="2"/>
  <c r="BA22" i="2"/>
  <c r="BB23" i="2"/>
  <c r="F87" i="1"/>
  <c r="BB108" i="2"/>
  <c r="F255" i="1"/>
  <c r="BC108" i="2" l="1"/>
  <c r="F88" i="2"/>
  <c r="O48" i="1"/>
  <c r="G89" i="2"/>
  <c r="H89" i="2"/>
  <c r="BC23" i="2"/>
  <c r="BA106" i="2"/>
  <c r="BA21" i="2"/>
  <c r="BB22" i="2"/>
  <c r="F86" i="1"/>
  <c r="BB107" i="2"/>
  <c r="F254" i="1"/>
  <c r="Q48" i="1" l="1"/>
  <c r="P48" i="1"/>
  <c r="BC107" i="2"/>
  <c r="F87" i="2"/>
  <c r="O47" i="1"/>
  <c r="G88" i="2"/>
  <c r="H88" i="2"/>
  <c r="BC22" i="2"/>
  <c r="BA105" i="2"/>
  <c r="BA20" i="2"/>
  <c r="BB21" i="2"/>
  <c r="F83" i="1"/>
  <c r="BB106" i="2"/>
  <c r="F253" i="1"/>
  <c r="Q47" i="1" l="1"/>
  <c r="P47" i="1"/>
  <c r="BC106" i="2"/>
  <c r="F86" i="2"/>
  <c r="O46" i="1"/>
  <c r="G87" i="2"/>
  <c r="H87" i="2"/>
  <c r="BC21" i="2"/>
  <c r="BA104" i="2"/>
  <c r="BA19" i="2"/>
  <c r="BB20" i="2"/>
  <c r="BC20" i="2" s="1"/>
  <c r="F82" i="1"/>
  <c r="BB105" i="2"/>
  <c r="F252" i="1"/>
  <c r="Q46" i="1" l="1"/>
  <c r="P46" i="1"/>
  <c r="BC105" i="2"/>
  <c r="F85" i="2"/>
  <c r="O45" i="1"/>
  <c r="G86" i="2"/>
  <c r="H86" i="2"/>
  <c r="BA103" i="2"/>
  <c r="BA18" i="2"/>
  <c r="BB19" i="2"/>
  <c r="BC19" i="2" s="1"/>
  <c r="F81" i="1"/>
  <c r="BB104" i="2"/>
  <c r="F251" i="1"/>
  <c r="Q45" i="1" l="1"/>
  <c r="P45" i="1"/>
  <c r="BC104" i="2"/>
  <c r="F84" i="2"/>
  <c r="O44" i="1"/>
  <c r="G85" i="2"/>
  <c r="H85" i="2"/>
  <c r="BA102" i="2"/>
  <c r="BA17" i="2"/>
  <c r="BB18" i="2"/>
  <c r="BC18" i="2" s="1"/>
  <c r="F80" i="1"/>
  <c r="BB103" i="2"/>
  <c r="F247" i="1"/>
  <c r="Q44" i="1" l="1"/>
  <c r="P44" i="1"/>
  <c r="BC103" i="2"/>
  <c r="F83" i="2"/>
  <c r="O43" i="1"/>
  <c r="G84" i="2"/>
  <c r="H84" i="2"/>
  <c r="BA101" i="2"/>
  <c r="BA16" i="2"/>
  <c r="BB17" i="2"/>
  <c r="BC17" i="2" s="1"/>
  <c r="F79" i="1"/>
  <c r="BB102" i="2"/>
  <c r="F246" i="1"/>
  <c r="Q43" i="1" l="1"/>
  <c r="P43" i="1"/>
  <c r="BC102" i="2"/>
  <c r="F82" i="2"/>
  <c r="O42" i="1"/>
  <c r="G83" i="2"/>
  <c r="H83" i="2"/>
  <c r="BA100" i="2"/>
  <c r="BA15" i="2"/>
  <c r="BB16" i="2"/>
  <c r="BC16" i="2" s="1"/>
  <c r="F78" i="1"/>
  <c r="BB101" i="2"/>
  <c r="F245" i="1"/>
  <c r="Q42" i="1" l="1"/>
  <c r="P42" i="1"/>
  <c r="BC101" i="2"/>
  <c r="F81" i="2"/>
  <c r="O41" i="1"/>
  <c r="G82" i="2"/>
  <c r="H82" i="2"/>
  <c r="BA99" i="2"/>
  <c r="BA14" i="2"/>
  <c r="BB15" i="2"/>
  <c r="BC15" i="2" s="1"/>
  <c r="F77" i="1"/>
  <c r="BB100" i="2"/>
  <c r="F244" i="1"/>
  <c r="Q41" i="1" l="1"/>
  <c r="P41" i="1"/>
  <c r="BC100" i="2"/>
  <c r="F80" i="2"/>
  <c r="O40" i="1"/>
  <c r="G81" i="2"/>
  <c r="H81" i="2"/>
  <c r="BA98" i="2"/>
  <c r="BA13" i="2"/>
  <c r="BB14" i="2"/>
  <c r="BC14" i="2" s="1"/>
  <c r="F76" i="1"/>
  <c r="BB99" i="2"/>
  <c r="F243" i="1"/>
  <c r="Q40" i="1" l="1"/>
  <c r="P40" i="1"/>
  <c r="BC99" i="2"/>
  <c r="F79" i="2"/>
  <c r="O39" i="1"/>
  <c r="G80" i="2"/>
  <c r="H80" i="2"/>
  <c r="BA97" i="2"/>
  <c r="BA12" i="2"/>
  <c r="BB13" i="2"/>
  <c r="BC13" i="2" s="1"/>
  <c r="F73" i="1"/>
  <c r="BB98" i="2"/>
  <c r="F242" i="1"/>
  <c r="Q39" i="1" l="1"/>
  <c r="P39" i="1"/>
  <c r="BC98" i="2"/>
  <c r="F78" i="2"/>
  <c r="O38" i="1"/>
  <c r="G79" i="2"/>
  <c r="H79" i="2"/>
  <c r="BA96" i="2"/>
  <c r="BA11" i="2"/>
  <c r="BB12" i="2"/>
  <c r="BC12" i="2" s="1"/>
  <c r="F72" i="1"/>
  <c r="BB97" i="2"/>
  <c r="F241" i="1"/>
  <c r="Q38" i="1" l="1"/>
  <c r="P38" i="1"/>
  <c r="BC97" i="2"/>
  <c r="F77" i="2"/>
  <c r="O37" i="1"/>
  <c r="G78" i="2"/>
  <c r="H78" i="2"/>
  <c r="BA95" i="2"/>
  <c r="BA10" i="2"/>
  <c r="BB11" i="2"/>
  <c r="BC11" i="2" s="1"/>
  <c r="F71" i="1"/>
  <c r="BB96" i="2"/>
  <c r="F238" i="1"/>
  <c r="Q37" i="1" l="1"/>
  <c r="P37" i="1"/>
  <c r="BC96" i="2"/>
  <c r="F76" i="2"/>
  <c r="O36" i="1"/>
  <c r="H77" i="2"/>
  <c r="G77" i="2"/>
  <c r="BA94" i="2"/>
  <c r="BA9" i="2"/>
  <c r="BB10" i="2"/>
  <c r="BC10" i="2" s="1"/>
  <c r="F70" i="1"/>
  <c r="BB95" i="2"/>
  <c r="F237" i="1"/>
  <c r="P36" i="1" l="1"/>
  <c r="Q36" i="1"/>
  <c r="BC95" i="2"/>
  <c r="F75" i="2"/>
  <c r="O35" i="1"/>
  <c r="H76" i="2"/>
  <c r="G76" i="2"/>
  <c r="BA93" i="2"/>
  <c r="BA8" i="2"/>
  <c r="BB9" i="2"/>
  <c r="BC9" i="2" s="1"/>
  <c r="F69" i="1"/>
  <c r="BB94" i="2"/>
  <c r="F236" i="1"/>
  <c r="P35" i="1" l="1"/>
  <c r="Q35" i="1"/>
  <c r="BC94" i="2"/>
  <c r="F74" i="2"/>
  <c r="O34" i="1"/>
  <c r="H75" i="2"/>
  <c r="G75" i="2"/>
  <c r="BA92" i="2"/>
  <c r="BA7" i="2"/>
  <c r="BB8" i="2"/>
  <c r="BC8" i="2" s="1"/>
  <c r="F68" i="1"/>
  <c r="BB93" i="2"/>
  <c r="F235" i="1"/>
  <c r="P34" i="1" l="1"/>
  <c r="Q34" i="1"/>
  <c r="BC93" i="2"/>
  <c r="F73" i="2"/>
  <c r="O33" i="1"/>
  <c r="H74" i="2"/>
  <c r="G74" i="2"/>
  <c r="BA91" i="2"/>
  <c r="BA6" i="2"/>
  <c r="BB7" i="2"/>
  <c r="BC7" i="2" s="1"/>
  <c r="F67" i="1"/>
  <c r="BB92" i="2"/>
  <c r="F234" i="1"/>
  <c r="P33" i="1" l="1"/>
  <c r="Q33" i="1"/>
  <c r="BC92" i="2"/>
  <c r="F72" i="2"/>
  <c r="O32" i="1"/>
  <c r="H73" i="2"/>
  <c r="G73" i="2"/>
  <c r="BA90" i="2"/>
  <c r="BA5" i="2"/>
  <c r="BB6" i="2"/>
  <c r="BC6" i="2" s="1"/>
  <c r="F66" i="1"/>
  <c r="BB91" i="2"/>
  <c r="F233" i="1"/>
  <c r="P32" i="1" l="1"/>
  <c r="Q32" i="1"/>
  <c r="BC91" i="2"/>
  <c r="F71" i="2"/>
  <c r="O31" i="1"/>
  <c r="H72" i="2"/>
  <c r="G72" i="2"/>
  <c r="BA89" i="2"/>
  <c r="BB5" i="2"/>
  <c r="BC5" i="2" s="1"/>
  <c r="F65" i="1"/>
  <c r="BB90" i="2"/>
  <c r="F232" i="1"/>
  <c r="P31" i="1" l="1"/>
  <c r="Q31" i="1"/>
  <c r="BC90" i="2"/>
  <c r="F70" i="2"/>
  <c r="O30" i="1"/>
  <c r="H71" i="2"/>
  <c r="G71" i="2"/>
  <c r="BA88" i="2"/>
  <c r="BB89" i="2"/>
  <c r="F231" i="1"/>
  <c r="P30" i="1" l="1"/>
  <c r="Q30" i="1"/>
  <c r="BC89" i="2"/>
  <c r="F69" i="2"/>
  <c r="O29" i="1"/>
  <c r="H70" i="2"/>
  <c r="G70" i="2"/>
  <c r="BA87" i="2"/>
  <c r="BB88" i="2"/>
  <c r="F228" i="1"/>
  <c r="P29" i="1" l="1"/>
  <c r="Q29" i="1"/>
  <c r="BC88" i="2"/>
  <c r="F68" i="2"/>
  <c r="O28" i="1"/>
  <c r="H69" i="2"/>
  <c r="G69" i="2"/>
  <c r="BA86" i="2"/>
  <c r="BB87" i="2"/>
  <c r="BC87" i="2" s="1"/>
  <c r="F227" i="1"/>
  <c r="P28" i="1" l="1"/>
  <c r="Q28" i="1"/>
  <c r="O27" i="1"/>
  <c r="H68" i="2"/>
  <c r="G68" i="2"/>
  <c r="BA85" i="2"/>
  <c r="BB86" i="2"/>
  <c r="BC86" i="2" s="1"/>
  <c r="F226" i="1"/>
  <c r="P27" i="1" l="1"/>
  <c r="Q27" i="1"/>
  <c r="BA84" i="2"/>
  <c r="BB85" i="2"/>
  <c r="BC85" i="2" s="1"/>
  <c r="F225" i="1"/>
  <c r="BA83" i="2" l="1"/>
  <c r="BB84" i="2"/>
  <c r="BC84" i="2" s="1"/>
  <c r="F224" i="1"/>
  <c r="BA82" i="2" l="1"/>
  <c r="BB83" i="2"/>
  <c r="BC83" i="2" s="1"/>
  <c r="F223" i="1"/>
  <c r="BA81" i="2" l="1"/>
  <c r="BB82" i="2"/>
  <c r="BC82" i="2" s="1"/>
  <c r="F222" i="1"/>
  <c r="BA80" i="2" l="1"/>
  <c r="BB81" i="2"/>
  <c r="BC81" i="2" s="1"/>
  <c r="F221" i="1"/>
  <c r="BA79" i="2" l="1"/>
  <c r="BB80" i="2"/>
  <c r="BC80" i="2" s="1"/>
  <c r="F218" i="1"/>
  <c r="BA78" i="2" l="1"/>
  <c r="BB79" i="2"/>
  <c r="BC79" i="2" s="1"/>
  <c r="F217" i="1"/>
  <c r="BA77" i="2" l="1"/>
  <c r="BB78" i="2"/>
  <c r="BC78" i="2" s="1"/>
  <c r="F216" i="1"/>
  <c r="BA76" i="2" l="1"/>
  <c r="BB77" i="2"/>
  <c r="BC77" i="2" s="1"/>
  <c r="F215" i="1"/>
  <c r="BA75" i="2" l="1"/>
  <c r="BB76" i="2"/>
  <c r="BC76" i="2" s="1"/>
  <c r="F214" i="1"/>
  <c r="BA74" i="2" l="1"/>
  <c r="BB75" i="2"/>
  <c r="BC75" i="2" s="1"/>
  <c r="F213" i="1"/>
  <c r="BA73" i="2" l="1"/>
  <c r="BB74" i="2"/>
  <c r="BC74" i="2" s="1"/>
  <c r="F212" i="1"/>
  <c r="BA72" i="2" l="1"/>
  <c r="BB73" i="2"/>
  <c r="BC73" i="2" s="1"/>
  <c r="F211" i="1"/>
  <c r="BB72" i="2" l="1"/>
  <c r="BC72" i="2" s="1"/>
  <c r="F210" i="1"/>
  <c r="AY128" i="2"/>
  <c r="E67" i="2" l="1"/>
  <c r="N26" i="1" s="1"/>
  <c r="AX128" i="2"/>
  <c r="D67" i="2" s="1"/>
  <c r="D560" i="1"/>
  <c r="AY127" i="2"/>
  <c r="AZ128" i="2"/>
  <c r="BA128" i="2" l="1"/>
  <c r="E66" i="2"/>
  <c r="N25" i="1" s="1"/>
  <c r="AX127" i="2"/>
  <c r="D66" i="2" s="1"/>
  <c r="D559" i="1"/>
  <c r="AY126" i="2"/>
  <c r="AZ127" i="2"/>
  <c r="BA127" i="2" l="1"/>
  <c r="E65" i="2"/>
  <c r="N24" i="1" s="1"/>
  <c r="AX126" i="2"/>
  <c r="D65" i="2" s="1"/>
  <c r="D558" i="1"/>
  <c r="BB128" i="2"/>
  <c r="AY125" i="2"/>
  <c r="AZ126" i="2"/>
  <c r="BA126" i="2" l="1"/>
  <c r="E64" i="2"/>
  <c r="N23" i="1" s="1"/>
  <c r="AX125" i="2"/>
  <c r="D64" i="2" s="1"/>
  <c r="D557" i="1"/>
  <c r="BC128" i="2"/>
  <c r="F67" i="2"/>
  <c r="BB127" i="2"/>
  <c r="AY124" i="2"/>
  <c r="AZ125" i="2"/>
  <c r="BA125" i="2" l="1"/>
  <c r="E63" i="2"/>
  <c r="N22" i="1" s="1"/>
  <c r="AX124" i="2"/>
  <c r="D63" i="2" s="1"/>
  <c r="D556" i="1"/>
  <c r="BC127" i="2"/>
  <c r="F66" i="2"/>
  <c r="O26" i="1"/>
  <c r="H67" i="2"/>
  <c r="G67" i="2"/>
  <c r="BB126" i="2"/>
  <c r="AY123" i="2"/>
  <c r="AZ124" i="2"/>
  <c r="P26" i="1" l="1"/>
  <c r="Q26" i="1"/>
  <c r="BA124" i="2"/>
  <c r="E62" i="2"/>
  <c r="N21" i="1" s="1"/>
  <c r="AX123" i="2"/>
  <c r="D62" i="2" s="1"/>
  <c r="D555" i="1"/>
  <c r="BC126" i="2"/>
  <c r="F65" i="2"/>
  <c r="O25" i="1"/>
  <c r="H66" i="2"/>
  <c r="G66" i="2"/>
  <c r="BB125" i="2"/>
  <c r="AY122" i="2"/>
  <c r="AZ123" i="2"/>
  <c r="P25" i="1" l="1"/>
  <c r="Q25" i="1"/>
  <c r="BA123" i="2"/>
  <c r="E61" i="2"/>
  <c r="N20" i="1" s="1"/>
  <c r="AX122" i="2"/>
  <c r="D61" i="2" s="1"/>
  <c r="D554" i="1"/>
  <c r="BC125" i="2"/>
  <c r="F64" i="2"/>
  <c r="O24" i="1"/>
  <c r="H65" i="2"/>
  <c r="G65" i="2"/>
  <c r="BB124" i="2"/>
  <c r="AY121" i="2"/>
  <c r="AZ122" i="2"/>
  <c r="P24" i="1" l="1"/>
  <c r="Q24" i="1"/>
  <c r="BA122" i="2"/>
  <c r="E60" i="2"/>
  <c r="N19" i="1" s="1"/>
  <c r="AX121" i="2"/>
  <c r="D60" i="2" s="1"/>
  <c r="D553" i="1"/>
  <c r="BC124" i="2"/>
  <c r="F63" i="2"/>
  <c r="O23" i="1"/>
  <c r="H64" i="2"/>
  <c r="G64" i="2"/>
  <c r="BB123" i="2"/>
  <c r="AZ121" i="2"/>
  <c r="AY120" i="2"/>
  <c r="P23" i="1" l="1"/>
  <c r="Q23" i="1"/>
  <c r="E59" i="2"/>
  <c r="N18" i="1" s="1"/>
  <c r="AX120" i="2"/>
  <c r="D59" i="2" s="1"/>
  <c r="D552" i="1"/>
  <c r="BA121" i="2"/>
  <c r="BC123" i="2"/>
  <c r="F62" i="2"/>
  <c r="O22" i="1"/>
  <c r="H63" i="2"/>
  <c r="G63" i="2"/>
  <c r="BB122" i="2"/>
  <c r="AZ120" i="2"/>
  <c r="AY119" i="2"/>
  <c r="P22" i="1" l="1"/>
  <c r="Q22" i="1"/>
  <c r="E58" i="2"/>
  <c r="N17" i="1" s="1"/>
  <c r="AX119" i="2"/>
  <c r="D58" i="2" s="1"/>
  <c r="D551" i="1"/>
  <c r="BA120" i="2"/>
  <c r="BC122" i="2"/>
  <c r="F61" i="2"/>
  <c r="O21" i="1"/>
  <c r="H62" i="2"/>
  <c r="G62" i="2"/>
  <c r="BB121" i="2"/>
  <c r="AZ119" i="2"/>
  <c r="AY118" i="2"/>
  <c r="P21" i="1" l="1"/>
  <c r="Q21" i="1"/>
  <c r="E57" i="2"/>
  <c r="N16" i="1" s="1"/>
  <c r="D550" i="1"/>
  <c r="AX118" i="2"/>
  <c r="D57" i="2" s="1"/>
  <c r="BA119" i="2"/>
  <c r="BC121" i="2"/>
  <c r="F60" i="2"/>
  <c r="O20" i="1"/>
  <c r="H61" i="2"/>
  <c r="G61" i="2"/>
  <c r="BB120" i="2"/>
  <c r="AZ118" i="2"/>
  <c r="AY117" i="2"/>
  <c r="P20" i="1" l="1"/>
  <c r="Q20" i="1"/>
  <c r="E56" i="2"/>
  <c r="N15" i="1" s="1"/>
  <c r="D549" i="1"/>
  <c r="AX117" i="2"/>
  <c r="D56" i="2" s="1"/>
  <c r="BA118" i="2"/>
  <c r="BC120" i="2"/>
  <c r="F59" i="2"/>
  <c r="O19" i="1"/>
  <c r="H60" i="2"/>
  <c r="G60" i="2"/>
  <c r="BB119" i="2"/>
  <c r="AY116" i="2"/>
  <c r="AZ117" i="2"/>
  <c r="P19" i="1" l="1"/>
  <c r="Q19" i="1"/>
  <c r="BA117" i="2"/>
  <c r="E55" i="2"/>
  <c r="N14" i="1" s="1"/>
  <c r="D548" i="1"/>
  <c r="AX116" i="2"/>
  <c r="D55" i="2" s="1"/>
  <c r="BC119" i="2"/>
  <c r="F58" i="2"/>
  <c r="O18" i="1"/>
  <c r="H59" i="2"/>
  <c r="G59" i="2"/>
  <c r="BB118" i="2"/>
  <c r="AY115" i="2"/>
  <c r="AZ116" i="2"/>
  <c r="P18" i="1" l="1"/>
  <c r="Q18" i="1"/>
  <c r="BA116" i="2"/>
  <c r="E54" i="2"/>
  <c r="N13" i="1" s="1"/>
  <c r="D547" i="1"/>
  <c r="AX115" i="2"/>
  <c r="D54" i="2" s="1"/>
  <c r="BC118" i="2"/>
  <c r="F57" i="2"/>
  <c r="O17" i="1"/>
  <c r="H58" i="2"/>
  <c r="G58" i="2"/>
  <c r="BB117" i="2"/>
  <c r="AZ115" i="2"/>
  <c r="AY114" i="2"/>
  <c r="P17" i="1" l="1"/>
  <c r="Q17" i="1"/>
  <c r="E53" i="2"/>
  <c r="N12" i="1" s="1"/>
  <c r="D546" i="1"/>
  <c r="AX114" i="2"/>
  <c r="D53" i="2" s="1"/>
  <c r="BA115" i="2"/>
  <c r="BC117" i="2"/>
  <c r="F56" i="2"/>
  <c r="O16" i="1"/>
  <c r="H57" i="2"/>
  <c r="G57" i="2"/>
  <c r="BB116" i="2"/>
  <c r="AZ114" i="2"/>
  <c r="AY113" i="2"/>
  <c r="P16" i="1" l="1"/>
  <c r="Q16" i="1"/>
  <c r="E52" i="2"/>
  <c r="D545" i="1"/>
  <c r="AX113" i="2"/>
  <c r="BA114" i="2"/>
  <c r="BC116" i="2"/>
  <c r="F55" i="2"/>
  <c r="O15" i="1"/>
  <c r="H56" i="2"/>
  <c r="G56" i="2"/>
  <c r="BB115" i="2"/>
  <c r="F546" i="1"/>
  <c r="E546" i="1"/>
  <c r="AZ113" i="2"/>
  <c r="P15" i="1" l="1"/>
  <c r="Q15" i="1"/>
  <c r="BA113" i="2"/>
  <c r="BC115" i="2"/>
  <c r="F54" i="2"/>
  <c r="O14" i="1"/>
  <c r="H55" i="2"/>
  <c r="G55" i="2"/>
  <c r="BB114" i="2"/>
  <c r="D52" i="2"/>
  <c r="E570" i="1"/>
  <c r="F570" i="1"/>
  <c r="E569" i="1"/>
  <c r="F569" i="1"/>
  <c r="E568" i="1"/>
  <c r="F568" i="1"/>
  <c r="E567" i="1"/>
  <c r="F567" i="1"/>
  <c r="E566" i="1"/>
  <c r="F566" i="1"/>
  <c r="E565" i="1"/>
  <c r="F565" i="1"/>
  <c r="E564" i="1"/>
  <c r="F564" i="1"/>
  <c r="E563" i="1"/>
  <c r="F563" i="1"/>
  <c r="E562" i="1"/>
  <c r="F562" i="1"/>
  <c r="E561" i="1"/>
  <c r="F561" i="1"/>
  <c r="E560" i="1"/>
  <c r="F560" i="1"/>
  <c r="E559" i="1"/>
  <c r="F559" i="1"/>
  <c r="E558" i="1"/>
  <c r="F558" i="1"/>
  <c r="E557" i="1"/>
  <c r="F557" i="1"/>
  <c r="E556" i="1"/>
  <c r="F556" i="1"/>
  <c r="E555" i="1"/>
  <c r="F555" i="1"/>
  <c r="E554" i="1"/>
  <c r="F554" i="1"/>
  <c r="E553" i="1"/>
  <c r="F553" i="1"/>
  <c r="E552" i="1"/>
  <c r="F552" i="1"/>
  <c r="E551" i="1"/>
  <c r="F551" i="1"/>
  <c r="F550" i="1"/>
  <c r="E550" i="1"/>
  <c r="F549" i="1"/>
  <c r="E549" i="1"/>
  <c r="E548" i="1"/>
  <c r="F548" i="1"/>
  <c r="E547" i="1"/>
  <c r="F547" i="1"/>
  <c r="E545" i="1"/>
  <c r="F545" i="1"/>
  <c r="N11" i="1"/>
  <c r="E13" i="2"/>
  <c r="E12" i="2"/>
  <c r="P14" i="1" l="1"/>
  <c r="Q14" i="1"/>
  <c r="J55" i="2" a="1"/>
  <c r="J55" i="2" s="1"/>
  <c r="J59" i="2" s="1"/>
  <c r="J54" i="2"/>
  <c r="J58" i="2" s="1"/>
  <c r="BC114" i="2"/>
  <c r="F53" i="2"/>
  <c r="O13" i="1"/>
  <c r="H54" i="2"/>
  <c r="G54" i="2"/>
  <c r="BB113" i="2"/>
  <c r="P13" i="1" l="1"/>
  <c r="Q13" i="1"/>
  <c r="BC113" i="2"/>
  <c r="F52" i="2"/>
  <c r="O12" i="1"/>
  <c r="H53" i="2"/>
  <c r="G53" i="2"/>
  <c r="H97" i="2"/>
  <c r="J12" i="2"/>
  <c r="J70" i="2"/>
  <c r="J62" i="2"/>
  <c r="F12" i="2" s="1"/>
  <c r="J66" i="2"/>
  <c r="G12" i="2" s="1"/>
  <c r="J13" i="2"/>
  <c r="J71" i="2"/>
  <c r="J63" i="2"/>
  <c r="F13" i="2" s="1"/>
  <c r="J67" i="2"/>
  <c r="G13" i="2" s="1"/>
  <c r="P12" i="1" l="1"/>
  <c r="Q12" i="1"/>
  <c r="E18" i="2"/>
  <c r="O11" i="1"/>
  <c r="H52" i="2"/>
  <c r="G52" i="2"/>
  <c r="P11" i="1" l="1"/>
  <c r="Q11" i="1"/>
  <c r="I11" i="2"/>
  <c r="I13" i="2" s="1"/>
  <c r="H13" i="2"/>
  <c r="I10" i="1" l="1"/>
  <c r="H10" i="1"/>
  <c r="H44" i="2"/>
  <c r="H46" i="2" l="1"/>
  <c r="H40" i="1"/>
  <c r="H42" i="1" l="1"/>
  <c r="K13" i="2"/>
  <c r="AA6" i="1" l="1" a="1"/>
  <c r="AA6" i="1" s="1"/>
  <c r="AA541" i="1" l="1"/>
  <c r="AA386" i="1"/>
  <c r="AA61" i="1"/>
  <c r="AA206"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futureMetadata>
  <cellMetadata count="1">
    <bk>
      <rc t="1" v="0"/>
    </bk>
  </cellMetadata>
  <valueMetadata count="6">
    <bk>
      <rc t="2" v="0"/>
    </bk>
    <bk>
      <rc t="2" v="1"/>
    </bk>
    <bk>
      <rc t="2" v="2"/>
    </bk>
    <bk>
      <rc t="2" v="3"/>
    </bk>
    <bk>
      <rc t="2" v="4"/>
    </bk>
    <bk>
      <rc t="2" v="5"/>
    </bk>
  </valueMetadata>
</metadata>
</file>

<file path=xl/sharedStrings.xml><?xml version="1.0" encoding="utf-8"?>
<sst xmlns="http://schemas.openxmlformats.org/spreadsheetml/2006/main" count="17521" uniqueCount="2525">
  <si>
    <t>30 Day Pricing</t>
  </si>
  <si>
    <t>30yr Fixed</t>
  </si>
  <si>
    <t>Product</t>
  </si>
  <si>
    <t>720 - 739</t>
  </si>
  <si>
    <t>Interest-Only</t>
  </si>
  <si>
    <t>700 - 719</t>
  </si>
  <si>
    <t>680 - 699</t>
  </si>
  <si>
    <t>660 - 679</t>
  </si>
  <si>
    <t>Loan Amount</t>
  </si>
  <si>
    <t>640 - 659</t>
  </si>
  <si>
    <t>620 - 639</t>
  </si>
  <si>
    <t>600 - 619</t>
  </si>
  <si>
    <t>400,001-600k</t>
  </si>
  <si>
    <t>600,001-750k</t>
  </si>
  <si>
    <t>DTI</t>
  </si>
  <si>
    <t>50.01-55</t>
  </si>
  <si>
    <t>Cash-Out</t>
  </si>
  <si>
    <t>Second Home</t>
  </si>
  <si>
    <t>1x30x12</t>
  </si>
  <si>
    <t>Modular</t>
  </si>
  <si>
    <t>ACH</t>
  </si>
  <si>
    <t>Rural</t>
  </si>
  <si>
    <t>No Escrows (No HPML)</t>
  </si>
  <si>
    <t>Lock Term</t>
  </si>
  <si>
    <t>LTV</t>
  </si>
  <si>
    <t>Credit Score</t>
  </si>
  <si>
    <t>85.01-90</t>
  </si>
  <si>
    <t>80.01-85</t>
  </si>
  <si>
    <t>75.01-80</t>
  </si>
  <si>
    <t>70.01-75</t>
  </si>
  <si>
    <t>65.01-70</t>
  </si>
  <si>
    <t>60.01-65</t>
  </si>
  <si>
    <t>00.01-43</t>
  </si>
  <si>
    <t>Purpose</t>
  </si>
  <si>
    <t>Purchase</t>
  </si>
  <si>
    <t>Rate-Term</t>
  </si>
  <si>
    <t>Property</t>
  </si>
  <si>
    <t>Owner Occupied</t>
  </si>
  <si>
    <t>Non Owner Occupied</t>
  </si>
  <si>
    <t>Occupancy</t>
  </si>
  <si>
    <t>State</t>
  </si>
  <si>
    <t>CA</t>
  </si>
  <si>
    <t>Amort Term</t>
  </si>
  <si>
    <t>Credit History</t>
  </si>
  <si>
    <t>Housing History</t>
  </si>
  <si>
    <t>Foreign National</t>
  </si>
  <si>
    <t>Citizenship</t>
  </si>
  <si>
    <t>No Escrows</t>
  </si>
  <si>
    <t>Servicing</t>
  </si>
  <si>
    <t>Escrows</t>
  </si>
  <si>
    <t>No ACH</t>
  </si>
  <si>
    <t>Payment</t>
  </si>
  <si>
    <t>Option 1</t>
  </si>
  <si>
    <t>Option 2</t>
  </si>
  <si>
    <t>Option 3</t>
  </si>
  <si>
    <t>Option 4</t>
  </si>
  <si>
    <t>Option 5</t>
  </si>
  <si>
    <t>Option 6</t>
  </si>
  <si>
    <t>Option 7</t>
  </si>
  <si>
    <t>Option 8</t>
  </si>
  <si>
    <t>Option 9</t>
  </si>
  <si>
    <t>Option 10</t>
  </si>
  <si>
    <t>DSCR</t>
  </si>
  <si>
    <t>Level</t>
  </si>
  <si>
    <t>Prepay Penalty</t>
  </si>
  <si>
    <t>Prepay</t>
  </si>
  <si>
    <t>3yr Prepay</t>
  </si>
  <si>
    <t>2yr Prepay</t>
  </si>
  <si>
    <t>1yr Prepay</t>
  </si>
  <si>
    <t>Available Product</t>
  </si>
  <si>
    <t>Doc Type</t>
  </si>
  <si>
    <t>Option</t>
  </si>
  <si>
    <t>Doc</t>
  </si>
  <si>
    <t>30 Day</t>
  </si>
  <si>
    <t>45 Day</t>
  </si>
  <si>
    <t>60 Day</t>
  </si>
  <si>
    <t xml:space="preserve"> </t>
  </si>
  <si>
    <t>24mo Bank Stmt</t>
  </si>
  <si>
    <t>12mo Bank Stmt</t>
  </si>
  <si>
    <t>3mo Bank Stmt</t>
  </si>
  <si>
    <t>Bank Statement</t>
  </si>
  <si>
    <t>Bank Stmt</t>
  </si>
  <si>
    <t>No Prepay</t>
  </si>
  <si>
    <t>SFR</t>
  </si>
  <si>
    <t>55.01-60</t>
  </si>
  <si>
    <t>00.01-55</t>
  </si>
  <si>
    <t>1,000,001-1.5m</t>
  </si>
  <si>
    <t>1,500,001-2.0m</t>
  </si>
  <si>
    <t>Lookup</t>
  </si>
  <si>
    <t>750,001-1.0m</t>
  </si>
  <si>
    <t>Other Miscellaneous</t>
  </si>
  <si>
    <t>Property Type</t>
  </si>
  <si>
    <t>Note Rate</t>
  </si>
  <si>
    <t>Doc01</t>
  </si>
  <si>
    <t>Doc02</t>
  </si>
  <si>
    <t>Doc03</t>
  </si>
  <si>
    <t>Doc04</t>
  </si>
  <si>
    <t>Doc05</t>
  </si>
  <si>
    <t>Full Amortization</t>
  </si>
  <si>
    <t>DSCR Not Applicable</t>
  </si>
  <si>
    <t>Col</t>
  </si>
  <si>
    <t>LLPA</t>
  </si>
  <si>
    <t>Pricing</t>
  </si>
  <si>
    <t>Pricing Adjustments</t>
  </si>
  <si>
    <t>Max Price</t>
  </si>
  <si>
    <t>Net Price</t>
  </si>
  <si>
    <t>Y</t>
  </si>
  <si>
    <t>N</t>
  </si>
  <si>
    <t>Bank Statement Required</t>
  </si>
  <si>
    <t>DTI Required</t>
  </si>
  <si>
    <t>DSCR Required</t>
  </si>
  <si>
    <t>00.00-00</t>
  </si>
  <si>
    <t>CT</t>
  </si>
  <si>
    <t>ID</t>
  </si>
  <si>
    <t>IL</t>
  </si>
  <si>
    <t>MD</t>
  </si>
  <si>
    <t>NJ</t>
  </si>
  <si>
    <t>NY</t>
  </si>
  <si>
    <t>Eligible</t>
  </si>
  <si>
    <t>Group</t>
  </si>
  <si>
    <t>Eligible Interest Only</t>
  </si>
  <si>
    <t>Interest Only</t>
  </si>
  <si>
    <t>Interest Only Caution</t>
  </si>
  <si>
    <t>3,000,001-3.5m</t>
  </si>
  <si>
    <t>NoLatesx12</t>
  </si>
  <si>
    <t>Rate</t>
  </si>
  <si>
    <t>30yr Fix</t>
  </si>
  <si>
    <t>PUD</t>
  </si>
  <si>
    <t>2mo Bank Stmt</t>
  </si>
  <si>
    <t>Log Home</t>
  </si>
  <si>
    <t>Condo-Warrantable</t>
  </si>
  <si>
    <t>Condo-NonWarrantable</t>
  </si>
  <si>
    <t>2-Unit</t>
  </si>
  <si>
    <t>3-Unit</t>
  </si>
  <si>
    <t>4-Unit</t>
  </si>
  <si>
    <t>No Bank Stmt</t>
  </si>
  <si>
    <t>NoBkStmt</t>
  </si>
  <si>
    <t>24moBkStmt</t>
  </si>
  <si>
    <t>12moBkStmt</t>
  </si>
  <si>
    <t>03moBkStmt</t>
  </si>
  <si>
    <t>02moBkStmt</t>
  </si>
  <si>
    <t>12moBkStmt, 24moBkStmt</t>
  </si>
  <si>
    <t>Bank Statement Acceptable</t>
  </si>
  <si>
    <t>Rate Lookup</t>
  </si>
  <si>
    <t>2,000,001-2.5m</t>
  </si>
  <si>
    <t>2,500,001-3.0m</t>
  </si>
  <si>
    <t>Product Code</t>
  </si>
  <si>
    <t>Description</t>
  </si>
  <si>
    <t>PrepayErrorMsg</t>
  </si>
  <si>
    <t>580 - 599</t>
  </si>
  <si>
    <t>Lock Detail</t>
  </si>
  <si>
    <t>1x60x12</t>
  </si>
  <si>
    <t>Townhouse</t>
  </si>
  <si>
    <t>Rowhouse</t>
  </si>
  <si>
    <t>D-PUD</t>
  </si>
  <si>
    <t>W-2 (12mo) or Tax Returns (12mo)</t>
  </si>
  <si>
    <t>Asset Statement (6mo)</t>
  </si>
  <si>
    <t>P&amp;L (12mo) [CPA, CTEC, EA]</t>
  </si>
  <si>
    <t>VOE, VVOE, Employment History (24mo)</t>
  </si>
  <si>
    <t>Name</t>
  </si>
  <si>
    <t>Borrower Name</t>
  </si>
  <si>
    <t>Property Address</t>
  </si>
  <si>
    <t>Property City</t>
  </si>
  <si>
    <t>40yr Fixed</t>
  </si>
  <si>
    <t>4yr Prepay</t>
  </si>
  <si>
    <t>5yr Prepay</t>
  </si>
  <si>
    <t>Full Amortization, Interest-Only</t>
  </si>
  <si>
    <t>Amort Type</t>
  </si>
  <si>
    <t>30F</t>
  </si>
  <si>
    <t>40F</t>
  </si>
  <si>
    <t>IO</t>
  </si>
  <si>
    <t>Available DocTypeIDs</t>
  </si>
  <si>
    <t>01</t>
  </si>
  <si>
    <t>02</t>
  </si>
  <si>
    <t>03</t>
  </si>
  <si>
    <t>05</t>
  </si>
  <si>
    <t>04</t>
  </si>
  <si>
    <t>06</t>
  </si>
  <si>
    <t>07</t>
  </si>
  <si>
    <t>08</t>
  </si>
  <si>
    <t>09</t>
  </si>
  <si>
    <t>10</t>
  </si>
  <si>
    <t>DocTypeID</t>
  </si>
  <si>
    <t>Final Price</t>
  </si>
  <si>
    <t>Investor DSCR &lt; 1.00 (No Min DSCR)</t>
  </si>
  <si>
    <t>03-Bank Statement</t>
  </si>
  <si>
    <t>04-Bank Statement Plus</t>
  </si>
  <si>
    <t>07-P&amp;L Only</t>
  </si>
  <si>
    <t>08-VOE Only</t>
  </si>
  <si>
    <t>09-DSCR</t>
  </si>
  <si>
    <t>10-DSCR Limited</t>
  </si>
  <si>
    <t>Total LLPA</t>
  </si>
  <si>
    <t>Base</t>
  </si>
  <si>
    <t>Final (PL)</t>
  </si>
  <si>
    <t>PricerName</t>
  </si>
  <si>
    <t>Disclaimer1</t>
  </si>
  <si>
    <t>DisclaimerPricer1</t>
  </si>
  <si>
    <t>DisclaimerPricer2</t>
  </si>
  <si>
    <t>Incentive</t>
  </si>
  <si>
    <t>06-Asset Qualifier</t>
  </si>
  <si>
    <t>05-Bank Statement P&amp;L</t>
  </si>
  <si>
    <t>02moBkStmt, 03moBkStmt</t>
  </si>
  <si>
    <t>Bank Statement + P&amp;L (3+24mo, 2+12mo) [CPA, CTEC, EA]</t>
  </si>
  <si>
    <t>Bank Statement + Asset Statement (24+2mo, 12+2mo) [Asset Amortization]</t>
  </si>
  <si>
    <t>(24, 12mo)</t>
  </si>
  <si>
    <t>Level 1</t>
  </si>
  <si>
    <t>Level 2</t>
  </si>
  <si>
    <t>Level 5</t>
  </si>
  <si>
    <t>Level 3</t>
  </si>
  <si>
    <t>Bank Statements</t>
  </si>
  <si>
    <t xml:space="preserve">                 Documentation</t>
  </si>
  <si>
    <t xml:space="preserve">                  Documentation</t>
  </si>
  <si>
    <t>11-Asset Qualifier Plus</t>
  </si>
  <si>
    <t>Option 11</t>
  </si>
  <si>
    <t>Permanent Resident Alien</t>
  </si>
  <si>
    <t>Non-Permanent Resident Alien</t>
  </si>
  <si>
    <t>US Citizen</t>
  </si>
  <si>
    <t>No Prepay - Hard</t>
  </si>
  <si>
    <t>1yr Prepay - Hard</t>
  </si>
  <si>
    <t>2yr Prepay - Hard</t>
  </si>
  <si>
    <t>3yr Prepay - Hard</t>
  </si>
  <si>
    <t>Site Condo</t>
  </si>
  <si>
    <t>Condo-Site</t>
  </si>
  <si>
    <t>55.01-99</t>
  </si>
  <si>
    <t>Credit Events</t>
  </si>
  <si>
    <t>12-1040 Plus</t>
  </si>
  <si>
    <t>Option 12</t>
  </si>
  <si>
    <t>Tax Return Page One, Tax Transcripts, VVOE</t>
  </si>
  <si>
    <t>5,000,001+</t>
  </si>
  <si>
    <t>3,500,001-4.0m</t>
  </si>
  <si>
    <t>4,000,001-4.5m</t>
  </si>
  <si>
    <t>4,500,001-5.0m</t>
  </si>
  <si>
    <t>5-Unit</t>
  </si>
  <si>
    <t>6-Unit</t>
  </si>
  <si>
    <t>7-Unit</t>
  </si>
  <si>
    <t>8-Unit</t>
  </si>
  <si>
    <t>Non-Perm Resident Alien</t>
  </si>
  <si>
    <t>Multiple30x12</t>
  </si>
  <si>
    <t>Rate Sheet</t>
  </si>
  <si>
    <t>2-Unit Mixed Use</t>
  </si>
  <si>
    <t>3-Unit Mixed Use</t>
  </si>
  <si>
    <t>4-Unit Mixed Use</t>
  </si>
  <si>
    <t>5-Unit Mixed Use</t>
  </si>
  <si>
    <t>6-Unit Mixed Use</t>
  </si>
  <si>
    <t>7-Unit Mixed Use</t>
  </si>
  <si>
    <t>8-Unit Mixed Use</t>
  </si>
  <si>
    <t>13-Asset Depletion</t>
  </si>
  <si>
    <t>Option 13</t>
  </si>
  <si>
    <t>00.01-50</t>
  </si>
  <si>
    <t>Months Reserves</t>
  </si>
  <si>
    <t>300,001-400k</t>
  </si>
  <si>
    <t>Asset Depletion</t>
  </si>
  <si>
    <t>Investor DSCR</t>
  </si>
  <si>
    <t>740 - 759</t>
  </si>
  <si>
    <t>760 - 779</t>
  </si>
  <si>
    <t>Cashout Amount</t>
  </si>
  <si>
    <t>Reserves Months</t>
  </si>
  <si>
    <t>Price</t>
  </si>
  <si>
    <t>Program</t>
  </si>
  <si>
    <t>Occ</t>
  </si>
  <si>
    <t>List</t>
  </si>
  <si>
    <t>Value</t>
  </si>
  <si>
    <t>Input</t>
  </si>
  <si>
    <t>Loan Amt Min</t>
  </si>
  <si>
    <t>Loan Amt Max</t>
  </si>
  <si>
    <t>DTI Min</t>
  </si>
  <si>
    <t>DTI Max</t>
  </si>
  <si>
    <t>CS Min</t>
  </si>
  <si>
    <t>CS Max</t>
  </si>
  <si>
    <t>LTV Min</t>
  </si>
  <si>
    <t>LTV Max</t>
  </si>
  <si>
    <t>Reserves Min</t>
  </si>
  <si>
    <t>Reserves Max</t>
  </si>
  <si>
    <t>Purchase, Rate-Term</t>
  </si>
  <si>
    <t>Loan Amt</t>
  </si>
  <si>
    <t>CS</t>
  </si>
  <si>
    <t>Reserves</t>
  </si>
  <si>
    <t>Lock Fees</t>
  </si>
  <si>
    <t>Restriction</t>
  </si>
  <si>
    <t>DSCR Min</t>
  </si>
  <si>
    <t>DSCR Max</t>
  </si>
  <si>
    <t>Min Credit Score</t>
  </si>
  <si>
    <t>Min Reserves</t>
  </si>
  <si>
    <t>NoLatesx24</t>
  </si>
  <si>
    <t>First Time Homebuyer</t>
  </si>
  <si>
    <t>First Time HB</t>
  </si>
  <si>
    <t>Overlays</t>
  </si>
  <si>
    <t>LTV Base Reductions</t>
  </si>
  <si>
    <t>Test Match</t>
  </si>
  <si>
    <r>
      <t>Max Pricing</t>
    </r>
    <r>
      <rPr>
        <sz val="8"/>
        <color theme="1"/>
        <rFont val="Calibri"/>
        <family val="2"/>
        <scheme val="minor"/>
      </rPr>
      <t xml:space="preserve"> (Lower of Price or Premium)</t>
    </r>
  </si>
  <si>
    <t>Cash Amt Max</t>
  </si>
  <si>
    <t>Housing Hist</t>
  </si>
  <si>
    <t>1stTime HB</t>
  </si>
  <si>
    <t>No Escrows, Escrows</t>
  </si>
  <si>
    <t>Cashout Amt Min</t>
  </si>
  <si>
    <t>Cashout Amt Max</t>
  </si>
  <si>
    <t>Cashout Amt</t>
  </si>
  <si>
    <t>First Time Home buyer</t>
  </si>
  <si>
    <t>DSCR 1.10-1.24</t>
  </si>
  <si>
    <t>DSCR 1.25-1.49</t>
  </si>
  <si>
    <t>Eligibility Matrix</t>
  </si>
  <si>
    <t>Eligiblity Overlays</t>
  </si>
  <si>
    <t>01, 02</t>
  </si>
  <si>
    <t>03, 04</t>
  </si>
  <si>
    <t>13</t>
  </si>
  <si>
    <t>Term</t>
  </si>
  <si>
    <t>LTV Max CO</t>
  </si>
  <si>
    <t>Add Reserves</t>
  </si>
  <si>
    <t>ARM Margin</t>
  </si>
  <si>
    <t>US Citizen, Permanent Resident Alien, Non-Permanent Resident Alien</t>
  </si>
  <si>
    <t>200,001-300k</t>
  </si>
  <si>
    <t>NoLatesx24, NoLatesx12, 1x30x12, Multiple30x12</t>
  </si>
  <si>
    <t>Pricing Type</t>
  </si>
  <si>
    <t>DollarPrice</t>
  </si>
  <si>
    <t>Price Lookup</t>
  </si>
  <si>
    <t>Loan</t>
  </si>
  <si>
    <t>Detail</t>
  </si>
  <si>
    <t>Yes</t>
  </si>
  <si>
    <t>No</t>
  </si>
  <si>
    <t>Notes</t>
  </si>
  <si>
    <t>Other</t>
  </si>
  <si>
    <t>Lates</t>
  </si>
  <si>
    <t>Snip/Copy Next-Qual "Qualify" tab and email to:</t>
  </si>
  <si>
    <t>Pre-Qual for UW</t>
  </si>
  <si>
    <t>Action Request</t>
  </si>
  <si>
    <t>Rate Lock</t>
  </si>
  <si>
    <t>Snip/Copy Next-Price "Price" tab and email to:</t>
  </si>
  <si>
    <t>OOC</t>
  </si>
  <si>
    <t>2ND</t>
  </si>
  <si>
    <t>NOO</t>
  </si>
  <si>
    <t>OOC, 2ND</t>
  </si>
  <si>
    <t>SF</t>
  </si>
  <si>
    <t>DP</t>
  </si>
  <si>
    <t>PD</t>
  </si>
  <si>
    <t>2U</t>
  </si>
  <si>
    <t>3U</t>
  </si>
  <si>
    <t>4U</t>
  </si>
  <si>
    <t>CW</t>
  </si>
  <si>
    <t>CN</t>
  </si>
  <si>
    <t>TH</t>
  </si>
  <si>
    <t>RW</t>
  </si>
  <si>
    <t>RL</t>
  </si>
  <si>
    <t>LG</t>
  </si>
  <si>
    <t>5U</t>
  </si>
  <si>
    <t>6U</t>
  </si>
  <si>
    <t>7U</t>
  </si>
  <si>
    <t>8U</t>
  </si>
  <si>
    <t>PropType</t>
  </si>
  <si>
    <t>P &amp; L Only</t>
  </si>
  <si>
    <t>Level 4</t>
  </si>
  <si>
    <t>DSCR 1.00-1.09</t>
  </si>
  <si>
    <t>DSCR 0.75-0.99</t>
  </si>
  <si>
    <t>DSCR &lt;0.75</t>
  </si>
  <si>
    <t>DSCR 0.00-0.75</t>
  </si>
  <si>
    <t>DSCR 1.50+</t>
  </si>
  <si>
    <t>John Woodruff</t>
  </si>
  <si>
    <t>Available Value</t>
  </si>
  <si>
    <t>Lookup Order</t>
  </si>
  <si>
    <t>Dropdown Value</t>
  </si>
  <si>
    <t>Lock Type</t>
  </si>
  <si>
    <t>Mandatory</t>
  </si>
  <si>
    <t>Best Efforts</t>
  </si>
  <si>
    <t>LockType</t>
  </si>
  <si>
    <t>Seller Name</t>
  </si>
  <si>
    <t>Seller Loan ID</t>
  </si>
  <si>
    <t>Comments</t>
  </si>
  <si>
    <t>AK</t>
  </si>
  <si>
    <t>AL</t>
  </si>
  <si>
    <t>AR</t>
  </si>
  <si>
    <t>AZ</t>
  </si>
  <si>
    <t>CO</t>
  </si>
  <si>
    <t>DC</t>
  </si>
  <si>
    <t>DE</t>
  </si>
  <si>
    <t>FL</t>
  </si>
  <si>
    <t>GA</t>
  </si>
  <si>
    <t>HI</t>
  </si>
  <si>
    <t>IA</t>
  </si>
  <si>
    <t>IN</t>
  </si>
  <si>
    <t>KS</t>
  </si>
  <si>
    <t>KY</t>
  </si>
  <si>
    <t>LA</t>
  </si>
  <si>
    <t>MA</t>
  </si>
  <si>
    <t>ME</t>
  </si>
  <si>
    <t>MI</t>
  </si>
  <si>
    <t>MN</t>
  </si>
  <si>
    <t>MO</t>
  </si>
  <si>
    <t>MS</t>
  </si>
  <si>
    <t>MT</t>
  </si>
  <si>
    <t>NC</t>
  </si>
  <si>
    <t>ND</t>
  </si>
  <si>
    <t>NE</t>
  </si>
  <si>
    <t>NH</t>
  </si>
  <si>
    <t>NM</t>
  </si>
  <si>
    <t>NV</t>
  </si>
  <si>
    <t>OH</t>
  </si>
  <si>
    <t>OK</t>
  </si>
  <si>
    <t>OR</t>
  </si>
  <si>
    <t>PA</t>
  </si>
  <si>
    <t>PR</t>
  </si>
  <si>
    <t>RI</t>
  </si>
  <si>
    <t>SC</t>
  </si>
  <si>
    <t>SD</t>
  </si>
  <si>
    <t>TN</t>
  </si>
  <si>
    <t>TX</t>
  </si>
  <si>
    <t>UT</t>
  </si>
  <si>
    <t>VA</t>
  </si>
  <si>
    <t>VT</t>
  </si>
  <si>
    <t>WA</t>
  </si>
  <si>
    <t>WI</t>
  </si>
  <si>
    <t>WV</t>
  </si>
  <si>
    <t>WY</t>
  </si>
  <si>
    <t>DocType N/A</t>
  </si>
  <si>
    <t>Base Rules</t>
  </si>
  <si>
    <t>Final Rules</t>
  </si>
  <si>
    <t>Overlay</t>
  </si>
  <si>
    <t>LTV Adjust</t>
  </si>
  <si>
    <t>Base LTV</t>
  </si>
  <si>
    <t>AVM Vendor</t>
  </si>
  <si>
    <t>ClearCapital</t>
  </si>
  <si>
    <t>ConsolidatedAnalytics</t>
  </si>
  <si>
    <t>CoreLogic</t>
  </si>
  <si>
    <t>FSD Score Adjustment</t>
  </si>
  <si>
    <t>AVM</t>
  </si>
  <si>
    <t>12moBkStmt, 24moBkStmt, 03moBkStmt</t>
  </si>
  <si>
    <t>(24, 12)</t>
  </si>
  <si>
    <t>Full Appraisal</t>
  </si>
  <si>
    <t>Property Valuation</t>
  </si>
  <si>
    <t>Valuation Type</t>
  </si>
  <si>
    <t>NoLatesx24, NoLatesx12</t>
  </si>
  <si>
    <t>30A36</t>
  </si>
  <si>
    <t>30A56</t>
  </si>
  <si>
    <t>40A56</t>
  </si>
  <si>
    <t>30A76</t>
  </si>
  <si>
    <t>40A76</t>
  </si>
  <si>
    <t>30A106</t>
  </si>
  <si>
    <t>40A106</t>
  </si>
  <si>
    <t>5/6 30yr ARM SOFR</t>
  </si>
  <si>
    <t>5/6 40yr ARM SOFR</t>
  </si>
  <si>
    <t>7/6 30yr ARM SOFR</t>
  </si>
  <si>
    <t>7/6 40yr ARM SOFR</t>
  </si>
  <si>
    <t>4yr Prepay - Hard</t>
  </si>
  <si>
    <t>5yr Prepay - Hard</t>
  </si>
  <si>
    <t>Foreign Nat'l (DSCR Only)</t>
  </si>
  <si>
    <t>SOFR</t>
  </si>
  <si>
    <t>24mo Bank Stmt, 12mo Bank Stmt</t>
  </si>
  <si>
    <t>BkStmt</t>
  </si>
  <si>
    <t># Match All</t>
  </si>
  <si>
    <t># Match Find LTV</t>
  </si>
  <si>
    <t>&lt; -Max LTV</t>
  </si>
  <si>
    <t># Match Find Program</t>
  </si>
  <si>
    <t>CalculatorName</t>
  </si>
  <si>
    <t>OO</t>
  </si>
  <si>
    <t>IntOnly</t>
  </si>
  <si>
    <t>10/6 30yr ARM SOFR</t>
  </si>
  <si>
    <t>10/6 40yr ARM SOFR</t>
  </si>
  <si>
    <t>15yr Fixed</t>
  </si>
  <si>
    <t>15F</t>
  </si>
  <si>
    <t>20F</t>
  </si>
  <si>
    <t>20yr Fixed</t>
  </si>
  <si>
    <t>Full</t>
  </si>
  <si>
    <t>Mid</t>
  </si>
  <si>
    <t>None</t>
  </si>
  <si>
    <t>ProductClass</t>
  </si>
  <si>
    <t>14-1099</t>
  </si>
  <si>
    <t>Option 14</t>
  </si>
  <si>
    <t>14</t>
  </si>
  <si>
    <t>15-WVOE</t>
  </si>
  <si>
    <t>Option 15</t>
  </si>
  <si>
    <t>WVOE</t>
  </si>
  <si>
    <t>15</t>
  </si>
  <si>
    <t>13, 15</t>
  </si>
  <si>
    <t>2nd Home</t>
  </si>
  <si>
    <t>OverlayRules</t>
  </si>
  <si>
    <t>Find Scenario</t>
  </si>
  <si>
    <t>OverlayReason</t>
  </si>
  <si>
    <t>Final Comment</t>
  </si>
  <si>
    <t>Final</t>
  </si>
  <si>
    <t>NonQMOO</t>
  </si>
  <si>
    <t>NonQMNOO</t>
  </si>
  <si>
    <t>NonQM OO</t>
  </si>
  <si>
    <t>NonQM NOO</t>
  </si>
  <si>
    <t>PN</t>
  </si>
  <si>
    <t>IR</t>
  </si>
  <si>
    <t>PN15F</t>
  </si>
  <si>
    <t>PN20F</t>
  </si>
  <si>
    <t>PN30F</t>
  </si>
  <si>
    <t>PN30FIO</t>
  </si>
  <si>
    <t>PN40FIO</t>
  </si>
  <si>
    <t>PN30A56</t>
  </si>
  <si>
    <t>PN30A76</t>
  </si>
  <si>
    <t>PN30A106</t>
  </si>
  <si>
    <t>PN30A56IO</t>
  </si>
  <si>
    <t>PN30A76IO</t>
  </si>
  <si>
    <t>PN30A106IO</t>
  </si>
  <si>
    <t>PN40A56IO</t>
  </si>
  <si>
    <t>PN40A76IO</t>
  </si>
  <si>
    <t>PN40A106IO</t>
  </si>
  <si>
    <t>IN15F</t>
  </si>
  <si>
    <t>IN20F</t>
  </si>
  <si>
    <t>IN30F</t>
  </si>
  <si>
    <t>IN30FIO</t>
  </si>
  <si>
    <t>IN40FIO</t>
  </si>
  <si>
    <t>IN30A56</t>
  </si>
  <si>
    <t>IN30A76</t>
  </si>
  <si>
    <t>IN30A106</t>
  </si>
  <si>
    <t>IN30A56IO</t>
  </si>
  <si>
    <t>IN30A76IO</t>
  </si>
  <si>
    <t>IN30A106IO</t>
  </si>
  <si>
    <t>IN40A56IO</t>
  </si>
  <si>
    <t>IN40A76IO</t>
  </si>
  <si>
    <t>IN40A106IO</t>
  </si>
  <si>
    <t>NonQM</t>
  </si>
  <si>
    <t>IN_No Prepay</t>
  </si>
  <si>
    <t>PN_No Prepay</t>
  </si>
  <si>
    <t>PN_Doc01_760 - 779</t>
  </si>
  <si>
    <t>PN_Doc01_740 - 759</t>
  </si>
  <si>
    <t>PN_Doc01_720 - 739</t>
  </si>
  <si>
    <t>PN_Doc01_700 - 719</t>
  </si>
  <si>
    <t>PN_Doc01_680 - 699</t>
  </si>
  <si>
    <t>PN_Doc01_660 - 679</t>
  </si>
  <si>
    <t>PN_Doc02_760 - 779</t>
  </si>
  <si>
    <t>PN_Doc02_740 - 759</t>
  </si>
  <si>
    <t>PN_Doc02_720 - 739</t>
  </si>
  <si>
    <t>PN_Doc02_700 - 719</t>
  </si>
  <si>
    <t>PN_Doc02_680 - 699</t>
  </si>
  <si>
    <t>PN_Doc02_660 - 679</t>
  </si>
  <si>
    <t>PN_Doc03_760 - 779</t>
  </si>
  <si>
    <t>PN_Doc03_740 - 759</t>
  </si>
  <si>
    <t>PN_Doc03_720 - 739</t>
  </si>
  <si>
    <t>PN_Doc03_700 - 719</t>
  </si>
  <si>
    <t>PN_Doc03_680 - 699</t>
  </si>
  <si>
    <t>PN_Doc03_660 - 679</t>
  </si>
  <si>
    <t>PN_Doc04_760 - 779</t>
  </si>
  <si>
    <t>PN_Doc04_740 - 759</t>
  </si>
  <si>
    <t>PN_Doc04_720 - 739</t>
  </si>
  <si>
    <t>PN_Doc04_700 - 719</t>
  </si>
  <si>
    <t>PN_Doc04_680 - 699</t>
  </si>
  <si>
    <t>PN_Doc04_660 - 679</t>
  </si>
  <si>
    <t>PN_No Bank Stmt</t>
  </si>
  <si>
    <t>PN_12mo Bank Stmt</t>
  </si>
  <si>
    <t>PN_24mo Bank Stmt</t>
  </si>
  <si>
    <t>PN_5/6 30yr ARM SOFR</t>
  </si>
  <si>
    <t>PN_7/6 30yr ARM SOFR</t>
  </si>
  <si>
    <t>PN_10/6 30yr ARM SOFR</t>
  </si>
  <si>
    <t>PN_5/6 40yr ARM SOFR</t>
  </si>
  <si>
    <t>PN_7/6 40yr ARM SOFR</t>
  </si>
  <si>
    <t>PN_10/6 40yr ARM SOFR</t>
  </si>
  <si>
    <t>PN_15yr Fixed</t>
  </si>
  <si>
    <t>PN_20yr Fixed</t>
  </si>
  <si>
    <t>PN_30yr Fixed</t>
  </si>
  <si>
    <t>PN_40yr Fixed</t>
  </si>
  <si>
    <t>PN_Full Amortization</t>
  </si>
  <si>
    <t>PN_Interest-Only</t>
  </si>
  <si>
    <t>PN_00.00-00</t>
  </si>
  <si>
    <t>PN_00.01-43</t>
  </si>
  <si>
    <t>PN_50.01-55</t>
  </si>
  <si>
    <t>PN_DSCR Not Applicable</t>
  </si>
  <si>
    <t>PN_Purchase</t>
  </si>
  <si>
    <t>PN_Rate-Term</t>
  </si>
  <si>
    <t>PN_Cash-Out</t>
  </si>
  <si>
    <t>PN_Owner Occupied</t>
  </si>
  <si>
    <t>PN_Second Home</t>
  </si>
  <si>
    <t>PN_Full Appraisal</t>
  </si>
  <si>
    <t>PN_CA</t>
  </si>
  <si>
    <t>PN_Non-CA</t>
  </si>
  <si>
    <t>PN_SFR</t>
  </si>
  <si>
    <t>PN_D-PUD</t>
  </si>
  <si>
    <t>PN_PUD</t>
  </si>
  <si>
    <t>PN_Townhouse</t>
  </si>
  <si>
    <t>PN_Rowhouse</t>
  </si>
  <si>
    <t>PN_Condo-Site</t>
  </si>
  <si>
    <t>PN_Condo-Warrantable</t>
  </si>
  <si>
    <t>PN_Condo-NonWarrantable</t>
  </si>
  <si>
    <t>PN_2-Unit</t>
  </si>
  <si>
    <t>PN_3-Unit</t>
  </si>
  <si>
    <t>PN_4-Unit</t>
  </si>
  <si>
    <t>PN_Modular</t>
  </si>
  <si>
    <t>PN_Log Home</t>
  </si>
  <si>
    <t>PN_US Citizen</t>
  </si>
  <si>
    <t>PN_Permanent Resident Alien</t>
  </si>
  <si>
    <t>PN_Non-Permanent Resident Alien</t>
  </si>
  <si>
    <t>PN_Foreign National</t>
  </si>
  <si>
    <t>PN_NoLatesx24</t>
  </si>
  <si>
    <t>PN_NoLatesx12</t>
  </si>
  <si>
    <t>PN_1x30x12</t>
  </si>
  <si>
    <t>PN_Multiple30x12</t>
  </si>
  <si>
    <t>PN_1x60x12</t>
  </si>
  <si>
    <t>PN_No ACH</t>
  </si>
  <si>
    <t>PN_ACH</t>
  </si>
  <si>
    <t>PN_Escrows</t>
  </si>
  <si>
    <t>PN_No Escrows</t>
  </si>
  <si>
    <t>PN_30 Day</t>
  </si>
  <si>
    <t>PN_45 Day</t>
  </si>
  <si>
    <t>PN_60 Day</t>
  </si>
  <si>
    <t>PN_Mandatory</t>
  </si>
  <si>
    <t>PN_Best Efforts</t>
  </si>
  <si>
    <t>IN_Doc01_760 - 779</t>
  </si>
  <si>
    <t>IN_Doc01_740 - 759</t>
  </si>
  <si>
    <t>IN_Doc01_720 - 739</t>
  </si>
  <si>
    <t>IN_Doc01_700 - 719</t>
  </si>
  <si>
    <t>IN_Doc01_680 - 699</t>
  </si>
  <si>
    <t>IN_Doc01_660 - 679</t>
  </si>
  <si>
    <t>IN_Doc02_760 - 779</t>
  </si>
  <si>
    <t>IN_Doc02_740 - 759</t>
  </si>
  <si>
    <t>IN_Doc02_720 - 739</t>
  </si>
  <si>
    <t>IN_Doc02_700 - 719</t>
  </si>
  <si>
    <t>IN_Doc02_680 - 699</t>
  </si>
  <si>
    <t>IN_Doc02_660 - 679</t>
  </si>
  <si>
    <t>IN_Doc03_760 - 779</t>
  </si>
  <si>
    <t>IN_Doc03_740 - 759</t>
  </si>
  <si>
    <t>IN_Doc03_720 - 739</t>
  </si>
  <si>
    <t>IN_Doc03_700 - 719</t>
  </si>
  <si>
    <t>IN_Doc03_680 - 699</t>
  </si>
  <si>
    <t>IN_Doc03_660 - 679</t>
  </si>
  <si>
    <t>IN_Doc04_760 - 779</t>
  </si>
  <si>
    <t>IN_Doc04_740 - 759</t>
  </si>
  <si>
    <t>IN_Doc04_720 - 739</t>
  </si>
  <si>
    <t>IN_Doc04_700 - 719</t>
  </si>
  <si>
    <t>IN_Doc04_680 - 699</t>
  </si>
  <si>
    <t>IN_Doc04_660 - 679</t>
  </si>
  <si>
    <t>IN_Doc05_760 - 779</t>
  </si>
  <si>
    <t>IN_Doc05_740 - 759</t>
  </si>
  <si>
    <t>IN_Doc05_720 - 739</t>
  </si>
  <si>
    <t>IN_Doc05_700 - 719</t>
  </si>
  <si>
    <t>IN_Doc05_680 - 699</t>
  </si>
  <si>
    <t>IN_Doc05_660 - 679</t>
  </si>
  <si>
    <t>IN_No Bank Stmt</t>
  </si>
  <si>
    <t>IN_12mo Bank Stmt</t>
  </si>
  <si>
    <t>IN_24mo Bank Stmt</t>
  </si>
  <si>
    <t>IN_5/6 30yr ARM SOFR</t>
  </si>
  <si>
    <t>IN_7/6 30yr ARM SOFR</t>
  </si>
  <si>
    <t>IN_10/6 30yr ARM SOFR</t>
  </si>
  <si>
    <t>IN_5/6 40yr ARM SOFR</t>
  </si>
  <si>
    <t>IN_7/6 40yr ARM SOFR</t>
  </si>
  <si>
    <t>IN_10/6 40yr ARM SOFR</t>
  </si>
  <si>
    <t>IN_15yr Fixed</t>
  </si>
  <si>
    <t>IN_20yr Fixed</t>
  </si>
  <si>
    <t>IN_30yr Fixed</t>
  </si>
  <si>
    <t>IN_40yr Fixed</t>
  </si>
  <si>
    <t>IN_Full Amortization</t>
  </si>
  <si>
    <t>IN_Interest-Only</t>
  </si>
  <si>
    <t>IN_00.00-00</t>
  </si>
  <si>
    <t>IN_00.01-43</t>
  </si>
  <si>
    <t>IN_50.01-55</t>
  </si>
  <si>
    <t>IN_DSCR Not Applicable</t>
  </si>
  <si>
    <t>IN_DSCR 1.50+</t>
  </si>
  <si>
    <t>IN_DSCR 1.25-1.49</t>
  </si>
  <si>
    <t>IN_DSCR 1.10-1.24</t>
  </si>
  <si>
    <t>IN_DSCR 1.00-1.09</t>
  </si>
  <si>
    <t>IN_DSCR 0.75-0.99</t>
  </si>
  <si>
    <t>IN_DSCR 0.00-0.75</t>
  </si>
  <si>
    <t>IN_Purchase</t>
  </si>
  <si>
    <t>IN_Rate-Term</t>
  </si>
  <si>
    <t>IN_Cash-Out</t>
  </si>
  <si>
    <t>IN_Non Owner Occupied</t>
  </si>
  <si>
    <t>IN_Full Appraisal</t>
  </si>
  <si>
    <t>IN_CA</t>
  </si>
  <si>
    <t>IN_Non-CA</t>
  </si>
  <si>
    <t>IN_SFR</t>
  </si>
  <si>
    <t>IN_D-PUD</t>
  </si>
  <si>
    <t>IN_PUD</t>
  </si>
  <si>
    <t>IN_Townhouse</t>
  </si>
  <si>
    <t>IN_Rowhouse</t>
  </si>
  <si>
    <t>IN_Condo-Site</t>
  </si>
  <si>
    <t>IN_Condo-Warrantable</t>
  </si>
  <si>
    <t>IN_Condo-NonWarrantable</t>
  </si>
  <si>
    <t>IN_2-Unit</t>
  </si>
  <si>
    <t>IN_3-Unit</t>
  </si>
  <si>
    <t>IN_4-Unit</t>
  </si>
  <si>
    <t>IN_Modular</t>
  </si>
  <si>
    <t>IN_Log Home</t>
  </si>
  <si>
    <t>IN_US Citizen</t>
  </si>
  <si>
    <t>IN_Permanent Resident Alien</t>
  </si>
  <si>
    <t>IN_Non-Permanent Resident Alien</t>
  </si>
  <si>
    <t>IN_Foreign National</t>
  </si>
  <si>
    <t>IN_NoLatesx24</t>
  </si>
  <si>
    <t>IN_NoLatesx12</t>
  </si>
  <si>
    <t>IN_1x30x12</t>
  </si>
  <si>
    <t>IN_Multiple30x12</t>
  </si>
  <si>
    <t>IN_1x60x12</t>
  </si>
  <si>
    <t>IN_No ACH</t>
  </si>
  <si>
    <t>IN_ACH</t>
  </si>
  <si>
    <t>IN_Escrows</t>
  </si>
  <si>
    <t>IN_No Escrows</t>
  </si>
  <si>
    <t>IN_30 Day</t>
  </si>
  <si>
    <t>IN_45 Day</t>
  </si>
  <si>
    <t>IN_60 Day</t>
  </si>
  <si>
    <t>IN_Mandatory</t>
  </si>
  <si>
    <t>IN_Best Efforts</t>
  </si>
  <si>
    <t>5yr Prepay_5Pct</t>
  </si>
  <si>
    <t>4yr Prepay_5Pct</t>
  </si>
  <si>
    <t>3yr Prepay_5Pct</t>
  </si>
  <si>
    <t>2yr Prepay_5Pct</t>
  </si>
  <si>
    <t>1yr Prepay_5Pct</t>
  </si>
  <si>
    <t>5yr Prepay_54321</t>
  </si>
  <si>
    <t>4yr Prepay_4321</t>
  </si>
  <si>
    <t>3yr Prepay_321</t>
  </si>
  <si>
    <t>2yr Prepay_21</t>
  </si>
  <si>
    <t>1yr Prepay_1</t>
  </si>
  <si>
    <t>IN_5yr Prepay_5Pct</t>
  </si>
  <si>
    <t>IN_4yr Prepay_5Pct</t>
  </si>
  <si>
    <t>IN_3yr Prepay_5Pct</t>
  </si>
  <si>
    <t>IN_2yr Prepay_5Pct</t>
  </si>
  <si>
    <t>IN_1yr Prepay_5Pct</t>
  </si>
  <si>
    <t>IN_5yr Prepay_54321</t>
  </si>
  <si>
    <t>IN_4yr Prepay_4321</t>
  </si>
  <si>
    <t>IN_3yr Prepay_321</t>
  </si>
  <si>
    <t>IN_2yr Prepay_21</t>
  </si>
  <si>
    <t>IN_1yr Prepay_1</t>
  </si>
  <si>
    <t>Prefix (Desc Sort)</t>
  </si>
  <si>
    <t>Desc Sort 1</t>
  </si>
  <si>
    <t>Desc Sort 2</t>
  </si>
  <si>
    <t>Linked to Source</t>
  </si>
  <si>
    <t>Controls</t>
  </si>
  <si>
    <t>NQO0001</t>
  </si>
  <si>
    <t>NQO0002</t>
  </si>
  <si>
    <t>NQO0003</t>
  </si>
  <si>
    <t>NQO0004</t>
  </si>
  <si>
    <t>NQO0005</t>
  </si>
  <si>
    <t>NQO0006</t>
  </si>
  <si>
    <t>NQO0007</t>
  </si>
  <si>
    <t>NQO0008</t>
  </si>
  <si>
    <t>NQO0009</t>
  </si>
  <si>
    <t>NQO0010</t>
  </si>
  <si>
    <t>NQO0011</t>
  </si>
  <si>
    <t>NQO0012</t>
  </si>
  <si>
    <t>NQO0013</t>
  </si>
  <si>
    <t>NQO0014</t>
  </si>
  <si>
    <t>NQO0015</t>
  </si>
  <si>
    <t>NQO0016</t>
  </si>
  <si>
    <t>NQO0017</t>
  </si>
  <si>
    <t>NQO0018</t>
  </si>
  <si>
    <t>NQO0019</t>
  </si>
  <si>
    <t>NQO0020</t>
  </si>
  <si>
    <t>NQO0021</t>
  </si>
  <si>
    <t>NQO0022</t>
  </si>
  <si>
    <t>NQO0023</t>
  </si>
  <si>
    <t>NQO0024</t>
  </si>
  <si>
    <t>NQO0025</t>
  </si>
  <si>
    <t>NQO0026</t>
  </si>
  <si>
    <t>NQO0027</t>
  </si>
  <si>
    <t>NQO0028</t>
  </si>
  <si>
    <t>NQO0029</t>
  </si>
  <si>
    <t>NQO0030</t>
  </si>
  <si>
    <t>NQO0031</t>
  </si>
  <si>
    <t>NQO0032</t>
  </si>
  <si>
    <t>NQO0033</t>
  </si>
  <si>
    <t>NQO0034</t>
  </si>
  <si>
    <t>NQO0035</t>
  </si>
  <si>
    <t>NQO0036</t>
  </si>
  <si>
    <t>NQO0043</t>
  </si>
  <si>
    <t>NQO0044</t>
  </si>
  <si>
    <t>NQO0045</t>
  </si>
  <si>
    <t>NQO0046</t>
  </si>
  <si>
    <t>NQO0049</t>
  </si>
  <si>
    <t>NQO0050</t>
  </si>
  <si>
    <t>NQO0051</t>
  </si>
  <si>
    <t>NQO0052</t>
  </si>
  <si>
    <t>NQO0055</t>
  </si>
  <si>
    <t>NQO0056</t>
  </si>
  <si>
    <t>NQO0057</t>
  </si>
  <si>
    <t>NQO0058</t>
  </si>
  <si>
    <t>NQO0061</t>
  </si>
  <si>
    <t>NQO0062</t>
  </si>
  <si>
    <t>NQO0063</t>
  </si>
  <si>
    <t>NQO0064</t>
  </si>
  <si>
    <t>NQO0065</t>
  </si>
  <si>
    <t>NQO0066</t>
  </si>
  <si>
    <t>NQO0067</t>
  </si>
  <si>
    <t>NQO0068</t>
  </si>
  <si>
    <t>NQO0069</t>
  </si>
  <si>
    <t>NQO0070</t>
  </si>
  <si>
    <t>NQO0071</t>
  </si>
  <si>
    <t>NQO0072</t>
  </si>
  <si>
    <t>NQO0073</t>
  </si>
  <si>
    <t>NQO0074</t>
  </si>
  <si>
    <t>NQO0075</t>
  </si>
  <si>
    <t>NQO0076</t>
  </si>
  <si>
    <t>NQO0077</t>
  </si>
  <si>
    <t>NQO0078</t>
  </si>
  <si>
    <t>NQO0079</t>
  </si>
  <si>
    <t>NQO0080</t>
  </si>
  <si>
    <t>NQO0081</t>
  </si>
  <si>
    <t>NQO0082</t>
  </si>
  <si>
    <t>NQO0083</t>
  </si>
  <si>
    <t>NQO0084</t>
  </si>
  <si>
    <t>NQO0085</t>
  </si>
  <si>
    <t>NQO0086</t>
  </si>
  <si>
    <t>NQO0087</t>
  </si>
  <si>
    <t>NQO0088</t>
  </si>
  <si>
    <t>NQO0089</t>
  </si>
  <si>
    <t>NQO0090</t>
  </si>
  <si>
    <t>NQO0091</t>
  </si>
  <si>
    <t>NQO0092</t>
  </si>
  <si>
    <t>NQO0093</t>
  </si>
  <si>
    <t>NQO0094</t>
  </si>
  <si>
    <t>NQO0095</t>
  </si>
  <si>
    <t>NQO0096</t>
  </si>
  <si>
    <t>NQO0097</t>
  </si>
  <si>
    <t>NQO0098</t>
  </si>
  <si>
    <t>NQO0099</t>
  </si>
  <si>
    <t>NQO0100</t>
  </si>
  <si>
    <t>NQO0109</t>
  </si>
  <si>
    <t>NQO0110</t>
  </si>
  <si>
    <t>NQO0111</t>
  </si>
  <si>
    <t>NQO0112</t>
  </si>
  <si>
    <t>NQO0115</t>
  </si>
  <si>
    <t>NQO0116</t>
  </si>
  <si>
    <t>NQO0117</t>
  </si>
  <si>
    <t>NQO0118</t>
  </si>
  <si>
    <t>NQO0121</t>
  </si>
  <si>
    <t>NQO0122</t>
  </si>
  <si>
    <t>NQO0123</t>
  </si>
  <si>
    <t>NQO0124</t>
  </si>
  <si>
    <t>NQO0125</t>
  </si>
  <si>
    <t>NQO0127</t>
  </si>
  <si>
    <t>NQO0128</t>
  </si>
  <si>
    <t>NQO0129</t>
  </si>
  <si>
    <t>NQO0130</t>
  </si>
  <si>
    <t>NQO0133</t>
  </si>
  <si>
    <t>NQO0134</t>
  </si>
  <si>
    <t>NQO0135</t>
  </si>
  <si>
    <t>NQO0136</t>
  </si>
  <si>
    <t>NQO0137</t>
  </si>
  <si>
    <t>NQO0139</t>
  </si>
  <si>
    <t>NQO0140</t>
  </si>
  <si>
    <t>NQO0141</t>
  </si>
  <si>
    <t>NQO0142</t>
  </si>
  <si>
    <t>NQO0145</t>
  </si>
  <si>
    <t>NQO0146</t>
  </si>
  <si>
    <t>NQO0147</t>
  </si>
  <si>
    <t>NQO0148</t>
  </si>
  <si>
    <t>NQO0149</t>
  </si>
  <si>
    <t>NQO0151</t>
  </si>
  <si>
    <t>NQO0152</t>
  </si>
  <si>
    <t>NQO0153</t>
  </si>
  <si>
    <t>NQO0154</t>
  </si>
  <si>
    <t>NQO0157</t>
  </si>
  <si>
    <t>NQO0158</t>
  </si>
  <si>
    <t>NQO0159</t>
  </si>
  <si>
    <t>NQO0160</t>
  </si>
  <si>
    <t>NQO0163</t>
  </si>
  <si>
    <t>NQO0164</t>
  </si>
  <si>
    <t>NQO0165</t>
  </si>
  <si>
    <t>NQO0166</t>
  </si>
  <si>
    <t>NQO0169</t>
  </si>
  <si>
    <t>NQO0170</t>
  </si>
  <si>
    <t>NQO0171</t>
  </si>
  <si>
    <t>NQO0172</t>
  </si>
  <si>
    <t>NQO0175</t>
  </si>
  <si>
    <t>NQO0176</t>
  </si>
  <si>
    <t>NQO0177</t>
  </si>
  <si>
    <t>NQO0178</t>
  </si>
  <si>
    <t>NQO0181</t>
  </si>
  <si>
    <t>NQO0182</t>
  </si>
  <si>
    <t>NQO0183</t>
  </si>
  <si>
    <t>NQO0184</t>
  </si>
  <si>
    <t>NQO0185</t>
  </si>
  <si>
    <t>NQO0186</t>
  </si>
  <si>
    <t>NQO0187</t>
  </si>
  <si>
    <t>NQO0188</t>
  </si>
  <si>
    <t>NQO0189</t>
  </si>
  <si>
    <t>NQO0190</t>
  </si>
  <si>
    <t>NQO0191</t>
  </si>
  <si>
    <t>NQO0192</t>
  </si>
  <si>
    <t>NQO0193</t>
  </si>
  <si>
    <t>NQO0194</t>
  </si>
  <si>
    <t>NQO0195</t>
  </si>
  <si>
    <t>NQO0196</t>
  </si>
  <si>
    <t>NQO0197</t>
  </si>
  <si>
    <t>NQO0198</t>
  </si>
  <si>
    <t>NQO0199</t>
  </si>
  <si>
    <t>NQO0200</t>
  </si>
  <si>
    <t>NQO0201</t>
  </si>
  <si>
    <t>NQO0202</t>
  </si>
  <si>
    <t>NQO0203</t>
  </si>
  <si>
    <t>NQO0204</t>
  </si>
  <si>
    <t>NQO0205</t>
  </si>
  <si>
    <t>NQO0206</t>
  </si>
  <si>
    <t>NQO0207</t>
  </si>
  <si>
    <t>NQO0208</t>
  </si>
  <si>
    <t>NQO0209</t>
  </si>
  <si>
    <t>NQO0210</t>
  </si>
  <si>
    <t>NQO0211</t>
  </si>
  <si>
    <t>NQO0212</t>
  </si>
  <si>
    <t>NQO0213</t>
  </si>
  <si>
    <t>NQO0214</t>
  </si>
  <si>
    <t>NQO0215</t>
  </si>
  <si>
    <t>NQO0216</t>
  </si>
  <si>
    <t>NQN0001</t>
  </si>
  <si>
    <t>NQN0002</t>
  </si>
  <si>
    <t>NQN0003</t>
  </si>
  <si>
    <t>NQN0004</t>
  </si>
  <si>
    <t>NQN0007</t>
  </si>
  <si>
    <t>NQN0008</t>
  </si>
  <si>
    <t>NQN0009</t>
  </si>
  <si>
    <t>NQN0010</t>
  </si>
  <si>
    <t>NQN0013</t>
  </si>
  <si>
    <t>NQN0014</t>
  </si>
  <si>
    <t>NQN0015</t>
  </si>
  <si>
    <t>NQN0016</t>
  </si>
  <si>
    <t>NQN0019</t>
  </si>
  <si>
    <t>NQN0020</t>
  </si>
  <si>
    <t>NQN0021</t>
  </si>
  <si>
    <t>NQN0022</t>
  </si>
  <si>
    <t>NQN0025</t>
  </si>
  <si>
    <t>NQN0026</t>
  </si>
  <si>
    <t>NQN0027</t>
  </si>
  <si>
    <t>NQN0028</t>
  </si>
  <si>
    <t>NQN0031</t>
  </si>
  <si>
    <t>NQN0032</t>
  </si>
  <si>
    <t>NQN0033</t>
  </si>
  <si>
    <t>NQN0034</t>
  </si>
  <si>
    <t>NQN0037</t>
  </si>
  <si>
    <t>NQN0038</t>
  </si>
  <si>
    <t>NQN0039</t>
  </si>
  <si>
    <t>NQN0040</t>
  </si>
  <si>
    <t>NQN0043</t>
  </si>
  <si>
    <t>NQN0044</t>
  </si>
  <si>
    <t>NQN0045</t>
  </si>
  <si>
    <t>NQN0046</t>
  </si>
  <si>
    <t>NQN0049</t>
  </si>
  <si>
    <t>NQN0050</t>
  </si>
  <si>
    <t>NQN0051</t>
  </si>
  <si>
    <t>NQN0052</t>
  </si>
  <si>
    <t>NQN0055</t>
  </si>
  <si>
    <t>NQN0056</t>
  </si>
  <si>
    <t>NQN0057</t>
  </si>
  <si>
    <t>NQN0058</t>
  </si>
  <si>
    <t>NQN0061</t>
  </si>
  <si>
    <t>NQN0062</t>
  </si>
  <si>
    <t>NQN0063</t>
  </si>
  <si>
    <t>NQN0064</t>
  </si>
  <si>
    <t>NQN0065</t>
  </si>
  <si>
    <t>NQN0066</t>
  </si>
  <si>
    <t>NQN0068</t>
  </si>
  <si>
    <t>NQN0069</t>
  </si>
  <si>
    <t>NQN0070</t>
  </si>
  <si>
    <t>NQN0071</t>
  </si>
  <si>
    <t>NQN0072</t>
  </si>
  <si>
    <t>NQN0073</t>
  </si>
  <si>
    <t>NQN0075</t>
  </si>
  <si>
    <t>NQN0076</t>
  </si>
  <si>
    <t>NQN0077</t>
  </si>
  <si>
    <t>NQN0078</t>
  </si>
  <si>
    <t>NQN0081</t>
  </si>
  <si>
    <t>NQN0082</t>
  </si>
  <si>
    <t>NQN0083</t>
  </si>
  <si>
    <t>NQN0084</t>
  </si>
  <si>
    <t>NQN0087</t>
  </si>
  <si>
    <t>NQN0088</t>
  </si>
  <si>
    <t>NQN0089</t>
  </si>
  <si>
    <t>NQN0090</t>
  </si>
  <si>
    <t>NQN0093</t>
  </si>
  <si>
    <t>NQN0094</t>
  </si>
  <si>
    <t>NQN0095</t>
  </si>
  <si>
    <t>NQN0096</t>
  </si>
  <si>
    <t>NQN0099</t>
  </si>
  <si>
    <t>NQN0100</t>
  </si>
  <si>
    <t>NQN0101</t>
  </si>
  <si>
    <t>NQN0102</t>
  </si>
  <si>
    <t>NQN0105</t>
  </si>
  <si>
    <t>NQN0106</t>
  </si>
  <si>
    <t>NQN0107</t>
  </si>
  <si>
    <t>NQN0108</t>
  </si>
  <si>
    <t>NQN0111</t>
  </si>
  <si>
    <t>NQN0112</t>
  </si>
  <si>
    <t>NQN0113</t>
  </si>
  <si>
    <t>NQN0114</t>
  </si>
  <si>
    <t>NQN0117</t>
  </si>
  <si>
    <t>NQN0118</t>
  </si>
  <si>
    <t>NQN0119</t>
  </si>
  <si>
    <t>NQN0120</t>
  </si>
  <si>
    <t>NQN0123</t>
  </si>
  <si>
    <t>NQN0124</t>
  </si>
  <si>
    <t>NQN0125</t>
  </si>
  <si>
    <t>NQN0126</t>
  </si>
  <si>
    <t>NQN0129</t>
  </si>
  <si>
    <t>NQN0130</t>
  </si>
  <si>
    <t>NQN0131</t>
  </si>
  <si>
    <t>NQN0132</t>
  </si>
  <si>
    <t>NQN0135</t>
  </si>
  <si>
    <t>NQN0136</t>
  </si>
  <si>
    <t>NQN0137</t>
  </si>
  <si>
    <t>NQN0138</t>
  </si>
  <si>
    <t>NQN0139</t>
  </si>
  <si>
    <t>NQN0140</t>
  </si>
  <si>
    <t>NQN0142</t>
  </si>
  <si>
    <t>NQN0143</t>
  </si>
  <si>
    <t>NQN0144</t>
  </si>
  <si>
    <t>NQN0145</t>
  </si>
  <si>
    <t>NQN0146</t>
  </si>
  <si>
    <t>NQN0147</t>
  </si>
  <si>
    <t>NQN0149</t>
  </si>
  <si>
    <t>NQN0150</t>
  </si>
  <si>
    <t>NQN0151</t>
  </si>
  <si>
    <t>NQN0152</t>
  </si>
  <si>
    <t>NQN0155</t>
  </si>
  <si>
    <t>NQN0156</t>
  </si>
  <si>
    <t>NQN0157</t>
  </si>
  <si>
    <t>NQN0158</t>
  </si>
  <si>
    <t>NQN0161</t>
  </si>
  <si>
    <t>NQN0162</t>
  </si>
  <si>
    <t>NQN0163</t>
  </si>
  <si>
    <t>NQN0164</t>
  </si>
  <si>
    <t>NQN0167</t>
  </si>
  <si>
    <t>NQN0168</t>
  </si>
  <si>
    <t>NQN0169</t>
  </si>
  <si>
    <t>NQN0170</t>
  </si>
  <si>
    <t>NQN0173</t>
  </si>
  <si>
    <t>NQN0174</t>
  </si>
  <si>
    <t>NQN0175</t>
  </si>
  <si>
    <t>NQN0176</t>
  </si>
  <si>
    <t>NQN0179</t>
  </si>
  <si>
    <t>NQN0180</t>
  </si>
  <si>
    <t>NQN0181</t>
  </si>
  <si>
    <t>NQN0182</t>
  </si>
  <si>
    <t>NQN0185</t>
  </si>
  <si>
    <t>NQN0186</t>
  </si>
  <si>
    <t>NQN0187</t>
  </si>
  <si>
    <t>NQN0188</t>
  </si>
  <si>
    <t>NQN0191</t>
  </si>
  <si>
    <t>NQN0192</t>
  </si>
  <si>
    <t>NQN0193</t>
  </si>
  <si>
    <t>NQN0194</t>
  </si>
  <si>
    <t>Elig_BaseLimit_LoanAmt_Max</t>
  </si>
  <si>
    <t>Elig_OverlayLimit_LoanAmt_Max</t>
  </si>
  <si>
    <t>Elig_OverlayReason_LoanAmt_Max</t>
  </si>
  <si>
    <t>Elig_OverlayMsg_LoanAmt</t>
  </si>
  <si>
    <t>Elig_FinalLimit_LoanAmt_Max</t>
  </si>
  <si>
    <t>1stTime Homebuyer</t>
  </si>
  <si>
    <t>Long Name</t>
  </si>
  <si>
    <t>State Lookup</t>
  </si>
  <si>
    <t>Lookup Values</t>
  </si>
  <si>
    <t>01,02,03,04,07,13,14,15</t>
  </si>
  <si>
    <t>01,02,03,04,07,09,13,14,15</t>
  </si>
  <si>
    <t>FNMA Form 1005</t>
  </si>
  <si>
    <t>1099</t>
  </si>
  <si>
    <t>NQN0197</t>
  </si>
  <si>
    <t>NQN0198</t>
  </si>
  <si>
    <t>NQO0217</t>
  </si>
  <si>
    <t>NQO0218</t>
  </si>
  <si>
    <t>NQO0219</t>
  </si>
  <si>
    <t>NQO0220</t>
  </si>
  <si>
    <t>NQO0221</t>
  </si>
  <si>
    <t>NQO0222</t>
  </si>
  <si>
    <t>NQN0199</t>
  </si>
  <si>
    <t>NQN0200</t>
  </si>
  <si>
    <t>NQN0203</t>
  </si>
  <si>
    <t>NQN0204</t>
  </si>
  <si>
    <t>NQN0205</t>
  </si>
  <si>
    <t>NQN0206</t>
  </si>
  <si>
    <t>NQN0209</t>
  </si>
  <si>
    <t>NQN0210</t>
  </si>
  <si>
    <t>Standard</t>
  </si>
  <si>
    <t>PrimePoint, InvestPoint</t>
  </si>
  <si>
    <t>PrimePoint</t>
  </si>
  <si>
    <t>Message</t>
  </si>
  <si>
    <t>Product Lookup</t>
  </si>
  <si>
    <t>Max Pricing Lookup</t>
  </si>
  <si>
    <t>Dropdown Lookups</t>
  </si>
  <si>
    <t>Range Lookups</t>
  </si>
  <si>
    <t>Pricing Lookups</t>
  </si>
  <si>
    <t>State Lookups</t>
  </si>
  <si>
    <t>Pricer Lookup</t>
  </si>
  <si>
    <t>Second</t>
  </si>
  <si>
    <t>Second OO</t>
  </si>
  <si>
    <t>Second NOO</t>
  </si>
  <si>
    <t>SecondOO</t>
  </si>
  <si>
    <t>SecondNOO</t>
  </si>
  <si>
    <t>30/15yr Balloon</t>
  </si>
  <si>
    <t>30B</t>
  </si>
  <si>
    <t>40/15yr Balloon</t>
  </si>
  <si>
    <t>40B</t>
  </si>
  <si>
    <t>10yr Fixed</t>
  </si>
  <si>
    <t>NSO0001</t>
  </si>
  <si>
    <t>NSO0002</t>
  </si>
  <si>
    <t>NSO0003</t>
  </si>
  <si>
    <t>NSO0004</t>
  </si>
  <si>
    <t>NSO0005</t>
  </si>
  <si>
    <t>NSO0006</t>
  </si>
  <si>
    <t>NSO0007</t>
  </si>
  <si>
    <t>NSO0008</t>
  </si>
  <si>
    <t>NSO0009</t>
  </si>
  <si>
    <t>NSO0010</t>
  </si>
  <si>
    <t>NSO0011</t>
  </si>
  <si>
    <t>NSO0012</t>
  </si>
  <si>
    <t>NSO0013</t>
  </si>
  <si>
    <t>NSO0014</t>
  </si>
  <si>
    <t>NSO0015</t>
  </si>
  <si>
    <t>NSO0016</t>
  </si>
  <si>
    <t>NSO0017</t>
  </si>
  <si>
    <t>NSO0018</t>
  </si>
  <si>
    <t>NSO0019</t>
  </si>
  <si>
    <t>NSO0020</t>
  </si>
  <si>
    <t>NSO0021</t>
  </si>
  <si>
    <t>NSO0022</t>
  </si>
  <si>
    <t>NSO0023</t>
  </si>
  <si>
    <t>NSO0024</t>
  </si>
  <si>
    <t>10F</t>
  </si>
  <si>
    <t>780 - 799</t>
  </si>
  <si>
    <t>≥ 800</t>
  </si>
  <si>
    <t>PN_Doc01_≥ 800</t>
  </si>
  <si>
    <t>PN_Doc01_780 - 799</t>
  </si>
  <si>
    <t>PN_Doc04_≥ 800</t>
  </si>
  <si>
    <t>PN_Doc04_780 - 799</t>
  </si>
  <si>
    <t>PN_Doc03_780 - 799</t>
  </si>
  <si>
    <t>PN_Doc03_≥ 800</t>
  </si>
  <si>
    <t>PN_Doc02_780 - 799</t>
  </si>
  <si>
    <t>PN_Doc02_≥ 800</t>
  </si>
  <si>
    <t>IN_Doc01_≥ 800</t>
  </si>
  <si>
    <t>IN_Doc01_780 - 799</t>
  </si>
  <si>
    <t>IN_Doc02_≥ 800</t>
  </si>
  <si>
    <t>IN_Doc02_780 - 799</t>
  </si>
  <si>
    <t>IN_Doc03_≥ 800</t>
  </si>
  <si>
    <t>IN_Doc03_780 - 799</t>
  </si>
  <si>
    <t>IN_Doc04_≥ 800</t>
  </si>
  <si>
    <t>IN_Doc04_780 - 799</t>
  </si>
  <si>
    <t>IN_Doc05_≥ 800</t>
  </si>
  <si>
    <t>IN_Doc05_780 - 799</t>
  </si>
  <si>
    <t>CLTV</t>
  </si>
  <si>
    <t>30/15yr Balloon, 40/15yr Balloon</t>
  </si>
  <si>
    <t>NSO0025</t>
  </si>
  <si>
    <t>NSO0026</t>
  </si>
  <si>
    <t>NSO0027</t>
  </si>
  <si>
    <t>NSO0028</t>
  </si>
  <si>
    <t>NSO0029</t>
  </si>
  <si>
    <t>NSO0030</t>
  </si>
  <si>
    <t>NSO0031</t>
  </si>
  <si>
    <t>NSO0032</t>
  </si>
  <si>
    <t>AK, AL, AR, AZ, CA, CO, CT, DC, DE, FL, GA, HI, IA, ID, IL, IN, KS, KY, LA, MA, MD, ME, MI, MN, MO, MS, MT, NC, ND, NE, NH, NJ, NM, NV, NY, OH, OK, OR, PA, RI, SC, SD, TN, TX, UT, VA, VT, WA, WI, WV, WY</t>
  </si>
  <si>
    <r>
      <t>Match Scenario</t>
    </r>
    <r>
      <rPr>
        <sz val="8"/>
        <color theme="1"/>
        <rFont val="Arial"/>
        <family val="2"/>
      </rPr>
      <t xml:space="preserve"> (22 Total)</t>
    </r>
  </si>
  <si>
    <t>075,001-100k</t>
  </si>
  <si>
    <t>100,001-125k</t>
  </si>
  <si>
    <t>125,001-150k</t>
  </si>
  <si>
    <t>150,001-175k</t>
  </si>
  <si>
    <t>175,001-200k</t>
  </si>
  <si>
    <t>1st Lien</t>
  </si>
  <si>
    <t>2nd Lien</t>
  </si>
  <si>
    <t>Amount</t>
  </si>
  <si>
    <t>Combined Lien Detail</t>
  </si>
  <si>
    <t>Purchase, Rate-Term, Cash-Out</t>
  </si>
  <si>
    <t>Reduced Reserves Calc</t>
  </si>
  <si>
    <t>DSCR ≥1.50</t>
  </si>
  <si>
    <t>PT_Doc01_≥ 800</t>
  </si>
  <si>
    <t>PT_Doc01_780 - 799</t>
  </si>
  <si>
    <t>PT_Doc01_760 - 779</t>
  </si>
  <si>
    <t>PT_Doc01_740 - 759</t>
  </si>
  <si>
    <t>PT_Doc01_720 - 739</t>
  </si>
  <si>
    <t>PT_Doc01_700 - 719</t>
  </si>
  <si>
    <t>PT_Doc01_680 - 699</t>
  </si>
  <si>
    <t>PT_Doc01_660 - 679</t>
  </si>
  <si>
    <t>PT_Doc01_640 - 659</t>
  </si>
  <si>
    <t>PT_Doc01_620 - 639</t>
  </si>
  <si>
    <t>PT_Doc02_≥ 800</t>
  </si>
  <si>
    <t>PT_Doc02_780 - 799</t>
  </si>
  <si>
    <t>PT_Doc02_760 - 779</t>
  </si>
  <si>
    <t>PT_Doc02_740 - 759</t>
  </si>
  <si>
    <t>PT_Doc02_720 - 739</t>
  </si>
  <si>
    <t>PT_Doc02_700 - 719</t>
  </si>
  <si>
    <t>PT_Doc02_680 - 699</t>
  </si>
  <si>
    <t>PT_Doc02_660 - 679</t>
  </si>
  <si>
    <t>PT_Doc02_640 - 659</t>
  </si>
  <si>
    <t>PT_Doc02_620 - 639</t>
  </si>
  <si>
    <t>PT_No Bank Stmt</t>
  </si>
  <si>
    <t>PT_12mo Bank Stmt</t>
  </si>
  <si>
    <t>PT_24mo Bank Stmt</t>
  </si>
  <si>
    <t>PT_10yr Fixed</t>
  </si>
  <si>
    <t>PT_15yr Fixed</t>
  </si>
  <si>
    <t>PT_20yr Fixed</t>
  </si>
  <si>
    <t>PT_30/15yr Balloon</t>
  </si>
  <si>
    <t>PT_40/15yr Balloon</t>
  </si>
  <si>
    <t>PT_Full Amortization</t>
  </si>
  <si>
    <t>PT_Interest-Only</t>
  </si>
  <si>
    <t>PT_00.00-00</t>
  </si>
  <si>
    <t>PT_00.01-43</t>
  </si>
  <si>
    <t>PT_50.01-55</t>
  </si>
  <si>
    <t>PT_DSCR Not Applicable</t>
  </si>
  <si>
    <t>PT_Purchase</t>
  </si>
  <si>
    <t>PT_Rate-Term</t>
  </si>
  <si>
    <t>PT_Cash-Out</t>
  </si>
  <si>
    <t>PT_Owner Occupied</t>
  </si>
  <si>
    <t>PT_Second Home</t>
  </si>
  <si>
    <t>PT_Full Appraisal</t>
  </si>
  <si>
    <t>PT_AVM</t>
  </si>
  <si>
    <t>PT_CA</t>
  </si>
  <si>
    <t>PT_Non-CA</t>
  </si>
  <si>
    <t>PT_SFR</t>
  </si>
  <si>
    <t>PT_D-PUD</t>
  </si>
  <si>
    <t>PT_PUD</t>
  </si>
  <si>
    <t>PT_Townhouse</t>
  </si>
  <si>
    <t>PT_Rowhouse</t>
  </si>
  <si>
    <t>PT_Condo-Site</t>
  </si>
  <si>
    <t>PT_Condo-Warrantable</t>
  </si>
  <si>
    <t>PT_Condo-NonWarrantable</t>
  </si>
  <si>
    <t>PT_2-Unit</t>
  </si>
  <si>
    <t>PT_3-Unit</t>
  </si>
  <si>
    <t>PT_4-Unit</t>
  </si>
  <si>
    <t>PT_Modular</t>
  </si>
  <si>
    <t>PT_Log Home</t>
  </si>
  <si>
    <t>PT_US Citizen</t>
  </si>
  <si>
    <t>PT_Permanent Resident Alien</t>
  </si>
  <si>
    <t>PT_Non-Permanent Resident Alien</t>
  </si>
  <si>
    <t>PT_Foreign National</t>
  </si>
  <si>
    <t>PT_NoLatesx24</t>
  </si>
  <si>
    <t>PT_NoLatesx12</t>
  </si>
  <si>
    <t>PT_1x30x12</t>
  </si>
  <si>
    <t>PT_Multiple30x12</t>
  </si>
  <si>
    <t>PT_1x60x12</t>
  </si>
  <si>
    <t>PT_No ACH</t>
  </si>
  <si>
    <t>PT_ACH</t>
  </si>
  <si>
    <t>PT_Escrows</t>
  </si>
  <si>
    <t>PT_No Escrows</t>
  </si>
  <si>
    <t>PT_No Prepay</t>
  </si>
  <si>
    <t>PT_30 Day</t>
  </si>
  <si>
    <t>PT_45 Day</t>
  </si>
  <si>
    <t>PT_60 Day</t>
  </si>
  <si>
    <t>PT_Mandatory</t>
  </si>
  <si>
    <t>PT_Best Efforts</t>
  </si>
  <si>
    <t>IT_Doc01_≥ 800</t>
  </si>
  <si>
    <t>IT_Doc01_780 - 799</t>
  </si>
  <si>
    <t>IT_Doc01_760 - 779</t>
  </si>
  <si>
    <t>IT_Doc01_740 - 759</t>
  </si>
  <si>
    <t>IT_Doc01_720 - 739</t>
  </si>
  <si>
    <t>IT_Doc01_700 - 719</t>
  </si>
  <si>
    <t>IT_Doc01_680 - 699</t>
  </si>
  <si>
    <t>IT_Doc01_660 - 679</t>
  </si>
  <si>
    <t>IT_Doc01_640 - 659</t>
  </si>
  <si>
    <t>IT_Doc01_620 - 639</t>
  </si>
  <si>
    <t>IT_Doc02_≥ 800</t>
  </si>
  <si>
    <t>IT_Doc02_780 - 799</t>
  </si>
  <si>
    <t>IT_Doc02_760 - 779</t>
  </si>
  <si>
    <t>IT_Doc02_740 - 759</t>
  </si>
  <si>
    <t>IT_Doc02_720 - 739</t>
  </si>
  <si>
    <t>IT_Doc02_700 - 719</t>
  </si>
  <si>
    <t>IT_Doc02_680 - 699</t>
  </si>
  <si>
    <t>IT_Doc02_660 - 679</t>
  </si>
  <si>
    <t>IT_Doc02_640 - 659</t>
  </si>
  <si>
    <t>IT_Doc02_620 - 639</t>
  </si>
  <si>
    <t>IT_No Bank Stmt</t>
  </si>
  <si>
    <t>IT_12mo Bank Stmt</t>
  </si>
  <si>
    <t>IT_24mo Bank Stmt</t>
  </si>
  <si>
    <t>IT_10yr Fixed</t>
  </si>
  <si>
    <t>IT_15yr Fixed</t>
  </si>
  <si>
    <t>IT_20yr Fixed</t>
  </si>
  <si>
    <t>IT_30/15yr Balloon</t>
  </si>
  <si>
    <t>IT_40/15yr Balloon</t>
  </si>
  <si>
    <t>IT_Full Amortization</t>
  </si>
  <si>
    <t>IT_Interest-Only</t>
  </si>
  <si>
    <t>IT_00.00-00</t>
  </si>
  <si>
    <t>IT_00.01-43</t>
  </si>
  <si>
    <t>IT_50.01-55</t>
  </si>
  <si>
    <t>IT_DSCR Not Applicable</t>
  </si>
  <si>
    <t>IT_Purchase</t>
  </si>
  <si>
    <t>IT_Rate-Term</t>
  </si>
  <si>
    <t>IT_Cash-Out</t>
  </si>
  <si>
    <t>IT_Non Owner Occupied</t>
  </si>
  <si>
    <t>IT_Full Appraisal</t>
  </si>
  <si>
    <t>IT_AVM</t>
  </si>
  <si>
    <t>IT_CA</t>
  </si>
  <si>
    <t>IT_Non-CA</t>
  </si>
  <si>
    <t>IT_SFR</t>
  </si>
  <si>
    <t>IT_D-PUD</t>
  </si>
  <si>
    <t>IT_PUD</t>
  </si>
  <si>
    <t>IT_Townhouse</t>
  </si>
  <si>
    <t>IT_Rowhouse</t>
  </si>
  <si>
    <t>IT_Condo-Site</t>
  </si>
  <si>
    <t>IT_Condo-Warrantable</t>
  </si>
  <si>
    <t>IT_Condo-NonWarrantable</t>
  </si>
  <si>
    <t>IT_2-Unit</t>
  </si>
  <si>
    <t>IT_3-Unit</t>
  </si>
  <si>
    <t>IT_4-Unit</t>
  </si>
  <si>
    <t>IT_Modular</t>
  </si>
  <si>
    <t>IT_Log Home</t>
  </si>
  <si>
    <t>IT_US Citizen</t>
  </si>
  <si>
    <t>IT_Permanent Resident Alien</t>
  </si>
  <si>
    <t>IT_Non-Permanent Resident Alien</t>
  </si>
  <si>
    <t>IT_Foreign National</t>
  </si>
  <si>
    <t>IT_NoLatesx24</t>
  </si>
  <si>
    <t>IT_NoLatesx12</t>
  </si>
  <si>
    <t>IT_1x30x12</t>
  </si>
  <si>
    <t>IT_Multiple30x12</t>
  </si>
  <si>
    <t>IT_1x60x12</t>
  </si>
  <si>
    <t>IT_No ACH</t>
  </si>
  <si>
    <t>IT_ACH</t>
  </si>
  <si>
    <t>IT_Escrows</t>
  </si>
  <si>
    <t>IT_No Escrows</t>
  </si>
  <si>
    <t>IT_No Prepay</t>
  </si>
  <si>
    <t>IT_1yr Prepay_5Pct</t>
  </si>
  <si>
    <t>IT_2yr Prepay_5Pct</t>
  </si>
  <si>
    <t>IT_3yr Prepay_5Pct</t>
  </si>
  <si>
    <t>IT_4yr Prepay_5Pct</t>
  </si>
  <si>
    <t>IT_5yr Prepay_5Pct</t>
  </si>
  <si>
    <t>IT_1yr Prepay_1</t>
  </si>
  <si>
    <t>IT_2yr Prepay_21</t>
  </si>
  <si>
    <t>IT_3yr Prepay_321</t>
  </si>
  <si>
    <t>IT_4yr Prepay_4321</t>
  </si>
  <si>
    <t>IT_5yr Prepay_54321</t>
  </si>
  <si>
    <t>IT_30 Day</t>
  </si>
  <si>
    <t>IT_45 Day</t>
  </si>
  <si>
    <t>IT_60 Day</t>
  </si>
  <si>
    <t>IT_Mandatory</t>
  </si>
  <si>
    <t>IT_Best Efforts</t>
  </si>
  <si>
    <t>PT</t>
  </si>
  <si>
    <t>IT</t>
  </si>
  <si>
    <t>PT10F</t>
  </si>
  <si>
    <t>PT15F</t>
  </si>
  <si>
    <t>PT20F</t>
  </si>
  <si>
    <t>PT30B</t>
  </si>
  <si>
    <t>PT40B</t>
  </si>
  <si>
    <t>IT10F</t>
  </si>
  <si>
    <t>IT15F</t>
  </si>
  <si>
    <t>IT20F</t>
  </si>
  <si>
    <t>IT30B</t>
  </si>
  <si>
    <t>IT40B</t>
  </si>
  <si>
    <t xml:space="preserve">Licensed </t>
  </si>
  <si>
    <t>BusPurpose</t>
  </si>
  <si>
    <t>Restrictions</t>
  </si>
  <si>
    <t>Calc</t>
  </si>
  <si>
    <t>43.01-45</t>
  </si>
  <si>
    <t>45.01-50</t>
  </si>
  <si>
    <t>PT_45.01-50</t>
  </si>
  <si>
    <t>PT_43.01-45</t>
  </si>
  <si>
    <t>IT_43.01-45</t>
  </si>
  <si>
    <t>IT_45.01-50</t>
  </si>
  <si>
    <t>PN_43.01-45</t>
  </si>
  <si>
    <t>PN_45.01-50</t>
  </si>
  <si>
    <t>IN_43.01-45</t>
  </si>
  <si>
    <t>IN_45.01-50</t>
  </si>
  <si>
    <t>PT_30yr Fixed</t>
  </si>
  <si>
    <t>IT_30yr Fixed</t>
  </si>
  <si>
    <t>10yr Fixed, 15yr Fixed, 20yr Fixed, 30yr Fixed</t>
  </si>
  <si>
    <t>PT30F</t>
  </si>
  <si>
    <t>IT30F</t>
  </si>
  <si>
    <t>Fixed Rate</t>
  </si>
  <si>
    <t>%</t>
  </si>
  <si>
    <t>TX Cashout OO</t>
  </si>
  <si>
    <t>Ratesheet Source</t>
  </si>
  <si>
    <t>10yr Fixed, 15yr Fixed, 20yr Fixed, 30yr Fixed, 30/15yr Balloon, 40/15yr Balloon</t>
  </si>
  <si>
    <t>Total Overlay Reduce</t>
  </si>
  <si>
    <t>NSO0033</t>
  </si>
  <si>
    <t>NSO0034</t>
  </si>
  <si>
    <t>NSO0035</t>
  </si>
  <si>
    <t>NSO0036</t>
  </si>
  <si>
    <t>NSO0037</t>
  </si>
  <si>
    <t>NSO0038</t>
  </si>
  <si>
    <t>NSO0039</t>
  </si>
  <si>
    <t>NSO0040</t>
  </si>
  <si>
    <t>NSO0041</t>
  </si>
  <si>
    <t>NSO0042</t>
  </si>
  <si>
    <t>NSO0043</t>
  </si>
  <si>
    <t>NSO0044</t>
  </si>
  <si>
    <t>NSO0045</t>
  </si>
  <si>
    <t>NSO0046</t>
  </si>
  <si>
    <t>NSO0047</t>
  </si>
  <si>
    <t>NSO0048</t>
  </si>
  <si>
    <t>NSO0049</t>
  </si>
  <si>
    <t>NSO0050</t>
  </si>
  <si>
    <t>NSO0051</t>
  </si>
  <si>
    <t>NSO0052</t>
  </si>
  <si>
    <t>NSO0053</t>
  </si>
  <si>
    <t>NSO0054</t>
  </si>
  <si>
    <t>NSO0055</t>
  </si>
  <si>
    <t>NSO0056</t>
  </si>
  <si>
    <t>NSO0057</t>
  </si>
  <si>
    <t>NSO0058</t>
  </si>
  <si>
    <t>NSO0059</t>
  </si>
  <si>
    <t>NSO0060</t>
  </si>
  <si>
    <t>NSO0061</t>
  </si>
  <si>
    <t>NSO0062</t>
  </si>
  <si>
    <t>NSO0063</t>
  </si>
  <si>
    <t>NSO0064</t>
  </si>
  <si>
    <t>NSO0065</t>
  </si>
  <si>
    <t>NSO0066</t>
  </si>
  <si>
    <t>NSO0067</t>
  </si>
  <si>
    <t>NSO0068</t>
  </si>
  <si>
    <t>NSO0069</t>
  </si>
  <si>
    <t>NSO0070</t>
  </si>
  <si>
    <t>NSO0071</t>
  </si>
  <si>
    <t>NSO0072</t>
  </si>
  <si>
    <t>Rate &gt;</t>
  </si>
  <si>
    <t>CO &gt;12 Ineligible</t>
  </si>
  <si>
    <t>PN_Doc01_640 - 659</t>
  </si>
  <si>
    <t>PN_Doc02_640 - 659</t>
  </si>
  <si>
    <t>2nd Home 2-Unit</t>
  </si>
  <si>
    <t>2nd Home 3-Unit</t>
  </si>
  <si>
    <t>2nd Home 4-Unit</t>
  </si>
  <si>
    <t>TX Cashout OO 80</t>
  </si>
  <si>
    <t>5/6 ARM</t>
  </si>
  <si>
    <t>10yr</t>
  </si>
  <si>
    <t>All</t>
  </si>
  <si>
    <t>15yr</t>
  </si>
  <si>
    <t>20yr</t>
  </si>
  <si>
    <t>30yr</t>
  </si>
  <si>
    <t>40yr</t>
  </si>
  <si>
    <t>Margin</t>
  </si>
  <si>
    <t>Type</t>
  </si>
  <si>
    <t>Condotel</t>
  </si>
  <si>
    <t>SF, DP, PD, CS, 2U, 3U, 4U, CW, CN, CT, TH, RW, MD, RL</t>
  </si>
  <si>
    <t>Max Loan Amt</t>
  </si>
  <si>
    <t>PN_Condotel</t>
  </si>
  <si>
    <t>IN_Condotel</t>
  </si>
  <si>
    <t>SFR-Rural</t>
  </si>
  <si>
    <t>PT_SFR-Rural</t>
  </si>
  <si>
    <t>IT_SFR-Rural</t>
  </si>
  <si>
    <t>PN_SFR-Rural</t>
  </si>
  <si>
    <t>IN_SFR-Rural</t>
  </si>
  <si>
    <t>01-Full Doc 2yr</t>
  </si>
  <si>
    <t>02-Full Doc 1yr</t>
  </si>
  <si>
    <t>Full Doc 1yr</t>
  </si>
  <si>
    <t>Full Doc 2yr</t>
  </si>
  <si>
    <t>PN_Doc01_620 - 639</t>
  </si>
  <si>
    <t>PN_Doc02_620 - 639</t>
  </si>
  <si>
    <t>Foreign National CondoNonWarr</t>
  </si>
  <si>
    <t>Foreign National Condotel</t>
  </si>
  <si>
    <t>75 Day</t>
  </si>
  <si>
    <t>NSO0073</t>
  </si>
  <si>
    <t>NSO0074</t>
  </si>
  <si>
    <t>NSO0075</t>
  </si>
  <si>
    <t>NSO0076</t>
  </si>
  <si>
    <t>NSO0077</t>
  </si>
  <si>
    <t>NSO0078</t>
  </si>
  <si>
    <t>NSO0079</t>
  </si>
  <si>
    <t>NSO0080</t>
  </si>
  <si>
    <t>Channel</t>
  </si>
  <si>
    <t>PT_GA</t>
  </si>
  <si>
    <t>IT_GA</t>
  </si>
  <si>
    <t>PN_GA</t>
  </si>
  <si>
    <t>IN_GA</t>
  </si>
  <si>
    <t>PT_AL</t>
  </si>
  <si>
    <t>IT_AL</t>
  </si>
  <si>
    <t>PN_AL</t>
  </si>
  <si>
    <t>IN_AL</t>
  </si>
  <si>
    <t>Funding</t>
  </si>
  <si>
    <t>Employment</t>
  </si>
  <si>
    <t>Self-Employed</t>
  </si>
  <si>
    <t>Criteria</t>
  </si>
  <si>
    <t>Document Name</t>
  </si>
  <si>
    <t>External</t>
  </si>
  <si>
    <t>Monthly Fees</t>
  </si>
  <si>
    <t>APR</t>
  </si>
  <si>
    <t>HC_Fed_APR_1st_1</t>
  </si>
  <si>
    <t>HC_Fed_APR_1st_2</t>
  </si>
  <si>
    <t>HC_Fed_APR_2nd</t>
  </si>
  <si>
    <t>HC_Fed_PtsFees_1</t>
  </si>
  <si>
    <t>HC_Fed_PtsFees_2</t>
  </si>
  <si>
    <t>QM_PtsFees_1</t>
  </si>
  <si>
    <t>QM_PtsFees_2</t>
  </si>
  <si>
    <t>QM_PtsFees_3</t>
  </si>
  <si>
    <t>QM_APR_1st_1</t>
  </si>
  <si>
    <t>QM_APR_2nd_1</t>
  </si>
  <si>
    <t>QM_APR_2nd_2</t>
  </si>
  <si>
    <t>QM_APR_1st_2</t>
  </si>
  <si>
    <t>QM_APR_1st_3</t>
  </si>
  <si>
    <t>HP_Fed_APR_2nd</t>
  </si>
  <si>
    <t>HP_Fed_APR_1st</t>
  </si>
  <si>
    <t>HC_State_PtsFees</t>
  </si>
  <si>
    <t>APOR</t>
  </si>
  <si>
    <t>APOR Spread</t>
  </si>
  <si>
    <t>Fee Pct</t>
  </si>
  <si>
    <t>Fee Amt</t>
  </si>
  <si>
    <t>Ln Amt Min</t>
  </si>
  <si>
    <t>Ln Amt Max</t>
  </si>
  <si>
    <t>Loan Type</t>
  </si>
  <si>
    <t>Treasury</t>
  </si>
  <si>
    <t>Index</t>
  </si>
  <si>
    <t>Units</t>
  </si>
  <si>
    <t>Agency Amt Group</t>
  </si>
  <si>
    <t>AK, HI</t>
  </si>
  <si>
    <t>US, DC</t>
  </si>
  <si>
    <t>Agency Limits</t>
  </si>
  <si>
    <t>Spread to Index</t>
  </si>
  <si>
    <t>Spread 1st</t>
  </si>
  <si>
    <t>Spread 2nd</t>
  </si>
  <si>
    <t>Points &amp; Fees Limit</t>
  </si>
  <si>
    <t>High Cost / QM Test</t>
  </si>
  <si>
    <t>Lien Position</t>
  </si>
  <si>
    <t>&gt;=</t>
  </si>
  <si>
    <t>&lt;</t>
  </si>
  <si>
    <t>High Cost APR Federal</t>
  </si>
  <si>
    <t>High Cost Pts Fees Federal</t>
  </si>
  <si>
    <t>High Cost APR State</t>
  </si>
  <si>
    <t>High Cost Pts Fees State</t>
  </si>
  <si>
    <t>High Price APR Federal</t>
  </si>
  <si>
    <t>HC_State_APR_1st</t>
  </si>
  <si>
    <t>HC_State_APR_2nd</t>
  </si>
  <si>
    <t>High Cost (State)</t>
  </si>
  <si>
    <t>QM</t>
  </si>
  <si>
    <t>QM Rebuttable Presumption</t>
  </si>
  <si>
    <t>QM Safe Harbor</t>
  </si>
  <si>
    <t>NonQM HPML</t>
  </si>
  <si>
    <t>Appraisal</t>
  </si>
  <si>
    <t>FRM</t>
  </si>
  <si>
    <t>ARM</t>
  </si>
  <si>
    <t>Calculator</t>
  </si>
  <si>
    <t>Identification</t>
  </si>
  <si>
    <t>Results</t>
  </si>
  <si>
    <t>Test</t>
  </si>
  <si>
    <t>Valuation</t>
  </si>
  <si>
    <t>HPML</t>
  </si>
  <si>
    <t>Fees</t>
  </si>
  <si>
    <t>APR Federal</t>
  </si>
  <si>
    <t>APR State</t>
  </si>
  <si>
    <t>Points (%)</t>
  </si>
  <si>
    <t>Lender Fees ($)</t>
  </si>
  <si>
    <t>Broker Fees ($)</t>
  </si>
  <si>
    <t>Other Fees ($)</t>
  </si>
  <si>
    <t>3rd Party Fees ($)</t>
  </si>
  <si>
    <t>Term Maturity</t>
  </si>
  <si>
    <t>Term Amort</t>
  </si>
  <si>
    <t>VPM Loan Limit AVM</t>
  </si>
  <si>
    <t>07yr</t>
  </si>
  <si>
    <t>05yr</t>
  </si>
  <si>
    <t>Monthly Fees (Input)</t>
  </si>
  <si>
    <t>Prepaid Interest ($)</t>
  </si>
  <si>
    <t>QM_Interest Only</t>
  </si>
  <si>
    <t>QM_Balloon</t>
  </si>
  <si>
    <t>QM_Term</t>
  </si>
  <si>
    <t>Pts Fees</t>
  </si>
  <si>
    <t>PtsFees</t>
  </si>
  <si>
    <t>Threshold</t>
  </si>
  <si>
    <t>QM_BusinessPurpose</t>
  </si>
  <si>
    <t>Zip</t>
  </si>
  <si>
    <t>Interest Days ($)</t>
  </si>
  <si>
    <t>Calc APR Total Fees</t>
  </si>
  <si>
    <t>Compensation Type</t>
  </si>
  <si>
    <t>CompensationType</t>
  </si>
  <si>
    <t>Lender Paid</t>
  </si>
  <si>
    <t>Borrower Paid</t>
  </si>
  <si>
    <t>Blended</t>
  </si>
  <si>
    <t>NSO0081</t>
  </si>
  <si>
    <t>NSO0082</t>
  </si>
  <si>
    <t>NSO0083</t>
  </si>
  <si>
    <t>NSO0084</t>
  </si>
  <si>
    <t>NSO0085</t>
  </si>
  <si>
    <t>NSO0086</t>
  </si>
  <si>
    <t>NSO0087</t>
  </si>
  <si>
    <t>NSO0088</t>
  </si>
  <si>
    <t>NSO0089</t>
  </si>
  <si>
    <t>NSO0090</t>
  </si>
  <si>
    <t>NSO0091</t>
  </si>
  <si>
    <t>NSO0092</t>
  </si>
  <si>
    <t>NSO0093</t>
  </si>
  <si>
    <t>NSO0094</t>
  </si>
  <si>
    <t>NSO0095</t>
  </si>
  <si>
    <t>NSO0096</t>
  </si>
  <si>
    <t>High Cost (Fed)</t>
  </si>
  <si>
    <t>Inputs</t>
  </si>
  <si>
    <t>Outputs</t>
  </si>
  <si>
    <t>$</t>
  </si>
  <si>
    <t>Current Loan (Actual)</t>
  </si>
  <si>
    <t>SS-89</t>
  </si>
  <si>
    <t>Tests</t>
  </si>
  <si>
    <t>20A3P</t>
  </si>
  <si>
    <t>20A5P</t>
  </si>
  <si>
    <t>30A3P</t>
  </si>
  <si>
    <t>30A5P</t>
  </si>
  <si>
    <t>PT_01</t>
  </si>
  <si>
    <t>PT_02</t>
  </si>
  <si>
    <t>PT_03</t>
  </si>
  <si>
    <t>PT_04</t>
  </si>
  <si>
    <t>PT_05</t>
  </si>
  <si>
    <t>PT_06</t>
  </si>
  <si>
    <t>PT_07</t>
  </si>
  <si>
    <t>PT_08</t>
  </si>
  <si>
    <t>PT_09</t>
  </si>
  <si>
    <t>PT_10</t>
  </si>
  <si>
    <t>PT_11</t>
  </si>
  <si>
    <t>PT_12</t>
  </si>
  <si>
    <t>PT_13</t>
  </si>
  <si>
    <t>PT_14</t>
  </si>
  <si>
    <t>PT_15</t>
  </si>
  <si>
    <t>PT_16</t>
  </si>
  <si>
    <t>PT_17</t>
  </si>
  <si>
    <t>PT_18</t>
  </si>
  <si>
    <t>PT_19</t>
  </si>
  <si>
    <t>PT_20</t>
  </si>
  <si>
    <t>PT_21</t>
  </si>
  <si>
    <t>PT_22</t>
  </si>
  <si>
    <t>PT_23</t>
  </si>
  <si>
    <t>PT_24</t>
  </si>
  <si>
    <t>PT_25</t>
  </si>
  <si>
    <t>PT_26</t>
  </si>
  <si>
    <t>PT_27</t>
  </si>
  <si>
    <t>PT_28</t>
  </si>
  <si>
    <t>PT_29</t>
  </si>
  <si>
    <t>PT_30</t>
  </si>
  <si>
    <t>PT_31</t>
  </si>
  <si>
    <t>PT_32</t>
  </si>
  <si>
    <t>PT_33</t>
  </si>
  <si>
    <t>PT_34</t>
  </si>
  <si>
    <t>PT_35</t>
  </si>
  <si>
    <t>PT_36</t>
  </si>
  <si>
    <t>PT_37</t>
  </si>
  <si>
    <t>PT_38</t>
  </si>
  <si>
    <t>PT_39</t>
  </si>
  <si>
    <t>PT_40</t>
  </si>
  <si>
    <t>PT_41</t>
  </si>
  <si>
    <t>PN_01</t>
  </si>
  <si>
    <t>PN_02</t>
  </si>
  <si>
    <t>PN_03</t>
  </si>
  <si>
    <t>PN_04</t>
  </si>
  <si>
    <t>PN_05</t>
  </si>
  <si>
    <t>PN_06</t>
  </si>
  <si>
    <t>PN_07</t>
  </si>
  <si>
    <t>PN_08</t>
  </si>
  <si>
    <t>PN_09</t>
  </si>
  <si>
    <t>PN_10</t>
  </si>
  <si>
    <t>PN_11</t>
  </si>
  <si>
    <t>PN_12</t>
  </si>
  <si>
    <t>PN_13</t>
  </si>
  <si>
    <t>PN_14</t>
  </si>
  <si>
    <t>PN_15</t>
  </si>
  <si>
    <t>PN_16</t>
  </si>
  <si>
    <t>PN_17</t>
  </si>
  <si>
    <t>PN_18</t>
  </si>
  <si>
    <t>PN_19</t>
  </si>
  <si>
    <t>PN_20</t>
  </si>
  <si>
    <t>PN_21</t>
  </si>
  <si>
    <t>PN_22</t>
  </si>
  <si>
    <t>PN_23</t>
  </si>
  <si>
    <t>PN_24</t>
  </si>
  <si>
    <t>PN_25</t>
  </si>
  <si>
    <t>PN_26</t>
  </si>
  <si>
    <t>IT_01</t>
  </si>
  <si>
    <t>IT_02</t>
  </si>
  <si>
    <t>IT_03</t>
  </si>
  <si>
    <t>IT_04</t>
  </si>
  <si>
    <t>IT_05</t>
  </si>
  <si>
    <t>IT_06</t>
  </si>
  <si>
    <t>IT_07</t>
  </si>
  <si>
    <t>IT_08</t>
  </si>
  <si>
    <t>IT_09</t>
  </si>
  <si>
    <t>IT_10</t>
  </si>
  <si>
    <t>IT_11</t>
  </si>
  <si>
    <t>IT_12</t>
  </si>
  <si>
    <t>IT_13</t>
  </si>
  <si>
    <t>IT_14</t>
  </si>
  <si>
    <t>IT_15</t>
  </si>
  <si>
    <t>IT_16</t>
  </si>
  <si>
    <t>IT_17</t>
  </si>
  <si>
    <t>IT_18</t>
  </si>
  <si>
    <t>IT_19</t>
  </si>
  <si>
    <t>IT_20</t>
  </si>
  <si>
    <t>IT_21</t>
  </si>
  <si>
    <t>IT_22</t>
  </si>
  <si>
    <t>IT_23</t>
  </si>
  <si>
    <t>IT_24</t>
  </si>
  <si>
    <t>IT_25</t>
  </si>
  <si>
    <t>IT_26</t>
  </si>
  <si>
    <t>IT_27</t>
  </si>
  <si>
    <t>IT_28</t>
  </si>
  <si>
    <t>IT_29</t>
  </si>
  <si>
    <t>IT_30</t>
  </si>
  <si>
    <t>IT_31</t>
  </si>
  <si>
    <t>IT_32</t>
  </si>
  <si>
    <t>IT_33</t>
  </si>
  <si>
    <t>IT_34</t>
  </si>
  <si>
    <t>IT_35</t>
  </si>
  <si>
    <t>IT_36</t>
  </si>
  <si>
    <t>IT_37</t>
  </si>
  <si>
    <t>IT_38</t>
  </si>
  <si>
    <t>IT_39</t>
  </si>
  <si>
    <t>IT_40</t>
  </si>
  <si>
    <t>IT_41</t>
  </si>
  <si>
    <t>IN_01</t>
  </si>
  <si>
    <t>IN_02</t>
  </si>
  <si>
    <t>IN_03</t>
  </si>
  <si>
    <t>IN_04</t>
  </si>
  <si>
    <t>IN_05</t>
  </si>
  <si>
    <t>IN_06</t>
  </si>
  <si>
    <t>IN_07</t>
  </si>
  <si>
    <t>IN_08</t>
  </si>
  <si>
    <t>IN_09</t>
  </si>
  <si>
    <t>IN_10</t>
  </si>
  <si>
    <t>IN_11</t>
  </si>
  <si>
    <t>IN_12</t>
  </si>
  <si>
    <t>IN_13</t>
  </si>
  <si>
    <t>IN_14</t>
  </si>
  <si>
    <t>IN_15</t>
  </si>
  <si>
    <t>IN_16</t>
  </si>
  <si>
    <t>IN_17</t>
  </si>
  <si>
    <t>IN_18</t>
  </si>
  <si>
    <t>IN_19</t>
  </si>
  <si>
    <t>IN_20</t>
  </si>
  <si>
    <t>IN_21</t>
  </si>
  <si>
    <t>IN_22</t>
  </si>
  <si>
    <t>IN_23</t>
  </si>
  <si>
    <t>IN_24</t>
  </si>
  <si>
    <t>IN_25</t>
  </si>
  <si>
    <t>IN_26</t>
  </si>
  <si>
    <t>Pricing Code</t>
  </si>
  <si>
    <t>Lookup Rate</t>
  </si>
  <si>
    <t>Lookup Price</t>
  </si>
  <si>
    <t>Rate Code</t>
  </si>
  <si>
    <t>Exemption</t>
  </si>
  <si>
    <t>Term Initial</t>
  </si>
  <si>
    <t>Output Code</t>
  </si>
  <si>
    <t>Output Rate</t>
  </si>
  <si>
    <t>Output Price</t>
  </si>
  <si>
    <t>Rate/Price Find</t>
  </si>
  <si>
    <t>Lookup LLPA</t>
  </si>
  <si>
    <t>Pricing Matrix</t>
  </si>
  <si>
    <t>Input_Price_Target</t>
  </si>
  <si>
    <t>Output_Rate_Target</t>
  </si>
  <si>
    <t>Recommended</t>
  </si>
  <si>
    <t>Evidence PITIA for all REO (Mtg stmt, ins. Policy, etc.)</t>
  </si>
  <si>
    <t>State: CO</t>
  </si>
  <si>
    <t>ATR - DU/LP Approve/Ineligible or Refer</t>
  </si>
  <si>
    <t>Endorsements T42 and T42.1 / Texas Cash Out</t>
  </si>
  <si>
    <t>2nd TD</t>
  </si>
  <si>
    <t>Mortgage Statement Coupon</t>
  </si>
  <si>
    <t>Disclosure</t>
  </si>
  <si>
    <t>Broker Fee Sheet</t>
  </si>
  <si>
    <t>Timing</t>
  </si>
  <si>
    <t>SubmissionRequired</t>
  </si>
  <si>
    <t>SubmissionRecommended</t>
  </si>
  <si>
    <t>Submission Required</t>
  </si>
  <si>
    <t>Disclosure Required</t>
  </si>
  <si>
    <t>Evidence PITIA (Subject Property)</t>
  </si>
  <si>
    <t>YTD P&amp;L (12mo from CPA)</t>
  </si>
  <si>
    <t>12mo/24mo Consecutive Stmts (Same account, all pages)</t>
  </si>
  <si>
    <t>Title Commitment / Texas Cash Out (Must Include Vesting)</t>
  </si>
  <si>
    <t>YTD P&amp;L (Self Employed)</t>
  </si>
  <si>
    <t>2 Full Appraisals</t>
  </si>
  <si>
    <t>1007 (Market Rent Survey)</t>
  </si>
  <si>
    <t>Colorado Tangible Net Benefit Disclosure (Signed by borrower and LO prior to disclosures)</t>
  </si>
  <si>
    <t>Escrow Instructions (If business entity, provide formation articles/agreement, tax ID #, cert of good standing)</t>
  </si>
  <si>
    <t>1003 Loan Application (Signed and Dated by LO)</t>
  </si>
  <si>
    <t>Brokers Advantage Submission Form and Checklist (Optional Cover Letter)</t>
  </si>
  <si>
    <t>ID: Passport or  DL (Cannot be Expired)</t>
  </si>
  <si>
    <t>Business Ownership Percentage Letter</t>
  </si>
  <si>
    <t>Lender Paid Comp Transactions (Anti-Steering Disclosure to be provided by Broker)</t>
  </si>
  <si>
    <t>Borrower Identification (Perm-Res or Non-Perm: Green Card or Valid Visa)</t>
  </si>
  <si>
    <t>Letters of Explanation (Address Inquiries &lt; 90 days, Derog/Disputed Credit &lt; 2yrs, Name, SSN, Address Variations)</t>
  </si>
  <si>
    <t>Letters of Explanation (Address Non-Arm's Length Relationships (Builder, Developer, Seller, LO, RE Agent, etc.))</t>
  </si>
  <si>
    <t>Balance Sheet (If using Business Assets for Funds for Closing/Reserves/Down Pmt)</t>
  </si>
  <si>
    <t>Liability Docs for other REO (Tax/HOI/HOA bills)</t>
  </si>
  <si>
    <t>12mo Cancelled Checks (Include Copy of Note, if available)</t>
  </si>
  <si>
    <t>Master Liability Insurance (w/ Walls-In)</t>
  </si>
  <si>
    <t>Payoff Demand(s) w/in 30 days</t>
  </si>
  <si>
    <t>Preliminary Title Report / Title Commitment (24mo chain of title, ALTA supp for property address, plat map / survey)</t>
  </si>
  <si>
    <t>2yrs W2s or Personal Returns, 1mo Recent Paystubs (Wage Earner)</t>
  </si>
  <si>
    <t>2yrs Personal and Business Returns (Self-Employed)</t>
  </si>
  <si>
    <t>1yr W2 or Personal Returns, 1mo Recent Paystubs  (Wage Earner)</t>
  </si>
  <si>
    <t>1yr Personal and Business Returns, YTD P&amp;L (Self-Employed)</t>
  </si>
  <si>
    <t>6mo Consecutive Statements (Same Account, All Pages)</t>
  </si>
  <si>
    <t>Purchase Contract (Cannot be Expired, All Pages, Amendments, Counteroffers, Signed by All)</t>
  </si>
  <si>
    <t>Full Documentation of Non-Employment income (SSI, Pension, Alimony, Child Support, Trust Income, etc.)</t>
  </si>
  <si>
    <t>6mo Consecutive Statements (Must be personal and liquid)</t>
  </si>
  <si>
    <t>Self-Employment Verification Docs (Verify 2yrs Self-Employment w/Business License(s), CPA Letter, etc.)</t>
  </si>
  <si>
    <t>Self-Employment Verification Docs (2yrs Self-Empl w/Business License(s), CPA letter, etc.)</t>
  </si>
  <si>
    <t>Letters of Explanation (Purpose of Cash-Out - DSCR must be Business Purpose)</t>
  </si>
  <si>
    <t>HOA Package/Cert (if condo)</t>
  </si>
  <si>
    <t>Hazard Insurance (Replacement Cost Estimator)</t>
  </si>
  <si>
    <t>Full Interior/Exterior Appraisal(s) and Invoice w/in 90 days</t>
  </si>
  <si>
    <t>Fidelity Bond (Projects &gt; 20 units)</t>
  </si>
  <si>
    <t>Solar Agreement and Endorsement [if applicable]</t>
  </si>
  <si>
    <t>Self-Employment Verification Docs [if applicable] (Verify 2yrs self-employment w/business license(s), CPA letter, etc.)</t>
  </si>
  <si>
    <t>Self-Employment Verification Docs [if applicable] (For &gt; 50% expense factor, provide CPA letter or P&amp;L from CPA)</t>
  </si>
  <si>
    <t>Divorce Decree / Separation Agmt [if applicable] (All Pages, incl. Attachments. Signed by All Parties)</t>
  </si>
  <si>
    <t>BK papers [if applicable] (All schedules and evidence discharged)</t>
  </si>
  <si>
    <t>Gift Letter [if applicable] (Evidence Donor Funds Transferred to Borrower or Settlement Agent)</t>
  </si>
  <si>
    <t>1004D / Final Inspection [if applicable] (Condition rating C5/C6 and Quality rating Q6 unacceptable)</t>
  </si>
  <si>
    <t>1004D / Final Inspection [if applicable] (Min 600 sf)</t>
  </si>
  <si>
    <t>1031 Exchange Documentation [if applicable] (Executed Agreement and Settlement Stmt from Accommodator)</t>
  </si>
  <si>
    <t>Current Property Tax Bill</t>
  </si>
  <si>
    <t>CPL (With Brokers Advantage Listed as Mortgagee)</t>
  </si>
  <si>
    <t>4506C Signed by Borrower(s)</t>
  </si>
  <si>
    <t>Credit Report or Tri-Merge [TPO Connect] (Not Locked or Frozen)</t>
  </si>
  <si>
    <t>WVOE for Last 2yrs</t>
  </si>
  <si>
    <t>1yr or 2yr 1099(s), YTD Payroll Check Stub from 1099 Source or 3mo Stmts</t>
  </si>
  <si>
    <t>2mo Consecutive Stmts w/in 90 Days (if Business Stmt, Provide Evidence of Ownership and Balance Sheet)</t>
  </si>
  <si>
    <t>HO-6 (if Master Ins Does Not Have Walls-In (Bare Walls Not Acceptable))</t>
  </si>
  <si>
    <t>12mo Verification of Primary Housing Payment if not reported on credit (If Private Party, provide 12mo Cancelled Checks)</t>
  </si>
  <si>
    <t>Fee Sheet / Est. Closing Statement (Impounds Required: HPML Loans and Loans &gt;80 LTV - Unless Prohibited by State Law)</t>
  </si>
  <si>
    <t>UW Submission Required</t>
  </si>
  <si>
    <t>UW Submission Recommended</t>
  </si>
  <si>
    <t>PC10F</t>
  </si>
  <si>
    <t>PC15F</t>
  </si>
  <si>
    <t>PC20F</t>
  </si>
  <si>
    <t>01,02</t>
  </si>
  <si>
    <t>000,000-050k</t>
  </si>
  <si>
    <t>050,001-075k</t>
  </si>
  <si>
    <t>Full documentation of non-employment income (SSI, pension, alimony, child support, trust income, etc.)</t>
  </si>
  <si>
    <t>2yrs W2s or personal returns, 1mo recent paystubs (Wage earners only)</t>
  </si>
  <si>
    <t>2yrs personal and business returns, YTD P&amp;L (Self-employed only)</t>
  </si>
  <si>
    <t>1yr W2 or personal returns, 1mo recent paystubs (Wage earners only)</t>
  </si>
  <si>
    <t>1yr personal and business returns, YTD P&amp;L (Self-employed only)</t>
  </si>
  <si>
    <t>12mo/24mo consecutive statements (Same account, all pages)</t>
  </si>
  <si>
    <t>Self-employment verification docs (if applicable) (Verify 2yrs self-employment w/business license(s), CPA letter, etc.)</t>
  </si>
  <si>
    <t>Self-employment verification docs (Verify 2yrs self-employment w/business license(s), CPA letter, etc.)</t>
  </si>
  <si>
    <t>Evidence PITIA (For subject property)</t>
  </si>
  <si>
    <t>6mo consecutive statements (Same account, all pages)</t>
  </si>
  <si>
    <t>DocType</t>
  </si>
  <si>
    <t>4506C</t>
  </si>
  <si>
    <t>WVOE for last 2yrs</t>
  </si>
  <si>
    <t>Business ownership percentage letter</t>
  </si>
  <si>
    <t>1007 [For unleased unit(s)]</t>
  </si>
  <si>
    <t>1yr or 2yr 1099(s), YTD payroll check stub from 1099 source or 3mo stmts</t>
  </si>
  <si>
    <t>4506C [Signed by borrower(s)]</t>
  </si>
  <si>
    <t>UW Fee</t>
  </si>
  <si>
    <t>Output Range Names</t>
  </si>
  <si>
    <t>Output_Display_RequiredDocs_Disclosure</t>
  </si>
  <si>
    <t>Output_Display_RequiredDocs_Submission</t>
  </si>
  <si>
    <t>Output_Display_RequiredDocs_Recommended</t>
  </si>
  <si>
    <t>Output_Display_RequiredDocs_DocType</t>
  </si>
  <si>
    <t>Output_Display_Required_UWFee</t>
  </si>
  <si>
    <t>Output_Display_ProductRatePriceMatrix</t>
  </si>
  <si>
    <t>SFR-Rural NOO Not Allowed</t>
  </si>
  <si>
    <t>SFR-Rural 2ndHome Not Allowed</t>
  </si>
  <si>
    <t>Wage-Earner</t>
  </si>
  <si>
    <t>IT_1yr Prepay_Standard</t>
  </si>
  <si>
    <t>IT_2yr Prepay_Standard</t>
  </si>
  <si>
    <t>IT_3yr Prepay_Standard</t>
  </si>
  <si>
    <t>IT_4yr Prepay_Standard</t>
  </si>
  <si>
    <t>IT_5yr Prepay_Standard</t>
  </si>
  <si>
    <t>1yr Prepay_Standard</t>
  </si>
  <si>
    <t>2yr Prepay_Standard</t>
  </si>
  <si>
    <t>3yr Prepay_Standard</t>
  </si>
  <si>
    <t>4yr Prepay_Standard</t>
  </si>
  <si>
    <t>5yr Prepay_Standard</t>
  </si>
  <si>
    <t>IN_1yr Prepay_Standard</t>
  </si>
  <si>
    <t>IN_2yr Prepay_Standard</t>
  </si>
  <si>
    <t>IN_3yr Prepay_Standard</t>
  </si>
  <si>
    <t>IN_4yr Prepay_Standard</t>
  </si>
  <si>
    <t>IN_5yr Prepay_Standard</t>
  </si>
  <si>
    <t>No Events 48+</t>
  </si>
  <si>
    <t>Events 36-47mo</t>
  </si>
  <si>
    <t>Events 24-35mo</t>
  </si>
  <si>
    <t>Events 12-23mo</t>
  </si>
  <si>
    <t>PT_No Events 48mo+</t>
  </si>
  <si>
    <t>IT_No Events 48mo+</t>
  </si>
  <si>
    <t>PN_No Events 48mo+</t>
  </si>
  <si>
    <t>IN_No Events 48mo+</t>
  </si>
  <si>
    <t>No Events 48mo+</t>
  </si>
  <si>
    <t>DocLevel</t>
  </si>
  <si>
    <t>SFR-Rural Not Full Doc</t>
  </si>
  <si>
    <t xml:space="preserve">  Relock Fee</t>
  </si>
  <si>
    <t xml:space="preserve">  Extension Fee Per Diem</t>
  </si>
  <si>
    <t>Content Lookup</t>
  </si>
  <si>
    <t>Error LLPA</t>
  </si>
  <si>
    <t>Loan Amount Max</t>
  </si>
  <si>
    <t>AVM Restriction</t>
  </si>
  <si>
    <t>No Prepay, 1yr Prepay, 2yr Prepay, 3yr Prepay, 4yr Prepay, 5yr Prepay, 1yr Prepay_5Pct, 2yr Prepay_5Pct, 3yr Prepay_5Pct, 4yr Prepay_5Pct, 5yr Prepay_5Pct, 1yr Prepay_1, 2yr Prepay_21, 3yr Prepay_321, 4yr Prepay_4321, 5yr Prepay_54321, 1yr Prepay_Standard, 2yr Prepay_Standard, 3yr Prepay_Standard, 4yr Prepay_Standard,  5yr Prepay_Standard</t>
  </si>
  <si>
    <t>Loan Estimator*</t>
  </si>
  <si>
    <t>*When originating CES, the lender must address compliance factors related to the rate and cost of the loan. It is imperative that there is early consideration of the triggers of a loan being classified as High-Cost, nonQM, or HPML. When a 2nd lien is a QM or non-HPML/nonQM, then an AVM can be used for valuation. Leveraging an AVM in the origination process is crucial to maximize efficiencies with lower balance 2nd liens. This Loan Estimator is designed to be used as a tool in your loan decision flow specific to 2nd lien manufacturing, but is not meant to replace your own compliance determinations.
Pre-populated point and fee inputs in yellow may be edited. Note rate and loan amount may be edited through the pricer. For the purpose of estimating a loan’s High-Cost or QM status, any discount points charged on the loan are not analyzed for whether or not they are Bona Fide Discount Points. This tool is solely for estimating a loan scenario for High-Cost or QM status and the potential correlating valuation type.</t>
  </si>
  <si>
    <t>Title Commitment</t>
  </si>
  <si>
    <t>Not TX</t>
  </si>
  <si>
    <t>LTV Max RT</t>
  </si>
  <si>
    <t>LTV Max Purch</t>
  </si>
  <si>
    <t>Fico</t>
  </si>
  <si>
    <t>LTV Purch</t>
  </si>
  <si>
    <t>LTV RT</t>
  </si>
  <si>
    <t>LTV CO</t>
  </si>
  <si>
    <t>Calc LTV</t>
  </si>
  <si>
    <t>Min CS</t>
  </si>
  <si>
    <t>Reserves_lt_12</t>
  </si>
  <si>
    <t>Reserves_gte_12</t>
  </si>
  <si>
    <t>PC30F</t>
  </si>
  <si>
    <t>Other Income</t>
  </si>
  <si>
    <t>03yr</t>
  </si>
  <si>
    <t>02yr</t>
  </si>
  <si>
    <t>01yr</t>
  </si>
  <si>
    <t>Exclude HELOC State HighCost Rules</t>
  </si>
  <si>
    <t>NQN0211</t>
  </si>
  <si>
    <t>NQN0212</t>
  </si>
  <si>
    <t>NQN0213</t>
  </si>
  <si>
    <t>NSN0001</t>
  </si>
  <si>
    <t>NSN0002</t>
  </si>
  <si>
    <t>NSN0003</t>
  </si>
  <si>
    <t>NSN0004</t>
  </si>
  <si>
    <t>NSN0005</t>
  </si>
  <si>
    <t>NSN0006</t>
  </si>
  <si>
    <t>NSN0007</t>
  </si>
  <si>
    <t>NSN0008</t>
  </si>
  <si>
    <t>NSN0009</t>
  </si>
  <si>
    <t>NSN0010</t>
  </si>
  <si>
    <t>NSN0011</t>
  </si>
  <si>
    <t>NSN0012</t>
  </si>
  <si>
    <t>NSN0013</t>
  </si>
  <si>
    <t>NSN0014</t>
  </si>
  <si>
    <t>NSN0015</t>
  </si>
  <si>
    <t>NSN0016</t>
  </si>
  <si>
    <t>NSN0017</t>
  </si>
  <si>
    <t>NSN0018</t>
  </si>
  <si>
    <t>NSN0019</t>
  </si>
  <si>
    <t>NSN0020</t>
  </si>
  <si>
    <t>NSN0021</t>
  </si>
  <si>
    <t>NSN0022</t>
  </si>
  <si>
    <t>NSN0023</t>
  </si>
  <si>
    <t>NSN0024</t>
  </si>
  <si>
    <t>NSN0025</t>
  </si>
  <si>
    <t>NSN0026</t>
  </si>
  <si>
    <t>NSN0027</t>
  </si>
  <si>
    <t>NSN0028</t>
  </si>
  <si>
    <t>NSN0029</t>
  </si>
  <si>
    <t>NSN0030</t>
  </si>
  <si>
    <t>NSN0031</t>
  </si>
  <si>
    <t>NSN0032</t>
  </si>
  <si>
    <t>NSN0033</t>
  </si>
  <si>
    <t>NSN0034</t>
  </si>
  <si>
    <t>NSN0035</t>
  </si>
  <si>
    <t>NSN0036</t>
  </si>
  <si>
    <t>NSN0037</t>
  </si>
  <si>
    <t>NSN0038</t>
  </si>
  <si>
    <t>NSN0039</t>
  </si>
  <si>
    <t>NSN0040</t>
  </si>
  <si>
    <t>NSN0041</t>
  </si>
  <si>
    <t>NSN0042</t>
  </si>
  <si>
    <t>NSN0043</t>
  </si>
  <si>
    <t>NSN0045</t>
  </si>
  <si>
    <t>NSN0046</t>
  </si>
  <si>
    <t>NSN0047</t>
  </si>
  <si>
    <t>PT_Doc04_≥ 800</t>
  </si>
  <si>
    <t>PT_Doc04_780 - 799</t>
  </si>
  <si>
    <t>PT_Doc04_760 - 779</t>
  </si>
  <si>
    <t>PT_Doc04_740 - 759</t>
  </si>
  <si>
    <t>PT_Doc04_720 - 739</t>
  </si>
  <si>
    <t>PT_Doc04_700 - 719</t>
  </si>
  <si>
    <t>PT_Doc04_680 - 699</t>
  </si>
  <si>
    <t>PT_Doc04_660 - 679</t>
  </si>
  <si>
    <t>IT_Doc04_≥ 800</t>
  </si>
  <si>
    <t>IT_Doc04_780 - 799</t>
  </si>
  <si>
    <t>IT_Doc04_760 - 779</t>
  </si>
  <si>
    <t>IT_Doc04_740 - 759</t>
  </si>
  <si>
    <t>IT_Doc04_720 - 739</t>
  </si>
  <si>
    <t>IT_Doc04_700 - 719</t>
  </si>
  <si>
    <t>IT_Doc04_680 - 699</t>
  </si>
  <si>
    <t>IT_Doc04_660 - 679</t>
  </si>
  <si>
    <t>PT_Doc04_640 - 659</t>
  </si>
  <si>
    <t>PT_Doc04_620 - 639</t>
  </si>
  <si>
    <t>IT_Doc04_640 - 659</t>
  </si>
  <si>
    <t>IT_Doc04_620 - 639</t>
  </si>
  <si>
    <t>Lookup Margin</t>
  </si>
  <si>
    <t>NSN0049</t>
  </si>
  <si>
    <t>NSN0050</t>
  </si>
  <si>
    <t>NSN0051</t>
  </si>
  <si>
    <t>NSN0052</t>
  </si>
  <si>
    <t>NSN0053</t>
  </si>
  <si>
    <t>NSN0054</t>
  </si>
  <si>
    <t>NSN0055</t>
  </si>
  <si>
    <t>NSN0056</t>
  </si>
  <si>
    <t>NSN0057</t>
  </si>
  <si>
    <t>NSN0058</t>
  </si>
  <si>
    <t>NSN0059</t>
  </si>
  <si>
    <t>NSN0060</t>
  </si>
  <si>
    <t>NSN0061</t>
  </si>
  <si>
    <t>NSN0062</t>
  </si>
  <si>
    <t>NSN0063</t>
  </si>
  <si>
    <t>NSN0064</t>
  </si>
  <si>
    <t>NSO0097</t>
  </si>
  <si>
    <t>NSO0098</t>
  </si>
  <si>
    <t>NSO0099</t>
  </si>
  <si>
    <t>NSO0100</t>
  </si>
  <si>
    <t>NSO0101</t>
  </si>
  <si>
    <t>NSO0102</t>
  </si>
  <si>
    <t>NSO0103</t>
  </si>
  <si>
    <t>NSO0104</t>
  </si>
  <si>
    <t>NSO0105</t>
  </si>
  <si>
    <t>NSO0106</t>
  </si>
  <si>
    <t>NSO0107</t>
  </si>
  <si>
    <t>NSO0108</t>
  </si>
  <si>
    <t>NSO0109</t>
  </si>
  <si>
    <t>NSO0110</t>
  </si>
  <si>
    <t>NSO0111</t>
  </si>
  <si>
    <t>NSO0112</t>
  </si>
  <si>
    <t>NSO0113</t>
  </si>
  <si>
    <t>NSO0114</t>
  </si>
  <si>
    <t>NSO0115</t>
  </si>
  <si>
    <t>NSO0116</t>
  </si>
  <si>
    <t>NSO0117</t>
  </si>
  <si>
    <t>NSO0118</t>
  </si>
  <si>
    <t>NSO0119</t>
  </si>
  <si>
    <t>NSO0120</t>
  </si>
  <si>
    <t>NSO0121</t>
  </si>
  <si>
    <t>NSO0122</t>
  </si>
  <si>
    <t>NSO0123</t>
  </si>
  <si>
    <t>NSO0124</t>
  </si>
  <si>
    <t>NSO0125</t>
  </si>
  <si>
    <t>NSO0126</t>
  </si>
  <si>
    <t>NSO0127</t>
  </si>
  <si>
    <t>NSO0128</t>
  </si>
  <si>
    <t>01,02,03,14,15,07</t>
  </si>
  <si>
    <t>Output Margin</t>
  </si>
  <si>
    <t>na</t>
  </si>
  <si>
    <t>Corr1</t>
  </si>
  <si>
    <t>Corr2</t>
  </si>
  <si>
    <t>Corr3</t>
  </si>
  <si>
    <t>CorrND</t>
  </si>
  <si>
    <t>Whol</t>
  </si>
  <si>
    <t>Channel Name</t>
  </si>
  <si>
    <t>Retl</t>
  </si>
  <si>
    <t>your Brokers Advantage Account Executive</t>
  </si>
  <si>
    <t>Lockdesk@BrokersAdvantageMtg.com</t>
  </si>
  <si>
    <t>15yr Fixed, 30yr Fixed, 40yr Fixed, 5/6 30yr ARM SOFR, 5/6 40yr ARM SOFR, 7/6 30yr ARM SOFR, 7/6 40yr ARM SOFR</t>
  </si>
  <si>
    <t>Corr1, Corr2, Corr3, CorrND, Whol, Retl</t>
  </si>
  <si>
    <t>PN40F</t>
  </si>
  <si>
    <t>IN40F</t>
  </si>
  <si>
    <t>IT_Doc05_≥ 800</t>
  </si>
  <si>
    <t>IT_Doc05_780 - 799</t>
  </si>
  <si>
    <t>IT_Doc05_760 - 779</t>
  </si>
  <si>
    <t>IT_Doc05_740 - 759</t>
  </si>
  <si>
    <t>IT_Doc05_720 - 739</t>
  </si>
  <si>
    <t>IT_Doc05_700 - 719</t>
  </si>
  <si>
    <t>IT_Doc05_680 - 699</t>
  </si>
  <si>
    <t>IT_Doc05_660 - 679</t>
  </si>
  <si>
    <t>IT_Doc05_640 - 659</t>
  </si>
  <si>
    <t>IT_Doc05_620 - 639</t>
  </si>
  <si>
    <t>IN_Doc05_640 - 659</t>
  </si>
  <si>
    <t>Max Price Adj</t>
  </si>
  <si>
    <t>IT_DSCR 1.50+</t>
  </si>
  <si>
    <t>IT_DSCR 1.25-1.49</t>
  </si>
  <si>
    <t>IT_DSCR 1.10-1.24</t>
  </si>
  <si>
    <t>IT_DSCR 1.00-1.09</t>
  </si>
  <si>
    <t>IT_DSCR 0.75-0.99</t>
  </si>
  <si>
    <t>IT_DSCR 0.00-0.75</t>
  </si>
  <si>
    <t>NonDel Adj</t>
  </si>
  <si>
    <r>
      <rPr>
        <b/>
        <sz val="8"/>
        <color theme="1"/>
        <rFont val="Microsoft Sans Serif"/>
        <family val="2"/>
      </rPr>
      <t xml:space="preserve">&lt;- </t>
    </r>
    <r>
      <rPr>
        <b/>
        <sz val="8"/>
        <color theme="1"/>
        <rFont val="Calibri"/>
        <family val="2"/>
        <scheme val="minor"/>
      </rPr>
      <t>Change Origination Channel</t>
    </r>
  </si>
  <si>
    <t>Channel Dropdown Values</t>
  </si>
  <si>
    <t>PT_Multiple60x12</t>
  </si>
  <si>
    <t>Multiple60x12</t>
  </si>
  <si>
    <t>IT_Multiple60x12</t>
  </si>
  <si>
    <t>PN_Multiple60x12</t>
  </si>
  <si>
    <t>IN_Multiple60x12</t>
  </si>
  <si>
    <t>NoLatesx24, NoLatesx12, 1x30x12, Multiple30x12, 1x60x12, Multiple60x12</t>
  </si>
  <si>
    <t>01,02,03,14,15,07,09</t>
  </si>
  <si>
    <t>NQO0037</t>
  </si>
  <si>
    <t>NQO0038</t>
  </si>
  <si>
    <t>NQO0039</t>
  </si>
  <si>
    <t>NQO0040</t>
  </si>
  <si>
    <t>NQO0103</t>
  </si>
  <si>
    <t>NQO0104</t>
  </si>
  <si>
    <t>NQO0105</t>
  </si>
  <si>
    <t>NQO0106</t>
  </si>
  <si>
    <t>NQO0223</t>
  </si>
  <si>
    <t>NQO0224</t>
  </si>
  <si>
    <t>NQO0225</t>
  </si>
  <si>
    <t>NQO0226</t>
  </si>
  <si>
    <t>NQO0227</t>
  </si>
  <si>
    <t>NQO0228</t>
  </si>
  <si>
    <t>NQO0229</t>
  </si>
  <si>
    <t>NQO0230</t>
  </si>
  <si>
    <t>NQO0231</t>
  </si>
  <si>
    <t>NQO0232</t>
  </si>
  <si>
    <t>NQO0233</t>
  </si>
  <si>
    <t>NQO0234</t>
  </si>
  <si>
    <t>NQO0235</t>
  </si>
  <si>
    <t>NQO0236</t>
  </si>
  <si>
    <t>NQO0237</t>
  </si>
  <si>
    <t>NQO0238</t>
  </si>
  <si>
    <t>NQO0239</t>
  </si>
  <si>
    <t>NQO0240</t>
  </si>
  <si>
    <t>NQO0241</t>
  </si>
  <si>
    <t>NQO0242</t>
  </si>
  <si>
    <t>NQO0243</t>
  </si>
  <si>
    <t>NQO0244</t>
  </si>
  <si>
    <t>NQO0245</t>
  </si>
  <si>
    <t>NQO0246</t>
  </si>
  <si>
    <t>NQO0247</t>
  </si>
  <si>
    <t>NQO0248</t>
  </si>
  <si>
    <t>NQO0249</t>
  </si>
  <si>
    <t>NQO0250</t>
  </si>
  <si>
    <t>NQO0251</t>
  </si>
  <si>
    <t>NQO0252</t>
  </si>
  <si>
    <t>NQO0253</t>
  </si>
  <si>
    <t>NQO0254</t>
  </si>
  <si>
    <t>NQO0255</t>
  </si>
  <si>
    <t>NQO0256</t>
  </si>
  <si>
    <t>NQO0257</t>
  </si>
  <si>
    <t>NQO0258</t>
  </si>
  <si>
    <t>NQO0259</t>
  </si>
  <si>
    <t>NQO0260</t>
  </si>
  <si>
    <t>NQO0261</t>
  </si>
  <si>
    <t>NQO0262</t>
  </si>
  <si>
    <t>NQO0263</t>
  </si>
  <si>
    <t>NQO0264</t>
  </si>
  <si>
    <t>NQO0265</t>
  </si>
  <si>
    <t>NQO0266</t>
  </si>
  <si>
    <t>NQO0267</t>
  </si>
  <si>
    <t>NQO0268</t>
  </si>
  <si>
    <t>NQN0215</t>
  </si>
  <si>
    <t>NQN0216</t>
  </si>
  <si>
    <t>NQN0217</t>
  </si>
  <si>
    <t>NQN0218</t>
  </si>
  <si>
    <t>NQN0221</t>
  </si>
  <si>
    <t>NQN0222</t>
  </si>
  <si>
    <t>NQN0223</t>
  </si>
  <si>
    <t>NQN0224</t>
  </si>
  <si>
    <t>NQN0225</t>
  </si>
  <si>
    <t>NQN0226</t>
  </si>
  <si>
    <t>NQN0227</t>
  </si>
  <si>
    <t>NQN0228</t>
  </si>
  <si>
    <t>NQN0229</t>
  </si>
  <si>
    <t>NQN0230</t>
  </si>
  <si>
    <t>NQN0231</t>
  </si>
  <si>
    <t>NQN0232</t>
  </si>
  <si>
    <t>NQN0233</t>
  </si>
  <si>
    <t>NQN0234</t>
  </si>
  <si>
    <t>NQN0235</t>
  </si>
  <si>
    <t>NQN0236</t>
  </si>
  <si>
    <t>NQN0237</t>
  </si>
  <si>
    <t>NQN0238</t>
  </si>
  <si>
    <t>NQN0239</t>
  </si>
  <si>
    <t>NQN0240</t>
  </si>
  <si>
    <t>NQN0241</t>
  </si>
  <si>
    <t>NQN0242</t>
  </si>
  <si>
    <t>NQN0243</t>
  </si>
  <si>
    <t>NQN0244</t>
  </si>
  <si>
    <t>NQN0245</t>
  </si>
  <si>
    <t>NQN0246</t>
  </si>
  <si>
    <t>NQN0247</t>
  </si>
  <si>
    <t>NQN0248</t>
  </si>
  <si>
    <t>NQN0249</t>
  </si>
  <si>
    <t>NQN0250</t>
  </si>
  <si>
    <t>NQN0251</t>
  </si>
  <si>
    <t>NQN0252</t>
  </si>
  <si>
    <t>NQN0253</t>
  </si>
  <si>
    <t>NQN0254</t>
  </si>
  <si>
    <t>NQN0255</t>
  </si>
  <si>
    <t>NQN0256</t>
  </si>
  <si>
    <t>NQN0257</t>
  </si>
  <si>
    <t>NQN0258</t>
  </si>
  <si>
    <t>NQN0259</t>
  </si>
  <si>
    <t>NQN0260</t>
  </si>
  <si>
    <t>NQN0261</t>
  </si>
  <si>
    <t>NQN0262</t>
  </si>
  <si>
    <t>NQN0263</t>
  </si>
  <si>
    <t>NQN0264</t>
  </si>
  <si>
    <t>NQN0265</t>
  </si>
  <si>
    <t>NQN0266</t>
  </si>
  <si>
    <t>NQN0267</t>
  </si>
  <si>
    <t>NSN0065</t>
  </si>
  <si>
    <t>NSN0066</t>
  </si>
  <si>
    <t>NSN0067</t>
  </si>
  <si>
    <t>NSN0068</t>
  </si>
  <si>
    <t>NSN0069</t>
  </si>
  <si>
    <t>NSN0070</t>
  </si>
  <si>
    <t>NSN0071</t>
  </si>
  <si>
    <t>NSN0073</t>
  </si>
  <si>
    <t>NSN0074</t>
  </si>
  <si>
    <t>NSN0075</t>
  </si>
  <si>
    <t>NSN0076</t>
  </si>
  <si>
    <t>NSN0077</t>
  </si>
  <si>
    <t>NSN0078</t>
  </si>
  <si>
    <t>NSN0079</t>
  </si>
  <si>
    <t>NSN0080</t>
  </si>
  <si>
    <t>LnAmt Min</t>
  </si>
  <si>
    <t>LnAmt Max</t>
  </si>
  <si>
    <t>NSO0129</t>
  </si>
  <si>
    <t>NSO0130</t>
  </si>
  <si>
    <t>NSO0131</t>
  </si>
  <si>
    <t>NSO0132</t>
  </si>
  <si>
    <t>NSO0133</t>
  </si>
  <si>
    <t>NSO0134</t>
  </si>
  <si>
    <t>NSO0135</t>
  </si>
  <si>
    <t>NSO0136</t>
  </si>
  <si>
    <t>NSO0137</t>
  </si>
  <si>
    <t>NSO0138</t>
  </si>
  <si>
    <t>NSO0139</t>
  </si>
  <si>
    <t>NSO0140</t>
  </si>
  <si>
    <t>NSO0141</t>
  </si>
  <si>
    <t>NSO0142</t>
  </si>
  <si>
    <t>NSO0143</t>
  </si>
  <si>
    <t>NSO0144</t>
  </si>
  <si>
    <t>NSO0145</t>
  </si>
  <si>
    <t>NSO0146</t>
  </si>
  <si>
    <t>NSO0147</t>
  </si>
  <si>
    <t>NSO0148</t>
  </si>
  <si>
    <t>NSO0149</t>
  </si>
  <si>
    <t>NSO0150</t>
  </si>
  <si>
    <t>NSO0151</t>
  </si>
  <si>
    <t>NSO0152</t>
  </si>
  <si>
    <t>NSO0153</t>
  </si>
  <si>
    <t>NSO0154</t>
  </si>
  <si>
    <t>NSO0155</t>
  </si>
  <si>
    <t>NSO0156</t>
  </si>
  <si>
    <t>NSO0157</t>
  </si>
  <si>
    <t>NSO0158</t>
  </si>
  <si>
    <t>NSO0159</t>
  </si>
  <si>
    <t>NSO0160</t>
  </si>
  <si>
    <t>NSN0081</t>
  </si>
  <si>
    <t>NSN0082</t>
  </si>
  <si>
    <t>NSN0083</t>
  </si>
  <si>
    <t>NSN0084</t>
  </si>
  <si>
    <t>NSN0085</t>
  </si>
  <si>
    <t>NSN0086</t>
  </si>
  <si>
    <t>NSN0087</t>
  </si>
  <si>
    <t>NSN0088</t>
  </si>
  <si>
    <t>NSN0089</t>
  </si>
  <si>
    <t>NSN0090</t>
  </si>
  <si>
    <t>NSN0091</t>
  </si>
  <si>
    <t>NSN0092</t>
  </si>
  <si>
    <t>NSN0093</t>
  </si>
  <si>
    <t>NSN0094</t>
  </si>
  <si>
    <t>NSN0095</t>
  </si>
  <si>
    <t>US Citizen, Permanent Resident Alien</t>
  </si>
  <si>
    <t>#N/A</t>
  </si>
  <si>
    <t>100,000-125k</t>
  </si>
  <si>
    <t>NQN0268</t>
  </si>
  <si>
    <t>NQN0269</t>
  </si>
  <si>
    <t>NQN0270</t>
  </si>
  <si>
    <t>NQN0271</t>
  </si>
  <si>
    <t>NQN0272</t>
  </si>
  <si>
    <t>NQN0273</t>
  </si>
  <si>
    <t>NQN0274</t>
  </si>
  <si>
    <t>NQN0275</t>
  </si>
  <si>
    <t>NQN0276</t>
  </si>
  <si>
    <t>NQN0277</t>
  </si>
  <si>
    <t>NQN0278</t>
  </si>
  <si>
    <t>NQN0279</t>
  </si>
  <si>
    <t>NQN0280</t>
  </si>
  <si>
    <t>NQN0281</t>
  </si>
  <si>
    <t>NQN0282</t>
  </si>
  <si>
    <t>NQN0283</t>
  </si>
  <si>
    <t>NQN0284</t>
  </si>
  <si>
    <t>NQN0285</t>
  </si>
  <si>
    <t>NQN0286</t>
  </si>
  <si>
    <t>NQN0287</t>
  </si>
  <si>
    <t>NQN0288</t>
  </si>
  <si>
    <t>NQN0289</t>
  </si>
  <si>
    <t>NQN0290</t>
  </si>
  <si>
    <t>NQN0291</t>
  </si>
  <si>
    <t>NQN0292</t>
  </si>
  <si>
    <t>NQN0293</t>
  </si>
  <si>
    <t>NQN0294</t>
  </si>
  <si>
    <t>NQN0295</t>
  </si>
  <si>
    <t>NQN0296</t>
  </si>
  <si>
    <t>NQN0297</t>
  </si>
  <si>
    <t>NQN0298</t>
  </si>
  <si>
    <t>NQN0299</t>
  </si>
  <si>
    <t>NQN0300</t>
  </si>
  <si>
    <t>NQN0301</t>
  </si>
  <si>
    <t>NQN0302</t>
  </si>
  <si>
    <t>NQN0303</t>
  </si>
  <si>
    <t>NQN0304</t>
  </si>
  <si>
    <t>NQN0305</t>
  </si>
  <si>
    <t>NQN0306</t>
  </si>
  <si>
    <t>NQN0307</t>
  </si>
  <si>
    <t>NQN0308</t>
  </si>
  <si>
    <t>NQN0309</t>
  </si>
  <si>
    <t>NQN0310</t>
  </si>
  <si>
    <t>NQN0311</t>
  </si>
  <si>
    <t>NQN0312</t>
  </si>
  <si>
    <t>NQN0313</t>
  </si>
  <si>
    <t>NQN0314</t>
  </si>
  <si>
    <t>NQN0315</t>
  </si>
  <si>
    <t>NQN0316</t>
  </si>
  <si>
    <t>NQN0317</t>
  </si>
  <si>
    <t>NQN0318</t>
  </si>
  <si>
    <t>NQN0319</t>
  </si>
  <si>
    <t>NQN0320</t>
  </si>
  <si>
    <t>NQN0321</t>
  </si>
  <si>
    <t>Min DTI</t>
  </si>
  <si>
    <t>Cashout Amt Multiple60x12</t>
  </si>
  <si>
    <t>DSCR Prepay Required</t>
  </si>
  <si>
    <t>Events 12-23mo Cashout</t>
  </si>
  <si>
    <t>Not Cash-Out</t>
  </si>
  <si>
    <t>Max Credit Score</t>
  </si>
  <si>
    <t>Events 24-35mo FC/SS/DIL</t>
  </si>
  <si>
    <t>Events 36-47mo FC/SS/DIL</t>
  </si>
  <si>
    <t>Events 12-23mo FC/SS/DIL</t>
  </si>
  <si>
    <t>Events 36-47mo BK</t>
  </si>
  <si>
    <t>Events 24-35mo BK</t>
  </si>
  <si>
    <t>Events 12-23mo BK</t>
  </si>
  <si>
    <t>PT_Events 36-47mo FC/SS/DIL</t>
  </si>
  <si>
    <t>PT_Events 24-35mo FC/SS/DIL</t>
  </si>
  <si>
    <t>PT_Events 12-23mo FC/SS/DIL</t>
  </si>
  <si>
    <t>PT_Events 36-47mo BK</t>
  </si>
  <si>
    <t>PT_Events 24-35mo BK</t>
  </si>
  <si>
    <t>PT_Events 12-23mo BK</t>
  </si>
  <si>
    <t>IT_Events 36-47mo FC/SS/DIL</t>
  </si>
  <si>
    <t>IT_Events 24-35mo FC/SS/DIL</t>
  </si>
  <si>
    <t>IT_Events 12-23mo FC/SS/DIL</t>
  </si>
  <si>
    <t>IT_Events 36-47mo BK</t>
  </si>
  <si>
    <t>IT_Events 24-35mo BK</t>
  </si>
  <si>
    <t>IT_Events 12-23mo BK</t>
  </si>
  <si>
    <t>PN_Events 36-47mo FC/SS/DIL</t>
  </si>
  <si>
    <t>PN_Events 24-35mo FC/SS/DIL</t>
  </si>
  <si>
    <t>PN_Events 12-23mo FC/SS/DIL</t>
  </si>
  <si>
    <t>PN_Events 36-47mo BK</t>
  </si>
  <si>
    <t>PN_Events 24-35mo BK</t>
  </si>
  <si>
    <t>PN_Events 12-23mo BK</t>
  </si>
  <si>
    <t>IN_Events 36-47mo FC/SS/DIL</t>
  </si>
  <si>
    <t>IN_Events 24-35mo FC/SS/DIL</t>
  </si>
  <si>
    <t>IN_Events 12-23mo FC/SS/DIL</t>
  </si>
  <si>
    <t>IN_Events 36-47mo BK</t>
  </si>
  <si>
    <t>IN_Events 24-35mo BK</t>
  </si>
  <si>
    <t>IN_Events 12-23mo BK</t>
  </si>
  <si>
    <t>No Events 48mo+, Events 36-47mo FC/SS/DIL, Events 24-35mo FC/SS/DIL, Events 12-23mo FC/SS/DIL, Events 36-47mo BK, Events 24-35mo BK, Events 12-23mo BK</t>
  </si>
  <si>
    <t>See Matrix: FC/SS/DIL</t>
  </si>
  <si>
    <t>See Matrix: BK</t>
  </si>
  <si>
    <t>Max Cashout</t>
  </si>
  <si>
    <t>1yr Prepay_3Pct</t>
  </si>
  <si>
    <t>IT_1yr Prepay_3Pct</t>
  </si>
  <si>
    <t>2yr Prepay_3Pct</t>
  </si>
  <si>
    <t>IT_2yr Prepay_3Pct</t>
  </si>
  <si>
    <t>3yr Prepay_3Pct</t>
  </si>
  <si>
    <t>IT_3yr Prepay_3Pct</t>
  </si>
  <si>
    <t>4yr Prepay_3Pct</t>
  </si>
  <si>
    <t>IT_4yr Prepay_3Pct</t>
  </si>
  <si>
    <t>5yr Prepay_3Pct</t>
  </si>
  <si>
    <t>IT_5yr Prepay_3Pct</t>
  </si>
  <si>
    <t>IN_1yr Prepay_3Pct</t>
  </si>
  <si>
    <t>IN_2yr Prepay_3Pct</t>
  </si>
  <si>
    <t>IN_3yr Prepay_3Pct</t>
  </si>
  <si>
    <t>IN_4yr Prepay_3Pct</t>
  </si>
  <si>
    <t>IN_5yr Prepay_3Pct</t>
  </si>
  <si>
    <t>PUD-Rural</t>
  </si>
  <si>
    <t>PT_PUD-Rural</t>
  </si>
  <si>
    <t>IT_PUD-Rural</t>
  </si>
  <si>
    <t>PN_PUD-Rural</t>
  </si>
  <si>
    <t>IN_PUD-Rural</t>
  </si>
  <si>
    <t>PT_000,000-050k</t>
  </si>
  <si>
    <t>IT_000,000-050k</t>
  </si>
  <si>
    <t>IN_000,000-050k</t>
  </si>
  <si>
    <t>IN_050,001-075k</t>
  </si>
  <si>
    <t>IN_075,001-100k</t>
  </si>
  <si>
    <t>IN_100,001-125k</t>
  </si>
  <si>
    <t>IN_125,001-150k</t>
  </si>
  <si>
    <t>IN_150,001-175k</t>
  </si>
  <si>
    <t>IN_175,001-200k</t>
  </si>
  <si>
    <t>IN_200,001-300k</t>
  </si>
  <si>
    <t>IN_300,001-400k</t>
  </si>
  <si>
    <t>IN_400,001-600k</t>
  </si>
  <si>
    <t>IN_600,001-750k</t>
  </si>
  <si>
    <t>IN_750,001-1.0m</t>
  </si>
  <si>
    <t>IN_1,000,001-1.5m</t>
  </si>
  <si>
    <t>IN_1,500,001-2.0m</t>
  </si>
  <si>
    <t>IN_2,000,001-2.5m</t>
  </si>
  <si>
    <t>IN_2,500,001-3.0m</t>
  </si>
  <si>
    <t>IN_3,000,001-3.5m</t>
  </si>
  <si>
    <t>IN_3,500,001-4.0m</t>
  </si>
  <si>
    <t>IN_4,000,001-4.5m</t>
  </si>
  <si>
    <t>IN_4,500,001-5.0m</t>
  </si>
  <si>
    <t>IN_5,000,001+</t>
  </si>
  <si>
    <t>PN_000,000-050k</t>
  </si>
  <si>
    <t>PN_050,001-075k</t>
  </si>
  <si>
    <t>PN_075,001-100k</t>
  </si>
  <si>
    <t>PN_100,001-125k</t>
  </si>
  <si>
    <t>PN_125,001-150k</t>
  </si>
  <si>
    <t>PN_150,001-175k</t>
  </si>
  <si>
    <t>PN_175,001-200k</t>
  </si>
  <si>
    <t>PN_200,001-300k</t>
  </si>
  <si>
    <t>PN_300,001-400k</t>
  </si>
  <si>
    <t>PN_400,001-600k</t>
  </si>
  <si>
    <t>PN_600,001-750k</t>
  </si>
  <si>
    <t>PN_750,001-1.0m</t>
  </si>
  <si>
    <t>PN_1,000,001-1.5m</t>
  </si>
  <si>
    <t>PN_1,500,001-2.0m</t>
  </si>
  <si>
    <t>PN_2,000,001-2.5m</t>
  </si>
  <si>
    <t>PN_2,500,001-3.0m</t>
  </si>
  <si>
    <t>PN_3,000,001-3.5m</t>
  </si>
  <si>
    <t>PN_3,500,001-4.0m</t>
  </si>
  <si>
    <t>PN_4,000,001-4.5m</t>
  </si>
  <si>
    <t>PN_4,500,001-5.0m</t>
  </si>
  <si>
    <t>PN_5,000,001+</t>
  </si>
  <si>
    <t>IT_050,001-075k</t>
  </si>
  <si>
    <t>IT_075,001-100k</t>
  </si>
  <si>
    <t>IT_100,001-125k</t>
  </si>
  <si>
    <t>IT_125,001-150k</t>
  </si>
  <si>
    <t>IT_150,001-175k</t>
  </si>
  <si>
    <t>IT_175,001-200k</t>
  </si>
  <si>
    <t>IT_200,001-300k</t>
  </si>
  <si>
    <t>IT_300,001-400k</t>
  </si>
  <si>
    <t>IT_400,001-600k</t>
  </si>
  <si>
    <t>IT_600,001-750k</t>
  </si>
  <si>
    <t>IT_750,001-1.0m</t>
  </si>
  <si>
    <t>IT_1,000,001-1.5m</t>
  </si>
  <si>
    <t>IT_1,500,001-2.0m</t>
  </si>
  <si>
    <t>IT_2,000,001-2.5m</t>
  </si>
  <si>
    <t>IT_2,500,001-3.0m</t>
  </si>
  <si>
    <t>IT_3,000,001-3.5m</t>
  </si>
  <si>
    <t>IT_3,500,001-4.0m</t>
  </si>
  <si>
    <t>IT_4,000,001-4.5m</t>
  </si>
  <si>
    <t>IT_4,500,001-5.0m</t>
  </si>
  <si>
    <t>IT_5,000,001+</t>
  </si>
  <si>
    <t>PT_050,001-075k</t>
  </si>
  <si>
    <t>PT_075,001-100k</t>
  </si>
  <si>
    <t>PT_100,001-125k</t>
  </si>
  <si>
    <t>PT_125,001-150k</t>
  </si>
  <si>
    <t>PT_150,001-175k</t>
  </si>
  <si>
    <t>PT_175,001-200k</t>
  </si>
  <si>
    <t>PT_200,001-300k</t>
  </si>
  <si>
    <t>PT_300,001-400k</t>
  </si>
  <si>
    <t>PT_400,001-600k</t>
  </si>
  <si>
    <t>PT_600,001-750k</t>
  </si>
  <si>
    <t>PT_750,001-1.0m</t>
  </si>
  <si>
    <t>PT_1,000,001-1.5m</t>
  </si>
  <si>
    <t>PT_1,500,001-2.0m</t>
  </si>
  <si>
    <t>PT_2,000,001-2.5m</t>
  </si>
  <si>
    <t>PT_2,500,001-3.0m</t>
  </si>
  <si>
    <t>PT_3,000,001-3.5m</t>
  </si>
  <si>
    <t>PT_3,500,001-4.0m</t>
  </si>
  <si>
    <t>PT_4,000,001-4.5m</t>
  </si>
  <si>
    <t>PT_4,500,001-5.0m</t>
  </si>
  <si>
    <t>PT_5,000,001+</t>
  </si>
  <si>
    <t>&gt;LTV Min</t>
  </si>
  <si>
    <t>&lt;=LTV Max</t>
  </si>
  <si>
    <t>First Time Homebuyer / Investor</t>
  </si>
  <si>
    <t>PT_Wage-Earner</t>
  </si>
  <si>
    <t>PT_Self-Employed</t>
  </si>
  <si>
    <t>PT_Other Income</t>
  </si>
  <si>
    <t>PN_Wage-Earner</t>
  </si>
  <si>
    <t>PN_Self-Employed</t>
  </si>
  <si>
    <t>PN_Other Income</t>
  </si>
  <si>
    <t>IT_Wage-Earner</t>
  </si>
  <si>
    <t>IT_Self-Employed</t>
  </si>
  <si>
    <t>IT_Other Income</t>
  </si>
  <si>
    <t>Short-Term-Rental</t>
  </si>
  <si>
    <t>IT_Short-Term-Rental</t>
  </si>
  <si>
    <t>PN_Short-Term-Rental</t>
  </si>
  <si>
    <t>IN_Short-Term-Rental</t>
  </si>
  <si>
    <t>PT_Short-Term-Rental</t>
  </si>
  <si>
    <t>Rental-Not-Short-Term</t>
  </si>
  <si>
    <t>Min DSCR</t>
  </si>
  <si>
    <t>Income/Employment</t>
  </si>
  <si>
    <t>PT_Not-Short-Term-Rental</t>
  </si>
  <si>
    <t>IT_Not-Short-Term-Rental</t>
  </si>
  <si>
    <t>PN_Not-Short-Term-Rental</t>
  </si>
  <si>
    <t>IN_Not-Short-Term-Rental</t>
  </si>
  <si>
    <t>Not-Short-Term-Rental</t>
  </si>
  <si>
    <t>Not FTHB or FTINV</t>
  </si>
  <si>
    <t>FTHB-HousingHistory</t>
  </si>
  <si>
    <t>First Time Homebuyer with Housing History</t>
  </si>
  <si>
    <t>FTHB-NoHousingHistory</t>
  </si>
  <si>
    <t>First Time Homebuyer without Housing History</t>
  </si>
  <si>
    <t>FTINV-MtgHistory</t>
  </si>
  <si>
    <t>First Time Investor with Mortgage History</t>
  </si>
  <si>
    <t>FTINV-NoMtgHistory</t>
  </si>
  <si>
    <t>First Time Investor without Mortgage History</t>
  </si>
  <si>
    <t>FTHB and FTINV</t>
  </si>
  <si>
    <t>FirstTime HB/INV</t>
  </si>
  <si>
    <t>Not FTHB or FTINV, FTHB-HousingHistory, FTHB-NoHousingHistory</t>
  </si>
  <si>
    <t>Not FTHB or FTINV, FTHB-HousingHistory, FTHB-NoHousingHistory, FTHB and FTINV, FTINV-MtgHistory, FTINV-NoMtgHistory</t>
  </si>
  <si>
    <t>Not First Time Homebuyer OR First Time Investor</t>
  </si>
  <si>
    <t>First Time Homebuyer AND First Time Investor</t>
  </si>
  <si>
    <t>PT_Not FTHB or FTINV</t>
  </si>
  <si>
    <t>PT_FTHB and FTINV</t>
  </si>
  <si>
    <t>PT_FTHB-HousingHistory</t>
  </si>
  <si>
    <t>PT_FTHB-NoHousingHistory</t>
  </si>
  <si>
    <t>PT_FTINV-MtgHistory</t>
  </si>
  <si>
    <t>PT_FTINV-NoMtgHistory</t>
  </si>
  <si>
    <t>IT_Not FTHB or FTINV</t>
  </si>
  <si>
    <t>IT_FTHB and FTINV</t>
  </si>
  <si>
    <t>IT_FTHB-HousingHistory</t>
  </si>
  <si>
    <t>IT_FTHB-NoHousingHistory</t>
  </si>
  <si>
    <t>IT_FTINV-MtgHistory</t>
  </si>
  <si>
    <t>IT_FTINV-NoMtgHistory</t>
  </si>
  <si>
    <t>PN_Not FTHB or FTINV</t>
  </si>
  <si>
    <t>PN_FTHB and FTINV</t>
  </si>
  <si>
    <t>PN_FTHB-HousingHistory</t>
  </si>
  <si>
    <t>PN_FTHB-NoHousingHistory</t>
  </si>
  <si>
    <t>PN_FTINV-MtgHistory</t>
  </si>
  <si>
    <t>PN_FTINV-NoMtgHistory</t>
  </si>
  <si>
    <t>IN_Not FTHB or FTINV</t>
  </si>
  <si>
    <t>IN_FTHB and FTINV</t>
  </si>
  <si>
    <t>IN_FTHB-HousingHistory</t>
  </si>
  <si>
    <t>IN_FTHB-NoHousingHistory</t>
  </si>
  <si>
    <t>IN_FTINV-MtgHistory</t>
  </si>
  <si>
    <t>IN_FTINV-NoMtgHistory</t>
  </si>
  <si>
    <t>IN_Wage-Earner</t>
  </si>
  <si>
    <t>IN_Self-Employed</t>
  </si>
  <si>
    <t>IN_Other Income</t>
  </si>
  <si>
    <t>SF, DP, PD, CS, 2U, 3U, 4U, CW, TH, RW, MD, RL</t>
  </si>
  <si>
    <t>FTHB-NoHH Not Full or Bank Stmt</t>
  </si>
  <si>
    <t>FTHB-HH with Lates</t>
  </si>
  <si>
    <t>FTINV Mtg Hist</t>
  </si>
  <si>
    <t>FTINV No Mtg Hist</t>
  </si>
  <si>
    <t>FTINV Mtg Hist Not DSCR</t>
  </si>
  <si>
    <t>FTINV No Mtg Hist Not DSCR</t>
  </si>
  <si>
    <t>FTHB-Housing Hist</t>
  </si>
  <si>
    <t>FTHB-No Housing Hist</t>
  </si>
  <si>
    <t>Elig Message</t>
  </si>
  <si>
    <t>&lt;-Elig Message</t>
  </si>
  <si>
    <t>NQO0037A</t>
  </si>
  <si>
    <t>NQO0043A</t>
  </si>
  <si>
    <t>NQO0097A</t>
  </si>
  <si>
    <t>NQO0103A</t>
  </si>
  <si>
    <t>NQO0157A</t>
  </si>
  <si>
    <t>NQO0163A</t>
  </si>
  <si>
    <t>NQN0037A</t>
  </si>
  <si>
    <t>NQN0111A</t>
  </si>
  <si>
    <t>Purpose/Prepay</t>
  </si>
  <si>
    <t xml:space="preserve">DSCR &lt;.75 </t>
  </si>
  <si>
    <t>DSCR .75-.99</t>
  </si>
  <si>
    <t>DSCR .75-.99 C/O</t>
  </si>
  <si>
    <t>NQN0061A</t>
  </si>
  <si>
    <t>NQN0062A</t>
  </si>
  <si>
    <t>NQN0068A</t>
  </si>
  <si>
    <t>NQN0069A</t>
  </si>
  <si>
    <t>NQN0135A</t>
  </si>
  <si>
    <t>NQN0136A</t>
  </si>
  <si>
    <t>NQN0142A</t>
  </si>
  <si>
    <t>NQN0143A</t>
  </si>
  <si>
    <t>NQN0209A</t>
  </si>
  <si>
    <t>NQN0210A</t>
  </si>
  <si>
    <t>NQN0215A</t>
  </si>
  <si>
    <t>NQN0216A</t>
  </si>
  <si>
    <t>NQN0261A</t>
  </si>
  <si>
    <t>NQN0262A</t>
  </si>
  <si>
    <t>NQN0265A</t>
  </si>
  <si>
    <t>NQN0266A</t>
  </si>
  <si>
    <t>NQN0299A</t>
  </si>
  <si>
    <t>NQN0300A</t>
  </si>
  <si>
    <t>NQN0302A</t>
  </si>
  <si>
    <t>NQN0303A</t>
  </si>
  <si>
    <t>Expanded Product</t>
  </si>
  <si>
    <t>WVOE NOO Not Available</t>
  </si>
  <si>
    <t>NQN0063A</t>
  </si>
  <si>
    <t>NQN0064A</t>
  </si>
  <si>
    <t>NQN0070A</t>
  </si>
  <si>
    <t>NQN0137A</t>
  </si>
  <si>
    <t>NQN0144A</t>
  </si>
  <si>
    <t>NQN0217A</t>
  </si>
  <si>
    <t>NQN0211A</t>
  </si>
  <si>
    <t>SF, DP, PD, CS, 2U, 3U, 4U, CW, CN, TH, RW, MD, RL</t>
  </si>
  <si>
    <t>IL, AK, DC, KS, NM, OH, PA, VT</t>
  </si>
  <si>
    <t>Reduced Reserves</t>
  </si>
  <si>
    <t>Life Force 2nds</t>
  </si>
  <si>
    <t>LEAD PLUS Seconds Calculator</t>
  </si>
  <si>
    <t>PricePoint</t>
  </si>
  <si>
    <t>The information in this document is intended for use by licensed mortgage bankers and mortgage loans officers, and may not to be viewed, used, or relied upon by consumers. The information disclosed in this document is subject to change without notice. Not available in all states.</t>
  </si>
  <si>
    <t>LEAD PLUS Seconds Calculator will generate pricing scenarios outside of guideline restrictions. Compliance is a general guideline, and must be verified with Lead Plus</t>
  </si>
  <si>
    <t>Please confirm pricing scenarios meet Lead Plus Wholesale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</si>
</sst>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0.000;&quot;-&quot;"/>
    <numFmt numFmtId="166" formatCode="#,##0.000"/>
    <numFmt numFmtId="167" formatCode="0.0000"/>
    <numFmt numFmtId="168" formatCode="0.00000"/>
    <numFmt numFmtId="169" formatCode="#,##0.0000"/>
    <numFmt numFmtId="170" formatCode="#,##0.00000"/>
    <numFmt numFmtId="171" formatCode="#,###.000_);\(#,###.000\)"/>
    <numFmt numFmtId="172" formatCode="0.000%"/>
    <numFmt numFmtId="173" formatCode=".000%\ "/>
    <numFmt numFmtId="174" formatCode="#,##0.0000_);\(#,##0.0000\)"/>
  </numFmts>
  <fonts count="86" x14ac:knownFonts="1">
    <font>
      <sz val="11"/>
      <color theme="1"/>
      <name val="Calibri"/>
      <family val="2"/>
      <scheme val="minor"/>
    </font>
    <font>
      <sz val="8"/>
      <color theme="1"/>
      <name val="Arial"/>
      <family val="2"/>
    </font>
    <font>
      <sz val="8"/>
      <color theme="1"/>
      <name val="Arial"/>
      <family val="2"/>
    </font>
    <font>
      <sz val="11"/>
      <color theme="1"/>
      <name val="Calibri"/>
      <family val="2"/>
      <scheme val="minor"/>
    </font>
    <font>
      <b/>
      <sz val="8"/>
      <color theme="1"/>
      <name val="Arial"/>
      <family val="2"/>
    </font>
    <font>
      <sz val="8"/>
      <name val="Arial"/>
      <family val="2"/>
    </font>
    <font>
      <sz val="8"/>
      <color theme="1"/>
      <name val="Calibri"/>
      <family val="2"/>
      <scheme val="minor"/>
    </font>
    <font>
      <sz val="8"/>
      <color theme="0"/>
      <name val="Arial"/>
      <family val="2"/>
    </font>
    <font>
      <sz val="8"/>
      <color indexed="8"/>
      <name val="Calibri"/>
      <family val="2"/>
      <scheme val="minor"/>
    </font>
    <font>
      <sz val="8"/>
      <color rgb="FFC00000"/>
      <name val="Arial"/>
      <family val="2"/>
    </font>
    <font>
      <sz val="8"/>
      <name val="Calibri"/>
      <family val="2"/>
      <scheme val="minor"/>
    </font>
    <font>
      <sz val="8"/>
      <color theme="0" tint="-0.34998626667073579"/>
      <name val="Arial"/>
      <family val="2"/>
    </font>
    <font>
      <b/>
      <sz val="8"/>
      <color theme="1" tint="0.34998626667073579"/>
      <name val="Calibri"/>
      <family val="2"/>
      <scheme val="minor"/>
    </font>
    <font>
      <b/>
      <sz val="8"/>
      <color rgb="FFC00000"/>
      <name val="Arial"/>
      <family val="2"/>
    </font>
    <font>
      <b/>
      <sz val="8"/>
      <name val="Calibri"/>
      <family val="2"/>
      <scheme val="minor"/>
    </font>
    <font>
      <sz val="8"/>
      <color theme="1" tint="0.34998626667073579"/>
      <name val="Calibri"/>
      <family val="2"/>
      <scheme val="minor"/>
    </font>
    <font>
      <sz val="8"/>
      <color theme="1" tint="0.499984740745262"/>
      <name val="Calibri"/>
      <family val="2"/>
      <scheme val="minor"/>
    </font>
    <font>
      <b/>
      <sz val="8"/>
      <color theme="1"/>
      <name val="Calibri"/>
      <family val="2"/>
      <scheme val="minor"/>
    </font>
    <font>
      <sz val="9"/>
      <color theme="1" tint="0.34998626667073579"/>
      <name val="Calibri"/>
      <family val="2"/>
      <scheme val="minor"/>
    </font>
    <font>
      <sz val="9"/>
      <color theme="1"/>
      <name val="Calibri"/>
      <family val="2"/>
      <scheme val="minor"/>
    </font>
    <font>
      <sz val="8"/>
      <name val="Calibri"/>
      <family val="2"/>
    </font>
    <font>
      <sz val="8"/>
      <color theme="1" tint="0.249977111117893"/>
      <name val="Calibri"/>
      <family val="2"/>
      <scheme val="minor"/>
    </font>
    <font>
      <b/>
      <sz val="8"/>
      <color theme="0" tint="-4.9989318521683403E-2"/>
      <name val="Arial"/>
      <family val="2"/>
    </font>
    <font>
      <b/>
      <sz val="8"/>
      <color theme="7" tint="0.59999389629810485"/>
      <name val="Arial"/>
      <family val="2"/>
    </font>
    <font>
      <sz val="8"/>
      <color theme="0" tint="-0.249977111117893"/>
      <name val="Calibri"/>
      <family val="2"/>
      <scheme val="minor"/>
    </font>
    <font>
      <sz val="8"/>
      <color theme="0" tint="-0.14999847407452621"/>
      <name val="Calibri"/>
      <family val="2"/>
      <scheme val="minor"/>
    </font>
    <font>
      <b/>
      <sz val="8"/>
      <color theme="1" tint="0.499984740745262"/>
      <name val="Calibri"/>
      <family val="2"/>
      <scheme val="minor"/>
    </font>
    <font>
      <b/>
      <sz val="11"/>
      <color theme="0"/>
      <name val="Calibri"/>
      <family val="2"/>
      <scheme val="minor"/>
    </font>
    <font>
      <b/>
      <sz val="8"/>
      <color rgb="FFC00000"/>
      <name val="Calibri"/>
      <family val="2"/>
      <scheme val="minor"/>
    </font>
    <font>
      <sz val="8"/>
      <color rgb="FFC00000"/>
      <name val="Calibri"/>
      <family val="2"/>
      <scheme val="minor"/>
    </font>
    <font>
      <u/>
      <sz val="11"/>
      <color theme="10"/>
      <name val="Calibri"/>
      <family val="2"/>
      <scheme val="minor"/>
    </font>
    <font>
      <sz val="10"/>
      <color rgb="FF222222"/>
      <name val="Arial"/>
      <family val="2"/>
    </font>
    <font>
      <sz val="8"/>
      <color theme="0" tint="-4.9989318521683403E-2"/>
      <name val="Calibri"/>
      <family val="2"/>
      <scheme val="minor"/>
    </font>
    <font>
      <sz val="8"/>
      <color theme="0" tint="-0.499984740745262"/>
      <name val="Arial"/>
      <family val="2"/>
    </font>
    <font>
      <sz val="6"/>
      <color theme="1"/>
      <name val="Small Fonts"/>
    </font>
    <font>
      <sz val="8"/>
      <color theme="1"/>
      <name val="Microsoft Sans Serif"/>
      <family val="2"/>
    </font>
    <font>
      <sz val="8"/>
      <color theme="0" tint="-0.34998626667073579"/>
      <name val="Calibri"/>
      <family val="2"/>
      <scheme val="minor"/>
    </font>
    <font>
      <b/>
      <sz val="8"/>
      <color theme="0" tint="-0.14999847407452621"/>
      <name val="Calibri"/>
      <family val="2"/>
      <scheme val="minor"/>
    </font>
    <font>
      <sz val="8"/>
      <color theme="4" tint="-0.499984740745262"/>
      <name val="Calibri"/>
      <family val="2"/>
      <scheme val="minor"/>
    </font>
    <font>
      <sz val="8"/>
      <color theme="0" tint="-0.499984740745262"/>
      <name val="Calibri"/>
      <family val="2"/>
      <scheme val="minor"/>
    </font>
    <font>
      <b/>
      <sz val="8"/>
      <color indexed="8"/>
      <name val="Calibri"/>
      <family val="2"/>
      <scheme val="minor"/>
    </font>
    <font>
      <sz val="7"/>
      <color theme="0" tint="-0.499984740745262"/>
      <name val="Arial"/>
      <family val="2"/>
    </font>
    <font>
      <sz val="8"/>
      <color rgb="FFFF0000"/>
      <name val="Arial"/>
      <family val="2"/>
    </font>
    <font>
      <b/>
      <sz val="8"/>
      <color theme="0"/>
      <name val="Calibri"/>
      <family val="2"/>
      <scheme val="minor"/>
    </font>
    <font>
      <sz val="8"/>
      <color theme="0"/>
      <name val="Calibri"/>
      <family val="2"/>
      <scheme val="minor"/>
    </font>
    <font>
      <b/>
      <sz val="8"/>
      <name val="Calibri"/>
      <family val="2"/>
    </font>
    <font>
      <sz val="8"/>
      <color theme="1" tint="0.34998626667073579"/>
      <name val="Calibri"/>
      <family val="2"/>
    </font>
    <font>
      <sz val="8"/>
      <color rgb="FF2E471D"/>
      <name val="Calibri"/>
      <family val="2"/>
      <scheme val="minor"/>
    </font>
    <font>
      <b/>
      <sz val="8"/>
      <color theme="1" tint="0.249977111117893"/>
      <name val="Calibri"/>
      <family val="2"/>
      <scheme val="minor"/>
    </font>
    <font>
      <b/>
      <sz val="8"/>
      <color rgb="FF2E471D"/>
      <name val="Calibri"/>
      <family val="2"/>
      <scheme val="minor"/>
    </font>
    <font>
      <b/>
      <sz val="8"/>
      <color theme="1" tint="4.9989318521683403E-2"/>
      <name val="Calibri"/>
      <family val="2"/>
      <scheme val="minor"/>
    </font>
    <font>
      <sz val="8"/>
      <color theme="1" tint="4.9989318521683403E-2"/>
      <name val="Calibri"/>
      <family val="2"/>
      <scheme val="minor"/>
    </font>
    <font>
      <b/>
      <sz val="8"/>
      <color rgb="FFFF0000"/>
      <name val="Calibri"/>
      <family val="2"/>
      <scheme val="minor"/>
    </font>
    <font>
      <sz val="8"/>
      <color rgb="FF467D43"/>
      <name val="Calibri"/>
      <family val="2"/>
      <scheme val="minor"/>
    </font>
    <font>
      <sz val="8"/>
      <color theme="1"/>
      <name val="Calibri"/>
      <family val="2"/>
    </font>
    <font>
      <sz val="8"/>
      <color indexed="8"/>
      <name val="Calibri"/>
      <family val="2"/>
    </font>
    <font>
      <b/>
      <sz val="9"/>
      <color theme="0"/>
      <name val="Calibri"/>
      <family val="2"/>
    </font>
    <font>
      <sz val="9"/>
      <color theme="1"/>
      <name val="Calibri"/>
      <family val="2"/>
    </font>
    <font>
      <b/>
      <sz val="8"/>
      <color rgb="FFC00000"/>
      <name val="Calibri"/>
      <family val="2"/>
    </font>
    <font>
      <b/>
      <sz val="8"/>
      <color rgb="FFFF0000"/>
      <name val="Calibri"/>
      <family val="2"/>
    </font>
    <font>
      <sz val="8"/>
      <color theme="0"/>
      <name val="Calibri"/>
      <family val="2"/>
    </font>
    <font>
      <b/>
      <sz val="8"/>
      <color rgb="FFFFFF00"/>
      <name val="Calibri"/>
      <family val="2"/>
    </font>
    <font>
      <sz val="8"/>
      <color rgb="FFFFFF00"/>
      <name val="Calibri"/>
      <family val="2"/>
    </font>
    <font>
      <sz val="8"/>
      <color rgb="FFC00000"/>
      <name val="Calibri"/>
      <family val="2"/>
    </font>
    <font>
      <b/>
      <sz val="8"/>
      <color rgb="FFDA0000"/>
      <name val="Calibri"/>
      <family val="2"/>
    </font>
    <font>
      <b/>
      <sz val="8"/>
      <color theme="1"/>
      <name val="Calibri"/>
      <family val="2"/>
    </font>
    <font>
      <b/>
      <sz val="8"/>
      <color rgb="FF3E5F27"/>
      <name val="Calibri"/>
      <family val="2"/>
    </font>
    <font>
      <sz val="8"/>
      <color theme="1" tint="0.499984740745262"/>
      <name val="Calibri"/>
      <family val="2"/>
    </font>
    <font>
      <sz val="8"/>
      <color theme="0" tint="-0.249977111117893"/>
      <name val="Calibri"/>
      <family val="2"/>
    </font>
    <font>
      <sz val="8"/>
      <color rgb="FF3E5F27"/>
      <name val="Calibri"/>
      <family val="2"/>
    </font>
    <font>
      <sz val="8"/>
      <color rgb="FF202124"/>
      <name val="Calibri"/>
      <family val="2"/>
    </font>
    <font>
      <b/>
      <sz val="8"/>
      <color theme="0"/>
      <name val="Calibri"/>
      <family val="2"/>
    </font>
    <font>
      <sz val="8"/>
      <color rgb="FF000000"/>
      <name val="Calibri"/>
      <family val="2"/>
    </font>
    <font>
      <sz val="8"/>
      <color theme="0" tint="-0.34998626667073579"/>
      <name val="Calibri"/>
      <family val="2"/>
    </font>
    <font>
      <b/>
      <sz val="8"/>
      <color theme="0" tint="-0.249977111117893"/>
      <name val="Calibri"/>
      <family val="2"/>
      <scheme val="minor"/>
    </font>
    <font>
      <sz val="9"/>
      <color theme="7" tint="0.79998168889431442"/>
      <name val="Calibri"/>
      <family val="2"/>
      <scheme val="minor"/>
    </font>
    <font>
      <sz val="8"/>
      <color rgb="FFFF0000"/>
      <name val="Calibri"/>
      <family val="2"/>
    </font>
    <font>
      <b/>
      <sz val="8"/>
      <color theme="7" tint="0.59999389629810485"/>
      <name val="Calibri"/>
      <family val="2"/>
    </font>
    <font>
      <b/>
      <sz val="8"/>
      <color theme="1" tint="4.9989318521683403E-2"/>
      <name val="Calibri"/>
      <family val="2"/>
    </font>
    <font>
      <b/>
      <sz val="8"/>
      <color theme="1"/>
      <name val="Microsoft Sans Serif"/>
      <family val="2"/>
    </font>
    <font>
      <b/>
      <sz val="24"/>
      <color rgb="FF8CF096"/>
      <name val="Calibri"/>
      <family val="2"/>
      <scheme val="minor"/>
    </font>
    <font>
      <b/>
      <sz val="26"/>
      <color rgb="FF8CF096"/>
      <name val="Calibri"/>
      <family val="2"/>
      <scheme val="minor"/>
    </font>
    <font>
      <b/>
      <i/>
      <sz val="8"/>
      <color rgb="FFC00000"/>
      <name val="Calibri"/>
      <family val="2"/>
    </font>
    <font>
      <i/>
      <sz val="8"/>
      <name val="Calibri"/>
      <family val="2"/>
    </font>
    <font>
      <b/>
      <sz val="8"/>
      <color rgb="FFFFFF00"/>
      <name val="Calibri"/>
      <family val="2"/>
      <scheme val="minor"/>
    </font>
    <font>
      <b/>
      <sz val="24"/>
      <color theme="1" tint="0.34998626667073579"/>
      <name val="Calibri"/>
      <family val="2"/>
      <scheme val="minor"/>
    </font>
  </fonts>
  <fills count="50">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6FAF4"/>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rgb="FFE1E1E1"/>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rgb="FFFFE5E5"/>
        <bgColor indexed="64"/>
      </patternFill>
    </fill>
    <fill>
      <patternFill patternType="solid">
        <fgColor theme="4" tint="-0.249977111117893"/>
        <bgColor indexed="64"/>
      </patternFill>
    </fill>
    <fill>
      <patternFill patternType="solid">
        <fgColor rgb="FFFFC000"/>
        <bgColor indexed="64"/>
      </patternFill>
    </fill>
    <fill>
      <patternFill patternType="solid">
        <fgColor theme="1" tint="0.34998626667073579"/>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C00000"/>
        <bgColor indexed="64"/>
      </patternFill>
    </fill>
    <fill>
      <patternFill patternType="solid">
        <fgColor rgb="FFFF0000"/>
        <bgColor indexed="64"/>
      </patternFill>
    </fill>
    <fill>
      <patternFill patternType="solid">
        <fgColor theme="7" tint="0.59999389629810485"/>
        <bgColor indexed="64"/>
      </patternFill>
    </fill>
    <fill>
      <patternFill patternType="solid">
        <fgColor rgb="FFE6AF00"/>
        <bgColor indexed="64"/>
      </patternFill>
    </fill>
    <fill>
      <patternFill patternType="solid">
        <fgColor rgb="FFFFFFFF"/>
        <bgColor indexed="64"/>
      </patternFill>
    </fill>
    <fill>
      <patternFill patternType="solid">
        <fgColor rgb="FFFFE38B"/>
        <bgColor indexed="64"/>
      </patternFill>
    </fill>
    <fill>
      <patternFill patternType="solid">
        <fgColor rgb="FFFFF6DD"/>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1"/>
        <bgColor indexed="64"/>
      </patternFill>
    </fill>
    <fill>
      <patternFill patternType="solid">
        <fgColor rgb="FFFEFCCE"/>
        <bgColor indexed="64"/>
      </patternFill>
    </fill>
    <fill>
      <patternFill patternType="solid">
        <fgColor rgb="FFFFD54F"/>
        <bgColor indexed="64"/>
      </patternFill>
    </fill>
    <fill>
      <patternFill patternType="solid">
        <fgColor theme="0"/>
        <bgColor theme="0" tint="-0.14999847407452621"/>
      </patternFill>
    </fill>
    <fill>
      <patternFill patternType="solid">
        <fgColor theme="0" tint="-4.9989318521683403E-2"/>
        <bgColor theme="0" tint="-0.14999847407452621"/>
      </patternFill>
    </fill>
    <fill>
      <patternFill patternType="solid">
        <fgColor rgb="FF0A4438"/>
        <bgColor indexed="64"/>
      </patternFill>
    </fill>
  </fills>
  <borders count="549">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0" tint="-0.24994659260841701"/>
      </right>
      <top style="thin">
        <color theme="1" tint="0.34998626667073579"/>
      </top>
      <bottom style="thin">
        <color theme="0" tint="-0.24994659260841701"/>
      </bottom>
      <diagonal/>
    </border>
    <border>
      <left style="thin">
        <color theme="0" tint="-0.24994659260841701"/>
      </left>
      <right style="thin">
        <color theme="1" tint="0.34998626667073579"/>
      </right>
      <top style="thin">
        <color theme="1" tint="0.34998626667073579"/>
      </top>
      <bottom style="thin">
        <color theme="0" tint="-0.24994659260841701"/>
      </bottom>
      <diagonal/>
    </border>
    <border>
      <left style="thin">
        <color theme="1"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tint="0.34998626667073579"/>
      </right>
      <top style="thin">
        <color theme="0" tint="-0.24994659260841701"/>
      </top>
      <bottom style="thin">
        <color theme="0" tint="-0.24994659260841701"/>
      </bottom>
      <diagonal/>
    </border>
    <border>
      <left style="thin">
        <color theme="1" tint="0.34998626667073579"/>
      </left>
      <right style="thin">
        <color theme="0" tint="-0.24994659260841701"/>
      </right>
      <top style="thin">
        <color theme="0" tint="-0.24994659260841701"/>
      </top>
      <bottom style="thin">
        <color theme="1" tint="0.34998626667073579"/>
      </bottom>
      <diagonal/>
    </border>
    <border>
      <left style="thin">
        <color theme="0" tint="-0.24994659260841701"/>
      </left>
      <right style="thin">
        <color theme="1" tint="0.34998626667073579"/>
      </right>
      <top style="thin">
        <color theme="0" tint="-0.24994659260841701"/>
      </top>
      <bottom style="thin">
        <color theme="1" tint="0.34998626667073579"/>
      </bottom>
      <diagonal/>
    </border>
    <border>
      <left style="thin">
        <color auto="1"/>
      </left>
      <right/>
      <top style="thin">
        <color auto="1"/>
      </top>
      <bottom style="thin">
        <color auto="1"/>
      </bottom>
      <diagonal/>
    </border>
    <border>
      <left style="thin">
        <color theme="1" tint="0.34998626667073579"/>
      </left>
      <right style="thin">
        <color theme="0" tint="-0.24994659260841701"/>
      </right>
      <top/>
      <bottom style="thin">
        <color theme="0" tint="-0.24994659260841701"/>
      </bottom>
      <diagonal/>
    </border>
    <border>
      <left style="thin">
        <color theme="0" tint="-0.24994659260841701"/>
      </left>
      <right style="thin">
        <color theme="1" tint="0.34998626667073579"/>
      </right>
      <top/>
      <bottom style="thin">
        <color theme="0" tint="-0.2499465926084170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theme="1"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1" tint="0.34998626667073579"/>
      </bottom>
      <diagonal/>
    </border>
    <border>
      <left style="thin">
        <color theme="0" tint="-0.24994659260841701"/>
      </left>
      <right style="thin">
        <color theme="0" tint="-0.24994659260841701"/>
      </right>
      <top style="thin">
        <color theme="0" tint="-0.2499465926084170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theme="0" tint="-0.24994659260841701"/>
      </bottom>
      <diagonal/>
    </border>
    <border>
      <left style="thin">
        <color theme="0" tint="-0.24994659260841701"/>
      </left>
      <right style="thin">
        <color auto="1"/>
      </right>
      <top style="thin">
        <color auto="1"/>
      </top>
      <bottom style="thin">
        <color auto="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auto="1"/>
      </right>
      <top style="thin">
        <color theme="0" tint="-0.24994659260841701"/>
      </top>
      <bottom/>
      <diagonal/>
    </border>
    <border>
      <left style="thin">
        <color auto="1"/>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indexed="64"/>
      </top>
      <bottom style="thin">
        <color indexed="64"/>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0" tint="-0.24994659260841701"/>
      </left>
      <right style="thin">
        <color theme="0" tint="-0.24994659260841701"/>
      </right>
      <top/>
      <bottom/>
      <diagonal/>
    </border>
    <border>
      <left style="thin">
        <color theme="0" tint="-0.24994659260841701"/>
      </left>
      <right/>
      <top style="thin">
        <color auto="1"/>
      </top>
      <bottom style="thin">
        <color auto="1"/>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style="thin">
        <color theme="0" tint="-0.24994659260841701"/>
      </left>
      <right style="thin">
        <color theme="0" tint="-0.24994659260841701"/>
      </right>
      <top style="thin">
        <color indexed="64"/>
      </top>
      <bottom style="thin">
        <color indexed="64"/>
      </bottom>
      <diagonal/>
    </border>
    <border>
      <left/>
      <right/>
      <top/>
      <bottom style="thin">
        <color theme="0" tint="-0.24994659260841701"/>
      </bottom>
      <diagonal/>
    </border>
    <border>
      <left/>
      <right style="thin">
        <color theme="0" tint="-0.24994659260841701"/>
      </right>
      <top style="thin">
        <color indexed="64"/>
      </top>
      <bottom style="thin">
        <color auto="1"/>
      </bottom>
      <diagonal/>
    </border>
    <border>
      <left style="thin">
        <color indexed="64"/>
      </left>
      <right style="thin">
        <color indexed="64"/>
      </right>
      <top/>
      <bottom/>
      <diagonal/>
    </border>
    <border>
      <left style="thin">
        <color indexed="64"/>
      </left>
      <right/>
      <top style="thin">
        <color theme="0" tint="-0.24994659260841701"/>
      </top>
      <bottom/>
      <diagonal/>
    </border>
    <border>
      <left/>
      <right/>
      <top style="thin">
        <color theme="0" tint="-0.24994659260841701"/>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style="thin">
        <color theme="0" tint="-0.499984740745262"/>
      </top>
      <bottom style="thin">
        <color theme="0" tint="-0.14996795556505021"/>
      </bottom>
      <diagonal/>
    </border>
    <border>
      <left style="thin">
        <color theme="0" tint="-0.499984740745262"/>
      </left>
      <right/>
      <top style="thin">
        <color theme="0" tint="-0.14996795556505021"/>
      </top>
      <bottom style="thin">
        <color theme="0" tint="-0.14996795556505021"/>
      </bottom>
      <diagonal/>
    </border>
    <border>
      <left/>
      <right style="thin">
        <color theme="0" tint="-0.499984740745262"/>
      </right>
      <top style="thin">
        <color theme="0" tint="-0.14996795556505021"/>
      </top>
      <bottom style="thin">
        <color theme="0" tint="-0.14996795556505021"/>
      </bottom>
      <diagonal/>
    </border>
    <border>
      <left style="thin">
        <color theme="0" tint="-0.499984740745262"/>
      </left>
      <right style="thin">
        <color theme="0" tint="-0.499984740745262"/>
      </right>
      <top style="thin">
        <color theme="0" tint="-0.499984740745262"/>
      </top>
      <bottom style="thin">
        <color theme="0" tint="-0.24994659260841701"/>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style="thin">
        <color theme="0" tint="-0.499984740745262"/>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24994659260841701"/>
      </right>
      <top style="thin">
        <color theme="0" tint="-0.499984740745262"/>
      </top>
      <bottom style="thin">
        <color theme="0" tint="-0.499984740745262"/>
      </bottom>
      <diagonal/>
    </border>
    <border>
      <left style="thin">
        <color theme="0" tint="-0.24994659260841701"/>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24994659260841701"/>
      </right>
      <top style="thin">
        <color theme="0" tint="-0.499984740745262"/>
      </top>
      <bottom style="thin">
        <color theme="0" tint="-0.24994659260841701"/>
      </bottom>
      <diagonal/>
    </border>
    <border>
      <left style="thin">
        <color theme="0" tint="-0.24994659260841701"/>
      </left>
      <right style="thin">
        <color theme="0" tint="-0.499984740745262"/>
      </right>
      <top style="thin">
        <color theme="0" tint="-0.499984740745262"/>
      </top>
      <bottom style="thin">
        <color theme="0" tint="-0.24994659260841701"/>
      </bottom>
      <diagonal/>
    </border>
    <border>
      <left style="thin">
        <color theme="0"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24994659260841701"/>
      </right>
      <top style="thin">
        <color theme="0" tint="-0.24994659260841701"/>
      </top>
      <bottom style="thin">
        <color theme="0" tint="-0.499984740745262"/>
      </bottom>
      <diagonal/>
    </border>
    <border>
      <left style="thin">
        <color theme="0" tint="-0.24994659260841701"/>
      </left>
      <right style="thin">
        <color theme="0" tint="-0.499984740745262"/>
      </right>
      <top style="thin">
        <color theme="0" tint="-0.24994659260841701"/>
      </top>
      <bottom style="thin">
        <color theme="0" tint="-0.499984740745262"/>
      </bottom>
      <diagonal/>
    </border>
    <border>
      <left/>
      <right/>
      <top style="thin">
        <color theme="0" tint="-0.499984740745262"/>
      </top>
      <bottom style="thin">
        <color theme="0" tint="-0.24994659260841701"/>
      </bottom>
      <diagonal/>
    </border>
    <border>
      <left style="thin">
        <color theme="0" tint="-0.499984740745262"/>
      </left>
      <right style="thin">
        <color theme="0" tint="-0.24994659260841701"/>
      </right>
      <top style="thin">
        <color theme="0" tint="-0.499984740745262"/>
      </top>
      <bottom/>
      <diagonal/>
    </border>
    <border>
      <left style="thin">
        <color theme="0" tint="-0.24994659260841701"/>
      </left>
      <right style="thin">
        <color theme="0" tint="-0.24994659260841701"/>
      </right>
      <top style="thin">
        <color theme="0" tint="-0.499984740745262"/>
      </top>
      <bottom/>
      <diagonal/>
    </border>
    <border>
      <left style="thin">
        <color theme="0" tint="-0.24994659260841701"/>
      </left>
      <right style="thin">
        <color theme="0" tint="-0.499984740745262"/>
      </right>
      <top style="thin">
        <color theme="0" tint="-0.499984740745262"/>
      </top>
      <bottom/>
      <diagonal/>
    </border>
    <border>
      <left style="thin">
        <color theme="0" tint="-0.499984740745262"/>
      </left>
      <right style="thin">
        <color theme="0" tint="-0.24994659260841701"/>
      </right>
      <top/>
      <bottom/>
      <diagonal/>
    </border>
    <border>
      <left style="thin">
        <color theme="0" tint="-0.24994659260841701"/>
      </left>
      <right style="thin">
        <color theme="0" tint="-0.24994659260841701"/>
      </right>
      <top style="thin">
        <color theme="0" tint="-0.49998474074526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style="thin">
        <color theme="0" tint="-0.24994659260841701"/>
      </top>
      <bottom style="thin">
        <color theme="0" tint="-0.499984740745262"/>
      </bottom>
      <diagonal/>
    </border>
    <border>
      <left/>
      <right style="thin">
        <color theme="0" tint="-0.499984740745262"/>
      </right>
      <top style="thin">
        <color theme="0" tint="-0.499984740745262"/>
      </top>
      <bottom style="thin">
        <color theme="0" tint="-0.24994659260841701"/>
      </bottom>
      <diagonal/>
    </border>
    <border>
      <left/>
      <right style="thin">
        <color theme="0" tint="-0.499984740745262"/>
      </right>
      <top style="thin">
        <color theme="0" tint="-0.24994659260841701"/>
      </top>
      <bottom style="thin">
        <color theme="0" tint="-0.24994659260841701"/>
      </bottom>
      <diagonal/>
    </border>
    <border>
      <left/>
      <right style="thin">
        <color theme="0" tint="-0.499984740745262"/>
      </right>
      <top style="thin">
        <color theme="0" tint="-0.24994659260841701"/>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style="thin">
        <color theme="0" tint="-0.14996795556505021"/>
      </top>
      <bottom style="thin">
        <color theme="0" tint="-0.1499679555650502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auto="1"/>
      </top>
      <bottom/>
      <diagonal/>
    </border>
    <border>
      <left/>
      <right style="thin">
        <color theme="0" tint="-0.34998626667073579"/>
      </right>
      <top style="thin">
        <color auto="1"/>
      </top>
      <bottom/>
      <diagonal/>
    </border>
    <border>
      <left style="thin">
        <color auto="1"/>
      </left>
      <right style="thin">
        <color theme="0" tint="-0.34998626667073579"/>
      </right>
      <top style="thin">
        <color auto="1"/>
      </top>
      <bottom style="thin">
        <color theme="0" tint="-0.34998626667073579"/>
      </bottom>
      <diagonal/>
    </border>
    <border>
      <left style="thin">
        <color theme="0" tint="-0.34998626667073579"/>
      </left>
      <right style="thin">
        <color auto="1"/>
      </right>
      <top style="thin">
        <color auto="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indexed="64"/>
      </left>
      <right style="thin">
        <color theme="0" tint="-0.499984740745262"/>
      </right>
      <top/>
      <bottom/>
      <diagonal/>
    </border>
    <border>
      <left/>
      <right style="thin">
        <color theme="0" tint="-0.24994659260841701"/>
      </right>
      <top style="thin">
        <color indexed="64"/>
      </top>
      <bottom/>
      <diagonal/>
    </border>
    <border>
      <left style="thin">
        <color auto="1"/>
      </left>
      <right style="thin">
        <color theme="0" tint="-0.34998626667073579"/>
      </right>
      <top style="thin">
        <color auto="1"/>
      </top>
      <bottom/>
      <diagonal/>
    </border>
    <border>
      <left style="thin">
        <color theme="0" tint="-0.34998626667073579"/>
      </left>
      <right style="thin">
        <color theme="0" tint="-0.34998626667073579"/>
      </right>
      <top style="thin">
        <color auto="1"/>
      </top>
      <bottom/>
      <diagonal/>
    </border>
    <border>
      <left style="thin">
        <color theme="0" tint="-0.34998626667073579"/>
      </left>
      <right style="thin">
        <color auto="1"/>
      </right>
      <top style="thin">
        <color auto="1"/>
      </top>
      <bottom/>
      <diagonal/>
    </border>
    <border>
      <left style="thin">
        <color theme="0" tint="-0.24994659260841701"/>
      </left>
      <right style="thin">
        <color theme="0" tint="-0.24994659260841701"/>
      </right>
      <top style="thin">
        <color theme="1" tint="0.499984740745262"/>
      </top>
      <bottom style="thin">
        <color theme="0" tint="-0.24994659260841701"/>
      </bottom>
      <diagonal/>
    </border>
    <border>
      <left style="thin">
        <color theme="0" tint="-0.24994659260841701"/>
      </left>
      <right style="thin">
        <color theme="1"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1" tint="0.499984740745262"/>
      </bottom>
      <diagonal/>
    </border>
    <border>
      <left style="thin">
        <color theme="1" tint="0.499984740745262"/>
      </left>
      <right style="thin">
        <color theme="0" tint="-0.14996795556505021"/>
      </right>
      <top style="thin">
        <color theme="1" tint="0.499984740745262"/>
      </top>
      <bottom style="thin">
        <color theme="0" tint="-0.14996795556505021"/>
      </bottom>
      <diagonal/>
    </border>
    <border>
      <left style="thin">
        <color theme="1" tint="0.499984740745262"/>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1" tint="0.499984740745262"/>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1" tint="0.499984740745262"/>
      </bottom>
      <diagonal/>
    </border>
    <border>
      <left style="thin">
        <color theme="0" tint="-0.14996795556505021"/>
      </left>
      <right style="thin">
        <color theme="1" tint="0.499984740745262"/>
      </right>
      <top style="thin">
        <color theme="0" tint="-0.14996795556505021"/>
      </top>
      <bottom style="thin">
        <color theme="1" tint="0.499984740745262"/>
      </bottom>
      <diagonal/>
    </border>
    <border>
      <left style="thin">
        <color theme="0" tint="-0.499984740745262"/>
      </left>
      <right style="thin">
        <color theme="0" tint="-0.24994659260841701"/>
      </right>
      <top style="thin">
        <color theme="0" tint="-0.24994659260841701"/>
      </top>
      <bottom/>
      <diagonal/>
    </border>
    <border>
      <left/>
      <right style="thin">
        <color theme="0" tint="-0.24994659260841701"/>
      </right>
      <top style="thin">
        <color theme="1" tint="0.499984740745262"/>
      </top>
      <bottom style="thin">
        <color theme="0" tint="-0.24994659260841701"/>
      </bottom>
      <diagonal/>
    </border>
    <border>
      <left/>
      <right style="thin">
        <color theme="0" tint="-0.24994659260841701"/>
      </right>
      <top style="thin">
        <color theme="0" tint="-0.24994659260841701"/>
      </top>
      <bottom style="thin">
        <color theme="1" tint="0.499984740745262"/>
      </bottom>
      <diagonal/>
    </border>
    <border>
      <left style="thin">
        <color theme="1" tint="0.34998626667073579"/>
      </left>
      <right/>
      <top/>
      <bottom/>
      <diagonal/>
    </border>
    <border>
      <left/>
      <right style="thin">
        <color theme="1" tint="0.34998626667073579"/>
      </right>
      <top/>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top style="thin">
        <color theme="0" tint="-0.24994659260841701"/>
      </top>
      <bottom style="thin">
        <color theme="0" tint="-0.499984740745262"/>
      </bottom>
      <diagonal/>
    </border>
    <border>
      <left style="thin">
        <color theme="0" tint="-0.24994659260841701"/>
      </left>
      <right/>
      <top style="thin">
        <color theme="0" tint="-0.499984740745262"/>
      </top>
      <bottom style="thin">
        <color theme="0" tint="-0.24994659260841701"/>
      </bottom>
      <diagonal/>
    </border>
    <border>
      <left style="thin">
        <color theme="0" tint="-0.499984740745262"/>
      </left>
      <right/>
      <top style="thin">
        <color theme="0" tint="-0.24994659260841701"/>
      </top>
      <bottom style="thin">
        <color theme="0" tint="-0.24994659260841701"/>
      </bottom>
      <diagonal/>
    </border>
    <border>
      <left style="thin">
        <color theme="0" tint="-0.24994659260841701"/>
      </left>
      <right style="thin">
        <color theme="0" tint="-0.499984740745262"/>
      </right>
      <top style="thin">
        <color theme="0" tint="-0.24994659260841701"/>
      </top>
      <bottom/>
      <diagonal/>
    </border>
    <border>
      <left style="thin">
        <color theme="1" tint="0.34998626667073579"/>
      </left>
      <right style="thin">
        <color theme="1" tint="0.34998626667073579"/>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right/>
      <top style="thin">
        <color theme="1" tint="0.34998626667073579"/>
      </top>
      <bottom style="thin">
        <color theme="1" tint="0.34998626667073579"/>
      </bottom>
      <diagonal/>
    </border>
    <border>
      <left/>
      <right/>
      <top/>
      <bottom style="thin">
        <color theme="1" tint="0.34998626667073579"/>
      </bottom>
      <diagonal/>
    </border>
    <border>
      <left style="thin">
        <color indexed="64"/>
      </left>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theme="0" tint="-0.499984740745262"/>
      </bottom>
      <diagonal/>
    </border>
    <border>
      <left/>
      <right style="thin">
        <color theme="0" tint="-0.499984740745262"/>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1" tint="0.499984740745262"/>
      </left>
      <right style="thin">
        <color theme="0" tint="-0.14996795556505021"/>
      </right>
      <top style="thin">
        <color theme="0" tint="-0.14996795556505021"/>
      </top>
      <bottom style="thin">
        <color theme="1" tint="0.499984740745262"/>
      </bottom>
      <diagonal/>
    </border>
    <border>
      <left style="thin">
        <color auto="1"/>
      </left>
      <right style="thin">
        <color auto="1"/>
      </right>
      <top style="thin">
        <color auto="1"/>
      </top>
      <bottom style="thin">
        <color auto="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499984740745262"/>
      </left>
      <right/>
      <top style="thin">
        <color theme="0" tint="-0.499984740745262"/>
      </top>
      <bottom style="thin">
        <color theme="0" tint="-0.24994659260841701"/>
      </bottom>
      <diagonal/>
    </border>
    <border>
      <left style="thin">
        <color auto="1"/>
      </left>
      <right style="thin">
        <color theme="0" tint="-0.34998626667073579"/>
      </right>
      <top style="thin">
        <color theme="0" tint="-0.34998626667073579"/>
      </top>
      <bottom/>
      <diagonal/>
    </border>
    <border>
      <left style="thin">
        <color theme="0" tint="-0.34998626667073579"/>
      </left>
      <right style="thin">
        <color auto="1"/>
      </right>
      <top style="thin">
        <color theme="0" tint="-0.34998626667073579"/>
      </top>
      <bottom/>
      <diagonal/>
    </border>
    <border>
      <left style="thin">
        <color auto="1"/>
      </left>
      <right/>
      <top style="thin">
        <color theme="0" tint="-0.34998626667073579"/>
      </top>
      <bottom/>
      <diagonal/>
    </border>
    <border>
      <left style="thin">
        <color theme="1" tint="0.34998626667073579"/>
      </left>
      <right style="thin">
        <color theme="1" tint="0.34998626667073579"/>
      </right>
      <top style="thin">
        <color theme="1" tint="0.34998626667073579"/>
      </top>
      <bottom/>
      <diagonal/>
    </border>
    <border>
      <left/>
      <right style="thin">
        <color theme="0" tint="-0.34998626667073579"/>
      </right>
      <top style="thin">
        <color auto="1"/>
      </top>
      <bottom style="thin">
        <color theme="0" tint="-0.34998626667073579"/>
      </bottom>
      <diagonal/>
    </border>
    <border>
      <left/>
      <right style="thin">
        <color theme="0" tint="-0.24994659260841701"/>
      </right>
      <top style="thin">
        <color theme="0" tint="-0.499984740745262"/>
      </top>
      <bottom style="thin">
        <color theme="0" tint="-0.24994659260841701"/>
      </bottom>
      <diagonal/>
    </border>
    <border>
      <left style="thin">
        <color theme="1" tint="0.499984740745262"/>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1" tint="0.499984740745262"/>
      </right>
      <top style="thin">
        <color theme="0" tint="-0.499984740745262"/>
      </top>
      <bottom style="thin">
        <color theme="0" tint="-0.14996795556505021"/>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thin">
        <color indexed="64"/>
      </bottom>
      <diagonal/>
    </border>
    <border>
      <left style="thin">
        <color theme="0" tint="-0.34998626667073579"/>
      </left>
      <right style="thin">
        <color theme="0" tint="-0.14996795556505021"/>
      </right>
      <top/>
      <bottom style="thin">
        <color theme="0" tint="-0.34998626667073579"/>
      </bottom>
      <diagonal/>
    </border>
    <border>
      <left style="thin">
        <color theme="0" tint="-0.14996795556505021"/>
      </left>
      <right style="thin">
        <color theme="0" tint="-0.14996795556505021"/>
      </right>
      <top/>
      <bottom style="thin">
        <color theme="0" tint="-0.34998626667073579"/>
      </bottom>
      <diagonal/>
    </border>
    <border>
      <left style="thin">
        <color theme="0" tint="-0.14996795556505021"/>
      </left>
      <right style="thin">
        <color theme="0" tint="-0.34998626667073579"/>
      </right>
      <top/>
      <bottom style="thin">
        <color theme="0" tint="-0.34998626667073579"/>
      </bottom>
      <diagonal/>
    </border>
    <border>
      <left style="thin">
        <color theme="9" tint="-0.499984740745262"/>
      </left>
      <right/>
      <top style="thin">
        <color theme="9" tint="-0.499984740745262"/>
      </top>
      <bottom/>
      <diagonal/>
    </border>
    <border>
      <left/>
      <right/>
      <top style="thin">
        <color theme="9" tint="-0.499984740745262"/>
      </top>
      <bottom/>
      <diagonal/>
    </border>
    <border>
      <left/>
      <right style="thin">
        <color theme="9" tint="-0.499984740745262"/>
      </right>
      <top style="thin">
        <color theme="9" tint="-0.499984740745262"/>
      </top>
      <bottom/>
      <diagonal/>
    </border>
    <border>
      <left style="thin">
        <color theme="9" tint="-0.499984740745262"/>
      </left>
      <right/>
      <top/>
      <bottom/>
      <diagonal/>
    </border>
    <border>
      <left/>
      <right style="thin">
        <color theme="9" tint="-0.499984740745262"/>
      </right>
      <top/>
      <bottom/>
      <diagonal/>
    </border>
    <border>
      <left/>
      <right/>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style="thin">
        <color theme="1"/>
      </left>
      <right style="thin">
        <color theme="1"/>
      </right>
      <top style="thin">
        <color theme="1"/>
      </top>
      <bottom style="thin">
        <color theme="1"/>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auto="1"/>
      </bottom>
      <diagonal/>
    </border>
    <border>
      <left style="thin">
        <color theme="0" tint="-0.34998626667073579"/>
      </left>
      <right style="thin">
        <color auto="1"/>
      </right>
      <top style="thin">
        <color theme="0" tint="-0.34998626667073579"/>
      </top>
      <bottom style="thin">
        <color auto="1"/>
      </bottom>
      <diagonal/>
    </border>
    <border>
      <left style="thin">
        <color indexed="64"/>
      </left>
      <right/>
      <top/>
      <bottom style="thin">
        <color theme="1"/>
      </bottom>
      <diagonal/>
    </border>
    <border>
      <left style="thin">
        <color auto="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499984740745262"/>
      </bottom>
      <diagonal/>
    </border>
    <border>
      <left style="thin">
        <color theme="0" tint="-0.499984740745262"/>
      </left>
      <right/>
      <top style="thin">
        <color theme="0" tint="-0.24994659260841701"/>
      </top>
      <bottom style="thin">
        <color theme="0" tint="-0.499984740745262"/>
      </bottom>
      <diagonal/>
    </border>
    <border>
      <left style="thin">
        <color theme="0" tint="-0.499984740745262"/>
      </left>
      <right style="thin">
        <color theme="1"/>
      </right>
      <top style="thin">
        <color theme="0" tint="-0.499984740745262"/>
      </top>
      <bottom style="thin">
        <color theme="0" tint="-0.14996795556505021"/>
      </bottom>
      <diagonal/>
    </border>
    <border>
      <left style="thin">
        <color theme="1"/>
      </left>
      <right style="thin">
        <color theme="1"/>
      </right>
      <top style="thin">
        <color theme="0" tint="-0.499984740745262"/>
      </top>
      <bottom style="thin">
        <color theme="0" tint="-0.14996795556505021"/>
      </bottom>
      <diagonal/>
    </border>
    <border>
      <left style="thin">
        <color theme="1"/>
      </left>
      <right/>
      <top style="thin">
        <color theme="0" tint="-0.499984740745262"/>
      </top>
      <bottom style="thin">
        <color theme="0" tint="-0.14996795556505021"/>
      </bottom>
      <diagonal/>
    </border>
    <border>
      <left style="thin">
        <color auto="1"/>
      </left>
      <right style="thin">
        <color theme="0" tint="-0.24994659260841701"/>
      </right>
      <top style="thin">
        <color theme="0" tint="-0.499984740745262"/>
      </top>
      <bottom style="thin">
        <color theme="0" tint="-0.14996795556505021"/>
      </bottom>
      <diagonal/>
    </border>
    <border>
      <left style="thin">
        <color theme="0" tint="-0.24994659260841701"/>
      </left>
      <right style="thin">
        <color indexed="64"/>
      </right>
      <top style="thin">
        <color theme="0" tint="-0.499984740745262"/>
      </top>
      <bottom style="thin">
        <color theme="0" tint="-0.14996795556505021"/>
      </bottom>
      <diagonal/>
    </border>
    <border>
      <left style="thin">
        <color theme="0" tint="-0.24994659260841701"/>
      </left>
      <right style="thin">
        <color theme="0" tint="-0.499984740745262"/>
      </right>
      <top style="thin">
        <color theme="0" tint="-0.499984740745262"/>
      </top>
      <bottom style="thin">
        <color theme="0" tint="-0.14996795556505021"/>
      </bottom>
      <diagonal/>
    </border>
    <border>
      <left style="thin">
        <color theme="0" tint="-0.499984740745262"/>
      </left>
      <right style="thin">
        <color theme="1"/>
      </right>
      <top style="thin">
        <color theme="0" tint="-0.14996795556505021"/>
      </top>
      <bottom style="thin">
        <color theme="0" tint="-0.14996795556505021"/>
      </bottom>
      <diagonal/>
    </border>
    <border>
      <left style="thin">
        <color theme="1"/>
      </left>
      <right style="thin">
        <color theme="1"/>
      </right>
      <top style="thin">
        <color theme="0" tint="-0.14996795556505021"/>
      </top>
      <bottom style="thin">
        <color theme="0" tint="-0.14996795556505021"/>
      </bottom>
      <diagonal/>
    </border>
    <border>
      <left style="thin">
        <color theme="1"/>
      </left>
      <right/>
      <top style="thin">
        <color theme="0" tint="-0.14996795556505021"/>
      </top>
      <bottom style="thin">
        <color theme="0" tint="-0.14996795556505021"/>
      </bottom>
      <diagonal/>
    </border>
    <border>
      <left style="thin">
        <color auto="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theme="0" tint="-0.24994659260841701"/>
      </left>
      <right style="thin">
        <color theme="0" tint="-0.499984740745262"/>
      </right>
      <top style="thin">
        <color theme="0" tint="-0.14996795556505021"/>
      </top>
      <bottom style="thin">
        <color theme="0" tint="-0.14996795556505021"/>
      </bottom>
      <diagonal/>
    </border>
    <border>
      <left style="thin">
        <color theme="0" tint="-0.499984740745262"/>
      </left>
      <right style="thin">
        <color theme="1"/>
      </right>
      <top style="thin">
        <color theme="0" tint="-0.14996795556505021"/>
      </top>
      <bottom style="thin">
        <color theme="0" tint="-0.499984740745262"/>
      </bottom>
      <diagonal/>
    </border>
    <border>
      <left style="thin">
        <color theme="1"/>
      </left>
      <right style="thin">
        <color theme="1"/>
      </right>
      <top style="thin">
        <color theme="0" tint="-0.14996795556505021"/>
      </top>
      <bottom style="thin">
        <color theme="0" tint="-0.499984740745262"/>
      </bottom>
      <diagonal/>
    </border>
    <border>
      <left style="thin">
        <color theme="1"/>
      </left>
      <right/>
      <top style="thin">
        <color theme="0" tint="-0.14996795556505021"/>
      </top>
      <bottom style="thin">
        <color theme="0" tint="-0.499984740745262"/>
      </bottom>
      <diagonal/>
    </border>
    <border>
      <left style="thin">
        <color auto="1"/>
      </left>
      <right style="thin">
        <color theme="0" tint="-0.24994659260841701"/>
      </right>
      <top style="thin">
        <color theme="0" tint="-0.14996795556505021"/>
      </top>
      <bottom style="thin">
        <color theme="0" tint="-0.499984740745262"/>
      </bottom>
      <diagonal/>
    </border>
    <border>
      <left style="thin">
        <color theme="0" tint="-0.24994659260841701"/>
      </left>
      <right style="thin">
        <color auto="1"/>
      </right>
      <top style="thin">
        <color theme="0" tint="-0.14996795556505021"/>
      </top>
      <bottom style="thin">
        <color theme="0" tint="-0.499984740745262"/>
      </bottom>
      <diagonal/>
    </border>
    <border>
      <left style="thin">
        <color theme="0" tint="-0.24994659260841701"/>
      </left>
      <right style="thin">
        <color theme="0" tint="-0.499984740745262"/>
      </right>
      <top style="thin">
        <color theme="0" tint="-0.14996795556505021"/>
      </top>
      <bottom style="thin">
        <color theme="0" tint="-0.499984740745262"/>
      </bottom>
      <diagonal/>
    </border>
    <border>
      <left style="thin">
        <color theme="1"/>
      </left>
      <right style="thin">
        <color theme="1"/>
      </right>
      <top/>
      <bottom style="thin">
        <color theme="0" tint="-0.14996795556505021"/>
      </bottom>
      <diagonal/>
    </border>
    <border>
      <left style="thin">
        <color theme="1"/>
      </left>
      <right/>
      <top/>
      <bottom style="thin">
        <color theme="0" tint="-0.14996795556505021"/>
      </bottom>
      <diagonal/>
    </border>
    <border>
      <left style="thin">
        <color auto="1"/>
      </left>
      <right style="thin">
        <color theme="0" tint="-0.24994659260841701"/>
      </right>
      <top/>
      <bottom style="thin">
        <color theme="0" tint="-0.14996795556505021"/>
      </bottom>
      <diagonal/>
    </border>
    <border>
      <left style="thin">
        <color theme="0" tint="-0.24994659260841701"/>
      </left>
      <right style="thin">
        <color indexed="64"/>
      </right>
      <top/>
      <bottom style="thin">
        <color theme="0" tint="-0.14996795556505021"/>
      </bottom>
      <diagonal/>
    </border>
    <border>
      <left style="thin">
        <color theme="1"/>
      </left>
      <right style="thin">
        <color theme="1"/>
      </right>
      <top style="thin">
        <color theme="0" tint="-0.14996795556505021"/>
      </top>
      <bottom style="thin">
        <color theme="1"/>
      </bottom>
      <diagonal/>
    </border>
    <border>
      <left style="thin">
        <color theme="1"/>
      </left>
      <right/>
      <top style="thin">
        <color theme="0" tint="-0.14996795556505021"/>
      </top>
      <bottom style="thin">
        <color theme="1"/>
      </bottom>
      <diagonal/>
    </border>
    <border>
      <left style="thin">
        <color theme="1"/>
      </left>
      <right style="thin">
        <color theme="1"/>
      </right>
      <top style="thin">
        <color theme="1"/>
      </top>
      <bottom style="thin">
        <color theme="0" tint="-0.14996795556505021"/>
      </bottom>
      <diagonal/>
    </border>
    <border>
      <left style="thin">
        <color theme="1"/>
      </left>
      <right/>
      <top style="thin">
        <color theme="1"/>
      </top>
      <bottom style="thin">
        <color theme="0" tint="-0.14996795556505021"/>
      </bottom>
      <diagonal/>
    </border>
    <border>
      <left style="thin">
        <color auto="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auto="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1" tint="0.14996795556505021"/>
      </top>
      <bottom style="thin">
        <color theme="0" tint="-0.14996795556505021"/>
      </bottom>
      <diagonal/>
    </border>
    <border>
      <left/>
      <right/>
      <top style="thin">
        <color theme="1" tint="0.14996795556505021"/>
      </top>
      <bottom style="thin">
        <color theme="0" tint="-0.14996795556505021"/>
      </bottom>
      <diagonal/>
    </border>
    <border>
      <left style="thin">
        <color theme="0" tint="-0.14996795556505021"/>
      </left>
      <right style="thin">
        <color theme="0" tint="-0.14996795556505021"/>
      </right>
      <top/>
      <bottom style="thin">
        <color theme="0" tint="-0.499984740745262"/>
      </bottom>
      <diagonal/>
    </border>
    <border>
      <left style="thin">
        <color theme="0" tint="-0.14996795556505021"/>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tint="-0.24994659260841701"/>
      </left>
      <right/>
      <top/>
      <bottom/>
      <diagonal/>
    </border>
    <border>
      <left style="thin">
        <color theme="0" tint="-0.499984740745262"/>
      </left>
      <right style="thin">
        <color theme="0" tint="-0.499984740745262"/>
      </right>
      <top style="thin">
        <color theme="0" tint="-0.14996795556505021"/>
      </top>
      <bottom/>
      <diagonal/>
    </border>
    <border>
      <left style="thin">
        <color indexed="64"/>
      </left>
      <right/>
      <top style="thin">
        <color theme="0" tint="-0.499984740745262"/>
      </top>
      <bottom style="thin">
        <color auto="1"/>
      </bottom>
      <diagonal/>
    </border>
    <border>
      <left style="thin">
        <color theme="0" tint="-0.24994659260841701"/>
      </left>
      <right style="thin">
        <color auto="1"/>
      </right>
      <top style="thin">
        <color theme="0" tint="-0.499984740745262"/>
      </top>
      <bottom style="thin">
        <color auto="1"/>
      </bottom>
      <diagonal/>
    </border>
    <border>
      <left style="thin">
        <color auto="1"/>
      </left>
      <right style="thin">
        <color auto="1"/>
      </right>
      <top style="thin">
        <color theme="0" tint="-0.34998626667073579"/>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theme="0" tint="-0.34998626667073579"/>
      </bottom>
      <diagonal/>
    </border>
    <border>
      <left style="thin">
        <color theme="0" tint="-0.24994659260841701"/>
      </left>
      <right style="thin">
        <color theme="1" tint="0.499984740745262"/>
      </right>
      <top style="thin">
        <color theme="0" tint="-0.499984740745262"/>
      </top>
      <bottom/>
      <diagonal/>
    </border>
    <border>
      <left style="thin">
        <color theme="0" tint="-0.14996795556505021"/>
      </left>
      <right style="thin">
        <color theme="0" tint="-0.14996795556505021"/>
      </right>
      <top style="thin">
        <color theme="0" tint="-0.499984740745262"/>
      </top>
      <bottom style="thin">
        <color theme="0" tint="-0.499984740745262"/>
      </bottom>
      <diagonal/>
    </border>
    <border>
      <left style="thin">
        <color theme="0" tint="-0.24994659260841701"/>
      </left>
      <right style="thin">
        <color theme="0" tint="-0.24994659260841701"/>
      </right>
      <top/>
      <bottom style="thin">
        <color theme="0" tint="-0.14996795556505021"/>
      </bottom>
      <diagonal/>
    </border>
    <border>
      <left/>
      <right/>
      <top/>
      <bottom style="thin">
        <color theme="0" tint="-0.14996795556505021"/>
      </bottom>
      <diagonal/>
    </border>
    <border>
      <left/>
      <right style="thin">
        <color theme="0" tint="-0.499984740745262"/>
      </right>
      <top/>
      <bottom style="thin">
        <color theme="0" tint="-0.24994659260841701"/>
      </bottom>
      <diagonal/>
    </border>
    <border>
      <left style="thin">
        <color theme="0" tint="-0.499984740745262"/>
      </left>
      <right/>
      <top/>
      <bottom style="thin">
        <color theme="0" tint="-0.24994659260841701"/>
      </bottom>
      <diagonal/>
    </border>
    <border>
      <left style="thin">
        <color theme="0" tint="-0.14996795556505021"/>
      </left>
      <right style="thin">
        <color theme="0" tint="-0.14996795556505021"/>
      </right>
      <top/>
      <bottom style="thin">
        <color theme="0" tint="-0.24994659260841701"/>
      </bottom>
      <diagonal/>
    </border>
    <border>
      <left style="thin">
        <color theme="0" tint="-0.14996795556505021"/>
      </left>
      <right style="thin">
        <color theme="1" tint="0.34998626667073579"/>
      </right>
      <top style="thin">
        <color theme="0" tint="-0.499984740745262"/>
      </top>
      <bottom style="thin">
        <color theme="0" tint="-0.14996795556505021"/>
      </bottom>
      <diagonal/>
    </border>
    <border>
      <left style="thin">
        <color theme="0" tint="-0.14996795556505021"/>
      </left>
      <right style="thin">
        <color theme="1" tint="0.34998626667073579"/>
      </right>
      <top style="thin">
        <color theme="0" tint="-0.14996795556505021"/>
      </top>
      <bottom style="thin">
        <color theme="0" tint="-0.14996795556505021"/>
      </bottom>
      <diagonal/>
    </border>
    <border>
      <left style="thin">
        <color theme="0" tint="-0.499984740745262"/>
      </left>
      <right/>
      <top style="thin">
        <color theme="0" tint="-0.24994659260841701"/>
      </top>
      <bottom/>
      <diagonal/>
    </border>
    <border>
      <left style="thin">
        <color theme="0" tint="-0.24994659260841701"/>
      </left>
      <right style="thin">
        <color theme="0" tint="-0.499984740745262"/>
      </right>
      <top style="thin">
        <color auto="1"/>
      </top>
      <bottom style="thin">
        <color theme="0" tint="-0.24994659260841701"/>
      </bottom>
      <diagonal/>
    </border>
    <border>
      <left style="thin">
        <color rgb="FFC00000"/>
      </left>
      <right style="thin">
        <color rgb="FFC00000"/>
      </right>
      <top/>
      <bottom style="thin">
        <color rgb="FFC00000"/>
      </bottom>
      <diagonal/>
    </border>
    <border>
      <left style="thin">
        <color rgb="FFC00000"/>
      </left>
      <right style="thin">
        <color theme="0" tint="-0.24994659260841701"/>
      </right>
      <top style="thin">
        <color indexed="64"/>
      </top>
      <bottom/>
      <diagonal/>
    </border>
    <border>
      <left style="thin">
        <color rgb="FFC00000"/>
      </left>
      <right/>
      <top/>
      <bottom style="thin">
        <color rgb="FFC00000"/>
      </bottom>
      <diagonal/>
    </border>
    <border>
      <left/>
      <right/>
      <top/>
      <bottom style="thin">
        <color rgb="FFC00000"/>
      </bottom>
      <diagonal/>
    </border>
    <border>
      <left/>
      <right style="thin">
        <color theme="1" tint="0.34998626667073579"/>
      </right>
      <top/>
      <bottom style="thin">
        <color rgb="FFC00000"/>
      </bottom>
      <diagonal/>
    </border>
    <border>
      <left/>
      <right style="thin">
        <color rgb="FFC00000"/>
      </right>
      <top/>
      <bottom style="thin">
        <color rgb="FFC00000"/>
      </bottom>
      <diagonal/>
    </border>
    <border>
      <left style="thin">
        <color theme="0" tint="-0.34998626667073579"/>
      </left>
      <right style="thin">
        <color theme="0" tint="-0.34998626667073579"/>
      </right>
      <top style="thin">
        <color theme="1" tint="0.499984740745262"/>
      </top>
      <bottom style="thin">
        <color theme="0" tint="-0.34998626667073579"/>
      </bottom>
      <diagonal/>
    </border>
    <border>
      <left style="thin">
        <color theme="0" tint="-0.34998626667073579"/>
      </left>
      <right style="thin">
        <color theme="1" tint="0.499984740745262"/>
      </right>
      <top style="thin">
        <color theme="1" tint="0.499984740745262"/>
      </top>
      <bottom style="thin">
        <color theme="0" tint="-0.34998626667073579"/>
      </bottom>
      <diagonal/>
    </border>
    <border>
      <left style="thin">
        <color theme="0" tint="-0.34998626667073579"/>
      </left>
      <right style="thin">
        <color theme="1"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1" tint="0.499984740745262"/>
      </bottom>
      <diagonal/>
    </border>
    <border>
      <left style="thin">
        <color theme="0" tint="-0.34998626667073579"/>
      </left>
      <right style="thin">
        <color theme="1" tint="0.499984740745262"/>
      </right>
      <top style="thin">
        <color theme="0" tint="-0.34998626667073579"/>
      </top>
      <bottom style="thin">
        <color theme="1" tint="0.499984740745262"/>
      </bottom>
      <diagonal/>
    </border>
    <border>
      <left/>
      <right style="thin">
        <color theme="0" tint="-0.24994659260841701"/>
      </right>
      <top style="thin">
        <color theme="0" tint="-0.499984740745262"/>
      </top>
      <bottom/>
      <diagonal/>
    </border>
    <border>
      <left style="thin">
        <color theme="0" tint="-0.14996795556505021"/>
      </left>
      <right style="thin">
        <color theme="0" tint="-0.14996795556505021"/>
      </right>
      <top style="thin">
        <color theme="0" tint="-0.24994659260841701"/>
      </top>
      <bottom/>
      <diagonal/>
    </border>
    <border>
      <left/>
      <right style="thin">
        <color theme="0" tint="-0.499984740745262"/>
      </right>
      <top/>
      <bottom style="thin">
        <color indexed="64"/>
      </bottom>
      <diagonal/>
    </border>
    <border>
      <left style="thin">
        <color theme="0" tint="-0.24994659260841701"/>
      </left>
      <right style="thin">
        <color theme="0" tint="-0.24994659260841701"/>
      </right>
      <top style="thin">
        <color auto="1"/>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right style="thin">
        <color auto="1"/>
      </right>
      <top style="thin">
        <color theme="0" tint="-0.14996795556505021"/>
      </top>
      <bottom style="thin">
        <color auto="1"/>
      </bottom>
      <diagonal/>
    </border>
    <border>
      <left style="thin">
        <color theme="0" tint="-0.34998626667073579"/>
      </left>
      <right style="thin">
        <color theme="0" tint="-0.34998626667073579"/>
      </right>
      <top/>
      <bottom/>
      <diagonal/>
    </border>
    <border>
      <left/>
      <right style="thin">
        <color indexed="64"/>
      </right>
      <top style="thin">
        <color indexed="64"/>
      </top>
      <bottom style="thin">
        <color theme="0" tint="-0.14996795556505021"/>
      </bottom>
      <diagonal/>
    </border>
    <border>
      <left style="thin">
        <color auto="1"/>
      </left>
      <right style="thin">
        <color indexed="64"/>
      </right>
      <top style="thin">
        <color theme="0" tint="-0.14996795556505021"/>
      </top>
      <bottom style="thin">
        <color indexed="64"/>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theme="0" tint="-0.14996795556505021"/>
      </left>
      <right/>
      <top style="thin">
        <color auto="1"/>
      </top>
      <bottom style="thin">
        <color theme="0" tint="-0.14996795556505021"/>
      </bottom>
      <diagonal/>
    </border>
    <border>
      <left style="thin">
        <color theme="1" tint="0.499984740745262"/>
      </left>
      <right/>
      <top style="thin">
        <color auto="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1" tint="0.499984740745262"/>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auto="1"/>
      </bottom>
      <diagonal/>
    </border>
    <border>
      <left style="thin">
        <color theme="1" tint="0.499984740745262"/>
      </left>
      <right style="thin">
        <color theme="1" tint="0.499984740745262"/>
      </right>
      <top style="thin">
        <color indexed="64"/>
      </top>
      <bottom/>
      <diagonal/>
    </border>
    <border>
      <left style="thin">
        <color theme="1"/>
      </left>
      <right/>
      <top/>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right/>
      <top style="thin">
        <color theme="1"/>
      </top>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style="thin">
        <color auto="1"/>
      </right>
      <top style="thin">
        <color theme="0" tint="-0.14996795556505021"/>
      </top>
      <bottom style="thin">
        <color auto="1"/>
      </bottom>
      <diagonal/>
    </border>
    <border>
      <left style="thin">
        <color theme="0" tint="-0.14996795556505021"/>
      </left>
      <right style="thin">
        <color theme="0" tint="-0.14996795556505021"/>
      </right>
      <top style="thin">
        <color auto="1"/>
      </top>
      <bottom style="thin">
        <color auto="1"/>
      </bottom>
      <diagonal/>
    </border>
    <border>
      <left/>
      <right style="thin">
        <color indexed="64"/>
      </right>
      <top/>
      <bottom style="thin">
        <color theme="0" tint="-0.14996795556505021"/>
      </bottom>
      <diagonal/>
    </border>
    <border>
      <left style="thin">
        <color auto="1"/>
      </left>
      <right style="thin">
        <color theme="0" tint="-0.24994659260841701"/>
      </right>
      <top style="thin">
        <color theme="0" tint="-0.14996795556505021"/>
      </top>
      <bottom style="thin">
        <color theme="1"/>
      </bottom>
      <diagonal/>
    </border>
    <border>
      <left style="thin">
        <color theme="0" tint="-0.24994659260841701"/>
      </left>
      <right style="thin">
        <color auto="1"/>
      </right>
      <top style="thin">
        <color theme="0" tint="-0.14996795556505021"/>
      </top>
      <bottom style="thin">
        <color theme="1"/>
      </bottom>
      <diagonal/>
    </border>
    <border>
      <left style="thin">
        <color theme="0" tint="-0.14996795556505021"/>
      </left>
      <right style="thin">
        <color theme="0" tint="-0.14996795556505021"/>
      </right>
      <top style="thin">
        <color theme="0" tint="-0.14996795556505021"/>
      </top>
      <bottom style="thin">
        <color theme="1"/>
      </bottom>
      <diagonal/>
    </border>
    <border>
      <left style="thin">
        <color auto="1"/>
      </left>
      <right style="thin">
        <color theme="0" tint="-0.24994659260841701"/>
      </right>
      <top style="thin">
        <color theme="1"/>
      </top>
      <bottom style="thin">
        <color theme="0" tint="-0.14996795556505021"/>
      </bottom>
      <diagonal/>
    </border>
    <border>
      <left style="thin">
        <color theme="0" tint="-0.24994659260841701"/>
      </left>
      <right style="thin">
        <color indexed="64"/>
      </right>
      <top style="thin">
        <color theme="1"/>
      </top>
      <bottom style="thin">
        <color theme="0" tint="-0.14996795556505021"/>
      </bottom>
      <diagonal/>
    </border>
    <border>
      <left style="thin">
        <color theme="1"/>
      </left>
      <right/>
      <top style="thin">
        <color theme="0" tint="-0.14996795556505021"/>
      </top>
      <bottom/>
      <diagonal/>
    </border>
    <border>
      <left style="thin">
        <color theme="0" tint="-0.14996795556505021"/>
      </left>
      <right style="thin">
        <color theme="0" tint="-0.14996795556505021"/>
      </right>
      <top style="thin">
        <color theme="1"/>
      </top>
      <bottom style="thin">
        <color theme="0" tint="-0.14996795556505021"/>
      </bottom>
      <diagonal/>
    </border>
    <border>
      <left style="thin">
        <color theme="0" tint="-0.499984740745262"/>
      </left>
      <right/>
      <top style="thin">
        <color theme="0" tint="-0.24994659260841701"/>
      </top>
      <bottom style="thin">
        <color theme="0" tint="-0.14996795556505021"/>
      </bottom>
      <diagonal/>
    </border>
    <border>
      <left/>
      <right style="thin">
        <color theme="0" tint="-0.499984740745262"/>
      </right>
      <top style="thin">
        <color theme="0" tint="-0.24994659260841701"/>
      </top>
      <bottom style="thin">
        <color theme="0" tint="-0.14996795556505021"/>
      </bottom>
      <diagonal/>
    </border>
    <border>
      <left style="thin">
        <color theme="0" tint="-0.14996795556505021"/>
      </left>
      <right style="thin">
        <color theme="1"/>
      </right>
      <top style="thin">
        <color theme="1"/>
      </top>
      <bottom style="thin">
        <color theme="0" tint="-0.14996795556505021"/>
      </bottom>
      <diagonal/>
    </border>
    <border>
      <left style="thin">
        <color theme="0" tint="-0.14996795556505021"/>
      </left>
      <right style="thin">
        <color theme="1"/>
      </right>
      <top style="thin">
        <color theme="0" tint="-0.14996795556505021"/>
      </top>
      <bottom style="thin">
        <color theme="1"/>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rgb="FFDADCE0"/>
      </bottom>
      <diagonal/>
    </border>
    <border>
      <left style="thin">
        <color theme="1"/>
      </left>
      <right style="thin">
        <color theme="1"/>
      </right>
      <top style="thin">
        <color rgb="FFDADCE0"/>
      </top>
      <bottom style="thin">
        <color rgb="FFDADCE0"/>
      </bottom>
      <diagonal/>
    </border>
    <border>
      <left style="thin">
        <color theme="1"/>
      </left>
      <right style="thin">
        <color theme="1"/>
      </right>
      <top style="thin">
        <color rgb="FFDADCE0"/>
      </top>
      <bottom style="thin">
        <color theme="1"/>
      </bottom>
      <diagonal/>
    </border>
    <border>
      <left style="thin">
        <color theme="1"/>
      </left>
      <right style="thin">
        <color rgb="FFDADCE0"/>
      </right>
      <top style="thin">
        <color theme="1"/>
      </top>
      <bottom style="thin">
        <color rgb="FFDADCE0"/>
      </bottom>
      <diagonal/>
    </border>
    <border>
      <left style="thin">
        <color rgb="FFDADCE0"/>
      </left>
      <right style="thin">
        <color theme="1"/>
      </right>
      <top style="thin">
        <color theme="1"/>
      </top>
      <bottom style="thin">
        <color rgb="FFDADCE0"/>
      </bottom>
      <diagonal/>
    </border>
    <border>
      <left style="thin">
        <color theme="1"/>
      </left>
      <right style="thin">
        <color rgb="FFDADCE0"/>
      </right>
      <top style="thin">
        <color rgb="FFDADCE0"/>
      </top>
      <bottom style="thin">
        <color rgb="FFDADCE0"/>
      </bottom>
      <diagonal/>
    </border>
    <border>
      <left style="thin">
        <color rgb="FFDADCE0"/>
      </left>
      <right style="thin">
        <color theme="1"/>
      </right>
      <top style="thin">
        <color rgb="FFDADCE0"/>
      </top>
      <bottom style="thin">
        <color rgb="FFDADCE0"/>
      </bottom>
      <diagonal/>
    </border>
    <border>
      <left style="thin">
        <color theme="1"/>
      </left>
      <right style="thin">
        <color rgb="FFDADCE0"/>
      </right>
      <top style="thin">
        <color rgb="FFDADCE0"/>
      </top>
      <bottom style="thin">
        <color theme="1"/>
      </bottom>
      <diagonal/>
    </border>
    <border>
      <left style="thin">
        <color rgb="FFDADCE0"/>
      </left>
      <right style="thin">
        <color theme="1"/>
      </right>
      <top style="thin">
        <color rgb="FFDADCE0"/>
      </top>
      <bottom style="thin">
        <color theme="1"/>
      </bottom>
      <diagonal/>
    </border>
    <border>
      <left style="thin">
        <color theme="0" tint="-0.499984740745262"/>
      </left>
      <right style="thin">
        <color theme="0" tint="-0.24994659260841701"/>
      </right>
      <top style="thin">
        <color auto="1"/>
      </top>
      <bottom style="thin">
        <color theme="0" tint="-0.24994659260841701"/>
      </bottom>
      <diagonal/>
    </border>
    <border>
      <left/>
      <right style="thin">
        <color theme="0" tint="-0.14996795556505021"/>
      </right>
      <top style="thin">
        <color theme="1"/>
      </top>
      <bottom style="thin">
        <color theme="0" tint="-0.14996795556505021"/>
      </bottom>
      <diagonal/>
    </border>
    <border>
      <left/>
      <right style="thin">
        <color theme="0" tint="-0.14996795556505021"/>
      </right>
      <top style="thin">
        <color theme="0" tint="-0.14996795556505021"/>
      </top>
      <bottom style="thin">
        <color theme="1"/>
      </bottom>
      <diagonal/>
    </border>
    <border>
      <left style="thin">
        <color theme="1"/>
      </left>
      <right style="thin">
        <color theme="1"/>
      </right>
      <top/>
      <bottom/>
      <diagonal/>
    </border>
    <border>
      <left style="thin">
        <color theme="1"/>
      </left>
      <right style="thin">
        <color auto="1"/>
      </right>
      <top style="thin">
        <color theme="0" tint="-0.24994659260841701"/>
      </top>
      <bottom style="thin">
        <color theme="0" tint="-0.24994659260841701"/>
      </bottom>
      <diagonal/>
    </border>
    <border>
      <left style="thin">
        <color theme="1"/>
      </left>
      <right style="thin">
        <color auto="1"/>
      </right>
      <top style="thin">
        <color theme="0" tint="-0.24994659260841701"/>
      </top>
      <bottom style="thin">
        <color theme="1"/>
      </bottom>
      <diagonal/>
    </border>
    <border>
      <left style="thin">
        <color theme="0" tint="-0.24994659260841701"/>
      </left>
      <right style="thin">
        <color auto="1"/>
      </right>
      <top style="thin">
        <color theme="0" tint="-0.24994659260841701"/>
      </top>
      <bottom style="thin">
        <color theme="1"/>
      </bottom>
      <diagonal/>
    </border>
    <border>
      <left style="thin">
        <color auto="1"/>
      </left>
      <right style="thin">
        <color auto="1"/>
      </right>
      <top style="thin">
        <color auto="1"/>
      </top>
      <bottom style="thin">
        <color auto="1"/>
      </bottom>
      <diagonal/>
    </border>
    <border>
      <left style="thin">
        <color theme="1"/>
      </left>
      <right style="thin">
        <color indexed="64"/>
      </right>
      <top/>
      <bottom style="thin">
        <color theme="0" tint="-0.24994659260841701"/>
      </bottom>
      <diagonal/>
    </border>
    <border>
      <left style="thin">
        <color theme="0" tint="-0.24994659260841701"/>
      </left>
      <right style="thin">
        <color theme="1"/>
      </right>
      <top/>
      <bottom style="thin">
        <color theme="0" tint="-0.24994659260841701"/>
      </bottom>
      <diagonal/>
    </border>
    <border>
      <left style="thin">
        <color theme="0" tint="-0.2499465926084170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auto="1"/>
      </left>
      <right style="thin">
        <color theme="0" tint="-0.14996795556505021"/>
      </right>
      <top style="thin">
        <color auto="1"/>
      </top>
      <bottom style="thin">
        <color auto="1"/>
      </bottom>
      <diagonal/>
    </border>
    <border>
      <left style="thin">
        <color theme="0" tint="-0.14996795556505021"/>
      </left>
      <right/>
      <top style="thin">
        <color theme="0" tint="-0.14996795556505021"/>
      </top>
      <bottom style="thin">
        <color theme="1"/>
      </bottom>
      <diagonal/>
    </border>
    <border>
      <left style="thin">
        <color theme="0" tint="-0.14996795556505021"/>
      </left>
      <right/>
      <top style="thin">
        <color theme="1"/>
      </top>
      <bottom style="thin">
        <color theme="0" tint="-0.1499679555650502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auto="1"/>
      </left>
      <right/>
      <top/>
      <bottom style="thin">
        <color theme="0" tint="-0.14996795556505021"/>
      </bottom>
      <diagonal/>
    </border>
    <border>
      <left/>
      <right style="thin">
        <color theme="0" tint="-0.14996795556505021"/>
      </right>
      <top/>
      <bottom style="thin">
        <color theme="0" tint="-0.14996795556505021"/>
      </bottom>
      <diagonal/>
    </border>
    <border>
      <left/>
      <right/>
      <top style="thin">
        <color theme="0" tint="-0.14996795556505021"/>
      </top>
      <bottom style="thin">
        <color theme="1"/>
      </bottom>
      <diagonal/>
    </border>
    <border>
      <left/>
      <right/>
      <top/>
      <bottom style="thin">
        <color theme="1"/>
      </bottom>
      <diagonal/>
    </border>
    <border>
      <left style="thin">
        <color auto="1"/>
      </left>
      <right style="thin">
        <color auto="1"/>
      </right>
      <top style="thin">
        <color auto="1"/>
      </top>
      <bottom style="thin">
        <color theme="1"/>
      </bottom>
      <diagonal/>
    </border>
    <border>
      <left style="thin">
        <color auto="1"/>
      </left>
      <right style="thin">
        <color auto="1"/>
      </right>
      <top style="thin">
        <color theme="1"/>
      </top>
      <bottom style="thin">
        <color auto="1"/>
      </bottom>
      <diagonal/>
    </border>
    <border>
      <left style="thin">
        <color auto="1"/>
      </left>
      <right/>
      <top style="thin">
        <color theme="0" tint="-0.499984740745262"/>
      </top>
      <bottom style="thin">
        <color theme="0" tint="-0.14996795556505021"/>
      </bottom>
      <diagonal/>
    </border>
    <border>
      <left style="thin">
        <color theme="0" tint="-0.14996795556505021"/>
      </left>
      <right style="thin">
        <color indexed="64"/>
      </right>
      <top style="thin">
        <color indexed="64"/>
      </top>
      <bottom style="thin">
        <color indexed="64"/>
      </bottom>
      <diagonal/>
    </border>
    <border>
      <left/>
      <right style="thin">
        <color auto="1"/>
      </right>
      <top style="thin">
        <color auto="1"/>
      </top>
      <bottom style="thin">
        <color theme="1"/>
      </bottom>
      <diagonal/>
    </border>
    <border>
      <left/>
      <right style="thin">
        <color theme="0" tint="-0.34998626667073579"/>
      </right>
      <top style="thin">
        <color theme="0" tint="-0.34998626667073579"/>
      </top>
      <bottom style="thin">
        <color auto="1"/>
      </bottom>
      <diagonal/>
    </border>
    <border>
      <left style="thin">
        <color theme="0" tint="-0.24994659260841701"/>
      </left>
      <right style="thin">
        <color theme="0" tint="-0.24994659260841701"/>
      </right>
      <top style="thin">
        <color theme="1"/>
      </top>
      <bottom style="thin">
        <color auto="1"/>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theme="1"/>
      </left>
      <right style="thin">
        <color indexed="64"/>
      </right>
      <top style="thin">
        <color indexed="64"/>
      </top>
      <bottom style="thin">
        <color theme="0" tint="-0.24994659260841701"/>
      </bottom>
      <diagonal/>
    </border>
    <border>
      <left style="thin">
        <color theme="1"/>
      </left>
      <right style="thin">
        <color indexed="64"/>
      </right>
      <top style="thin">
        <color theme="0" tint="-0.24994659260841701"/>
      </top>
      <bottom style="thin">
        <color indexed="64"/>
      </bottom>
      <diagonal/>
    </border>
    <border>
      <left style="thin">
        <color theme="1"/>
      </left>
      <right style="thin">
        <color theme="1"/>
      </right>
      <top/>
      <bottom style="thin">
        <color indexed="64"/>
      </bottom>
      <diagonal/>
    </border>
    <border>
      <left style="thin">
        <color theme="0" tint="-0.24994659260841701"/>
      </left>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1" tint="0.499984740745262"/>
      </top>
      <bottom style="thin">
        <color theme="0" tint="-0.14996795556505021"/>
      </bottom>
      <diagonal/>
    </border>
    <border>
      <left style="thin">
        <color theme="0" tint="-0.24994659260841701"/>
      </left>
      <right/>
      <top style="thin">
        <color theme="1" tint="0.499984740745262"/>
      </top>
      <bottom style="thin">
        <color theme="0" tint="-0.14996795556505021"/>
      </bottom>
      <diagonal/>
    </border>
    <border>
      <left/>
      <right/>
      <top style="thin">
        <color theme="1" tint="0.499984740745262"/>
      </top>
      <bottom style="thin">
        <color theme="0" tint="-0.14996795556505021"/>
      </bottom>
      <diagonal/>
    </border>
    <border>
      <left/>
      <right style="thin">
        <color theme="1" tint="0.499984740745262"/>
      </right>
      <top style="thin">
        <color theme="1" tint="0.499984740745262"/>
      </top>
      <bottom style="thin">
        <color theme="0" tint="-0.14996795556505021"/>
      </bottom>
      <diagonal/>
    </border>
    <border>
      <left/>
      <right style="thin">
        <color theme="1" tint="0.499984740745262"/>
      </right>
      <top style="thin">
        <color theme="0" tint="-0.14996795556505021"/>
      </top>
      <bottom style="thin">
        <color theme="0" tint="-0.14996795556505021"/>
      </bottom>
      <diagonal/>
    </border>
    <border>
      <left style="thin">
        <color theme="0" tint="-0.14996795556505021"/>
      </left>
      <right style="thin">
        <color theme="0" tint="-0.24994659260841701"/>
      </right>
      <top style="thin">
        <color theme="0" tint="-0.14996795556505021"/>
      </top>
      <bottom style="thin">
        <color theme="1" tint="0.499984740745262"/>
      </bottom>
      <diagonal/>
    </border>
    <border>
      <left style="thin">
        <color theme="0" tint="-0.24994659260841701"/>
      </left>
      <right/>
      <top style="thin">
        <color theme="0" tint="-0.14996795556505021"/>
      </top>
      <bottom style="thin">
        <color theme="1" tint="0.499984740745262"/>
      </bottom>
      <diagonal/>
    </border>
    <border>
      <left/>
      <right style="thin">
        <color theme="0" tint="-0.14996795556505021"/>
      </right>
      <top style="thin">
        <color theme="0" tint="-0.14996795556505021"/>
      </top>
      <bottom style="thin">
        <color theme="1" tint="0.499984740745262"/>
      </bottom>
      <diagonal/>
    </border>
    <border>
      <left/>
      <right/>
      <top style="thin">
        <color theme="0" tint="-0.14996795556505021"/>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0" tint="-0.14996795556505021"/>
      </bottom>
      <diagonal/>
    </border>
    <border>
      <left style="thin">
        <color theme="0" tint="-0.499984740745262"/>
      </left>
      <right style="thin">
        <color theme="1" tint="0.499984740745262"/>
      </right>
      <top style="thin">
        <color theme="1" tint="0.499984740745262"/>
      </top>
      <bottom/>
      <diagonal/>
    </border>
    <border>
      <left style="thin">
        <color theme="1" tint="0.499984740745262"/>
      </left>
      <right/>
      <top style="thin">
        <color theme="0" tint="-0.14996795556505021"/>
      </top>
      <bottom style="thin">
        <color theme="1" tint="0.499984740745262"/>
      </bottom>
      <diagonal/>
    </border>
    <border>
      <left style="thin">
        <color theme="0" tint="-0.24994659260841701"/>
      </left>
      <right style="thin">
        <color theme="0" tint="-0.499984740745262"/>
      </right>
      <top style="thin">
        <color theme="0" tint="-0.24994659260841701"/>
      </top>
      <bottom style="thin">
        <color theme="1" tint="0.499984740745262"/>
      </bottom>
      <diagonal/>
    </border>
    <border>
      <left style="thin">
        <color theme="0" tint="-0.499984740745262"/>
      </left>
      <right style="thin">
        <color theme="0" tint="-0.499984740745262"/>
      </right>
      <top style="thin">
        <color theme="0" tint="-0.14996795556505021"/>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top/>
      <bottom style="thin">
        <color theme="0" tint="-0.14996795556505021"/>
      </bottom>
      <diagonal/>
    </border>
    <border>
      <left/>
      <right style="thin">
        <color auto="1"/>
      </right>
      <top style="thin">
        <color theme="0" tint="-0.14996795556505021"/>
      </top>
      <bottom style="thin">
        <color theme="1" tint="0.499984740745262"/>
      </bottom>
      <diagonal/>
    </border>
    <border>
      <left/>
      <right style="thin">
        <color theme="1" tint="0.499984740745262"/>
      </right>
      <top style="thin">
        <color theme="0" tint="-0.14996795556505021"/>
      </top>
      <bottom style="thin">
        <color theme="1" tint="0.499984740745262"/>
      </bottom>
      <diagonal/>
    </border>
    <border>
      <left style="thin">
        <color auto="1"/>
      </left>
      <right/>
      <top/>
      <bottom style="thin">
        <color theme="1" tint="0.34998626667073579"/>
      </bottom>
      <diagonal/>
    </border>
    <border>
      <left/>
      <right style="thin">
        <color theme="0" tint="-0.499984740745262"/>
      </right>
      <top/>
      <bottom style="thin">
        <color theme="1" tint="0.34998626667073579"/>
      </bottom>
      <diagonal/>
    </border>
    <border>
      <left/>
      <right style="thin">
        <color theme="0" tint="-0.24994659260841701"/>
      </right>
      <top style="thin">
        <color theme="0" tint="-0.24994659260841701"/>
      </top>
      <bottom style="thin">
        <color theme="1" tint="0.34998626667073579"/>
      </bottom>
      <diagonal/>
    </border>
    <border>
      <left/>
      <right style="thin">
        <color theme="1"/>
      </right>
      <top style="thin">
        <color theme="1"/>
      </top>
      <bottom style="thin">
        <color theme="1" tint="0.34998626667073579"/>
      </bottom>
      <diagonal/>
    </border>
    <border>
      <left style="thin">
        <color theme="0" tint="-0.24994659260841701"/>
      </left>
      <right style="thin">
        <color theme="1" tint="0.34998626667073579"/>
      </right>
      <top style="thin">
        <color indexed="64"/>
      </top>
      <bottom style="thin">
        <color indexed="64"/>
      </bottom>
      <diagonal/>
    </border>
    <border>
      <left style="thin">
        <color theme="0" tint="-0.499984740745262"/>
      </left>
      <right/>
      <top/>
      <bottom style="thin">
        <color theme="1" tint="0.499984740745262"/>
      </bottom>
      <diagonal/>
    </border>
    <border>
      <left/>
      <right style="thin">
        <color theme="0" tint="-0.499984740745262"/>
      </right>
      <top/>
      <bottom style="thin">
        <color theme="0" tint="-0.14996795556505021"/>
      </bottom>
      <diagonal/>
    </border>
    <border>
      <left style="thin">
        <color theme="1" tint="0.499984740745262"/>
      </left>
      <right style="thin">
        <color theme="1" tint="0.499984740745262"/>
      </right>
      <top style="thin">
        <color theme="1" tint="0.499984740745262"/>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1" tint="0.499984740745262"/>
      </bottom>
      <diagonal/>
    </border>
    <border>
      <left/>
      <right/>
      <top style="thin">
        <color theme="1" tint="0.499984740745262"/>
      </top>
      <bottom style="thin">
        <color theme="1" tint="0.499984740745262"/>
      </bottom>
      <diagonal/>
    </border>
    <border>
      <left style="thin">
        <color theme="0" tint="-0.24994659260841701"/>
      </left>
      <right style="thin">
        <color theme="1" tint="0.499984740745262"/>
      </right>
      <top style="thin">
        <color theme="0" tint="-0.14996795556505021"/>
      </top>
      <bottom style="thin">
        <color theme="1" tint="0.499984740745262"/>
      </bottom>
      <diagonal/>
    </border>
    <border>
      <left style="thin">
        <color theme="0" tint="-0.24994659260841701"/>
      </left>
      <right style="thin">
        <color theme="0" tint="-0.24994659260841701"/>
      </right>
      <top style="thin">
        <color theme="0" tint="-0.14996795556505021"/>
      </top>
      <bottom style="thin">
        <color theme="1" tint="0.499984740745262"/>
      </bottom>
      <diagonal/>
    </border>
    <border>
      <left style="thin">
        <color theme="1" tint="0.499984740745262"/>
      </left>
      <right style="thin">
        <color theme="1" tint="0.499984740745262"/>
      </right>
      <top style="thin">
        <color theme="1" tint="0.499984740745262"/>
      </top>
      <bottom style="thin">
        <color theme="0" tint="-0.24994659260841701"/>
      </bottom>
      <diagonal/>
    </border>
    <border>
      <left style="thin">
        <color theme="1" tint="0.499984740745262"/>
      </left>
      <right style="thin">
        <color theme="1" tint="0.499984740745262"/>
      </right>
      <top style="thin">
        <color theme="0" tint="-0.24994659260841701"/>
      </top>
      <bottom style="thin">
        <color theme="0" tint="-0.24994659260841701"/>
      </bottom>
      <diagonal/>
    </border>
    <border>
      <left style="thin">
        <color theme="1" tint="0.499984740745262"/>
      </left>
      <right style="thin">
        <color theme="1" tint="0.499984740745262"/>
      </right>
      <top style="thin">
        <color theme="0" tint="-0.24994659260841701"/>
      </top>
      <bottom style="thin">
        <color theme="0" tint="-0.14996795556505021"/>
      </bottom>
      <diagonal/>
    </border>
    <border>
      <left/>
      <right style="thin">
        <color theme="1" tint="0.499984740745262"/>
      </right>
      <top/>
      <bottom style="thin">
        <color theme="0" tint="-0.24994659260841701"/>
      </bottom>
      <diagonal/>
    </border>
    <border>
      <left/>
      <right style="thin">
        <color theme="1" tint="0.499984740745262"/>
      </right>
      <top/>
      <bottom style="thin">
        <color indexed="64"/>
      </bottom>
      <diagonal/>
    </border>
    <border>
      <left style="thin">
        <color theme="1" tint="0.34998626667073579"/>
      </left>
      <right style="thin">
        <color theme="0" tint="-0.14996795556505021"/>
      </right>
      <top style="thin">
        <color theme="0" tint="-0.14996795556505021"/>
      </top>
      <bottom style="thin">
        <color theme="0" tint="-0.14996795556505021"/>
      </bottom>
      <diagonal/>
    </border>
    <border>
      <left style="thin">
        <color theme="1" tint="0.34998626667073579"/>
      </left>
      <right style="thin">
        <color theme="0" tint="-0.14996795556505021"/>
      </right>
      <top style="thin">
        <color theme="0" tint="-0.14996795556505021"/>
      </top>
      <bottom style="thin">
        <color theme="1" tint="0.34998626667073579"/>
      </bottom>
      <diagonal/>
    </border>
    <border>
      <left style="thin">
        <color theme="0" tint="-0.14996795556505021"/>
      </left>
      <right style="thin">
        <color theme="0" tint="-0.14996795556505021"/>
      </right>
      <top style="thin">
        <color theme="0" tint="-0.14996795556505021"/>
      </top>
      <bottom style="thin">
        <color theme="1" tint="0.34998626667073579"/>
      </bottom>
      <diagonal/>
    </border>
    <border>
      <left style="thin">
        <color theme="0" tint="-0.14996795556505021"/>
      </left>
      <right style="thin">
        <color theme="1" tint="0.34998626667073579"/>
      </right>
      <top style="thin">
        <color theme="0" tint="-0.14996795556505021"/>
      </top>
      <bottom style="thin">
        <color theme="1" tint="0.34998626667073579"/>
      </bottom>
      <diagonal/>
    </border>
    <border>
      <left style="thin">
        <color theme="1" tint="0.24994659260841701"/>
      </left>
      <right style="thin">
        <color theme="0" tint="-0.34998626667073579"/>
      </right>
      <top style="thin">
        <color theme="1" tint="0.24994659260841701"/>
      </top>
      <bottom style="thin">
        <color theme="0" tint="-0.34998626667073579"/>
      </bottom>
      <diagonal/>
    </border>
    <border>
      <left style="thin">
        <color theme="0" tint="-0.34998626667073579"/>
      </left>
      <right style="thin">
        <color theme="0" tint="-0.34998626667073579"/>
      </right>
      <top style="thin">
        <color theme="1" tint="0.24994659260841701"/>
      </top>
      <bottom style="thin">
        <color theme="0" tint="-0.34998626667073579"/>
      </bottom>
      <diagonal/>
    </border>
    <border>
      <left style="thin">
        <color theme="0" tint="-0.34998626667073579"/>
      </left>
      <right style="thin">
        <color theme="1" tint="0.24994659260841701"/>
      </right>
      <top style="thin">
        <color theme="1" tint="0.24994659260841701"/>
      </top>
      <bottom style="thin">
        <color theme="0" tint="-0.34998626667073579"/>
      </bottom>
      <diagonal/>
    </border>
    <border>
      <left style="thin">
        <color theme="1"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1" tint="0.24994659260841701"/>
      </right>
      <top style="thin">
        <color theme="0" tint="-0.34998626667073579"/>
      </top>
      <bottom style="thin">
        <color theme="0" tint="-0.34998626667073579"/>
      </bottom>
      <diagonal/>
    </border>
    <border>
      <left style="thin">
        <color theme="1" tint="0.24994659260841701"/>
      </left>
      <right style="thin">
        <color theme="0" tint="-0.34998626667073579"/>
      </right>
      <top style="thin">
        <color theme="0" tint="-0.34998626667073579"/>
      </top>
      <bottom style="thin">
        <color theme="1" tint="0.24994659260841701"/>
      </bottom>
      <diagonal/>
    </border>
    <border>
      <left style="thin">
        <color theme="0" tint="-0.34998626667073579"/>
      </left>
      <right style="thin">
        <color theme="0" tint="-0.34998626667073579"/>
      </right>
      <top style="thin">
        <color theme="0" tint="-0.34998626667073579"/>
      </top>
      <bottom style="thin">
        <color theme="1" tint="0.24994659260841701"/>
      </bottom>
      <diagonal/>
    </border>
    <border>
      <left style="thin">
        <color theme="0" tint="-0.34998626667073579"/>
      </left>
      <right style="thin">
        <color theme="1" tint="0.24994659260841701"/>
      </right>
      <top style="thin">
        <color theme="0" tint="-0.34998626667073579"/>
      </top>
      <bottom style="thin">
        <color theme="1" tint="0.24994659260841701"/>
      </bottom>
      <diagonal/>
    </border>
    <border>
      <left style="thin">
        <color theme="1" tint="0.34998626667073579"/>
      </left>
      <right style="thin">
        <color theme="0" tint="-0.14996795556505021"/>
      </right>
      <top/>
      <bottom style="thin">
        <color theme="0" tint="-0.14996795556505021"/>
      </bottom>
      <diagonal/>
    </border>
    <border>
      <left style="thin">
        <color theme="0" tint="-0.14996795556505021"/>
      </left>
      <right style="thin">
        <color theme="1" tint="0.34998626667073579"/>
      </right>
      <top style="thin">
        <color theme="0" tint="-0.24994659260841701"/>
      </top>
      <bottom style="thin">
        <color theme="0" tint="-0.24994659260841701"/>
      </bottom>
      <diagonal/>
    </border>
    <border>
      <left/>
      <right/>
      <top style="thin">
        <color theme="1" tint="0.499984740745262"/>
      </top>
      <bottom/>
      <diagonal/>
    </border>
    <border>
      <left style="thin">
        <color theme="1" tint="0.34998626667073579"/>
      </left>
      <right style="thin">
        <color theme="1" tint="0.34998626667073579"/>
      </right>
      <top style="thin">
        <color theme="1" tint="0.34998626667073579"/>
      </top>
      <bottom style="thin">
        <color theme="0" tint="-0.24994659260841701"/>
      </bottom>
      <diagonal/>
    </border>
    <border>
      <left style="thin">
        <color theme="1" tint="0.34998626667073579"/>
      </left>
      <right style="thin">
        <color theme="1" tint="0.34998626667073579"/>
      </right>
      <top style="thin">
        <color theme="0" tint="-0.24994659260841701"/>
      </top>
      <bottom style="thin">
        <color theme="0" tint="-0.24994659260841701"/>
      </bottom>
      <diagonal/>
    </border>
    <border>
      <left style="thin">
        <color theme="1" tint="0.34998626667073579"/>
      </left>
      <right style="thin">
        <color theme="1" tint="0.34998626667073579"/>
      </right>
      <top style="thin">
        <color auto="1"/>
      </top>
      <bottom style="thin">
        <color theme="0" tint="-0.24994659260841701"/>
      </bottom>
      <diagonal/>
    </border>
    <border>
      <left style="thin">
        <color theme="1" tint="0.34998626667073579"/>
      </left>
      <right style="thin">
        <color theme="1" tint="0.34998626667073579"/>
      </right>
      <top style="thin">
        <color theme="0" tint="-0.24994659260841701"/>
      </top>
      <bottom/>
      <diagonal/>
    </border>
    <border>
      <left style="thin">
        <color theme="1" tint="0.34998626667073579"/>
      </left>
      <right style="thin">
        <color theme="1" tint="0.34998626667073579"/>
      </right>
      <top style="thin">
        <color theme="0" tint="-0.499984740745262"/>
      </top>
      <bottom style="thin">
        <color theme="0" tint="-0.24994659260841701"/>
      </bottom>
      <diagonal/>
    </border>
    <border>
      <left style="thin">
        <color theme="1" tint="0.34998626667073579"/>
      </left>
      <right style="thin">
        <color theme="1" tint="0.34998626667073579"/>
      </right>
      <top style="thin">
        <color theme="0" tint="-0.499984740745262"/>
      </top>
      <bottom/>
      <diagonal/>
    </border>
    <border>
      <left style="thin">
        <color theme="1" tint="0.34998626667073579"/>
      </left>
      <right style="thin">
        <color theme="1" tint="0.34998626667073579"/>
      </right>
      <top/>
      <bottom style="thin">
        <color indexed="64"/>
      </bottom>
      <diagonal/>
    </border>
    <border>
      <left style="thin">
        <color theme="1" tint="0.34998626667073579"/>
      </left>
      <right style="thin">
        <color theme="1" tint="0.34998626667073579"/>
      </right>
      <top style="thin">
        <color theme="0" tint="-0.24994659260841701"/>
      </top>
      <bottom style="thin">
        <color auto="1"/>
      </bottom>
      <diagonal/>
    </border>
    <border>
      <left style="thin">
        <color theme="1" tint="0.34998626667073579"/>
      </left>
      <right style="thin">
        <color theme="1" tint="0.34998626667073579"/>
      </right>
      <top/>
      <bottom style="thin">
        <color theme="0" tint="-0.24994659260841701"/>
      </bottom>
      <diagonal/>
    </border>
    <border>
      <left style="thin">
        <color theme="1" tint="0.34998626667073579"/>
      </left>
      <right style="thin">
        <color theme="1" tint="0.34998626667073579"/>
      </right>
      <top style="thin">
        <color indexed="64"/>
      </top>
      <bottom/>
      <diagonal/>
    </border>
    <border>
      <left style="thin">
        <color theme="1" tint="0.34998626667073579"/>
      </left>
      <right style="thin">
        <color theme="1" tint="0.34998626667073579"/>
      </right>
      <top style="thin">
        <color auto="1"/>
      </top>
      <bottom style="thin">
        <color auto="1"/>
      </bottom>
      <diagonal/>
    </border>
    <border>
      <left style="thin">
        <color theme="1" tint="0.34998626667073579"/>
      </left>
      <right style="thin">
        <color theme="1" tint="0.34998626667073579"/>
      </right>
      <top style="thin">
        <color theme="0" tint="-0.24994659260841701"/>
      </top>
      <bottom style="thin">
        <color theme="1" tint="0.34998626667073579"/>
      </bottom>
      <diagonal/>
    </border>
    <border>
      <left style="thin">
        <color theme="1" tint="0.34998626667073579"/>
      </left>
      <right style="thin">
        <color theme="1" tint="0.34998626667073579"/>
      </right>
      <top style="thin">
        <color theme="0" tint="-0.24994659260841701"/>
      </top>
      <bottom style="thin">
        <color theme="0" tint="-0.499984740745262"/>
      </bottom>
      <diagonal/>
    </border>
    <border>
      <left style="thin">
        <color theme="0" tint="-0.14996795556505021"/>
      </left>
      <right/>
      <top/>
      <bottom style="thin">
        <color theme="0" tint="-0.14996795556505021"/>
      </bottom>
      <diagonal/>
    </border>
    <border>
      <left style="thin">
        <color theme="0" tint="-0.14996795556505021"/>
      </left>
      <right/>
      <top style="thin">
        <color theme="0" tint="-0.14996795556505021"/>
      </top>
      <bottom style="thin">
        <color theme="0" tint="-0.499984740745262"/>
      </bottom>
      <diagonal/>
    </border>
    <border>
      <left style="thin">
        <color theme="0" tint="-0.14996795556505021"/>
      </left>
      <right/>
      <top style="thin">
        <color theme="0" tint="-0.14996795556505021"/>
      </top>
      <bottom/>
      <diagonal/>
    </border>
    <border>
      <left style="thin">
        <color theme="1" tint="0.499984740745262"/>
      </left>
      <right style="thin">
        <color theme="0" tint="-0.24994659260841701"/>
      </right>
      <top style="thin">
        <color auto="1"/>
      </top>
      <bottom style="thin">
        <color theme="0" tint="-0.14996795556505021"/>
      </bottom>
      <diagonal/>
    </border>
    <border>
      <left style="thin">
        <color theme="1" tint="0.499984740745262"/>
      </left>
      <right style="thin">
        <color theme="0" tint="-0.24994659260841701"/>
      </right>
      <top style="thin">
        <color theme="0" tint="-0.14996795556505021"/>
      </top>
      <bottom style="thin">
        <color theme="0" tint="-0.14996795556505021"/>
      </bottom>
      <diagonal/>
    </border>
    <border>
      <left style="thin">
        <color theme="1" tint="0.499984740745262"/>
      </left>
      <right style="thin">
        <color indexed="64"/>
      </right>
      <top style="thin">
        <color indexed="64"/>
      </top>
      <bottom/>
      <diagonal/>
    </border>
    <border>
      <left style="thin">
        <color theme="0" tint="-0.14996795556505021"/>
      </left>
      <right/>
      <top/>
      <bottom style="thin">
        <color theme="0" tint="-0.499984740745262"/>
      </bottom>
      <diagonal/>
    </border>
    <border>
      <left style="thin">
        <color theme="1" tint="0.499984740745262"/>
      </left>
      <right/>
      <top style="thin">
        <color theme="0" tint="-0.14996795556505021"/>
      </top>
      <bottom/>
      <diagonal/>
    </border>
    <border>
      <left/>
      <right style="thin">
        <color theme="0" tint="-0.14993743705557422"/>
      </right>
      <top style="thin">
        <color theme="0" tint="-0.499984740745262"/>
      </top>
      <bottom/>
      <diagonal/>
    </border>
    <border>
      <left/>
      <right style="thin">
        <color theme="0" tint="-0.14993743705557422"/>
      </right>
      <top/>
      <bottom style="thin">
        <color theme="0" tint="-0.499984740745262"/>
      </bottom>
      <diagonal/>
    </border>
    <border>
      <left style="thin">
        <color theme="1" tint="0.34998626667073579"/>
      </left>
      <right/>
      <top/>
      <bottom style="thin">
        <color theme="0" tint="-0.24994659260841701"/>
      </bottom>
      <diagonal/>
    </border>
    <border>
      <left style="thin">
        <color theme="1" tint="0.34998626667073579"/>
      </left>
      <right/>
      <top style="thin">
        <color theme="0" tint="-0.24994659260841701"/>
      </top>
      <bottom style="thin">
        <color theme="0" tint="-0.24994659260841701"/>
      </bottom>
      <diagonal/>
    </border>
    <border>
      <left/>
      <right style="thin">
        <color theme="1" tint="0.34998626667073579"/>
      </right>
      <top style="thin">
        <color theme="0" tint="-0.24994659260841701"/>
      </top>
      <bottom style="thin">
        <color theme="0" tint="-0.24994659260841701"/>
      </bottom>
      <diagonal/>
    </border>
    <border>
      <left style="thin">
        <color theme="1" tint="0.34998626667073579"/>
      </left>
      <right/>
      <top style="thin">
        <color theme="0" tint="-0.499984740745262"/>
      </top>
      <bottom style="thin">
        <color theme="0" tint="-0.24994659260841701"/>
      </bottom>
      <diagonal/>
    </border>
    <border>
      <left/>
      <right style="thin">
        <color theme="1" tint="0.34998626667073579"/>
      </right>
      <top style="thin">
        <color theme="0" tint="-0.499984740745262"/>
      </top>
      <bottom style="thin">
        <color theme="0" tint="-0.24994659260841701"/>
      </bottom>
      <diagonal/>
    </border>
    <border>
      <left style="thin">
        <color theme="1" tint="0.34998626667073579"/>
      </left>
      <right/>
      <top/>
      <bottom style="thin">
        <color theme="0" tint="-0.499984740745262"/>
      </bottom>
      <diagonal/>
    </border>
    <border>
      <left/>
      <right style="thin">
        <color theme="1" tint="0.34998626667073579"/>
      </right>
      <top/>
      <bottom style="thin">
        <color theme="0" tint="-0.499984740745262"/>
      </bottom>
      <diagonal/>
    </border>
    <border>
      <left style="thin">
        <color theme="1" tint="0.34998626667073579"/>
      </left>
      <right/>
      <top style="thin">
        <color theme="0" tint="-0.24994659260841701"/>
      </top>
      <bottom style="thin">
        <color theme="0" tint="-0.499984740745262"/>
      </bottom>
      <diagonal/>
    </border>
    <border>
      <left/>
      <right style="thin">
        <color theme="1" tint="0.34998626667073579"/>
      </right>
      <top style="thin">
        <color theme="0" tint="-0.24994659260841701"/>
      </top>
      <bottom style="thin">
        <color theme="0" tint="-0.499984740745262"/>
      </bottom>
      <diagonal/>
    </border>
    <border>
      <left style="thin">
        <color theme="1" tint="0.34998626667073579"/>
      </left>
      <right/>
      <top style="thin">
        <color theme="0" tint="-0.499984740745262"/>
      </top>
      <bottom style="thin">
        <color theme="0" tint="-0.499984740745262"/>
      </bottom>
      <diagonal/>
    </border>
    <border>
      <left/>
      <right style="thin">
        <color theme="1" tint="0.34998626667073579"/>
      </right>
      <top style="thin">
        <color theme="0" tint="-0.499984740745262"/>
      </top>
      <bottom style="thin">
        <color theme="0" tint="-0.499984740745262"/>
      </bottom>
      <diagonal/>
    </border>
    <border>
      <left style="thin">
        <color theme="1" tint="0.34998626667073579"/>
      </left>
      <right/>
      <top style="thin">
        <color theme="0" tint="-0.24994659260841701"/>
      </top>
      <bottom style="thin">
        <color theme="1" tint="0.34998626667073579"/>
      </bottom>
      <diagonal/>
    </border>
    <border>
      <left style="thin">
        <color theme="0" tint="-0.14996795556505021"/>
      </left>
      <right style="thin">
        <color theme="0" tint="-0.14996795556505021"/>
      </right>
      <top style="thin">
        <color theme="0" tint="-0.24994659260841701"/>
      </top>
      <bottom style="thin">
        <color theme="1" tint="0.34998626667073579"/>
      </bottom>
      <diagonal/>
    </border>
    <border>
      <left/>
      <right style="thin">
        <color theme="1" tint="0.34998626667073579"/>
      </right>
      <top style="thin">
        <color theme="0" tint="-0.24994659260841701"/>
      </top>
      <bottom style="thin">
        <color theme="1" tint="0.34998626667073579"/>
      </bottom>
      <diagonal/>
    </border>
    <border>
      <left style="thin">
        <color theme="0" tint="-0.14996795556505021"/>
      </left>
      <right style="thin">
        <color theme="1" tint="0.34998626667073579"/>
      </right>
      <top/>
      <bottom style="thin">
        <color theme="0" tint="-0.24994659260841701"/>
      </bottom>
      <diagonal/>
    </border>
    <border>
      <left style="thin">
        <color theme="0" tint="-0.14996795556505021"/>
      </left>
      <right style="thin">
        <color theme="1" tint="0.34998626667073579"/>
      </right>
      <top style="thin">
        <color theme="0" tint="-0.499984740745262"/>
      </top>
      <bottom style="thin">
        <color theme="0" tint="-0.24994659260841701"/>
      </bottom>
      <diagonal/>
    </border>
    <border>
      <left style="thin">
        <color theme="0" tint="-0.14996795556505021"/>
      </left>
      <right style="thin">
        <color theme="1" tint="0.34998626667073579"/>
      </right>
      <top style="thin">
        <color theme="0" tint="-0.24994659260841701"/>
      </top>
      <bottom style="thin">
        <color theme="0" tint="-0.499984740745262"/>
      </bottom>
      <diagonal/>
    </border>
    <border>
      <left style="thin">
        <color theme="0" tint="-0.14996795556505021"/>
      </left>
      <right style="thin">
        <color theme="1" tint="0.34998626667073579"/>
      </right>
      <top style="thin">
        <color theme="0" tint="-0.499984740745262"/>
      </top>
      <bottom style="thin">
        <color theme="0" tint="-0.499984740745262"/>
      </bottom>
      <diagonal/>
    </border>
    <border>
      <left style="thin">
        <color theme="0" tint="-0.14996795556505021"/>
      </left>
      <right style="thin">
        <color theme="1" tint="0.34998626667073579"/>
      </right>
      <top style="thin">
        <color theme="0" tint="-0.24994659260841701"/>
      </top>
      <bottom style="thin">
        <color theme="1" tint="0.34998626667073579"/>
      </bottom>
      <diagonal/>
    </border>
    <border>
      <left style="thin">
        <color theme="0" tint="-0.14996795556505021"/>
      </left>
      <right style="thin">
        <color theme="1" tint="0.34998626667073579"/>
      </right>
      <top/>
      <bottom style="thin">
        <color theme="0" tint="-0.14996795556505021"/>
      </bottom>
      <diagonal/>
    </border>
    <border>
      <left style="thin">
        <color theme="1" tint="0.34998626667073579"/>
      </left>
      <right style="thin">
        <color theme="0" tint="-0.14996795556505021"/>
      </right>
      <top style="thin">
        <color theme="0" tint="-0.14996795556505021"/>
      </top>
      <bottom style="thin">
        <color theme="0" tint="-0.499984740745262"/>
      </bottom>
      <diagonal/>
    </border>
    <border>
      <left style="thin">
        <color theme="0" tint="-0.14996795556505021"/>
      </left>
      <right style="thin">
        <color theme="1" tint="0.34998626667073579"/>
      </right>
      <top style="thin">
        <color theme="0" tint="-0.14996795556505021"/>
      </top>
      <bottom style="thin">
        <color theme="0" tint="-0.499984740745262"/>
      </bottom>
      <diagonal/>
    </border>
    <border>
      <left style="thin">
        <color theme="1" tint="0.34998626667073579"/>
      </left>
      <right style="thin">
        <color theme="0" tint="-0.14996795556505021"/>
      </right>
      <top style="thin">
        <color theme="0" tint="-0.499984740745262"/>
      </top>
      <bottom style="thin">
        <color theme="0" tint="-0.14996795556505021"/>
      </bottom>
      <diagonal/>
    </border>
    <border>
      <left style="thin">
        <color theme="1" tint="0.34998626667073579"/>
      </left>
      <right style="thin">
        <color theme="0" tint="-0.14996795556505021"/>
      </right>
      <top style="thin">
        <color theme="0" tint="-0.499984740745262"/>
      </top>
      <bottom style="thin">
        <color theme="0" tint="-0.499984740745262"/>
      </bottom>
      <diagonal/>
    </border>
    <border>
      <left style="thin">
        <color theme="9" tint="-0.499984740745262"/>
      </left>
      <right/>
      <top/>
      <bottom style="thin">
        <color theme="9" tint="-0.499984740745262"/>
      </bottom>
      <diagonal/>
    </border>
    <border>
      <left/>
      <right style="thin">
        <color theme="9" tint="-0.499984740745262"/>
      </right>
      <top/>
      <bottom style="thin">
        <color theme="9" tint="-0.499984740745262"/>
      </bottom>
      <diagonal/>
    </border>
    <border>
      <left style="thin">
        <color theme="0" tint="-0.499984740745262"/>
      </left>
      <right/>
      <top style="thin">
        <color auto="1"/>
      </top>
      <bottom/>
      <diagonal/>
    </border>
    <border>
      <left/>
      <right style="thin">
        <color theme="0" tint="-0.499984740745262"/>
      </right>
      <top style="thin">
        <color auto="1"/>
      </top>
      <bottom/>
      <diagonal/>
    </border>
    <border>
      <left style="thin">
        <color theme="0" tint="-0.499984740745262"/>
      </left>
      <right style="thin">
        <color theme="0" tint="-0.499984740745262"/>
      </right>
      <top style="thin">
        <color theme="0" tint="-0.24994659260841701"/>
      </top>
      <bottom style="thin">
        <color theme="0" tint="-0.14996795556505021"/>
      </bottom>
      <diagonal/>
    </border>
    <border>
      <left style="thin">
        <color theme="0" tint="-0.499984740745262"/>
      </left>
      <right style="thin">
        <color theme="0" tint="-0.499984740745262"/>
      </right>
      <top style="thin">
        <color theme="1" tint="0.499984740745262"/>
      </top>
      <bottom/>
      <diagonal/>
    </border>
    <border>
      <left style="thin">
        <color theme="1"/>
      </left>
      <right style="thin">
        <color theme="0" tint="-0.24994659260841701"/>
      </right>
      <top style="thin">
        <color theme="0" tint="-0.14996795556505021"/>
      </top>
      <bottom style="thin">
        <color theme="1"/>
      </bottom>
      <diagonal/>
    </border>
    <border>
      <left style="thin">
        <color indexed="64"/>
      </left>
      <right/>
      <top style="thin">
        <color theme="0" tint="-0.14996795556505021"/>
      </top>
      <bottom style="thin">
        <color theme="1"/>
      </bottom>
      <diagonal/>
    </border>
    <border>
      <left style="thin">
        <color theme="1"/>
      </left>
      <right style="thin">
        <color theme="0" tint="-0.24994659260841701"/>
      </right>
      <top style="thin">
        <color theme="1"/>
      </top>
      <bottom style="thin">
        <color theme="0" tint="-0.14996795556505021"/>
      </bottom>
      <diagonal/>
    </border>
    <border>
      <left style="thin">
        <color indexed="64"/>
      </left>
      <right/>
      <top style="thin">
        <color theme="1"/>
      </top>
      <bottom style="thin">
        <color theme="0" tint="-0.14996795556505021"/>
      </bottom>
      <diagonal/>
    </border>
    <border>
      <left style="thin">
        <color theme="1" tint="0.499984740745262"/>
      </left>
      <right style="thin">
        <color theme="1" tint="0.499984740745262"/>
      </right>
      <top style="thin">
        <color theme="1"/>
      </top>
      <bottom style="thin">
        <color theme="0" tint="-0.14996795556505021"/>
      </bottom>
      <diagonal/>
    </border>
    <border>
      <left style="thin">
        <color theme="1" tint="0.499984740745262"/>
      </left>
      <right style="thin">
        <color theme="1"/>
      </right>
      <top style="thin">
        <color theme="1"/>
      </top>
      <bottom style="thin">
        <color theme="0" tint="-0.14996795556505021"/>
      </bottom>
      <diagonal/>
    </border>
    <border>
      <left style="thin">
        <color theme="1" tint="0.499984740745262"/>
      </left>
      <right style="thin">
        <color theme="1" tint="0.499984740745262"/>
      </right>
      <top style="thin">
        <color theme="0" tint="-0.14996795556505021"/>
      </top>
      <bottom style="thin">
        <color theme="1"/>
      </bottom>
      <diagonal/>
    </border>
    <border>
      <left style="thin">
        <color theme="1" tint="0.499984740745262"/>
      </left>
      <right style="thin">
        <color theme="1"/>
      </right>
      <top style="thin">
        <color theme="0" tint="-0.14996795556505021"/>
      </top>
      <bottom style="thin">
        <color theme="1"/>
      </bottom>
      <diagonal/>
    </border>
    <border>
      <left style="thin">
        <color rgb="FFC00000"/>
      </left>
      <right/>
      <top style="thin">
        <color rgb="FFC00000"/>
      </top>
      <bottom/>
      <diagonal/>
    </border>
    <border>
      <left/>
      <right style="thin">
        <color auto="1"/>
      </right>
      <top style="thin">
        <color rgb="FFC00000"/>
      </top>
      <bottom/>
      <diagonal/>
    </border>
    <border>
      <left/>
      <right/>
      <top style="thin">
        <color rgb="FFC00000"/>
      </top>
      <bottom/>
      <diagonal/>
    </border>
    <border>
      <left style="thin">
        <color auto="1"/>
      </left>
      <right style="thin">
        <color auto="1"/>
      </right>
      <top style="thin">
        <color rgb="FFC00000"/>
      </top>
      <bottom/>
      <diagonal/>
    </border>
    <border>
      <left style="thin">
        <color auto="1"/>
      </left>
      <right/>
      <top style="thin">
        <color rgb="FFC00000"/>
      </top>
      <bottom/>
      <diagonal/>
    </border>
    <border>
      <left style="thin">
        <color rgb="FFC00000"/>
      </left>
      <right style="thin">
        <color rgb="FFC00000"/>
      </right>
      <top style="thin">
        <color auto="1"/>
      </top>
      <bottom/>
      <diagonal/>
    </border>
    <border>
      <left style="thin">
        <color theme="0" tint="-0.24994659260841701"/>
      </left>
      <right style="thin">
        <color auto="1"/>
      </right>
      <top/>
      <bottom/>
      <diagonal/>
    </border>
    <border>
      <left style="thin">
        <color auto="1"/>
      </left>
      <right style="thin">
        <color theme="0" tint="-0.24994659260841701"/>
      </right>
      <top/>
      <bottom/>
      <diagonal/>
    </border>
    <border>
      <left style="thin">
        <color theme="1" tint="0.24994659260841701"/>
      </left>
      <right style="thin">
        <color theme="0" tint="-0.34998626667073579"/>
      </right>
      <top/>
      <bottom/>
      <diagonal/>
    </border>
    <border>
      <left style="thin">
        <color theme="0" tint="-0.34998626667073579"/>
      </left>
      <right style="thin">
        <color theme="1" tint="0.24994659260841701"/>
      </right>
      <top/>
      <bottom/>
      <diagonal/>
    </border>
    <border>
      <left style="thin">
        <color theme="1" tint="0.34998626667073579"/>
      </left>
      <right style="thin">
        <color theme="0" tint="-0.14996795556505021"/>
      </right>
      <top/>
      <bottom style="thin">
        <color theme="0" tint="-0.499984740745262"/>
      </bottom>
      <diagonal/>
    </border>
    <border>
      <left style="thin">
        <color auto="1"/>
      </left>
      <right style="thin">
        <color theme="0" tint="-0.14996795556505021"/>
      </right>
      <top style="thin">
        <color auto="1"/>
      </top>
      <bottom/>
      <diagonal/>
    </border>
    <border>
      <left/>
      <right style="thin">
        <color theme="0" tint="-0.499984740745262"/>
      </right>
      <top style="thin">
        <color rgb="FFC00000"/>
      </top>
      <bottom/>
      <diagonal/>
    </border>
    <border>
      <left style="thin">
        <color theme="0" tint="-0.499984740745262"/>
      </left>
      <right style="thin">
        <color theme="0" tint="-0.34998626667073579"/>
      </right>
      <top style="thin">
        <color auto="1"/>
      </top>
      <bottom/>
      <diagonal/>
    </border>
    <border>
      <left style="thin">
        <color indexed="64"/>
      </left>
      <right style="thin">
        <color theme="0" tint="-0.499984740745262"/>
      </right>
      <top style="thin">
        <color indexed="64"/>
      </top>
      <bottom/>
      <diagonal/>
    </border>
    <border>
      <left style="thin">
        <color theme="0" tint="-0.499984740745262"/>
      </left>
      <right style="thin">
        <color theme="0" tint="-0.34998626667073579"/>
      </right>
      <top style="thin">
        <color auto="1"/>
      </top>
      <bottom style="thin">
        <color auto="1"/>
      </bottom>
      <diagonal/>
    </border>
    <border>
      <left style="thin">
        <color theme="1" tint="0.34998626667073579"/>
      </left>
      <right/>
      <top style="thin">
        <color theme="0" tint="-0.24994659260841701"/>
      </top>
      <bottom/>
      <diagonal/>
    </border>
    <border>
      <left/>
      <right style="thin">
        <color theme="1" tint="0.34998626667073579"/>
      </right>
      <top style="thin">
        <color theme="0" tint="-0.24994659260841701"/>
      </top>
      <bottom/>
      <diagonal/>
    </border>
    <border>
      <left/>
      <right style="thin">
        <color theme="1" tint="0.34998626667073579"/>
      </right>
      <top style="thin">
        <color theme="0" tint="-0.14996795556505021"/>
      </top>
      <bottom style="thin">
        <color theme="0" tint="-0.24994659260841701"/>
      </bottom>
      <diagonal/>
    </border>
    <border>
      <left style="thin">
        <color theme="0" tint="-0.14996795556505021"/>
      </left>
      <right style="thin">
        <color theme="1" tint="0.499984740745262"/>
      </right>
      <top style="thin">
        <color theme="0" tint="-0.14996795556505021"/>
      </top>
      <bottom style="thin">
        <color theme="0" tint="-0.499984740745262"/>
      </bottom>
      <diagonal/>
    </border>
    <border>
      <left style="thin">
        <color theme="0" tint="-0.14996795556505021"/>
      </left>
      <right style="thin">
        <color theme="1" tint="0.499984740745262"/>
      </right>
      <top style="thin">
        <color theme="0" tint="-0.499984740745262"/>
      </top>
      <bottom style="thin">
        <color theme="0" tint="-0.499984740745262"/>
      </bottom>
      <diagonal/>
    </border>
    <border>
      <left style="thin">
        <color theme="0" tint="-0.14996795556505021"/>
      </left>
      <right style="thin">
        <color theme="1" tint="0.499984740745262"/>
      </right>
      <top/>
      <bottom style="thin">
        <color theme="0" tint="-0.14996795556505021"/>
      </bottom>
      <diagonal/>
    </border>
    <border>
      <left style="thin">
        <color theme="0" tint="-0.24994659260841701"/>
      </left>
      <right style="thin">
        <color theme="1" tint="0.499984740745262"/>
      </right>
      <top style="thin">
        <color theme="0" tint="-0.499984740745262"/>
      </top>
      <bottom style="thin">
        <color theme="1" tint="0.34998626667073579"/>
      </bottom>
      <diagonal/>
    </border>
    <border>
      <left style="thin">
        <color theme="1" tint="0.34998626667073579"/>
      </left>
      <right style="thin">
        <color theme="0" tint="-0.14993743705557422"/>
      </right>
      <top style="thin">
        <color theme="0" tint="-0.14996795556505021"/>
      </top>
      <bottom style="thin">
        <color theme="0" tint="-0.14996795556505021"/>
      </bottom>
      <diagonal/>
    </border>
    <border>
      <left style="thin">
        <color theme="0" tint="-0.14996795556505021"/>
      </left>
      <right style="thin">
        <color theme="1" tint="0.499984740745262"/>
      </right>
      <top style="thin">
        <color theme="0" tint="-0.14996795556505021"/>
      </top>
      <bottom style="thin">
        <color theme="1" tint="0.34998626667073579"/>
      </bottom>
      <diagonal/>
    </border>
    <border>
      <left style="thin">
        <color theme="1" tint="0.499984740745262"/>
      </left>
      <right style="thin">
        <color theme="1" tint="0.499984740745262"/>
      </right>
      <top style="thin">
        <color indexed="64"/>
      </top>
      <bottom style="thin">
        <color theme="0" tint="-0.14996795556505021"/>
      </bottom>
      <diagonal/>
    </border>
    <border>
      <left style="thin">
        <color theme="1" tint="0.499984740745262"/>
      </left>
      <right style="thin">
        <color theme="1" tint="0.499984740745262"/>
      </right>
      <top style="thin">
        <color auto="1"/>
      </top>
      <bottom style="thin">
        <color auto="1"/>
      </bottom>
      <diagonal/>
    </border>
    <border>
      <left style="thin">
        <color theme="0" tint="-0.24994659260841701"/>
      </left>
      <right style="thin">
        <color theme="0" tint="-0.24994659260841701"/>
      </right>
      <top style="thin">
        <color theme="0" tint="-0.14996795556505021"/>
      </top>
      <bottom/>
      <diagonal/>
    </border>
    <border>
      <left style="thin">
        <color theme="1" tint="0.499984740745262"/>
      </left>
      <right style="thin">
        <color theme="0" tint="-0.24994659260841701"/>
      </right>
      <top style="thin">
        <color theme="1" tint="0.499984740745262"/>
      </top>
      <bottom style="thin">
        <color theme="0" tint="-0.14996795556505021"/>
      </bottom>
      <diagonal/>
    </border>
    <border>
      <left style="thin">
        <color theme="1" tint="0.499984740745262"/>
      </left>
      <right style="thin">
        <color theme="0" tint="-0.24994659260841701"/>
      </right>
      <top style="thin">
        <color theme="0" tint="-0.14996795556505021"/>
      </top>
      <bottom/>
      <diagonal/>
    </border>
    <border>
      <left/>
      <right style="thin">
        <color theme="1" tint="0.499984740745262"/>
      </right>
      <top style="thin">
        <color theme="0" tint="-0.14996795556505021"/>
      </top>
      <bottom/>
      <diagonal/>
    </border>
    <border>
      <left/>
      <right style="thin">
        <color theme="1" tint="0.499984740745262"/>
      </right>
      <top style="thin">
        <color indexed="64"/>
      </top>
      <bottom style="thin">
        <color theme="0" tint="-0.14996795556505021"/>
      </bottom>
      <diagonal/>
    </border>
    <border>
      <left style="thin">
        <color theme="1" tint="0.499984740745262"/>
      </left>
      <right style="thin">
        <color theme="1" tint="0.499984740745262"/>
      </right>
      <top style="thin">
        <color theme="0" tint="-0.14996795556505021"/>
      </top>
      <bottom/>
      <diagonal/>
    </border>
    <border>
      <left style="thin">
        <color theme="1" tint="0.499984740745262"/>
      </left>
      <right style="thin">
        <color theme="1" tint="0.499984740745262"/>
      </right>
      <top style="thin">
        <color indexed="64"/>
      </top>
      <bottom style="thin">
        <color theme="0" tint="-0.24994659260841701"/>
      </bottom>
      <diagonal/>
    </border>
    <border>
      <left style="thin">
        <color theme="1" tint="0.499984740745262"/>
      </left>
      <right style="thin">
        <color theme="1" tint="0.499984740745262"/>
      </right>
      <top style="thin">
        <color theme="0" tint="-0.24994659260841701"/>
      </top>
      <bottom/>
      <diagonal/>
    </border>
    <border>
      <left style="thin">
        <color theme="1" tint="0.499984740745262"/>
      </left>
      <right style="thin">
        <color theme="1" tint="0.499984740745262"/>
      </right>
      <top style="thin">
        <color theme="0" tint="-0.24994659260841701"/>
      </top>
      <bottom style="thin">
        <color indexed="64"/>
      </bottom>
      <diagonal/>
    </border>
    <border>
      <left style="thin">
        <color theme="1" tint="0.34998626667073579"/>
      </left>
      <right style="thin">
        <color auto="1"/>
      </right>
      <top/>
      <bottom style="thin">
        <color theme="1" tint="0.34998626667073579"/>
      </bottom>
      <diagonal/>
    </border>
    <border>
      <left style="thin">
        <color theme="0" tint="-0.14996795556505021"/>
      </left>
      <right/>
      <top style="thin">
        <color theme="0" tint="-0.499984740745262"/>
      </top>
      <bottom style="thin">
        <color theme="0" tint="-0.14996795556505021"/>
      </bottom>
      <diagonal/>
    </border>
    <border>
      <left style="thin">
        <color theme="0" tint="-0.14996795556505021"/>
      </left>
      <right/>
      <top style="thin">
        <color theme="0" tint="-0.499984740745262"/>
      </top>
      <bottom style="thin">
        <color theme="0" tint="-0.499984740745262"/>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diagonal/>
    </border>
    <border>
      <left style="thin">
        <color theme="0" tint="-0.14996795556505021"/>
      </left>
      <right/>
      <top style="thin">
        <color theme="0" tint="-0.14996795556505021"/>
      </top>
      <bottom style="thin">
        <color theme="1" tint="0.34998626667073579"/>
      </bottom>
      <diagonal/>
    </border>
    <border>
      <left style="thin">
        <color theme="0" tint="-0.14996795556505021"/>
      </left>
      <right style="thin">
        <color theme="1" tint="0.499984740745262"/>
      </right>
      <top style="thin">
        <color auto="1"/>
      </top>
      <bottom style="thin">
        <color theme="0" tint="-0.24994659260841701"/>
      </bottom>
      <diagonal/>
    </border>
    <border>
      <left style="thin">
        <color theme="0" tint="-0.14996795556505021"/>
      </left>
      <right style="thin">
        <color theme="1" tint="0.499984740745262"/>
      </right>
      <top style="thin">
        <color theme="0" tint="-0.24994659260841701"/>
      </top>
      <bottom style="thin">
        <color theme="0" tint="-0.24994659260841701"/>
      </bottom>
      <diagonal/>
    </border>
    <border>
      <left style="thin">
        <color theme="0" tint="-0.14996795556505021"/>
      </left>
      <right style="thin">
        <color theme="1" tint="0.499984740745262"/>
      </right>
      <top/>
      <bottom/>
      <diagonal/>
    </border>
    <border>
      <left style="thin">
        <color theme="0" tint="-0.14996795556505021"/>
      </left>
      <right style="thin">
        <color theme="1" tint="0.499984740745262"/>
      </right>
      <top style="thin">
        <color theme="0" tint="-0.24994659260841701"/>
      </top>
      <bottom style="thin">
        <color auto="1"/>
      </bottom>
      <diagonal/>
    </border>
    <border>
      <left style="thin">
        <color theme="0" tint="-0.14996795556505021"/>
      </left>
      <right style="thin">
        <color theme="1" tint="0.499984740745262"/>
      </right>
      <top/>
      <bottom style="thin">
        <color theme="0" tint="-0.24994659260841701"/>
      </bottom>
      <diagonal/>
    </border>
    <border>
      <left style="thin">
        <color theme="0" tint="-0.14996795556505021"/>
      </left>
      <right style="thin">
        <color theme="1" tint="0.499984740745262"/>
      </right>
      <top style="thin">
        <color theme="0" tint="-0.24994659260841701"/>
      </top>
      <bottom/>
      <diagonal/>
    </border>
    <border>
      <left style="thin">
        <color theme="0" tint="-0.14996795556505021"/>
      </left>
      <right style="thin">
        <color theme="1" tint="0.499984740745262"/>
      </right>
      <top style="thin">
        <color auto="1"/>
      </top>
      <bottom style="thin">
        <color theme="0" tint="-0.14996795556505021"/>
      </bottom>
      <diagonal/>
    </border>
    <border>
      <left style="thin">
        <color theme="0" tint="-0.24994659260841701"/>
      </left>
      <right style="thin">
        <color theme="1" tint="0.499984740745262"/>
      </right>
      <top style="thin">
        <color theme="0" tint="-0.24994659260841701"/>
      </top>
      <bottom style="thin">
        <color theme="0" tint="-0.499984740745262"/>
      </bottom>
      <diagonal/>
    </border>
    <border>
      <left/>
      <right style="thin">
        <color theme="9" tint="-0.499984740745262"/>
      </right>
      <top style="thin">
        <color theme="9" tint="-0.499984740745262"/>
      </top>
      <bottom style="thin">
        <color theme="9" tint="-0.499984740745262"/>
      </bottom>
      <diagonal/>
    </border>
    <border>
      <left style="thin">
        <color theme="0" tint="-0.24994659260841701"/>
      </left>
      <right style="thin">
        <color theme="0" tint="-0.24994659260841701"/>
      </right>
      <top style="thin">
        <color theme="9" tint="-0.499984740745262"/>
      </top>
      <bottom style="thin">
        <color theme="9" tint="-0.499984740745262"/>
      </bottom>
      <diagonal/>
    </border>
    <border>
      <left style="thin">
        <color theme="1" tint="0.24994659260841701"/>
      </left>
      <right style="thin">
        <color theme="1" tint="0.499984740745262"/>
      </right>
      <top style="thin">
        <color theme="1" tint="0.24994659260841701"/>
      </top>
      <bottom style="thin">
        <color theme="1" tint="0.499984740745262"/>
      </bottom>
      <diagonal/>
    </border>
    <border>
      <left style="thin">
        <color theme="1" tint="0.499984740745262"/>
      </left>
      <right style="thin">
        <color theme="1" tint="0.499984740745262"/>
      </right>
      <top style="thin">
        <color theme="1" tint="0.24994659260841701"/>
      </top>
      <bottom style="thin">
        <color theme="1" tint="0.499984740745262"/>
      </bottom>
      <diagonal/>
    </border>
    <border>
      <left style="thin">
        <color theme="1" tint="0.499984740745262"/>
      </left>
      <right style="thin">
        <color theme="1" tint="0.24994659260841701"/>
      </right>
      <top style="thin">
        <color theme="1" tint="0.24994659260841701"/>
      </top>
      <bottom style="thin">
        <color theme="1" tint="0.499984740745262"/>
      </bottom>
      <diagonal/>
    </border>
    <border>
      <left style="thin">
        <color theme="1" tint="0.24994659260841701"/>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24994659260841701"/>
      </right>
      <top style="thin">
        <color theme="1" tint="0.499984740745262"/>
      </top>
      <bottom style="thin">
        <color theme="1" tint="0.499984740745262"/>
      </bottom>
      <diagonal/>
    </border>
    <border>
      <left style="thin">
        <color theme="1" tint="0.24994659260841701"/>
      </left>
      <right style="thin">
        <color theme="1" tint="0.499984740745262"/>
      </right>
      <top style="thin">
        <color theme="1" tint="0.499984740745262"/>
      </top>
      <bottom style="thin">
        <color theme="0" tint="-0.34998626667073579"/>
      </bottom>
      <diagonal/>
    </border>
    <border>
      <left style="thin">
        <color theme="1" tint="0.499984740745262"/>
      </left>
      <right style="thin">
        <color theme="1" tint="0.499984740745262"/>
      </right>
      <top style="thin">
        <color theme="1" tint="0.499984740745262"/>
      </top>
      <bottom style="thin">
        <color theme="0" tint="-0.34998626667073579"/>
      </bottom>
      <diagonal/>
    </border>
    <border>
      <left style="thin">
        <color theme="1" tint="0.499984740745262"/>
      </left>
      <right style="thin">
        <color theme="1" tint="0.24994659260841701"/>
      </right>
      <top style="thin">
        <color theme="1" tint="0.499984740745262"/>
      </top>
      <bottom style="thin">
        <color theme="0" tint="-0.34998626667073579"/>
      </bottom>
      <diagonal/>
    </border>
    <border>
      <left style="thin">
        <color auto="1"/>
      </left>
      <right style="thin">
        <color theme="0" tint="-0.24994659260841701"/>
      </right>
      <top style="thin">
        <color theme="0" tint="-0.24994659260841701"/>
      </top>
      <bottom style="thin">
        <color theme="0" tint="-0.499984740745262"/>
      </bottom>
      <diagonal/>
    </border>
    <border>
      <left style="thin">
        <color theme="1" tint="0.34998626667073579"/>
      </left>
      <right style="thin">
        <color theme="0" tint="-0.14996795556505021"/>
      </right>
      <top style="thin">
        <color theme="0" tint="-0.14996795556505021"/>
      </top>
      <bottom/>
      <diagonal/>
    </border>
    <border>
      <left style="thin">
        <color theme="0" tint="-0.499984740745262"/>
      </left>
      <right/>
      <top style="thin">
        <color theme="0" tint="-0.14996795556505021"/>
      </top>
      <bottom style="thin">
        <color theme="0" tint="-0.24994659260841701"/>
      </bottom>
      <diagonal/>
    </border>
    <border>
      <left/>
      <right style="thin">
        <color theme="0" tint="-0.499984740745262"/>
      </right>
      <top style="thin">
        <color theme="0" tint="-0.14996795556505021"/>
      </top>
      <bottom style="thin">
        <color theme="0" tint="-0.24994659260841701"/>
      </bottom>
      <diagonal/>
    </border>
    <border>
      <left/>
      <right style="thin">
        <color theme="9" tint="-0.499984740745262"/>
      </right>
      <top style="thin">
        <color theme="9" tint="-0.499984740745262"/>
      </top>
      <bottom style="thin">
        <color theme="0" tint="-0.499984740745262"/>
      </bottom>
      <diagonal/>
    </border>
    <border>
      <left/>
      <right style="thin">
        <color theme="1" tint="0.34998626667073579"/>
      </right>
      <top/>
      <bottom style="thin">
        <color theme="0" tint="-0.14996795556505021"/>
      </bottom>
      <diagonal/>
    </border>
    <border>
      <left style="thin">
        <color theme="0" tint="-0.14996795556505021"/>
      </left>
      <right style="thin">
        <color theme="1" tint="0.499984740745262"/>
      </right>
      <top style="thin">
        <color theme="0" tint="-0.14996795556505021"/>
      </top>
      <bottom style="thin">
        <color auto="1"/>
      </bottom>
      <diagonal/>
    </border>
    <border>
      <left style="thin">
        <color theme="0" tint="-0.24994659260841701"/>
      </left>
      <right style="thin">
        <color theme="1" tint="0.34998626667073579"/>
      </right>
      <top style="thin">
        <color auto="1"/>
      </top>
      <bottom style="thin">
        <color theme="0" tint="-0.24994659260841701"/>
      </bottom>
      <diagonal/>
    </border>
    <border>
      <left style="thin">
        <color theme="1"/>
      </left>
      <right style="thin">
        <color theme="0" tint="-0.24994659260841701"/>
      </right>
      <top style="thin">
        <color theme="1"/>
      </top>
      <bottom style="thin">
        <color theme="0" tint="-0.24994659260841701"/>
      </bottom>
      <diagonal/>
    </border>
    <border>
      <left style="thin">
        <color theme="0" tint="-0.24994659260841701"/>
      </left>
      <right style="thin">
        <color theme="0" tint="-0.24994659260841701"/>
      </right>
      <top style="thin">
        <color theme="1"/>
      </top>
      <bottom style="thin">
        <color theme="0" tint="-0.24994659260841701"/>
      </bottom>
      <diagonal/>
    </border>
    <border>
      <left style="thin">
        <color theme="0" tint="-0.24994659260841701"/>
      </left>
      <right style="thin">
        <color theme="1"/>
      </right>
      <top style="thin">
        <color theme="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theme="1"/>
      </right>
      <top style="thin">
        <color theme="0" tint="-0.24994659260841701"/>
      </top>
      <bottom style="thin">
        <color theme="1"/>
      </bottom>
      <diagonal/>
    </border>
    <border>
      <left style="thin">
        <color theme="1"/>
      </left>
      <right style="thin">
        <color theme="0" tint="-0.24994659260841701"/>
      </right>
      <top/>
      <bottom style="thin">
        <color theme="0" tint="-0.24994659260841701"/>
      </bottom>
      <diagonal/>
    </border>
    <border>
      <left style="thin">
        <color theme="1"/>
      </left>
      <right style="thin">
        <color theme="0" tint="-0.24994659260841701"/>
      </right>
      <top/>
      <bottom style="thin">
        <color theme="1"/>
      </bottom>
      <diagonal/>
    </border>
    <border>
      <left style="thin">
        <color theme="0" tint="-0.24994659260841701"/>
      </left>
      <right style="thin">
        <color theme="0" tint="-0.24994659260841701"/>
      </right>
      <top/>
      <bottom style="thin">
        <color theme="1"/>
      </bottom>
      <diagonal/>
    </border>
    <border>
      <left style="thin">
        <color theme="0" tint="-0.24994659260841701"/>
      </left>
      <right style="thin">
        <color theme="1"/>
      </right>
      <top/>
      <bottom style="thin">
        <color theme="1"/>
      </bottom>
      <diagonal/>
    </border>
    <border>
      <left style="thin">
        <color theme="0" tint="-0.14996795556505021"/>
      </left>
      <right style="thin">
        <color theme="1" tint="0.499984740745262"/>
      </right>
      <top style="thin">
        <color theme="0" tint="-0.14996795556505021"/>
      </top>
      <bottom style="thin">
        <color theme="1"/>
      </bottom>
      <diagonal/>
    </border>
    <border>
      <left style="thin">
        <color theme="0" tint="-0.499984740745262"/>
      </left>
      <right style="thin">
        <color theme="0" tint="-0.24994659260841701"/>
      </right>
      <top style="thin">
        <color theme="1"/>
      </top>
      <bottom style="thin">
        <color theme="0" tint="-0.499984740745262"/>
      </bottom>
      <diagonal/>
    </border>
    <border>
      <left style="thin">
        <color theme="0" tint="-0.24994659260841701"/>
      </left>
      <right style="thin">
        <color theme="0" tint="-0.24994659260841701"/>
      </right>
      <top style="thin">
        <color theme="1"/>
      </top>
      <bottom style="thin">
        <color theme="0" tint="-0.499984740745262"/>
      </bottom>
      <diagonal/>
    </border>
    <border>
      <left/>
      <right/>
      <top style="thin">
        <color theme="1"/>
      </top>
      <bottom style="thin">
        <color theme="0" tint="-0.499984740745262"/>
      </bottom>
      <diagonal/>
    </border>
  </borders>
  <cellStyleXfs count="6">
    <xf numFmtId="0" fontId="0" fillId="0" borderId="0"/>
    <xf numFmtId="9" fontId="3" fillId="0" borderId="0" applyFont="0" applyFill="0" applyBorder="0" applyAlignment="0" applyProtection="0"/>
    <xf numFmtId="0" fontId="3" fillId="0" borderId="0"/>
    <xf numFmtId="0" fontId="8" fillId="0" borderId="0"/>
    <xf numFmtId="0" fontId="30" fillId="0" borderId="0" applyNumberFormat="0" applyFill="0" applyBorder="0" applyAlignment="0" applyProtection="0"/>
    <xf numFmtId="0" fontId="3" fillId="0" borderId="0"/>
  </cellStyleXfs>
  <cellXfs count="2256">
    <xf numFmtId="0" fontId="0" fillId="0" borderId="0" xfId="0"/>
    <xf numFmtId="0" fontId="6" fillId="0" borderId="0" xfId="0" applyFont="1"/>
    <xf numFmtId="0" fontId="2" fillId="0" borderId="0" xfId="0" applyFont="1"/>
    <xf numFmtId="0" fontId="19" fillId="9" borderId="0" xfId="0" applyFont="1" applyFill="1" applyProtection="1">
      <protection hidden="1"/>
    </xf>
    <xf numFmtId="0" fontId="17" fillId="0" borderId="0" xfId="0" quotePrefix="1" applyFont="1" applyAlignment="1" applyProtection="1">
      <alignment horizontal="left"/>
      <protection hidden="1"/>
    </xf>
    <xf numFmtId="0" fontId="6" fillId="0" borderId="0" xfId="0" applyFont="1" applyAlignment="1" applyProtection="1">
      <alignment vertical="center"/>
      <protection hidden="1"/>
    </xf>
    <xf numFmtId="0" fontId="6" fillId="0" borderId="76" xfId="0" applyFont="1" applyBorder="1" applyAlignment="1" applyProtection="1">
      <alignment vertical="center"/>
      <protection hidden="1"/>
    </xf>
    <xf numFmtId="0" fontId="6" fillId="0" borderId="77" xfId="0" applyFont="1" applyBorder="1" applyAlignment="1" applyProtection="1">
      <alignment vertical="center"/>
      <protection hidden="1"/>
    </xf>
    <xf numFmtId="0" fontId="14" fillId="3" borderId="95" xfId="2" quotePrefix="1" applyFont="1" applyFill="1" applyBorder="1" applyAlignment="1" applyProtection="1">
      <alignment horizontal="center" vertical="center"/>
      <protection hidden="1"/>
    </xf>
    <xf numFmtId="0" fontId="14" fillId="3" borderId="97" xfId="2" quotePrefix="1" applyFont="1" applyFill="1" applyBorder="1" applyAlignment="1" applyProtection="1">
      <alignment horizontal="center" vertical="center"/>
      <protection hidden="1"/>
    </xf>
    <xf numFmtId="0" fontId="6" fillId="0" borderId="0" xfId="0" applyFont="1" applyProtection="1">
      <protection hidden="1"/>
    </xf>
    <xf numFmtId="0" fontId="6" fillId="0" borderId="98" xfId="0" quotePrefix="1" applyFont="1" applyBorder="1" applyAlignment="1" applyProtection="1">
      <alignment horizontal="left" vertical="center"/>
      <protection hidden="1"/>
    </xf>
    <xf numFmtId="0" fontId="6" fillId="0" borderId="99" xfId="0" applyFont="1" applyBorder="1" applyAlignment="1" applyProtection="1">
      <alignment horizontal="left" vertical="center"/>
      <protection hidden="1"/>
    </xf>
    <xf numFmtId="0" fontId="6" fillId="0" borderId="100" xfId="0" quotePrefix="1" applyFont="1" applyBorder="1" applyAlignment="1" applyProtection="1">
      <alignment horizontal="left" vertical="center"/>
      <protection hidden="1"/>
    </xf>
    <xf numFmtId="0" fontId="6" fillId="0" borderId="101" xfId="0" applyFont="1" applyBorder="1" applyAlignment="1" applyProtection="1">
      <alignment horizontal="left" vertical="center"/>
      <protection hidden="1"/>
    </xf>
    <xf numFmtId="0" fontId="6" fillId="0" borderId="102" xfId="0" quotePrefix="1" applyFont="1" applyBorder="1" applyAlignment="1" applyProtection="1">
      <alignment horizontal="left" vertical="center"/>
      <protection hidden="1"/>
    </xf>
    <xf numFmtId="0" fontId="6" fillId="0" borderId="103" xfId="0" applyFont="1" applyBorder="1" applyAlignment="1" applyProtection="1">
      <alignment horizontal="left" vertical="center"/>
      <protection hidden="1"/>
    </xf>
    <xf numFmtId="0" fontId="6" fillId="0" borderId="0" xfId="0" quotePrefix="1" applyFont="1" applyAlignment="1">
      <alignment horizontal="left" vertical="center"/>
    </xf>
    <xf numFmtId="0" fontId="14" fillId="3" borderId="82" xfId="2" quotePrefix="1" applyFont="1" applyFill="1" applyBorder="1" applyAlignment="1" applyProtection="1">
      <alignment horizontal="center" vertical="center"/>
      <protection hidden="1"/>
    </xf>
    <xf numFmtId="0" fontId="6" fillId="9" borderId="0" xfId="0" applyFont="1" applyFill="1" applyProtection="1">
      <protection hidden="1"/>
    </xf>
    <xf numFmtId="0" fontId="6" fillId="0" borderId="144" xfId="0" quotePrefix="1" applyFont="1" applyBorder="1" applyAlignment="1" applyProtection="1">
      <alignment horizontal="left" vertical="center"/>
      <protection hidden="1"/>
    </xf>
    <xf numFmtId="0" fontId="6" fillId="0" borderId="153" xfId="0" applyFont="1" applyBorder="1" applyAlignment="1" applyProtection="1">
      <alignment horizontal="left" vertical="center"/>
      <protection hidden="1"/>
    </xf>
    <xf numFmtId="0" fontId="17" fillId="0" borderId="0" xfId="0" quotePrefix="1" applyFont="1" applyAlignment="1">
      <alignment horizontal="left" vertical="center"/>
    </xf>
    <xf numFmtId="0" fontId="4" fillId="6" borderId="46" xfId="0" applyFont="1" applyFill="1" applyBorder="1" applyAlignment="1">
      <alignment horizontal="center"/>
    </xf>
    <xf numFmtId="4" fontId="5" fillId="2" borderId="52" xfId="0" applyNumberFormat="1" applyFont="1" applyFill="1" applyBorder="1"/>
    <xf numFmtId="3" fontId="5" fillId="2" borderId="52" xfId="0" applyNumberFormat="1" applyFont="1" applyFill="1" applyBorder="1"/>
    <xf numFmtId="0" fontId="31" fillId="0" borderId="0" xfId="0" applyFont="1"/>
    <xf numFmtId="0" fontId="15" fillId="9" borderId="86" xfId="0" applyFont="1" applyFill="1" applyBorder="1" applyAlignment="1" applyProtection="1">
      <alignment vertical="center"/>
      <protection hidden="1"/>
    </xf>
    <xf numFmtId="0" fontId="15" fillId="9" borderId="86" xfId="0" quotePrefix="1" applyFont="1" applyFill="1" applyBorder="1" applyAlignment="1" applyProtection="1">
      <alignment horizontal="left" vertical="center"/>
      <protection hidden="1"/>
    </xf>
    <xf numFmtId="0" fontId="15" fillId="9" borderId="86" xfId="0" quotePrefix="1" applyFont="1" applyFill="1" applyBorder="1" applyAlignment="1" applyProtection="1">
      <alignment vertical="center"/>
      <protection hidden="1"/>
    </xf>
    <xf numFmtId="0" fontId="25" fillId="9" borderId="87" xfId="0" applyFont="1" applyFill="1" applyBorder="1" applyAlignment="1" applyProtection="1">
      <alignment horizontal="right" vertical="center"/>
      <protection hidden="1"/>
    </xf>
    <xf numFmtId="0" fontId="34" fillId="9" borderId="133" xfId="0" applyFont="1" applyFill="1" applyBorder="1" applyAlignment="1">
      <alignment horizontal="left" vertical="top" wrapText="1"/>
    </xf>
    <xf numFmtId="0" fontId="34" fillId="9" borderId="126" xfId="0" quotePrefix="1" applyFont="1" applyFill="1" applyBorder="1" applyAlignment="1">
      <alignment horizontal="left" vertical="top" wrapText="1"/>
    </xf>
    <xf numFmtId="0" fontId="34" fillId="9" borderId="134" xfId="0" applyFont="1" applyFill="1" applyBorder="1" applyAlignment="1">
      <alignment horizontal="left" vertical="top" wrapText="1"/>
    </xf>
    <xf numFmtId="0" fontId="34" fillId="9" borderId="134" xfId="0" quotePrefix="1" applyFont="1" applyFill="1" applyBorder="1" applyAlignment="1">
      <alignment horizontal="left" vertical="top" wrapText="1"/>
    </xf>
    <xf numFmtId="0" fontId="34" fillId="19" borderId="134" xfId="0" applyFont="1" applyFill="1" applyBorder="1" applyAlignment="1">
      <alignment horizontal="left" vertical="top" wrapText="1"/>
    </xf>
    <xf numFmtId="0" fontId="34" fillId="19" borderId="134" xfId="0" quotePrefix="1" applyFont="1" applyFill="1" applyBorder="1" applyAlignment="1">
      <alignment horizontal="left" vertical="top" wrapText="1"/>
    </xf>
    <xf numFmtId="0" fontId="34" fillId="19" borderId="135" xfId="0" applyFont="1" applyFill="1" applyBorder="1" applyAlignment="1">
      <alignment horizontal="left" vertical="top" wrapText="1"/>
    </xf>
    <xf numFmtId="0" fontId="34" fillId="15" borderId="125" xfId="0" applyFont="1" applyFill="1" applyBorder="1" applyAlignment="1">
      <alignment horizontal="left" vertical="top" wrapText="1"/>
    </xf>
    <xf numFmtId="0" fontId="35" fillId="0" borderId="0" xfId="0" quotePrefix="1" applyFont="1" applyAlignment="1">
      <alignment horizontal="left"/>
    </xf>
    <xf numFmtId="0" fontId="17" fillId="0" borderId="0" xfId="0" applyFont="1"/>
    <xf numFmtId="0" fontId="6" fillId="0" borderId="86" xfId="0" applyFont="1" applyBorder="1" applyAlignment="1" applyProtection="1">
      <alignment vertical="center"/>
      <protection hidden="1"/>
    </xf>
    <xf numFmtId="0" fontId="6" fillId="0" borderId="86" xfId="0" applyFont="1" applyBorder="1" applyProtection="1">
      <protection hidden="1"/>
    </xf>
    <xf numFmtId="0" fontId="6" fillId="0" borderId="87" xfId="0" applyFont="1" applyBorder="1" applyProtection="1">
      <protection hidden="1"/>
    </xf>
    <xf numFmtId="0" fontId="6" fillId="9" borderId="0" xfId="0" applyFont="1" applyFill="1" applyAlignment="1" applyProtection="1">
      <alignment vertical="center"/>
      <protection hidden="1"/>
    </xf>
    <xf numFmtId="0" fontId="6" fillId="0" borderId="81" xfId="0" applyFont="1" applyBorder="1" applyProtection="1">
      <protection hidden="1"/>
    </xf>
    <xf numFmtId="0" fontId="32" fillId="0" borderId="0" xfId="0" applyFont="1" applyAlignment="1" applyProtection="1">
      <alignment vertical="center"/>
      <protection hidden="1"/>
    </xf>
    <xf numFmtId="0" fontId="6" fillId="0" borderId="87" xfId="0" applyFont="1" applyBorder="1" applyAlignment="1" applyProtection="1">
      <alignment vertical="center"/>
      <protection hidden="1"/>
    </xf>
    <xf numFmtId="164" fontId="6" fillId="0" borderId="0" xfId="0" applyNumberFormat="1"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6" fillId="0" borderId="117" xfId="0" applyFont="1" applyBorder="1" applyAlignment="1" applyProtection="1">
      <alignment vertical="center"/>
      <protection hidden="1"/>
    </xf>
    <xf numFmtId="0" fontId="10" fillId="0" borderId="76" xfId="0" applyFont="1" applyBorder="1" applyAlignment="1" applyProtection="1">
      <alignment vertical="center"/>
      <protection hidden="1"/>
    </xf>
    <xf numFmtId="0" fontId="10" fillId="0" borderId="77" xfId="0" applyFont="1" applyBorder="1" applyAlignment="1" applyProtection="1">
      <alignment vertical="center"/>
      <protection hidden="1"/>
    </xf>
    <xf numFmtId="164" fontId="6" fillId="0" borderId="92" xfId="0" applyNumberFormat="1" applyFont="1" applyBorder="1" applyAlignment="1" applyProtection="1">
      <alignment horizontal="center" vertical="center"/>
      <protection hidden="1"/>
    </xf>
    <xf numFmtId="167" fontId="6" fillId="0" borderId="100" xfId="0" applyNumberFormat="1" applyFont="1" applyBorder="1" applyAlignment="1" applyProtection="1">
      <alignment vertical="center"/>
      <protection hidden="1"/>
    </xf>
    <xf numFmtId="167" fontId="6" fillId="0" borderId="101" xfId="0" applyNumberFormat="1" applyFont="1" applyBorder="1" applyAlignment="1" applyProtection="1">
      <alignment vertical="center"/>
      <protection hidden="1"/>
    </xf>
    <xf numFmtId="0" fontId="37" fillId="0" borderId="0" xfId="2" quotePrefix="1" applyFont="1" applyAlignment="1" applyProtection="1">
      <alignment vertical="center"/>
      <protection hidden="1"/>
    </xf>
    <xf numFmtId="0" fontId="37" fillId="0" borderId="87" xfId="2" quotePrefix="1" applyFont="1" applyBorder="1" applyAlignment="1" applyProtection="1">
      <alignment vertical="center"/>
      <protection hidden="1"/>
    </xf>
    <xf numFmtId="0" fontId="16" fillId="9" borderId="83" xfId="0" quotePrefix="1" applyFont="1" applyFill="1" applyBorder="1" applyAlignment="1" applyProtection="1">
      <alignment vertical="center"/>
      <protection hidden="1"/>
    </xf>
    <xf numFmtId="0" fontId="16" fillId="9" borderId="84" xfId="0" quotePrefix="1" applyFont="1" applyFill="1" applyBorder="1" applyAlignment="1" applyProtection="1">
      <alignment vertical="center"/>
      <protection hidden="1"/>
    </xf>
    <xf numFmtId="0" fontId="16" fillId="9" borderId="85" xfId="0" quotePrefix="1" applyFont="1" applyFill="1" applyBorder="1" applyAlignment="1" applyProtection="1">
      <alignment horizontal="right" vertical="center"/>
      <protection hidden="1"/>
    </xf>
    <xf numFmtId="0" fontId="14" fillId="9" borderId="86" xfId="0" applyFont="1" applyFill="1" applyBorder="1" applyAlignment="1" applyProtection="1">
      <alignment horizontal="left" vertical="center"/>
      <protection hidden="1"/>
    </xf>
    <xf numFmtId="0" fontId="14" fillId="9" borderId="0" xfId="0" applyFont="1" applyFill="1" applyAlignment="1" applyProtection="1">
      <alignment horizontal="left" vertical="center"/>
      <protection hidden="1"/>
    </xf>
    <xf numFmtId="0" fontId="39" fillId="9" borderId="87" xfId="0" applyFont="1" applyFill="1" applyBorder="1" applyAlignment="1" applyProtection="1">
      <alignment horizontal="center" vertical="center"/>
      <protection hidden="1"/>
    </xf>
    <xf numFmtId="0" fontId="14" fillId="9" borderId="86" xfId="0" quotePrefix="1" applyFont="1" applyFill="1" applyBorder="1" applyAlignment="1" applyProtection="1">
      <alignment horizontal="left" vertical="center"/>
      <protection hidden="1"/>
    </xf>
    <xf numFmtId="0" fontId="14" fillId="9" borderId="0" xfId="0" quotePrefix="1" applyFont="1" applyFill="1" applyAlignment="1" applyProtection="1">
      <alignment horizontal="left" vertical="center"/>
      <protection hidden="1"/>
    </xf>
    <xf numFmtId="0" fontId="6" fillId="9" borderId="86" xfId="0" applyFont="1" applyFill="1" applyBorder="1" applyAlignment="1" applyProtection="1">
      <alignment vertical="center"/>
      <protection hidden="1"/>
    </xf>
    <xf numFmtId="0" fontId="39" fillId="9" borderId="85" xfId="0" quotePrefix="1" applyFont="1" applyFill="1" applyBorder="1" applyAlignment="1" applyProtection="1">
      <alignment horizontal="center" vertical="center"/>
      <protection hidden="1"/>
    </xf>
    <xf numFmtId="0" fontId="16" fillId="9" borderId="0" xfId="0" quotePrefix="1" applyFont="1" applyFill="1" applyAlignment="1" applyProtection="1">
      <alignment horizontal="left" vertical="center"/>
      <protection hidden="1"/>
    </xf>
    <xf numFmtId="169" fontId="6" fillId="0" borderId="78" xfId="0" applyNumberFormat="1" applyFont="1" applyBorder="1" applyAlignment="1" applyProtection="1">
      <alignment vertical="center"/>
      <protection hidden="1"/>
    </xf>
    <xf numFmtId="164" fontId="6" fillId="0" borderId="0" xfId="0" applyNumberFormat="1" applyFont="1" applyAlignment="1" applyProtection="1">
      <alignment vertical="center"/>
      <protection hidden="1"/>
    </xf>
    <xf numFmtId="0" fontId="6" fillId="0" borderId="0" xfId="0" quotePrefix="1" applyFont="1" applyAlignment="1" applyProtection="1">
      <alignment horizontal="left" vertical="center"/>
      <protection hidden="1"/>
    </xf>
    <xf numFmtId="2" fontId="8" fillId="0" borderId="84" xfId="0" applyNumberFormat="1" applyFont="1" applyBorder="1" applyAlignment="1" applyProtection="1">
      <alignment horizontal="left" vertical="center"/>
      <protection hidden="1"/>
    </xf>
    <xf numFmtId="2" fontId="40" fillId="0" borderId="84" xfId="0" applyNumberFormat="1" applyFont="1" applyBorder="1" applyAlignment="1" applyProtection="1">
      <alignment horizontal="left" vertical="center"/>
      <protection hidden="1"/>
    </xf>
    <xf numFmtId="2" fontId="40" fillId="0" borderId="85" xfId="0" applyNumberFormat="1" applyFont="1" applyBorder="1" applyAlignment="1" applyProtection="1">
      <alignment horizontal="left" vertical="center"/>
      <protection hidden="1"/>
    </xf>
    <xf numFmtId="2" fontId="8" fillId="0" borderId="0" xfId="0" applyNumberFormat="1" applyFont="1" applyAlignment="1" applyProtection="1">
      <alignment horizontal="left" vertical="center"/>
      <protection hidden="1"/>
    </xf>
    <xf numFmtId="2" fontId="40" fillId="0" borderId="83" xfId="0" quotePrefix="1" applyNumberFormat="1" applyFont="1" applyBorder="1" applyAlignment="1" applyProtection="1">
      <alignment horizontal="left" vertical="center"/>
      <protection hidden="1"/>
    </xf>
    <xf numFmtId="2" fontId="8" fillId="0" borderId="0" xfId="0" applyNumberFormat="1" applyFont="1" applyAlignment="1" applyProtection="1">
      <alignment vertical="center"/>
      <protection hidden="1"/>
    </xf>
    <xf numFmtId="165" fontId="10" fillId="0" borderId="0" xfId="0" quotePrefix="1" applyNumberFormat="1" applyFont="1" applyAlignment="1" applyProtection="1">
      <alignment horizontal="center" vertical="center"/>
      <protection hidden="1"/>
    </xf>
    <xf numFmtId="165" fontId="10" fillId="0" borderId="81" xfId="0" quotePrefix="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14" fillId="0" borderId="0" xfId="0" applyFont="1" applyAlignment="1" applyProtection="1">
      <alignment horizontal="center" vertical="center"/>
      <protection hidden="1"/>
    </xf>
    <xf numFmtId="0" fontId="10" fillId="0" borderId="5" xfId="0" applyFont="1" applyBorder="1" applyAlignment="1" applyProtection="1">
      <alignment vertical="center"/>
      <protection hidden="1"/>
    </xf>
    <xf numFmtId="0" fontId="37" fillId="0" borderId="3" xfId="2" quotePrefix="1" applyFont="1" applyBorder="1" applyAlignment="1" applyProtection="1">
      <alignment vertical="center"/>
      <protection hidden="1"/>
    </xf>
    <xf numFmtId="0" fontId="6" fillId="0" borderId="131" xfId="0" applyFont="1" applyBorder="1" applyAlignment="1" applyProtection="1">
      <alignment vertical="center"/>
      <protection hidden="1"/>
    </xf>
    <xf numFmtId="0" fontId="6" fillId="9" borderId="86" xfId="0" applyFont="1" applyFill="1" applyBorder="1" applyProtection="1">
      <protection hidden="1"/>
    </xf>
    <xf numFmtId="0" fontId="10" fillId="9" borderId="79" xfId="0" applyFont="1" applyFill="1" applyBorder="1" applyAlignment="1" applyProtection="1">
      <alignment horizontal="left" vertical="center"/>
      <protection hidden="1"/>
    </xf>
    <xf numFmtId="0" fontId="10" fillId="9" borderId="80" xfId="0" applyFont="1" applyFill="1" applyBorder="1" applyAlignment="1" applyProtection="1">
      <alignment horizontal="left" vertical="center"/>
      <protection hidden="1"/>
    </xf>
    <xf numFmtId="0" fontId="39" fillId="9" borderId="81" xfId="0" applyFont="1" applyFill="1" applyBorder="1" applyAlignment="1" applyProtection="1">
      <alignment horizontal="center" vertical="center"/>
      <protection hidden="1"/>
    </xf>
    <xf numFmtId="0" fontId="39" fillId="9" borderId="86" xfId="0" quotePrefix="1" applyFont="1" applyFill="1" applyBorder="1" applyAlignment="1" applyProtection="1">
      <alignment horizontal="left" vertical="top"/>
      <protection hidden="1"/>
    </xf>
    <xf numFmtId="0" fontId="39" fillId="9" borderId="0" xfId="0" quotePrefix="1" applyFont="1" applyFill="1" applyAlignment="1" applyProtection="1">
      <alignment horizontal="left" vertical="top"/>
      <protection hidden="1"/>
    </xf>
    <xf numFmtId="0" fontId="14" fillId="9" borderId="79" xfId="0" quotePrefix="1" applyFont="1" applyFill="1" applyBorder="1" applyAlignment="1" applyProtection="1">
      <alignment horizontal="left" vertical="center"/>
      <protection hidden="1"/>
    </xf>
    <xf numFmtId="0" fontId="14" fillId="9" borderId="80" xfId="0" quotePrefix="1" applyFont="1" applyFill="1" applyBorder="1" applyAlignment="1" applyProtection="1">
      <alignment horizontal="left" vertical="center"/>
      <protection hidden="1"/>
    </xf>
    <xf numFmtId="0" fontId="17" fillId="9" borderId="86" xfId="0" applyFont="1" applyFill="1" applyBorder="1" applyProtection="1">
      <protection hidden="1"/>
    </xf>
    <xf numFmtId="0" fontId="17" fillId="9" borderId="0" xfId="0" applyFont="1" applyFill="1" applyProtection="1">
      <protection hidden="1"/>
    </xf>
    <xf numFmtId="0" fontId="10" fillId="9" borderId="87" xfId="0" applyFont="1" applyFill="1" applyBorder="1" applyAlignment="1" applyProtection="1">
      <alignment horizontal="center" vertical="center"/>
      <protection hidden="1"/>
    </xf>
    <xf numFmtId="0" fontId="10" fillId="9" borderId="86" xfId="0" applyFont="1" applyFill="1" applyBorder="1" applyAlignment="1" applyProtection="1">
      <alignment horizontal="left" vertical="center"/>
      <protection hidden="1"/>
    </xf>
    <xf numFmtId="0" fontId="10" fillId="9" borderId="0" xfId="0" applyFont="1" applyFill="1" applyAlignment="1" applyProtection="1">
      <alignment horizontal="left" vertical="center"/>
      <protection hidden="1"/>
    </xf>
    <xf numFmtId="167" fontId="6" fillId="0" borderId="91" xfId="0" applyNumberFormat="1" applyFont="1" applyBorder="1" applyAlignment="1" applyProtection="1">
      <alignment vertical="center"/>
      <protection hidden="1"/>
    </xf>
    <xf numFmtId="167" fontId="6" fillId="0" borderId="92" xfId="0" applyNumberFormat="1" applyFont="1" applyBorder="1" applyAlignment="1" applyProtection="1">
      <alignment vertical="center"/>
      <protection hidden="1"/>
    </xf>
    <xf numFmtId="167" fontId="6" fillId="0" borderId="118" xfId="0" applyNumberFormat="1" applyFont="1" applyBorder="1" applyAlignment="1" applyProtection="1">
      <alignment vertical="center"/>
      <protection hidden="1"/>
    </xf>
    <xf numFmtId="167" fontId="6" fillId="0" borderId="93" xfId="0" applyNumberFormat="1" applyFont="1" applyBorder="1" applyAlignment="1" applyProtection="1">
      <alignment vertical="center"/>
      <protection hidden="1"/>
    </xf>
    <xf numFmtId="2" fontId="10" fillId="0" borderId="0" xfId="0" applyNumberFormat="1" applyFont="1" applyAlignment="1" applyProtection="1">
      <alignment vertical="center"/>
      <protection hidden="1"/>
    </xf>
    <xf numFmtId="0" fontId="6" fillId="0" borderId="0" xfId="0" quotePrefix="1" applyFont="1" applyAlignment="1" applyProtection="1">
      <alignment horizontal="left"/>
      <protection hidden="1"/>
    </xf>
    <xf numFmtId="0" fontId="2" fillId="12" borderId="164" xfId="0" applyFont="1" applyFill="1" applyBorder="1"/>
    <xf numFmtId="0" fontId="2" fillId="28" borderId="192" xfId="0" applyFont="1" applyFill="1" applyBorder="1"/>
    <xf numFmtId="0" fontId="2" fillId="12" borderId="192" xfId="0" applyFont="1" applyFill="1" applyBorder="1"/>
    <xf numFmtId="0" fontId="41" fillId="9" borderId="164" xfId="0" applyFont="1" applyFill="1" applyBorder="1" applyAlignment="1">
      <alignment vertical="top" wrapText="1"/>
    </xf>
    <xf numFmtId="0" fontId="41" fillId="9" borderId="164" xfId="0" quotePrefix="1" applyFont="1" applyFill="1" applyBorder="1" applyAlignment="1">
      <alignment horizontal="left" vertical="top" wrapText="1"/>
    </xf>
    <xf numFmtId="0" fontId="6" fillId="0" borderId="84" xfId="0" applyFont="1" applyBorder="1" applyProtection="1">
      <protection hidden="1"/>
    </xf>
    <xf numFmtId="0" fontId="6" fillId="0" borderId="85" xfId="0" applyFont="1" applyBorder="1" applyProtection="1">
      <protection hidden="1"/>
    </xf>
    <xf numFmtId="4" fontId="9" fillId="2" borderId="174" xfId="0" applyNumberFormat="1" applyFont="1" applyFill="1" applyBorder="1"/>
    <xf numFmtId="4" fontId="5" fillId="2" borderId="109" xfId="0" quotePrefix="1" applyNumberFormat="1" applyFont="1" applyFill="1" applyBorder="1" applyAlignment="1">
      <alignment horizontal="left"/>
    </xf>
    <xf numFmtId="4" fontId="5" fillId="2" borderId="109" xfId="0" applyNumberFormat="1" applyFont="1" applyFill="1" applyBorder="1"/>
    <xf numFmtId="3" fontId="5" fillId="2" borderId="109" xfId="0" applyNumberFormat="1" applyFont="1" applyFill="1" applyBorder="1"/>
    <xf numFmtId="4" fontId="9" fillId="2" borderId="120" xfId="0" applyNumberFormat="1" applyFont="1" applyFill="1" applyBorder="1"/>
    <xf numFmtId="4" fontId="5" fillId="2" borderId="30" xfId="0" applyNumberFormat="1" applyFont="1" applyFill="1" applyBorder="1"/>
    <xf numFmtId="4" fontId="5" fillId="2" borderId="30" xfId="0" quotePrefix="1" applyNumberFormat="1" applyFont="1" applyFill="1" applyBorder="1" applyAlignment="1">
      <alignment horizontal="left"/>
    </xf>
    <xf numFmtId="3" fontId="5" fillId="2" borderId="30" xfId="0" applyNumberFormat="1" applyFont="1" applyFill="1" applyBorder="1"/>
    <xf numFmtId="4" fontId="9" fillId="2" borderId="146" xfId="0" applyNumberFormat="1" applyFont="1" applyFill="1" applyBorder="1"/>
    <xf numFmtId="4" fontId="5" fillId="2" borderId="138" xfId="0" applyNumberFormat="1" applyFont="1" applyFill="1" applyBorder="1"/>
    <xf numFmtId="3" fontId="5" fillId="2" borderId="138" xfId="0" applyNumberFormat="1" applyFont="1" applyFill="1" applyBorder="1"/>
    <xf numFmtId="4" fontId="9" fillId="2" borderId="145" xfId="0" applyNumberFormat="1" applyFont="1" applyFill="1" applyBorder="1"/>
    <xf numFmtId="4" fontId="5" fillId="2" borderId="136" xfId="0" applyNumberFormat="1" applyFont="1" applyFill="1" applyBorder="1"/>
    <xf numFmtId="4" fontId="5" fillId="2" borderId="136" xfId="0" quotePrefix="1" applyNumberFormat="1" applyFont="1" applyFill="1" applyBorder="1" applyAlignment="1">
      <alignment horizontal="left"/>
    </xf>
    <xf numFmtId="3" fontId="5" fillId="2" borderId="136" xfId="0" applyNumberFormat="1" applyFont="1" applyFill="1" applyBorder="1"/>
    <xf numFmtId="4" fontId="5" fillId="2" borderId="52" xfId="0" quotePrefix="1" applyNumberFormat="1" applyFont="1" applyFill="1" applyBorder="1" applyAlignment="1">
      <alignment horizontal="left"/>
    </xf>
    <xf numFmtId="4" fontId="5" fillId="2" borderId="138" xfId="0" quotePrefix="1" applyNumberFormat="1" applyFont="1" applyFill="1" applyBorder="1" applyAlignment="1">
      <alignment horizontal="left"/>
    </xf>
    <xf numFmtId="4" fontId="9" fillId="2" borderId="155" xfId="0" applyNumberFormat="1" applyFont="1" applyFill="1" applyBorder="1"/>
    <xf numFmtId="4" fontId="5" fillId="2" borderId="55" xfId="0" applyNumberFormat="1" applyFont="1" applyFill="1" applyBorder="1"/>
    <xf numFmtId="4" fontId="5" fillId="2" borderId="55" xfId="0" quotePrefix="1" applyNumberFormat="1" applyFont="1" applyFill="1" applyBorder="1" applyAlignment="1">
      <alignment horizontal="left"/>
    </xf>
    <xf numFmtId="3" fontId="5" fillId="2" borderId="55" xfId="0" applyNumberFormat="1" applyFont="1" applyFill="1" applyBorder="1"/>
    <xf numFmtId="0" fontId="4" fillId="12" borderId="173" xfId="0" applyFont="1" applyFill="1" applyBorder="1" applyAlignment="1">
      <alignment horizontal="center" vertical="center" wrapText="1"/>
    </xf>
    <xf numFmtId="0" fontId="4" fillId="12" borderId="128" xfId="0" applyFont="1" applyFill="1" applyBorder="1" applyAlignment="1">
      <alignment horizontal="center" vertical="center" wrapText="1"/>
    </xf>
    <xf numFmtId="0" fontId="4" fillId="12" borderId="127" xfId="0" applyFont="1" applyFill="1" applyBorder="1" applyAlignment="1">
      <alignment horizontal="center" vertical="center" wrapText="1"/>
    </xf>
    <xf numFmtId="0" fontId="4" fillId="12" borderId="129" xfId="0" applyFont="1" applyFill="1" applyBorder="1" applyAlignment="1">
      <alignment horizontal="center" vertical="center" wrapText="1"/>
    </xf>
    <xf numFmtId="0" fontId="4" fillId="12" borderId="130" xfId="0" applyFont="1" applyFill="1" applyBorder="1" applyAlignment="1">
      <alignment horizontal="center" vertical="center" wrapText="1"/>
    </xf>
    <xf numFmtId="0" fontId="4" fillId="12" borderId="169" xfId="0" applyFont="1" applyFill="1" applyBorder="1" applyAlignment="1">
      <alignment horizontal="center" vertical="center" wrapText="1"/>
    </xf>
    <xf numFmtId="0" fontId="4" fillId="12" borderId="170" xfId="0" applyFont="1" applyFill="1" applyBorder="1" applyAlignment="1">
      <alignment horizontal="center" vertical="center" wrapText="1"/>
    </xf>
    <xf numFmtId="0" fontId="4" fillId="12" borderId="171" xfId="0" applyFont="1" applyFill="1" applyBorder="1" applyAlignment="1">
      <alignment horizontal="center" vertical="center" wrapText="1"/>
    </xf>
    <xf numFmtId="0" fontId="2" fillId="12" borderId="175" xfId="0" applyFont="1" applyFill="1" applyBorder="1"/>
    <xf numFmtId="0" fontId="2" fillId="12" borderId="176" xfId="0" applyFont="1" applyFill="1" applyBorder="1"/>
    <xf numFmtId="0" fontId="2" fillId="12" borderId="177" xfId="0" applyFont="1" applyFill="1" applyBorder="1"/>
    <xf numFmtId="0" fontId="2" fillId="12" borderId="140" xfId="0" applyFont="1" applyFill="1" applyBorder="1"/>
    <xf numFmtId="0" fontId="2" fillId="12" borderId="123" xfId="0" applyFont="1" applyFill="1" applyBorder="1"/>
    <xf numFmtId="0" fontId="2" fillId="12" borderId="141" xfId="0" applyFont="1" applyFill="1" applyBorder="1"/>
    <xf numFmtId="0" fontId="4" fillId="12" borderId="175" xfId="0" applyFont="1" applyFill="1" applyBorder="1"/>
    <xf numFmtId="0" fontId="4" fillId="12" borderId="176" xfId="0" applyFont="1" applyFill="1" applyBorder="1"/>
    <xf numFmtId="0" fontId="4" fillId="12" borderId="140" xfId="0" applyFont="1" applyFill="1" applyBorder="1"/>
    <xf numFmtId="0" fontId="4" fillId="12" borderId="123" xfId="0" applyFont="1" applyFill="1" applyBorder="1"/>
    <xf numFmtId="2" fontId="13" fillId="12" borderId="180" xfId="0" applyNumberFormat="1" applyFont="1" applyFill="1" applyBorder="1"/>
    <xf numFmtId="0" fontId="2" fillId="12" borderId="16" xfId="0" applyFont="1" applyFill="1" applyBorder="1"/>
    <xf numFmtId="0" fontId="11" fillId="6" borderId="181" xfId="0" applyFont="1" applyFill="1" applyBorder="1"/>
    <xf numFmtId="0" fontId="11" fillId="6" borderId="182" xfId="0" applyFont="1" applyFill="1" applyBorder="1"/>
    <xf numFmtId="0" fontId="11" fillId="6" borderId="183" xfId="0" applyFont="1" applyFill="1" applyBorder="1"/>
    <xf numFmtId="0" fontId="33" fillId="12" borderId="82" xfId="0" applyFont="1" applyFill="1" applyBorder="1" applyAlignment="1">
      <alignment horizontal="left" vertical="top" wrapText="1"/>
    </xf>
    <xf numFmtId="0" fontId="9" fillId="12" borderId="0" xfId="0" applyFont="1" applyFill="1"/>
    <xf numFmtId="0" fontId="7" fillId="15" borderId="134" xfId="0" quotePrefix="1" applyFont="1" applyFill="1" applyBorder="1" applyAlignment="1">
      <alignment horizontal="left" vertical="top" wrapText="1"/>
    </xf>
    <xf numFmtId="0" fontId="7" fillId="15" borderId="133" xfId="0" applyFont="1" applyFill="1" applyBorder="1" applyAlignment="1">
      <alignment horizontal="left" vertical="top" wrapText="1"/>
    </xf>
    <xf numFmtId="0" fontId="7" fillId="15" borderId="126" xfId="0" applyFont="1" applyFill="1" applyBorder="1" applyAlignment="1">
      <alignment horizontal="left" vertical="top" wrapText="1"/>
    </xf>
    <xf numFmtId="0" fontId="7" fillId="15" borderId="126" xfId="0" quotePrefix="1" applyFont="1" applyFill="1" applyBorder="1" applyAlignment="1">
      <alignment horizontal="left" vertical="top" wrapText="1"/>
    </xf>
    <xf numFmtId="0" fontId="7" fillId="15" borderId="134" xfId="0" applyFont="1" applyFill="1" applyBorder="1" applyAlignment="1">
      <alignment horizontal="left" vertical="top" wrapText="1"/>
    </xf>
    <xf numFmtId="0" fontId="7" fillId="15" borderId="135" xfId="0" quotePrefix="1" applyFont="1" applyFill="1" applyBorder="1" applyAlignment="1">
      <alignment horizontal="left" vertical="top" wrapText="1"/>
    </xf>
    <xf numFmtId="0" fontId="2" fillId="12" borderId="124" xfId="0" applyFont="1" applyFill="1" applyBorder="1"/>
    <xf numFmtId="0" fontId="2" fillId="12" borderId="172" xfId="0" applyFont="1" applyFill="1" applyBorder="1"/>
    <xf numFmtId="0" fontId="2" fillId="12" borderId="202" xfId="0" applyFont="1" applyFill="1" applyBorder="1"/>
    <xf numFmtId="0" fontId="2" fillId="12" borderId="203" xfId="0" applyFont="1" applyFill="1" applyBorder="1"/>
    <xf numFmtId="0" fontId="2" fillId="12" borderId="204" xfId="0" applyFont="1" applyFill="1" applyBorder="1"/>
    <xf numFmtId="0" fontId="2" fillId="12" borderId="205" xfId="0" applyFont="1" applyFill="1" applyBorder="1"/>
    <xf numFmtId="0" fontId="2" fillId="12" borderId="206" xfId="0" applyFont="1" applyFill="1" applyBorder="1"/>
    <xf numFmtId="0" fontId="2" fillId="12" borderId="207" xfId="0" applyFont="1" applyFill="1" applyBorder="1"/>
    <xf numFmtId="0" fontId="2" fillId="12" borderId="208" xfId="0" applyFont="1" applyFill="1" applyBorder="1"/>
    <xf numFmtId="0" fontId="2" fillId="12" borderId="209" xfId="0" applyFont="1" applyFill="1" applyBorder="1"/>
    <xf numFmtId="0" fontId="2" fillId="12" borderId="210" xfId="0" applyFont="1" applyFill="1" applyBorder="1"/>
    <xf numFmtId="0" fontId="2" fillId="12" borderId="211" xfId="0" applyFont="1" applyFill="1" applyBorder="1"/>
    <xf numFmtId="0" fontId="2" fillId="12" borderId="212" xfId="0" applyFont="1" applyFill="1" applyBorder="1"/>
    <xf numFmtId="0" fontId="2" fillId="12" borderId="213" xfId="0" applyFont="1" applyFill="1" applyBorder="1"/>
    <xf numFmtId="0" fontId="2" fillId="12" borderId="214" xfId="0" applyFont="1" applyFill="1" applyBorder="1"/>
    <xf numFmtId="0" fontId="2" fillId="12" borderId="215" xfId="0" applyFont="1" applyFill="1" applyBorder="1"/>
    <xf numFmtId="0" fontId="2" fillId="12" borderId="216" xfId="0" applyFont="1" applyFill="1" applyBorder="1"/>
    <xf numFmtId="0" fontId="2" fillId="12" borderId="217" xfId="0" applyFont="1" applyFill="1" applyBorder="1"/>
    <xf numFmtId="0" fontId="2" fillId="12" borderId="218" xfId="0" applyFont="1" applyFill="1" applyBorder="1"/>
    <xf numFmtId="0" fontId="2" fillId="12" borderId="219" xfId="0" applyFont="1" applyFill="1" applyBorder="1"/>
    <xf numFmtId="0" fontId="2" fillId="12" borderId="220" xfId="0" applyFont="1" applyFill="1" applyBorder="1"/>
    <xf numFmtId="0" fontId="2" fillId="12" borderId="221" xfId="0" applyFont="1" applyFill="1" applyBorder="1"/>
    <xf numFmtId="0" fontId="2" fillId="12" borderId="222" xfId="0" applyFont="1" applyFill="1" applyBorder="1"/>
    <xf numFmtId="0" fontId="2" fillId="12" borderId="223" xfId="0" applyFont="1" applyFill="1" applyBorder="1"/>
    <xf numFmtId="0" fontId="2" fillId="12" borderId="224" xfId="0" applyFont="1" applyFill="1" applyBorder="1"/>
    <xf numFmtId="0" fontId="2" fillId="12" borderId="225" xfId="0" applyFont="1" applyFill="1" applyBorder="1"/>
    <xf numFmtId="0" fontId="2" fillId="12" borderId="226" xfId="0" applyFont="1" applyFill="1" applyBorder="1"/>
    <xf numFmtId="0" fontId="2" fillId="12" borderId="227" xfId="0" applyFont="1" applyFill="1" applyBorder="1"/>
    <xf numFmtId="0" fontId="2" fillId="12" borderId="228" xfId="0" applyFont="1" applyFill="1" applyBorder="1"/>
    <xf numFmtId="0" fontId="2" fillId="12" borderId="229" xfId="0" applyFont="1" applyFill="1" applyBorder="1"/>
    <xf numFmtId="0" fontId="2" fillId="0" borderId="231" xfId="0" applyFont="1" applyBorder="1"/>
    <xf numFmtId="0" fontId="6" fillId="0" borderId="83" xfId="0" applyFont="1" applyBorder="1" applyAlignment="1" applyProtection="1">
      <alignment vertical="center"/>
      <protection hidden="1"/>
    </xf>
    <xf numFmtId="0" fontId="6" fillId="0" borderId="79" xfId="0" applyFont="1" applyBorder="1" applyAlignment="1" applyProtection="1">
      <alignment vertical="center"/>
      <protection hidden="1"/>
    </xf>
    <xf numFmtId="0" fontId="15" fillId="9" borderId="83" xfId="0" applyFont="1" applyFill="1" applyBorder="1" applyAlignment="1" applyProtection="1">
      <alignment vertical="center"/>
      <protection hidden="1"/>
    </xf>
    <xf numFmtId="0" fontId="25" fillId="9" borderId="84" xfId="0" applyFont="1" applyFill="1" applyBorder="1" applyAlignment="1" applyProtection="1">
      <alignment horizontal="right"/>
      <protection hidden="1"/>
    </xf>
    <xf numFmtId="0" fontId="1" fillId="0" borderId="0" xfId="0" applyFont="1"/>
    <xf numFmtId="0" fontId="19" fillId="9" borderId="0" xfId="0" applyFont="1" applyFill="1" applyAlignment="1" applyProtection="1">
      <alignment vertical="center"/>
      <protection hidden="1"/>
    </xf>
    <xf numFmtId="4" fontId="9" fillId="2" borderId="156" xfId="0" applyNumberFormat="1" applyFont="1" applyFill="1" applyBorder="1"/>
    <xf numFmtId="165" fontId="10" fillId="0" borderId="80" xfId="0" quotePrefix="1" applyNumberFormat="1" applyFont="1" applyBorder="1" applyAlignment="1" applyProtection="1">
      <alignment horizontal="center" vertical="center"/>
      <protection hidden="1"/>
    </xf>
    <xf numFmtId="0" fontId="10" fillId="0" borderId="79" xfId="0" applyFont="1" applyBorder="1" applyAlignment="1" applyProtection="1">
      <alignment vertical="center"/>
      <protection hidden="1"/>
    </xf>
    <xf numFmtId="0" fontId="10" fillId="0" borderId="80" xfId="0" applyFont="1" applyBorder="1" applyAlignment="1" applyProtection="1">
      <alignment vertical="center"/>
      <protection hidden="1"/>
    </xf>
    <xf numFmtId="0" fontId="2" fillId="0" borderId="247" xfId="0" applyFont="1" applyBorder="1"/>
    <xf numFmtId="0" fontId="16" fillId="9" borderId="86" xfId="0" quotePrefix="1" applyFont="1" applyFill="1" applyBorder="1" applyAlignment="1" applyProtection="1">
      <alignment vertical="center"/>
      <protection hidden="1"/>
    </xf>
    <xf numFmtId="0" fontId="16" fillId="9" borderId="0" xfId="0" quotePrefix="1" applyFont="1" applyFill="1" applyAlignment="1" applyProtection="1">
      <alignment vertical="center"/>
      <protection hidden="1"/>
    </xf>
    <xf numFmtId="0" fontId="16" fillId="9" borderId="87" xfId="0" quotePrefix="1" applyFont="1" applyFill="1" applyBorder="1" applyAlignment="1" applyProtection="1">
      <alignment horizontal="right" vertical="center"/>
      <protection hidden="1"/>
    </xf>
    <xf numFmtId="0" fontId="39" fillId="9" borderId="87" xfId="0" quotePrefix="1" applyFont="1" applyFill="1" applyBorder="1" applyAlignment="1" applyProtection="1">
      <alignment horizontal="center" vertical="center"/>
      <protection hidden="1"/>
    </xf>
    <xf numFmtId="0" fontId="4" fillId="12" borderId="251" xfId="0" applyFont="1" applyFill="1" applyBorder="1"/>
    <xf numFmtId="0" fontId="4" fillId="12" borderId="252" xfId="0" applyFont="1" applyFill="1" applyBorder="1"/>
    <xf numFmtId="2" fontId="40" fillId="0" borderId="83" xfId="0" quotePrefix="1" applyNumberFormat="1" applyFont="1" applyBorder="1" applyAlignment="1" applyProtection="1">
      <alignment vertical="top"/>
      <protection hidden="1"/>
    </xf>
    <xf numFmtId="2" fontId="40" fillId="0" borderId="84" xfId="0" quotePrefix="1" applyNumberFormat="1" applyFont="1" applyBorder="1" applyAlignment="1" applyProtection="1">
      <alignment vertical="top"/>
      <protection hidden="1"/>
    </xf>
    <xf numFmtId="2" fontId="40" fillId="0" borderId="85" xfId="0" quotePrefix="1" applyNumberFormat="1" applyFont="1" applyBorder="1" applyAlignment="1" applyProtection="1">
      <alignment vertical="top"/>
      <protection hidden="1"/>
    </xf>
    <xf numFmtId="2" fontId="40" fillId="0" borderId="86" xfId="0" quotePrefix="1" applyNumberFormat="1" applyFont="1" applyBorder="1" applyAlignment="1" applyProtection="1">
      <alignment vertical="top"/>
      <protection hidden="1"/>
    </xf>
    <xf numFmtId="2" fontId="40" fillId="0" borderId="0" xfId="0" quotePrefix="1" applyNumberFormat="1" applyFont="1" applyAlignment="1" applyProtection="1">
      <alignment vertical="top"/>
      <protection hidden="1"/>
    </xf>
    <xf numFmtId="2" fontId="40" fillId="0" borderId="87" xfId="0" quotePrefix="1" applyNumberFormat="1" applyFont="1" applyBorder="1" applyAlignment="1" applyProtection="1">
      <alignment vertical="top"/>
      <protection hidden="1"/>
    </xf>
    <xf numFmtId="0" fontId="24" fillId="0" borderId="0" xfId="0" applyFont="1" applyProtection="1">
      <protection locked="0"/>
    </xf>
    <xf numFmtId="0" fontId="15" fillId="0" borderId="83" xfId="0" applyFont="1" applyBorder="1" applyProtection="1">
      <protection hidden="1"/>
    </xf>
    <xf numFmtId="0" fontId="15" fillId="0" borderId="84" xfId="0" applyFont="1" applyBorder="1" applyProtection="1">
      <protection hidden="1"/>
    </xf>
    <xf numFmtId="0" fontId="15" fillId="0" borderId="86" xfId="0" applyFont="1" applyBorder="1" applyProtection="1">
      <protection hidden="1"/>
    </xf>
    <xf numFmtId="0" fontId="18" fillId="0" borderId="0" xfId="0" applyFont="1" applyProtection="1">
      <protection hidden="1"/>
    </xf>
    <xf numFmtId="0" fontId="15" fillId="0" borderId="0" xfId="0" applyFont="1" applyProtection="1">
      <protection hidden="1"/>
    </xf>
    <xf numFmtId="0" fontId="14" fillId="34" borderId="95" xfId="0" applyFont="1" applyFill="1" applyBorder="1" applyAlignment="1" applyProtection="1">
      <alignment vertical="center"/>
      <protection hidden="1"/>
    </xf>
    <xf numFmtId="0" fontId="14" fillId="34" borderId="96" xfId="0" quotePrefix="1" applyFont="1" applyFill="1" applyBorder="1" applyAlignment="1" applyProtection="1">
      <alignment horizontal="left" vertical="center"/>
      <protection hidden="1"/>
    </xf>
    <xf numFmtId="0" fontId="14" fillId="34" borderId="96" xfId="0" applyFont="1" applyFill="1" applyBorder="1" applyAlignment="1" applyProtection="1">
      <alignment horizontal="center" vertical="center"/>
      <protection hidden="1"/>
    </xf>
    <xf numFmtId="0" fontId="36" fillId="34" borderId="97" xfId="0" applyFont="1" applyFill="1" applyBorder="1" applyAlignment="1" applyProtection="1">
      <alignment horizontal="right" vertical="center"/>
      <protection hidden="1"/>
    </xf>
    <xf numFmtId="0" fontId="14" fillId="34" borderId="0" xfId="2" applyFont="1" applyFill="1" applyAlignment="1" applyProtection="1">
      <alignment horizontal="center" vertical="center"/>
      <protection hidden="1"/>
    </xf>
    <xf numFmtId="0" fontId="14" fillId="34" borderId="83" xfId="0" applyFont="1" applyFill="1" applyBorder="1" applyAlignment="1" applyProtection="1">
      <alignment vertical="center"/>
      <protection hidden="1"/>
    </xf>
    <xf numFmtId="0" fontId="14" fillId="34" borderId="84" xfId="0" quotePrefix="1" applyFont="1" applyFill="1" applyBorder="1" applyAlignment="1" applyProtection="1">
      <alignment horizontal="left" vertical="center"/>
      <protection hidden="1"/>
    </xf>
    <xf numFmtId="0" fontId="14" fillId="34" borderId="84" xfId="0" applyFont="1" applyFill="1" applyBorder="1" applyAlignment="1" applyProtection="1">
      <alignment horizontal="center" vertical="center"/>
      <protection hidden="1"/>
    </xf>
    <xf numFmtId="0" fontId="36" fillId="34" borderId="85" xfId="0" applyFont="1" applyFill="1" applyBorder="1" applyAlignment="1" applyProtection="1">
      <alignment horizontal="right" vertical="center"/>
      <protection hidden="1"/>
    </xf>
    <xf numFmtId="0" fontId="17" fillId="34" borderId="85" xfId="0" applyFont="1" applyFill="1" applyBorder="1" applyAlignment="1" applyProtection="1">
      <alignment horizontal="center" vertical="center"/>
      <protection hidden="1"/>
    </xf>
    <xf numFmtId="0" fontId="14" fillId="34" borderId="108" xfId="2" quotePrefix="1" applyFont="1" applyFill="1" applyBorder="1" applyAlignment="1" applyProtection="1">
      <alignment horizontal="center" vertical="center"/>
      <protection hidden="1"/>
    </xf>
    <xf numFmtId="0" fontId="14" fillId="34" borderId="62" xfId="1" quotePrefix="1" applyNumberFormat="1" applyFont="1" applyFill="1" applyBorder="1" applyAlignment="1" applyProtection="1">
      <alignment horizontal="center" vertical="center"/>
      <protection hidden="1"/>
    </xf>
    <xf numFmtId="0" fontId="14" fillId="34" borderId="62" xfId="1" applyNumberFormat="1" applyFont="1" applyFill="1" applyBorder="1" applyAlignment="1" applyProtection="1">
      <alignment horizontal="center" vertical="center"/>
      <protection hidden="1"/>
    </xf>
    <xf numFmtId="0" fontId="14" fillId="34" borderId="244" xfId="1" applyNumberFormat="1" applyFont="1" applyFill="1" applyBorder="1" applyAlignment="1" applyProtection="1">
      <alignment horizontal="center" vertical="center"/>
      <protection hidden="1"/>
    </xf>
    <xf numFmtId="0" fontId="14" fillId="34" borderId="237" xfId="1" applyNumberFormat="1" applyFont="1" applyFill="1" applyBorder="1" applyAlignment="1" applyProtection="1">
      <alignment horizontal="center" vertical="center"/>
      <protection hidden="1"/>
    </xf>
    <xf numFmtId="0" fontId="6" fillId="34" borderId="83" xfId="0" applyFont="1" applyFill="1" applyBorder="1" applyProtection="1">
      <protection hidden="1"/>
    </xf>
    <xf numFmtId="0" fontId="6" fillId="34" borderId="79" xfId="0" applyFont="1" applyFill="1" applyBorder="1" applyProtection="1">
      <protection hidden="1"/>
    </xf>
    <xf numFmtId="0" fontId="6" fillId="34" borderId="83" xfId="0" applyFont="1" applyFill="1" applyBorder="1" applyAlignment="1" applyProtection="1">
      <alignment vertical="center"/>
      <protection hidden="1"/>
    </xf>
    <xf numFmtId="0" fontId="6" fillId="34" borderId="79" xfId="0" applyFont="1" applyFill="1" applyBorder="1" applyAlignment="1" applyProtection="1">
      <alignment vertical="center"/>
      <protection hidden="1"/>
    </xf>
    <xf numFmtId="0" fontId="26" fillId="0" borderId="0" xfId="0" applyFont="1" applyProtection="1">
      <protection hidden="1"/>
    </xf>
    <xf numFmtId="0" fontId="26" fillId="0" borderId="84" xfId="0" applyFont="1" applyBorder="1" applyProtection="1">
      <protection hidden="1"/>
    </xf>
    <xf numFmtId="0" fontId="6" fillId="0" borderId="30" xfId="0" applyFont="1" applyBorder="1"/>
    <xf numFmtId="4" fontId="9" fillId="11" borderId="261" xfId="0" applyNumberFormat="1" applyFont="1" applyFill="1" applyBorder="1"/>
    <xf numFmtId="4" fontId="5" fillId="11" borderId="261" xfId="0" applyNumberFormat="1" applyFont="1" applyFill="1" applyBorder="1"/>
    <xf numFmtId="4" fontId="5" fillId="11" borderId="261" xfId="0" quotePrefix="1" applyNumberFormat="1" applyFont="1" applyFill="1" applyBorder="1" applyAlignment="1">
      <alignment horizontal="left"/>
    </xf>
    <xf numFmtId="3" fontId="5" fillId="11" borderId="261" xfId="0" applyNumberFormat="1" applyFont="1" applyFill="1" applyBorder="1"/>
    <xf numFmtId="4" fontId="5" fillId="11" borderId="262" xfId="0" applyNumberFormat="1" applyFont="1" applyFill="1" applyBorder="1"/>
    <xf numFmtId="4" fontId="9" fillId="11" borderId="124" xfId="0" applyNumberFormat="1" applyFont="1" applyFill="1" applyBorder="1"/>
    <xf numFmtId="4" fontId="5" fillId="11" borderId="124" xfId="0" applyNumberFormat="1" applyFont="1" applyFill="1" applyBorder="1"/>
    <xf numFmtId="4" fontId="5" fillId="11" borderId="124" xfId="0" quotePrefix="1" applyNumberFormat="1" applyFont="1" applyFill="1" applyBorder="1" applyAlignment="1">
      <alignment horizontal="left"/>
    </xf>
    <xf numFmtId="3" fontId="5" fillId="11" borderId="124" xfId="0" applyNumberFormat="1" applyFont="1" applyFill="1" applyBorder="1"/>
    <xf numFmtId="4" fontId="5" fillId="11" borderId="263" xfId="0" applyNumberFormat="1" applyFont="1" applyFill="1" applyBorder="1"/>
    <xf numFmtId="4" fontId="9" fillId="11" borderId="264" xfId="0" applyNumberFormat="1" applyFont="1" applyFill="1" applyBorder="1"/>
    <xf numFmtId="4" fontId="5" fillId="11" borderId="264" xfId="0" applyNumberFormat="1" applyFont="1" applyFill="1" applyBorder="1"/>
    <xf numFmtId="3" fontId="5" fillId="11" borderId="264" xfId="0" applyNumberFormat="1" applyFont="1" applyFill="1" applyBorder="1"/>
    <xf numFmtId="4" fontId="5" fillId="11" borderId="265" xfId="0" applyNumberFormat="1" applyFont="1" applyFill="1" applyBorder="1"/>
    <xf numFmtId="4" fontId="5" fillId="11" borderId="264" xfId="0" quotePrefix="1" applyNumberFormat="1" applyFont="1" applyFill="1" applyBorder="1" applyAlignment="1">
      <alignment horizontal="left"/>
    </xf>
    <xf numFmtId="4" fontId="5" fillId="5" borderId="124" xfId="0" applyNumberFormat="1" applyFont="1" applyFill="1" applyBorder="1"/>
    <xf numFmtId="2" fontId="40" fillId="0" borderId="79" xfId="0" quotePrefix="1" applyNumberFormat="1" applyFont="1" applyBorder="1" applyAlignment="1" applyProtection="1">
      <alignment vertical="top"/>
      <protection hidden="1"/>
    </xf>
    <xf numFmtId="2" fontId="40" fillId="0" borderId="80" xfId="0" quotePrefix="1" applyNumberFormat="1" applyFont="1" applyBorder="1" applyAlignment="1" applyProtection="1">
      <alignment vertical="top"/>
      <protection hidden="1"/>
    </xf>
    <xf numFmtId="2" fontId="40" fillId="0" borderId="81" xfId="0" quotePrefix="1" applyNumberFormat="1" applyFont="1" applyBorder="1" applyAlignment="1" applyProtection="1">
      <alignment vertical="top"/>
      <protection hidden="1"/>
    </xf>
    <xf numFmtId="0" fontId="6" fillId="0" borderId="3" xfId="0" applyFont="1" applyBorder="1" applyAlignment="1" applyProtection="1">
      <alignment vertical="center"/>
      <protection hidden="1"/>
    </xf>
    <xf numFmtId="0" fontId="6" fillId="0" borderId="3" xfId="0" applyFont="1" applyBorder="1" applyProtection="1">
      <protection hidden="1"/>
    </xf>
    <xf numFmtId="0" fontId="14" fillId="9" borderId="80" xfId="0" applyFont="1" applyFill="1" applyBorder="1" applyAlignment="1" applyProtection="1">
      <alignment horizontal="left" vertical="center"/>
      <protection hidden="1"/>
    </xf>
    <xf numFmtId="0" fontId="6" fillId="0" borderId="1" xfId="0" applyFont="1" applyBorder="1" applyAlignment="1" applyProtection="1">
      <alignment vertical="center"/>
      <protection hidden="1"/>
    </xf>
    <xf numFmtId="0" fontId="6" fillId="0" borderId="2" xfId="0" applyFont="1" applyBorder="1" applyAlignment="1" applyProtection="1">
      <alignment vertical="center"/>
      <protection hidden="1"/>
    </xf>
    <xf numFmtId="0" fontId="6" fillId="0" borderId="4" xfId="0" applyFont="1" applyBorder="1" applyAlignment="1" applyProtection="1">
      <alignment vertical="center"/>
      <protection hidden="1"/>
    </xf>
    <xf numFmtId="0" fontId="2" fillId="12" borderId="298" xfId="0" applyFont="1" applyFill="1" applyBorder="1"/>
    <xf numFmtId="0" fontId="2" fillId="12" borderId="299" xfId="0" applyFont="1" applyFill="1" applyBorder="1"/>
    <xf numFmtId="0" fontId="2" fillId="12" borderId="301" xfId="0" applyFont="1" applyFill="1" applyBorder="1"/>
    <xf numFmtId="0" fontId="2" fillId="12" borderId="302" xfId="0" applyFont="1" applyFill="1" applyBorder="1"/>
    <xf numFmtId="0" fontId="16" fillId="0" borderId="84" xfId="0" applyFont="1" applyBorder="1" applyAlignment="1" applyProtection="1">
      <alignment horizontal="right" indent="1"/>
      <protection hidden="1"/>
    </xf>
    <xf numFmtId="4" fontId="5" fillId="5" borderId="261" xfId="0" applyNumberFormat="1" applyFont="1" applyFill="1" applyBorder="1"/>
    <xf numFmtId="4" fontId="5" fillId="5" borderId="264" xfId="0" applyNumberFormat="1" applyFont="1" applyFill="1" applyBorder="1"/>
    <xf numFmtId="2" fontId="40" fillId="0" borderId="83" xfId="0" applyNumberFormat="1" applyFont="1" applyBorder="1" applyAlignment="1" applyProtection="1">
      <alignment vertical="top"/>
      <protection hidden="1"/>
    </xf>
    <xf numFmtId="2" fontId="40" fillId="0" borderId="84" xfId="0" applyNumberFormat="1" applyFont="1" applyBorder="1" applyAlignment="1" applyProtection="1">
      <alignment vertical="top"/>
      <protection hidden="1"/>
    </xf>
    <xf numFmtId="2" fontId="40" fillId="0" borderId="85" xfId="0" applyNumberFormat="1" applyFont="1" applyBorder="1" applyAlignment="1" applyProtection="1">
      <alignment vertical="top"/>
      <protection hidden="1"/>
    </xf>
    <xf numFmtId="2" fontId="40" fillId="0" borderId="86" xfId="0" applyNumberFormat="1" applyFont="1" applyBorder="1" applyAlignment="1" applyProtection="1">
      <alignment vertical="top"/>
      <protection hidden="1"/>
    </xf>
    <xf numFmtId="2" fontId="40" fillId="0" borderId="87" xfId="0" applyNumberFormat="1" applyFont="1" applyBorder="1" applyAlignment="1" applyProtection="1">
      <alignment vertical="top"/>
      <protection hidden="1"/>
    </xf>
    <xf numFmtId="2" fontId="40" fillId="0" borderId="79" xfId="0" applyNumberFormat="1" applyFont="1" applyBorder="1" applyAlignment="1" applyProtection="1">
      <alignment vertical="top"/>
      <protection hidden="1"/>
    </xf>
    <xf numFmtId="2" fontId="40" fillId="0" borderId="80" xfId="0" applyNumberFormat="1" applyFont="1" applyBorder="1" applyAlignment="1" applyProtection="1">
      <alignment vertical="top"/>
      <protection hidden="1"/>
    </xf>
    <xf numFmtId="2" fontId="40" fillId="0" borderId="81" xfId="0" applyNumberFormat="1" applyFont="1" applyBorder="1" applyAlignment="1" applyProtection="1">
      <alignment vertical="top"/>
      <protection hidden="1"/>
    </xf>
    <xf numFmtId="0" fontId="14" fillId="0" borderId="0" xfId="2" applyFont="1" applyAlignment="1" applyProtection="1">
      <alignment horizontal="center" vertical="center"/>
      <protection hidden="1"/>
    </xf>
    <xf numFmtId="2" fontId="40" fillId="0" borderId="0" xfId="0" applyNumberFormat="1" applyFont="1" applyAlignment="1" applyProtection="1">
      <alignment vertical="top"/>
      <protection hidden="1"/>
    </xf>
    <xf numFmtId="0" fontId="17" fillId="0" borderId="0" xfId="0" applyFont="1" applyProtection="1">
      <protection hidden="1"/>
    </xf>
    <xf numFmtId="3" fontId="6" fillId="0" borderId="304" xfId="0" applyNumberFormat="1" applyFont="1" applyBorder="1" applyProtection="1">
      <protection hidden="1"/>
    </xf>
    <xf numFmtId="3" fontId="6" fillId="0" borderId="300" xfId="0" applyNumberFormat="1" applyFont="1" applyBorder="1" applyProtection="1">
      <protection hidden="1"/>
    </xf>
    <xf numFmtId="3" fontId="6" fillId="0" borderId="307" xfId="0" applyNumberFormat="1" applyFont="1" applyBorder="1" applyProtection="1">
      <protection hidden="1"/>
    </xf>
    <xf numFmtId="3" fontId="6" fillId="0" borderId="308" xfId="0" applyNumberFormat="1" applyFont="1" applyBorder="1" applyProtection="1">
      <protection hidden="1"/>
    </xf>
    <xf numFmtId="166" fontId="6" fillId="0" borderId="0" xfId="0" applyNumberFormat="1" applyFont="1" applyProtection="1">
      <protection hidden="1"/>
    </xf>
    <xf numFmtId="0" fontId="43" fillId="32" borderId="309" xfId="0" applyFont="1" applyFill="1" applyBorder="1" applyAlignment="1" applyProtection="1">
      <alignment horizontal="center"/>
      <protection hidden="1"/>
    </xf>
    <xf numFmtId="0" fontId="28" fillId="0" borderId="0" xfId="0" applyFont="1" applyProtection="1">
      <protection hidden="1"/>
    </xf>
    <xf numFmtId="0" fontId="43" fillId="32" borderId="322" xfId="0" applyFont="1" applyFill="1" applyBorder="1" applyAlignment="1">
      <alignment horizontal="center" vertical="top"/>
    </xf>
    <xf numFmtId="0" fontId="17" fillId="18" borderId="192" xfId="0" applyFont="1" applyFill="1" applyBorder="1" applyAlignment="1" applyProtection="1">
      <alignment horizontal="center"/>
      <protection hidden="1"/>
    </xf>
    <xf numFmtId="0" fontId="43" fillId="32" borderId="0" xfId="0" applyFont="1" applyFill="1" applyAlignment="1" applyProtection="1">
      <alignment horizontal="center"/>
      <protection hidden="1"/>
    </xf>
    <xf numFmtId="0" fontId="43" fillId="32" borderId="0" xfId="0" applyFont="1" applyFill="1" applyAlignment="1">
      <alignment horizontal="center" vertical="top"/>
    </xf>
    <xf numFmtId="0" fontId="14" fillId="9" borderId="226" xfId="0" applyFont="1" applyFill="1" applyBorder="1" applyProtection="1">
      <protection hidden="1"/>
    </xf>
    <xf numFmtId="0" fontId="14" fillId="9" borderId="209" xfId="0" applyFont="1" applyFill="1" applyBorder="1" applyProtection="1">
      <protection hidden="1"/>
    </xf>
    <xf numFmtId="0" fontId="14" fillId="9" borderId="224" xfId="0" applyFont="1" applyFill="1" applyBorder="1" applyProtection="1">
      <protection hidden="1"/>
    </xf>
    <xf numFmtId="0" fontId="10" fillId="9" borderId="226" xfId="0" applyFont="1" applyFill="1" applyBorder="1" applyProtection="1">
      <protection hidden="1"/>
    </xf>
    <xf numFmtId="0" fontId="10" fillId="9" borderId="209" xfId="0" applyFont="1" applyFill="1" applyBorder="1" applyProtection="1">
      <protection hidden="1"/>
    </xf>
    <xf numFmtId="0" fontId="10" fillId="9" borderId="224" xfId="0" applyFont="1" applyFill="1" applyBorder="1" applyProtection="1">
      <protection hidden="1"/>
    </xf>
    <xf numFmtId="0" fontId="6" fillId="0" borderId="66" xfId="0" quotePrefix="1" applyFont="1" applyBorder="1" applyAlignment="1" applyProtection="1">
      <alignment horizontal="left" vertical="center"/>
      <protection hidden="1"/>
    </xf>
    <xf numFmtId="2" fontId="8" fillId="0" borderId="66" xfId="0" quotePrefix="1" applyNumberFormat="1" applyFont="1" applyBorder="1" applyAlignment="1" applyProtection="1">
      <alignment horizontal="left" vertical="center"/>
      <protection hidden="1"/>
    </xf>
    <xf numFmtId="0" fontId="14" fillId="12" borderId="226" xfId="0" applyFont="1" applyFill="1" applyBorder="1" applyProtection="1">
      <protection hidden="1"/>
    </xf>
    <xf numFmtId="0" fontId="14" fillId="12" borderId="209" xfId="0" applyFont="1" applyFill="1" applyBorder="1" applyProtection="1">
      <protection hidden="1"/>
    </xf>
    <xf numFmtId="0" fontId="14" fillId="12" borderId="224" xfId="0" applyFont="1" applyFill="1" applyBorder="1" applyProtection="1">
      <protection hidden="1"/>
    </xf>
    <xf numFmtId="0" fontId="28" fillId="12" borderId="224" xfId="0" applyFont="1" applyFill="1" applyBorder="1" applyProtection="1">
      <protection hidden="1"/>
    </xf>
    <xf numFmtId="0" fontId="17" fillId="18" borderId="334" xfId="0" applyFont="1" applyFill="1" applyBorder="1" applyAlignment="1" applyProtection="1">
      <alignment horizontal="center"/>
      <protection hidden="1"/>
    </xf>
    <xf numFmtId="0" fontId="17" fillId="18" borderId="335" xfId="0" applyFont="1" applyFill="1" applyBorder="1" applyAlignment="1" applyProtection="1">
      <alignment horizontal="center"/>
      <protection hidden="1"/>
    </xf>
    <xf numFmtId="3" fontId="14" fillId="12" borderId="288" xfId="0" applyNumberFormat="1" applyFont="1" applyFill="1" applyBorder="1" applyProtection="1">
      <protection hidden="1"/>
    </xf>
    <xf numFmtId="0" fontId="6" fillId="12" borderId="289" xfId="0" applyFont="1" applyFill="1" applyBorder="1" applyProtection="1">
      <protection hidden="1"/>
    </xf>
    <xf numFmtId="3" fontId="14" fillId="12" borderId="291" xfId="0" applyNumberFormat="1" applyFont="1" applyFill="1" applyBorder="1" applyProtection="1">
      <protection hidden="1"/>
    </xf>
    <xf numFmtId="0" fontId="6" fillId="12" borderId="293" xfId="0" applyFont="1" applyFill="1" applyBorder="1" applyProtection="1">
      <protection hidden="1"/>
    </xf>
    <xf numFmtId="3" fontId="14" fillId="12" borderId="294" xfId="0" applyNumberFormat="1" applyFont="1" applyFill="1" applyBorder="1" applyProtection="1">
      <protection hidden="1"/>
    </xf>
    <xf numFmtId="0" fontId="6" fillId="12" borderId="295" xfId="0" applyFont="1" applyFill="1" applyBorder="1" applyProtection="1">
      <protection hidden="1"/>
    </xf>
    <xf numFmtId="3" fontId="10" fillId="12" borderId="288" xfId="0" applyNumberFormat="1" applyFont="1" applyFill="1" applyBorder="1" applyProtection="1">
      <protection hidden="1"/>
    </xf>
    <xf numFmtId="3" fontId="10" fillId="12" borderId="294" xfId="0" applyNumberFormat="1" applyFont="1" applyFill="1" applyBorder="1" applyProtection="1">
      <protection hidden="1"/>
    </xf>
    <xf numFmtId="164" fontId="10" fillId="6" borderId="167" xfId="0" applyNumberFormat="1" applyFont="1" applyFill="1" applyBorder="1" applyAlignment="1">
      <alignment horizontal="center"/>
    </xf>
    <xf numFmtId="164" fontId="28" fillId="12" borderId="22" xfId="0" applyNumberFormat="1" applyFont="1" applyFill="1" applyBorder="1"/>
    <xf numFmtId="164" fontId="10" fillId="6" borderId="23" xfId="0" applyNumberFormat="1" applyFont="1" applyFill="1" applyBorder="1" applyAlignment="1">
      <alignment horizontal="center"/>
    </xf>
    <xf numFmtId="164" fontId="28" fillId="12" borderId="23" xfId="0" applyNumberFormat="1" applyFont="1" applyFill="1" applyBorder="1"/>
    <xf numFmtId="164" fontId="10" fillId="6" borderId="22" xfId="0" applyNumberFormat="1" applyFont="1" applyFill="1" applyBorder="1"/>
    <xf numFmtId="164" fontId="10" fillId="6" borderId="24" xfId="0" applyNumberFormat="1" applyFont="1" applyFill="1" applyBorder="1"/>
    <xf numFmtId="164" fontId="28" fillId="12" borderId="25" xfId="0" applyNumberFormat="1" applyFont="1" applyFill="1" applyBorder="1"/>
    <xf numFmtId="3" fontId="6" fillId="0" borderId="280" xfId="0" applyNumberFormat="1" applyFont="1" applyBorder="1" applyProtection="1">
      <protection hidden="1"/>
    </xf>
    <xf numFmtId="3" fontId="6" fillId="0" borderId="283" xfId="0" applyNumberFormat="1" applyFont="1" applyBorder="1" applyProtection="1">
      <protection hidden="1"/>
    </xf>
    <xf numFmtId="3" fontId="6" fillId="0" borderId="332" xfId="0" applyNumberFormat="1" applyFont="1" applyBorder="1" applyProtection="1">
      <protection hidden="1"/>
    </xf>
    <xf numFmtId="166" fontId="6" fillId="0" borderId="159" xfId="0" applyNumberFormat="1" applyFont="1" applyBorder="1" applyProtection="1">
      <protection hidden="1"/>
    </xf>
    <xf numFmtId="166" fontId="6" fillId="0" borderId="279" xfId="0" applyNumberFormat="1" applyFont="1" applyBorder="1" applyProtection="1">
      <protection hidden="1"/>
    </xf>
    <xf numFmtId="166" fontId="6" fillId="0" borderId="282" xfId="0" applyNumberFormat="1" applyFont="1" applyBorder="1" applyProtection="1">
      <protection hidden="1"/>
    </xf>
    <xf numFmtId="166" fontId="6" fillId="0" borderId="321" xfId="0" applyNumberFormat="1" applyFont="1" applyBorder="1" applyProtection="1">
      <protection hidden="1"/>
    </xf>
    <xf numFmtId="166" fontId="6" fillId="0" borderId="336" xfId="0" applyNumberFormat="1" applyFont="1" applyBorder="1" applyProtection="1">
      <protection hidden="1"/>
    </xf>
    <xf numFmtId="3" fontId="6" fillId="0" borderId="1" xfId="0" applyNumberFormat="1" applyFont="1" applyBorder="1" applyProtection="1">
      <protection hidden="1"/>
    </xf>
    <xf numFmtId="166" fontId="43" fillId="24" borderId="26" xfId="0" applyNumberFormat="1" applyFont="1" applyFill="1" applyBorder="1" applyProtection="1">
      <protection hidden="1"/>
    </xf>
    <xf numFmtId="166" fontId="43" fillId="24" borderId="27" xfId="0" applyNumberFormat="1" applyFont="1" applyFill="1" applyBorder="1" applyProtection="1">
      <protection hidden="1"/>
    </xf>
    <xf numFmtId="166" fontId="43" fillId="24" borderId="28" xfId="0" applyNumberFormat="1" applyFont="1" applyFill="1" applyBorder="1" applyProtection="1">
      <protection hidden="1"/>
    </xf>
    <xf numFmtId="3" fontId="43" fillId="24" borderId="166" xfId="0" applyNumberFormat="1" applyFont="1" applyFill="1" applyBorder="1" applyProtection="1">
      <protection hidden="1"/>
    </xf>
    <xf numFmtId="3" fontId="43" fillId="24" borderId="167" xfId="0" applyNumberFormat="1" applyFont="1" applyFill="1" applyBorder="1" applyProtection="1">
      <protection hidden="1"/>
    </xf>
    <xf numFmtId="3" fontId="43" fillId="24" borderId="22" xfId="0" applyNumberFormat="1" applyFont="1" applyFill="1" applyBorder="1" applyProtection="1">
      <protection hidden="1"/>
    </xf>
    <xf numFmtId="3" fontId="43" fillId="24" borderId="23" xfId="0" applyNumberFormat="1" applyFont="1" applyFill="1" applyBorder="1" applyProtection="1">
      <protection hidden="1"/>
    </xf>
    <xf numFmtId="3" fontId="43" fillId="24" borderId="24" xfId="0" applyNumberFormat="1" applyFont="1" applyFill="1" applyBorder="1" applyProtection="1">
      <protection hidden="1"/>
    </xf>
    <xf numFmtId="3" fontId="43" fillId="24" borderId="25" xfId="0" applyNumberFormat="1" applyFont="1" applyFill="1" applyBorder="1" applyProtection="1">
      <protection hidden="1"/>
    </xf>
    <xf numFmtId="3" fontId="10" fillId="0" borderId="280" xfId="0" applyNumberFormat="1" applyFont="1" applyBorder="1" applyProtection="1">
      <protection hidden="1"/>
    </xf>
    <xf numFmtId="3" fontId="10" fillId="0" borderId="283" xfId="0" applyNumberFormat="1" applyFont="1" applyBorder="1" applyProtection="1">
      <protection hidden="1"/>
    </xf>
    <xf numFmtId="166" fontId="10" fillId="0" borderId="279" xfId="0" applyNumberFormat="1" applyFont="1" applyBorder="1" applyProtection="1">
      <protection hidden="1"/>
    </xf>
    <xf numFmtId="166" fontId="10" fillId="0" borderId="282" xfId="0" applyNumberFormat="1" applyFont="1" applyBorder="1" applyProtection="1">
      <protection hidden="1"/>
    </xf>
    <xf numFmtId="3" fontId="14" fillId="12" borderId="279" xfId="0" applyNumberFormat="1" applyFont="1" applyFill="1" applyBorder="1" applyProtection="1">
      <protection hidden="1"/>
    </xf>
    <xf numFmtId="3" fontId="14" fillId="12" borderId="282" xfId="0" applyNumberFormat="1" applyFont="1" applyFill="1" applyBorder="1" applyProtection="1">
      <protection hidden="1"/>
    </xf>
    <xf numFmtId="3" fontId="10" fillId="0" borderId="338" xfId="0" applyNumberFormat="1" applyFont="1" applyBorder="1" applyProtection="1">
      <protection hidden="1"/>
    </xf>
    <xf numFmtId="3" fontId="14" fillId="12" borderId="285" xfId="0" applyNumberFormat="1" applyFont="1" applyFill="1" applyBorder="1" applyProtection="1">
      <protection hidden="1"/>
    </xf>
    <xf numFmtId="166" fontId="14" fillId="0" borderId="196" xfId="0" applyNumberFormat="1" applyFont="1" applyBorder="1" applyProtection="1">
      <protection hidden="1"/>
    </xf>
    <xf numFmtId="3" fontId="14" fillId="6" borderId="166" xfId="0" applyNumberFormat="1" applyFont="1" applyFill="1" applyBorder="1" applyProtection="1">
      <protection hidden="1"/>
    </xf>
    <xf numFmtId="3" fontId="14" fillId="6" borderId="24" xfId="0" applyNumberFormat="1" applyFont="1" applyFill="1" applyBorder="1" applyProtection="1">
      <protection hidden="1"/>
    </xf>
    <xf numFmtId="3" fontId="14" fillId="6" borderId="59" xfId="0" applyNumberFormat="1" applyFont="1" applyFill="1" applyBorder="1" applyProtection="1">
      <protection hidden="1"/>
    </xf>
    <xf numFmtId="3" fontId="17" fillId="0" borderId="333" xfId="0" applyNumberFormat="1" applyFont="1" applyBorder="1" applyProtection="1">
      <protection hidden="1"/>
    </xf>
    <xf numFmtId="3" fontId="17" fillId="0" borderId="332" xfId="0" applyNumberFormat="1" applyFont="1" applyBorder="1" applyProtection="1">
      <protection hidden="1"/>
    </xf>
    <xf numFmtId="3" fontId="17" fillId="0" borderId="283" xfId="0" applyNumberFormat="1" applyFont="1" applyBorder="1" applyProtection="1">
      <protection hidden="1"/>
    </xf>
    <xf numFmtId="166" fontId="17" fillId="0" borderId="282" xfId="0" applyNumberFormat="1" applyFont="1" applyBorder="1" applyProtection="1">
      <protection hidden="1"/>
    </xf>
    <xf numFmtId="166" fontId="17" fillId="0" borderId="321" xfId="0" applyNumberFormat="1" applyFont="1" applyBorder="1" applyProtection="1">
      <protection hidden="1"/>
    </xf>
    <xf numFmtId="166" fontId="6" fillId="0" borderId="320" xfId="0" applyNumberFormat="1" applyFont="1" applyBorder="1" applyProtection="1">
      <protection hidden="1"/>
    </xf>
    <xf numFmtId="3" fontId="17" fillId="0" borderId="290" xfId="0" applyNumberFormat="1" applyFont="1" applyBorder="1" applyProtection="1">
      <protection hidden="1"/>
    </xf>
    <xf numFmtId="166" fontId="17" fillId="0" borderId="233" xfId="0" applyNumberFormat="1" applyFont="1" applyBorder="1" applyProtection="1">
      <protection hidden="1"/>
    </xf>
    <xf numFmtId="166" fontId="17" fillId="0" borderId="337" xfId="0" applyNumberFormat="1" applyFont="1" applyBorder="1" applyProtection="1">
      <protection hidden="1"/>
    </xf>
    <xf numFmtId="3" fontId="17" fillId="0" borderId="339" xfId="0" applyNumberFormat="1" applyFont="1" applyBorder="1" applyProtection="1">
      <protection hidden="1"/>
    </xf>
    <xf numFmtId="166" fontId="43" fillId="38" borderId="326" xfId="0" applyNumberFormat="1" applyFont="1" applyFill="1" applyBorder="1" applyProtection="1">
      <protection hidden="1"/>
    </xf>
    <xf numFmtId="3" fontId="43" fillId="38" borderId="166" xfId="0" applyNumberFormat="1" applyFont="1" applyFill="1" applyBorder="1" applyProtection="1">
      <protection hidden="1"/>
    </xf>
    <xf numFmtId="3" fontId="43" fillId="38" borderId="167" xfId="0" applyNumberFormat="1" applyFont="1" applyFill="1" applyBorder="1" applyProtection="1">
      <protection hidden="1"/>
    </xf>
    <xf numFmtId="3" fontId="43" fillId="38" borderId="22" xfId="0" applyNumberFormat="1" applyFont="1" applyFill="1" applyBorder="1" applyProtection="1">
      <protection hidden="1"/>
    </xf>
    <xf numFmtId="3" fontId="43" fillId="38" borderId="23" xfId="0" applyNumberFormat="1" applyFont="1" applyFill="1" applyBorder="1" applyProtection="1">
      <protection hidden="1"/>
    </xf>
    <xf numFmtId="3" fontId="43" fillId="38" borderId="24" xfId="0" applyNumberFormat="1" applyFont="1" applyFill="1" applyBorder="1" applyProtection="1">
      <protection hidden="1"/>
    </xf>
    <xf numFmtId="3" fontId="43" fillId="38" borderId="25" xfId="0" applyNumberFormat="1" applyFont="1" applyFill="1" applyBorder="1" applyProtection="1">
      <protection hidden="1"/>
    </xf>
    <xf numFmtId="166" fontId="43" fillId="25" borderId="326" xfId="0" applyNumberFormat="1" applyFont="1" applyFill="1" applyBorder="1" applyProtection="1">
      <protection hidden="1"/>
    </xf>
    <xf numFmtId="0" fontId="10" fillId="40" borderId="166" xfId="0" applyFont="1" applyFill="1" applyBorder="1" applyProtection="1">
      <protection hidden="1"/>
    </xf>
    <xf numFmtId="0" fontId="10" fillId="40" borderId="167" xfId="0" applyFont="1" applyFill="1" applyBorder="1" applyProtection="1">
      <protection hidden="1"/>
    </xf>
    <xf numFmtId="0" fontId="10" fillId="40" borderId="22" xfId="0" applyFont="1" applyFill="1" applyBorder="1" applyProtection="1">
      <protection hidden="1"/>
    </xf>
    <xf numFmtId="0" fontId="10" fillId="40" borderId="23" xfId="0" applyFont="1" applyFill="1" applyBorder="1" applyProtection="1">
      <protection hidden="1"/>
    </xf>
    <xf numFmtId="0" fontId="10" fillId="40" borderId="24" xfId="0" applyFont="1" applyFill="1" applyBorder="1" applyProtection="1">
      <protection hidden="1"/>
    </xf>
    <xf numFmtId="0" fontId="10" fillId="40" borderId="25" xfId="0" applyFont="1" applyFill="1" applyBorder="1" applyProtection="1">
      <protection hidden="1"/>
    </xf>
    <xf numFmtId="0" fontId="10" fillId="14" borderId="59" xfId="0" applyFont="1" applyFill="1" applyBorder="1" applyProtection="1">
      <protection hidden="1"/>
    </xf>
    <xf numFmtId="0" fontId="10" fillId="14" borderId="329" xfId="0" applyFont="1" applyFill="1" applyBorder="1" applyProtection="1">
      <protection hidden="1"/>
    </xf>
    <xf numFmtId="166" fontId="14" fillId="12" borderId="26" xfId="0" applyNumberFormat="1" applyFont="1" applyFill="1" applyBorder="1" applyProtection="1">
      <protection hidden="1"/>
    </xf>
    <xf numFmtId="166" fontId="14" fillId="12" borderId="28" xfId="0" applyNumberFormat="1" applyFont="1" applyFill="1" applyBorder="1" applyProtection="1">
      <protection hidden="1"/>
    </xf>
    <xf numFmtId="3" fontId="14" fillId="12" borderId="167" xfId="0" applyNumberFormat="1" applyFont="1" applyFill="1" applyBorder="1" applyProtection="1">
      <protection hidden="1"/>
    </xf>
    <xf numFmtId="0" fontId="6" fillId="12" borderId="166" xfId="0" applyFont="1" applyFill="1" applyBorder="1" applyProtection="1">
      <protection hidden="1"/>
    </xf>
    <xf numFmtId="0" fontId="6" fillId="12" borderId="167" xfId="0" applyFont="1" applyFill="1" applyBorder="1" applyProtection="1">
      <protection hidden="1"/>
    </xf>
    <xf numFmtId="3" fontId="14" fillId="12" borderId="25" xfId="0" applyNumberFormat="1" applyFont="1" applyFill="1" applyBorder="1" applyProtection="1">
      <protection hidden="1"/>
    </xf>
    <xf numFmtId="0" fontId="6" fillId="12" borderId="24" xfId="0" applyFont="1" applyFill="1" applyBorder="1" applyProtection="1">
      <protection hidden="1"/>
    </xf>
    <xf numFmtId="0" fontId="6" fillId="12" borderId="25" xfId="0" applyFont="1" applyFill="1" applyBorder="1" applyProtection="1">
      <protection hidden="1"/>
    </xf>
    <xf numFmtId="3" fontId="14" fillId="12" borderId="329" xfId="0" applyNumberFormat="1" applyFont="1" applyFill="1" applyBorder="1" applyProtection="1">
      <protection hidden="1"/>
    </xf>
    <xf numFmtId="0" fontId="6" fillId="12" borderId="59" xfId="0" applyFont="1" applyFill="1" applyBorder="1" applyProtection="1">
      <protection hidden="1"/>
    </xf>
    <xf numFmtId="0" fontId="6" fillId="12" borderId="329" xfId="0" applyFont="1" applyFill="1" applyBorder="1" applyProtection="1">
      <protection hidden="1"/>
    </xf>
    <xf numFmtId="166" fontId="14" fillId="12" borderId="326" xfId="0" applyNumberFormat="1" applyFont="1" applyFill="1" applyBorder="1" applyProtection="1">
      <protection hidden="1"/>
    </xf>
    <xf numFmtId="166" fontId="14" fillId="12" borderId="46" xfId="0" applyNumberFormat="1" applyFont="1" applyFill="1" applyBorder="1" applyProtection="1">
      <protection hidden="1"/>
    </xf>
    <xf numFmtId="166" fontId="14" fillId="12" borderId="63" xfId="0" applyNumberFormat="1" applyFont="1" applyFill="1" applyBorder="1" applyProtection="1">
      <protection hidden="1"/>
    </xf>
    <xf numFmtId="0" fontId="6" fillId="12" borderId="0" xfId="0" applyFont="1" applyFill="1" applyProtection="1">
      <protection hidden="1"/>
    </xf>
    <xf numFmtId="0" fontId="6" fillId="12" borderId="0" xfId="0" applyFont="1" applyFill="1"/>
    <xf numFmtId="0" fontId="17" fillId="12" borderId="236" xfId="0" applyFont="1" applyFill="1" applyBorder="1" applyProtection="1">
      <protection hidden="1"/>
    </xf>
    <xf numFmtId="0" fontId="6" fillId="12" borderId="234" xfId="0" applyFont="1" applyFill="1" applyBorder="1" applyProtection="1">
      <protection hidden="1"/>
    </xf>
    <xf numFmtId="0" fontId="28" fillId="12" borderId="340" xfId="0" applyFont="1" applyFill="1" applyBorder="1" applyProtection="1">
      <protection hidden="1"/>
    </xf>
    <xf numFmtId="0" fontId="29" fillId="12" borderId="341" xfId="0" applyFont="1" applyFill="1" applyBorder="1" applyProtection="1">
      <protection hidden="1"/>
    </xf>
    <xf numFmtId="0" fontId="6" fillId="6" borderId="166" xfId="0" quotePrefix="1" applyFont="1" applyFill="1" applyBorder="1" applyAlignment="1">
      <alignment vertical="center"/>
    </xf>
    <xf numFmtId="0" fontId="6" fillId="6" borderId="24" xfId="0" quotePrefix="1" applyFont="1" applyFill="1" applyBorder="1" applyAlignment="1">
      <alignment vertical="center"/>
    </xf>
    <xf numFmtId="1" fontId="10" fillId="6" borderId="25" xfId="0" applyNumberFormat="1" applyFont="1" applyFill="1" applyBorder="1"/>
    <xf numFmtId="164" fontId="51" fillId="9" borderId="0" xfId="0" applyNumberFormat="1" applyFont="1" applyFill="1" applyProtection="1">
      <protection hidden="1"/>
    </xf>
    <xf numFmtId="0" fontId="50" fillId="41" borderId="94" xfId="0" applyFont="1" applyFill="1" applyBorder="1" applyProtection="1">
      <protection locked="0"/>
    </xf>
    <xf numFmtId="0" fontId="52" fillId="9" borderId="0" xfId="0" applyFont="1" applyFill="1" applyAlignment="1" applyProtection="1">
      <alignment vertical="center" wrapText="1"/>
      <protection hidden="1"/>
    </xf>
    <xf numFmtId="2" fontId="50" fillId="41" borderId="118" xfId="0" applyNumberFormat="1" applyFont="1" applyFill="1" applyBorder="1" applyProtection="1">
      <protection locked="0"/>
    </xf>
    <xf numFmtId="3" fontId="50" fillId="41" borderId="116" xfId="0" applyNumberFormat="1" applyFont="1" applyFill="1" applyBorder="1" applyProtection="1">
      <protection locked="0"/>
    </xf>
    <xf numFmtId="169" fontId="50" fillId="41" borderId="111" xfId="0" applyNumberFormat="1" applyFont="1" applyFill="1" applyBorder="1" applyProtection="1">
      <protection locked="0"/>
    </xf>
    <xf numFmtId="0" fontId="53" fillId="9" borderId="0" xfId="0" applyFont="1" applyFill="1" applyProtection="1">
      <protection hidden="1"/>
    </xf>
    <xf numFmtId="169" fontId="50" fillId="41" borderId="94" xfId="0" applyNumberFormat="1" applyFont="1" applyFill="1" applyBorder="1" applyProtection="1">
      <protection locked="0"/>
    </xf>
    <xf numFmtId="169" fontId="50" fillId="41" borderId="118" xfId="0" applyNumberFormat="1" applyFont="1" applyFill="1" applyBorder="1" applyProtection="1">
      <protection locked="0"/>
    </xf>
    <xf numFmtId="3" fontId="50" fillId="41" borderId="117" xfId="0" applyNumberFormat="1" applyFont="1" applyFill="1" applyBorder="1" applyProtection="1">
      <protection locked="0"/>
    </xf>
    <xf numFmtId="0" fontId="50" fillId="41" borderId="119" xfId="0" applyFont="1" applyFill="1" applyBorder="1" applyProtection="1">
      <protection locked="0"/>
    </xf>
    <xf numFmtId="0" fontId="50" fillId="41" borderId="238" xfId="0" quotePrefix="1" applyFont="1" applyFill="1" applyBorder="1" applyProtection="1">
      <protection locked="0"/>
    </xf>
    <xf numFmtId="0" fontId="50" fillId="41" borderId="117" xfId="0" applyFont="1" applyFill="1" applyBorder="1" applyProtection="1">
      <protection locked="0"/>
    </xf>
    <xf numFmtId="170" fontId="28" fillId="6" borderId="167" xfId="0" applyNumberFormat="1" applyFont="1" applyFill="1" applyBorder="1"/>
    <xf numFmtId="170" fontId="28" fillId="6" borderId="25" xfId="0" applyNumberFormat="1" applyFont="1" applyFill="1" applyBorder="1"/>
    <xf numFmtId="0" fontId="15" fillId="9" borderId="88" xfId="0" quotePrefix="1" applyFont="1" applyFill="1" applyBorder="1" applyAlignment="1" applyProtection="1">
      <alignment vertical="center"/>
      <protection hidden="1"/>
    </xf>
    <xf numFmtId="0" fontId="15" fillId="9" borderId="90" xfId="0" quotePrefix="1" applyFont="1" applyFill="1" applyBorder="1" applyAlignment="1" applyProtection="1">
      <alignment vertical="center"/>
      <protection hidden="1"/>
    </xf>
    <xf numFmtId="4" fontId="49" fillId="41" borderId="119" xfId="0" applyNumberFormat="1" applyFont="1" applyFill="1" applyBorder="1" applyAlignment="1" applyProtection="1">
      <alignment vertical="center"/>
      <protection locked="0"/>
    </xf>
    <xf numFmtId="49" fontId="51" fillId="41" borderId="75" xfId="0" applyNumberFormat="1" applyFont="1" applyFill="1" applyBorder="1" applyAlignment="1" applyProtection="1">
      <alignment horizontal="left" vertical="center"/>
      <protection locked="0"/>
    </xf>
    <xf numFmtId="0" fontId="12" fillId="0" borderId="0" xfId="0" applyFont="1" applyProtection="1">
      <protection hidden="1"/>
    </xf>
    <xf numFmtId="0" fontId="48" fillId="9" borderId="82" xfId="0" applyFont="1" applyFill="1" applyBorder="1" applyAlignment="1" applyProtection="1">
      <alignment horizontal="left"/>
      <protection hidden="1"/>
    </xf>
    <xf numFmtId="167" fontId="32" fillId="9" borderId="116" xfId="0" applyNumberFormat="1" applyFont="1" applyFill="1" applyBorder="1" applyProtection="1">
      <protection hidden="1"/>
    </xf>
    <xf numFmtId="167" fontId="6" fillId="9" borderId="111" xfId="0" applyNumberFormat="1" applyFont="1" applyFill="1" applyBorder="1" applyAlignment="1" applyProtection="1">
      <alignment horizontal="right" vertical="center"/>
      <protection hidden="1"/>
    </xf>
    <xf numFmtId="0" fontId="6" fillId="6" borderId="51" xfId="0" quotePrefix="1" applyFont="1" applyFill="1" applyBorder="1" applyAlignment="1">
      <alignment vertical="center"/>
    </xf>
    <xf numFmtId="0" fontId="15" fillId="9" borderId="342" xfId="0" quotePrefix="1" applyFont="1" applyFill="1" applyBorder="1" applyAlignment="1" applyProtection="1">
      <alignment vertical="center"/>
      <protection hidden="1"/>
    </xf>
    <xf numFmtId="0" fontId="6" fillId="30" borderId="0" xfId="0" applyFont="1" applyFill="1" applyProtection="1">
      <protection hidden="1"/>
    </xf>
    <xf numFmtId="0" fontId="44" fillId="30" borderId="59" xfId="0" applyFont="1" applyFill="1" applyBorder="1" applyProtection="1">
      <protection hidden="1"/>
    </xf>
    <xf numFmtId="0" fontId="6" fillId="0" borderId="331" xfId="0" applyFont="1" applyBorder="1"/>
    <xf numFmtId="0" fontId="6" fillId="0" borderId="296" xfId="0" applyFont="1" applyBorder="1"/>
    <xf numFmtId="3" fontId="44" fillId="30" borderId="296" xfId="0" applyNumberFormat="1" applyFont="1" applyFill="1" applyBorder="1" applyProtection="1">
      <protection hidden="1"/>
    </xf>
    <xf numFmtId="0" fontId="6" fillId="0" borderId="343" xfId="0" applyFont="1" applyBorder="1"/>
    <xf numFmtId="166" fontId="14" fillId="13" borderId="63" xfId="0" applyNumberFormat="1" applyFont="1" applyFill="1" applyBorder="1" applyProtection="1">
      <protection hidden="1"/>
    </xf>
    <xf numFmtId="0" fontId="43" fillId="32" borderId="44" xfId="0" applyFont="1" applyFill="1" applyBorder="1" applyAlignment="1" applyProtection="1">
      <alignment horizontal="center"/>
      <protection hidden="1"/>
    </xf>
    <xf numFmtId="14" fontId="17" fillId="5" borderId="278" xfId="0" applyNumberFormat="1" applyFont="1" applyFill="1" applyBorder="1"/>
    <xf numFmtId="167" fontId="17" fillId="5" borderId="276" xfId="0" applyNumberFormat="1" applyFont="1" applyFill="1" applyBorder="1" applyProtection="1">
      <protection hidden="1"/>
    </xf>
    <xf numFmtId="14" fontId="17" fillId="5" borderId="278" xfId="0" applyNumberFormat="1" applyFont="1" applyFill="1" applyBorder="1" applyAlignment="1">
      <alignment horizontal="center"/>
    </xf>
    <xf numFmtId="0" fontId="6" fillId="0" borderId="44" xfId="0" applyFont="1" applyBorder="1" applyProtection="1">
      <protection hidden="1"/>
    </xf>
    <xf numFmtId="0" fontId="6" fillId="0" borderId="180" xfId="0" applyFont="1" applyBorder="1" applyProtection="1">
      <protection hidden="1"/>
    </xf>
    <xf numFmtId="0" fontId="17" fillId="6" borderId="36" xfId="0" quotePrefix="1" applyFont="1" applyFill="1" applyBorder="1" applyAlignment="1">
      <alignment horizontal="center" vertical="center"/>
    </xf>
    <xf numFmtId="0" fontId="17" fillId="6" borderId="38" xfId="0" quotePrefix="1" applyFont="1" applyFill="1" applyBorder="1" applyAlignment="1">
      <alignment horizontal="center" vertical="center"/>
    </xf>
    <xf numFmtId="0" fontId="17" fillId="6" borderId="37" xfId="0" quotePrefix="1" applyFont="1" applyFill="1" applyBorder="1" applyAlignment="1">
      <alignment horizontal="center" vertical="center"/>
    </xf>
    <xf numFmtId="164" fontId="10" fillId="6" borderId="26" xfId="0" applyNumberFormat="1" applyFont="1" applyFill="1" applyBorder="1" applyAlignment="1">
      <alignment horizontal="center"/>
    </xf>
    <xf numFmtId="164" fontId="28" fillId="12" borderId="27" xfId="0" applyNumberFormat="1" applyFont="1" applyFill="1" applyBorder="1"/>
    <xf numFmtId="164" fontId="10" fillId="6" borderId="27" xfId="0" applyNumberFormat="1" applyFont="1" applyFill="1" applyBorder="1" applyAlignment="1">
      <alignment horizontal="center"/>
    </xf>
    <xf numFmtId="164" fontId="10" fillId="6" borderId="27" xfId="0" applyNumberFormat="1" applyFont="1" applyFill="1" applyBorder="1"/>
    <xf numFmtId="164" fontId="10" fillId="6" borderId="28" xfId="0" applyNumberFormat="1" applyFont="1" applyFill="1" applyBorder="1"/>
    <xf numFmtId="164" fontId="28" fillId="12" borderId="166" xfId="0" applyNumberFormat="1" applyFont="1" applyFill="1" applyBorder="1"/>
    <xf numFmtId="0" fontId="43" fillId="21" borderId="331" xfId="0" quotePrefix="1" applyFont="1" applyFill="1" applyBorder="1" applyAlignment="1">
      <alignment horizontal="center" vertical="center"/>
    </xf>
    <xf numFmtId="0" fontId="43" fillId="21" borderId="343" xfId="0" quotePrefix="1" applyFont="1" applyFill="1" applyBorder="1" applyAlignment="1">
      <alignment horizontal="center" vertical="center"/>
    </xf>
    <xf numFmtId="0" fontId="17" fillId="6" borderId="22" xfId="0" quotePrefix="1" applyFont="1" applyFill="1" applyBorder="1" applyAlignment="1">
      <alignment vertical="center"/>
    </xf>
    <xf numFmtId="1" fontId="10" fillId="6" borderId="167" xfId="0" applyNumberFormat="1" applyFont="1" applyFill="1" applyBorder="1"/>
    <xf numFmtId="0" fontId="6" fillId="6" borderId="197" xfId="0" quotePrefix="1" applyFont="1" applyFill="1" applyBorder="1" applyAlignment="1" applyProtection="1">
      <alignment vertical="center"/>
      <protection hidden="1"/>
    </xf>
    <xf numFmtId="0" fontId="54" fillId="0" borderId="0" xfId="0" applyFont="1"/>
    <xf numFmtId="0" fontId="54" fillId="0" borderId="0" xfId="0" applyFont="1" applyAlignment="1">
      <alignment vertical="center"/>
    </xf>
    <xf numFmtId="2" fontId="55" fillId="0" borderId="39" xfId="0" quotePrefix="1" applyNumberFormat="1" applyFont="1" applyBorder="1" applyAlignment="1">
      <alignment vertical="center"/>
    </xf>
    <xf numFmtId="2" fontId="55" fillId="0" borderId="41" xfId="0" quotePrefix="1" applyNumberFormat="1" applyFont="1" applyBorder="1" applyAlignment="1">
      <alignment vertical="center"/>
    </xf>
    <xf numFmtId="0" fontId="57" fillId="0" borderId="0" xfId="0" applyFont="1"/>
    <xf numFmtId="0" fontId="54" fillId="0" borderId="45" xfId="0" applyFont="1" applyBorder="1"/>
    <xf numFmtId="0" fontId="54" fillId="0" borderId="43" xfId="0" applyFont="1" applyBorder="1"/>
    <xf numFmtId="0" fontId="58" fillId="0" borderId="43" xfId="0" applyFont="1" applyBorder="1" applyAlignment="1">
      <alignment horizontal="center"/>
    </xf>
    <xf numFmtId="0" fontId="58" fillId="0" borderId="42" xfId="0" applyFont="1" applyBorder="1" applyAlignment="1">
      <alignment horizontal="center"/>
    </xf>
    <xf numFmtId="0" fontId="59" fillId="12" borderId="33" xfId="0" applyFont="1" applyFill="1" applyBorder="1" applyAlignment="1">
      <alignment horizontal="left" vertical="top"/>
    </xf>
    <xf numFmtId="0" fontId="54" fillId="6" borderId="13" xfId="0" applyFont="1" applyFill="1" applyBorder="1"/>
    <xf numFmtId="0" fontId="54" fillId="6" borderId="16" xfId="0" applyFont="1" applyFill="1" applyBorder="1"/>
    <xf numFmtId="0" fontId="54" fillId="6" borderId="59" xfId="0" quotePrefix="1" applyFont="1" applyFill="1" applyBorder="1" applyAlignment="1">
      <alignment horizontal="center"/>
    </xf>
    <xf numFmtId="0" fontId="54" fillId="6" borderId="35" xfId="0" applyFont="1" applyFill="1" applyBorder="1" applyAlignment="1">
      <alignment horizontal="center"/>
    </xf>
    <xf numFmtId="0" fontId="54" fillId="0" borderId="0" xfId="0" quotePrefix="1" applyFont="1" applyAlignment="1">
      <alignment horizontal="left"/>
    </xf>
    <xf numFmtId="0" fontId="58" fillId="5" borderId="180" xfId="0" applyFont="1" applyFill="1" applyBorder="1" applyAlignment="1">
      <alignment horizontal="center" vertical="top"/>
    </xf>
    <xf numFmtId="0" fontId="54" fillId="0" borderId="180" xfId="0" applyFont="1" applyBorder="1" applyAlignment="1">
      <alignment vertical="top"/>
    </xf>
    <xf numFmtId="0" fontId="54" fillId="0" borderId="5" xfId="0" applyFont="1" applyBorder="1" applyAlignment="1">
      <alignment horizontal="center" vertical="top"/>
    </xf>
    <xf numFmtId="0" fontId="54" fillId="0" borderId="0" xfId="0" applyFont="1" applyAlignment="1">
      <alignment horizontal="center" vertical="top"/>
    </xf>
    <xf numFmtId="0" fontId="58" fillId="0" borderId="0" xfId="0" applyFont="1" applyAlignment="1">
      <alignment horizontal="center" vertical="top"/>
    </xf>
    <xf numFmtId="0" fontId="58" fillId="0" borderId="3" xfId="0" applyFont="1" applyBorder="1" applyAlignment="1">
      <alignment horizontal="center" vertical="top"/>
    </xf>
    <xf numFmtId="0" fontId="60" fillId="15" borderId="45" xfId="0" applyFont="1" applyFill="1" applyBorder="1" applyAlignment="1">
      <alignment horizontal="center" vertical="top" wrapText="1"/>
    </xf>
    <xf numFmtId="0" fontId="60" fillId="15" borderId="45" xfId="0" applyFont="1" applyFill="1" applyBorder="1" applyAlignment="1">
      <alignment horizontal="center" vertical="top"/>
    </xf>
    <xf numFmtId="164" fontId="54" fillId="12" borderId="26" xfId="0" applyNumberFormat="1" applyFont="1" applyFill="1" applyBorder="1" applyAlignment="1">
      <alignment horizontal="center" vertical="top"/>
    </xf>
    <xf numFmtId="164" fontId="20" fillId="6" borderId="26" xfId="0" applyNumberFormat="1" applyFont="1" applyFill="1" applyBorder="1" applyAlignment="1">
      <alignment horizontal="center" vertical="top"/>
    </xf>
    <xf numFmtId="0" fontId="60" fillId="15" borderId="13" xfId="0" applyFont="1" applyFill="1" applyBorder="1" applyAlignment="1">
      <alignment horizontal="center" vertical="top" wrapText="1"/>
    </xf>
    <xf numFmtId="0" fontId="59" fillId="12" borderId="33" xfId="0" applyFont="1" applyFill="1" applyBorder="1" applyAlignment="1">
      <alignment horizontal="center" vertical="top" wrapText="1"/>
    </xf>
    <xf numFmtId="0" fontId="60" fillId="15" borderId="13" xfId="0" quotePrefix="1" applyFont="1" applyFill="1" applyBorder="1" applyAlignment="1">
      <alignment horizontal="center" vertical="top" wrapText="1"/>
    </xf>
    <xf numFmtId="0" fontId="60" fillId="15" borderId="17" xfId="0" applyFont="1" applyFill="1" applyBorder="1" applyAlignment="1">
      <alignment horizontal="center" vertical="top" wrapText="1"/>
    </xf>
    <xf numFmtId="0" fontId="60" fillId="15" borderId="18" xfId="0" applyFont="1" applyFill="1" applyBorder="1" applyAlignment="1">
      <alignment horizontal="center" vertical="top" wrapText="1"/>
    </xf>
    <xf numFmtId="0" fontId="60" fillId="15" borderId="19" xfId="0" applyFont="1" applyFill="1" applyBorder="1" applyAlignment="1">
      <alignment horizontal="center" vertical="top" wrapText="1"/>
    </xf>
    <xf numFmtId="0" fontId="60" fillId="15" borderId="132" xfId="0" quotePrefix="1" applyFont="1" applyFill="1" applyBorder="1" applyAlignment="1">
      <alignment horizontal="center" vertical="top" wrapText="1"/>
    </xf>
    <xf numFmtId="0" fontId="60" fillId="15" borderId="57" xfId="0" quotePrefix="1" applyFont="1" applyFill="1" applyBorder="1" applyAlignment="1">
      <alignment horizontal="center" vertical="top" wrapText="1"/>
    </xf>
    <xf numFmtId="0" fontId="60" fillId="15" borderId="58" xfId="0" quotePrefix="1" applyFont="1" applyFill="1" applyBorder="1" applyAlignment="1">
      <alignment horizontal="center" vertical="top" wrapText="1"/>
    </xf>
    <xf numFmtId="0" fontId="60" fillId="15" borderId="59" xfId="0" quotePrefix="1" applyFont="1" applyFill="1" applyBorder="1" applyAlignment="1">
      <alignment horizontal="center" vertical="top" wrapText="1"/>
    </xf>
    <xf numFmtId="0" fontId="60" fillId="15" borderId="57" xfId="0" applyFont="1" applyFill="1" applyBorder="1" applyAlignment="1">
      <alignment horizontal="center" vertical="top" wrapText="1"/>
    </xf>
    <xf numFmtId="0" fontId="60" fillId="15" borderId="42" xfId="0" quotePrefix="1" applyFont="1" applyFill="1" applyBorder="1" applyAlignment="1">
      <alignment horizontal="center" vertical="top" wrapText="1"/>
    </xf>
    <xf numFmtId="0" fontId="60" fillId="15" borderId="58" xfId="0" applyFont="1" applyFill="1" applyBorder="1" applyAlignment="1">
      <alignment horizontal="center" vertical="top" wrapText="1"/>
    </xf>
    <xf numFmtId="0" fontId="62" fillId="15" borderId="58" xfId="0" quotePrefix="1" applyFont="1" applyFill="1" applyBorder="1" applyAlignment="1">
      <alignment horizontal="center" vertical="top" wrapText="1"/>
    </xf>
    <xf numFmtId="0" fontId="62" fillId="15" borderId="35" xfId="0" applyFont="1" applyFill="1" applyBorder="1" applyAlignment="1">
      <alignment horizontal="center" vertical="top" wrapText="1"/>
    </xf>
    <xf numFmtId="0" fontId="60" fillId="15" borderId="35" xfId="0" applyFont="1" applyFill="1" applyBorder="1" applyAlignment="1">
      <alignment horizontal="center" vertical="top" wrapText="1"/>
    </xf>
    <xf numFmtId="0" fontId="54" fillId="0" borderId="5" xfId="0" applyFont="1" applyBorder="1"/>
    <xf numFmtId="0" fontId="58" fillId="0" borderId="0" xfId="0" applyFont="1" applyAlignment="1">
      <alignment horizontal="center"/>
    </xf>
    <xf numFmtId="167" fontId="63" fillId="12" borderId="164" xfId="0" applyNumberFormat="1" applyFont="1" applyFill="1" applyBorder="1" applyAlignment="1">
      <alignment horizontal="left" vertical="center"/>
    </xf>
    <xf numFmtId="0" fontId="54" fillId="12" borderId="44" xfId="0" applyFont="1" applyFill="1" applyBorder="1"/>
    <xf numFmtId="0" fontId="54" fillId="11" borderId="13" xfId="0" quotePrefix="1" applyFont="1" applyFill="1" applyBorder="1" applyAlignment="1">
      <alignment horizontal="left" vertical="center"/>
    </xf>
    <xf numFmtId="164" fontId="54" fillId="12" borderId="164" xfId="0" applyNumberFormat="1" applyFont="1" applyFill="1" applyBorder="1" applyAlignment="1">
      <alignment horizontal="center" vertical="center"/>
    </xf>
    <xf numFmtId="164" fontId="20" fillId="6" borderId="164" xfId="0" applyNumberFormat="1" applyFont="1" applyFill="1" applyBorder="1" applyAlignment="1">
      <alignment horizontal="center" vertical="center"/>
    </xf>
    <xf numFmtId="1" fontId="55" fillId="0" borderId="40" xfId="0" quotePrefix="1" applyNumberFormat="1" applyFont="1" applyBorder="1" applyAlignment="1">
      <alignment vertical="center"/>
    </xf>
    <xf numFmtId="2" fontId="55" fillId="12" borderId="40" xfId="0" quotePrefix="1" applyNumberFormat="1" applyFont="1" applyFill="1" applyBorder="1" applyAlignment="1">
      <alignment horizontal="left" vertical="center"/>
    </xf>
    <xf numFmtId="1" fontId="55" fillId="12" borderId="40" xfId="0" quotePrefix="1" applyNumberFormat="1" applyFont="1" applyFill="1" applyBorder="1" applyAlignment="1">
      <alignment horizontal="left" vertical="center"/>
    </xf>
    <xf numFmtId="2" fontId="55" fillId="12" borderId="40" xfId="0" quotePrefix="1" applyNumberFormat="1" applyFont="1" applyFill="1" applyBorder="1" applyAlignment="1">
      <alignment vertical="center"/>
    </xf>
    <xf numFmtId="0" fontId="54" fillId="6" borderId="6" xfId="0" applyFont="1" applyFill="1" applyBorder="1" applyAlignment="1">
      <alignment vertical="center"/>
    </xf>
    <xf numFmtId="0" fontId="54" fillId="6" borderId="61" xfId="0" quotePrefix="1" applyFont="1" applyFill="1" applyBorder="1" applyAlignment="1">
      <alignment horizontal="right" vertical="center"/>
    </xf>
    <xf numFmtId="0" fontId="54" fillId="6" borderId="60" xfId="0" applyFont="1" applyFill="1" applyBorder="1" applyAlignment="1">
      <alignment vertical="center"/>
    </xf>
    <xf numFmtId="0" fontId="54" fillId="0" borderId="36" xfId="0" applyFont="1" applyBorder="1"/>
    <xf numFmtId="0" fontId="54" fillId="6" borderId="98" xfId="0" applyFont="1" applyFill="1" applyBorder="1"/>
    <xf numFmtId="0" fontId="54" fillId="6" borderId="109" xfId="0" applyFont="1" applyFill="1" applyBorder="1"/>
    <xf numFmtId="0" fontId="54" fillId="6" borderId="109" xfId="0" quotePrefix="1" applyFont="1" applyFill="1" applyBorder="1" applyAlignment="1">
      <alignment horizontal="left"/>
    </xf>
    <xf numFmtId="0" fontId="54" fillId="6" borderId="99" xfId="0" applyFont="1" applyFill="1" applyBorder="1"/>
    <xf numFmtId="0" fontId="54" fillId="6" borderId="151" xfId="0" applyFont="1" applyFill="1" applyBorder="1"/>
    <xf numFmtId="0" fontId="54" fillId="6" borderId="254" xfId="0" applyFont="1" applyFill="1" applyBorder="1"/>
    <xf numFmtId="0" fontId="64" fillId="5" borderId="101" xfId="0" applyFont="1" applyFill="1" applyBorder="1" applyAlignment="1">
      <alignment horizontal="center"/>
    </xf>
    <xf numFmtId="0" fontId="54" fillId="6" borderId="319" xfId="0" applyFont="1" applyFill="1" applyBorder="1"/>
    <xf numFmtId="166" fontId="54" fillId="6" borderId="165" xfId="0" applyNumberFormat="1" applyFont="1" applyFill="1" applyBorder="1"/>
    <xf numFmtId="0" fontId="54" fillId="6" borderId="165" xfId="0" applyFont="1" applyFill="1" applyBorder="1"/>
    <xf numFmtId="0" fontId="54" fillId="12" borderId="164" xfId="0" applyFont="1" applyFill="1" applyBorder="1"/>
    <xf numFmtId="0" fontId="54" fillId="26" borderId="2" xfId="0" applyFont="1" applyFill="1" applyBorder="1"/>
    <xf numFmtId="0" fontId="54" fillId="11" borderId="39" xfId="0" quotePrefix="1" applyFont="1" applyFill="1" applyBorder="1" applyAlignment="1">
      <alignment horizontal="left" vertical="center"/>
    </xf>
    <xf numFmtId="164" fontId="54" fillId="12" borderId="34" xfId="0" applyNumberFormat="1" applyFont="1" applyFill="1" applyBorder="1" applyAlignment="1">
      <alignment horizontal="center" vertical="center"/>
    </xf>
    <xf numFmtId="164" fontId="20" fillId="6" borderId="34" xfId="0" applyNumberFormat="1" applyFont="1" applyFill="1" applyBorder="1" applyAlignment="1">
      <alignment horizontal="center" vertical="center"/>
    </xf>
    <xf numFmtId="1" fontId="55" fillId="0" borderId="41" xfId="0" quotePrefix="1" applyNumberFormat="1" applyFont="1" applyBorder="1" applyAlignment="1">
      <alignment vertical="center"/>
    </xf>
    <xf numFmtId="2" fontId="55" fillId="12" borderId="41" xfId="0" quotePrefix="1" applyNumberFormat="1" applyFont="1" applyFill="1" applyBorder="1" applyAlignment="1">
      <alignment horizontal="left" vertical="center"/>
    </xf>
    <xf numFmtId="1" fontId="55" fillId="12" borderId="41" xfId="0" quotePrefix="1" applyNumberFormat="1" applyFont="1" applyFill="1" applyBorder="1" applyAlignment="1">
      <alignment horizontal="left" vertical="center"/>
    </xf>
    <xf numFmtId="2" fontId="55" fillId="12" borderId="41" xfId="0" quotePrefix="1" applyNumberFormat="1" applyFont="1" applyFill="1" applyBorder="1" applyAlignment="1">
      <alignment vertical="center"/>
    </xf>
    <xf numFmtId="0" fontId="54" fillId="0" borderId="7" xfId="0" applyFont="1" applyBorder="1" applyAlignment="1">
      <alignment horizontal="left" vertical="center"/>
    </xf>
    <xf numFmtId="0" fontId="54" fillId="0" borderId="29" xfId="0" quotePrefix="1" applyFont="1" applyBorder="1" applyAlignment="1">
      <alignment horizontal="left" vertical="center"/>
    </xf>
    <xf numFmtId="0" fontId="54" fillId="0" borderId="8" xfId="0" applyFont="1" applyBorder="1" applyAlignment="1">
      <alignment vertical="center"/>
    </xf>
    <xf numFmtId="0" fontId="54" fillId="0" borderId="38" xfId="0" applyFont="1" applyBorder="1"/>
    <xf numFmtId="0" fontId="54" fillId="6" borderId="100" xfId="0" applyFont="1" applyFill="1" applyBorder="1"/>
    <xf numFmtId="0" fontId="54" fillId="6" borderId="30" xfId="0" applyFont="1" applyFill="1" applyBorder="1"/>
    <xf numFmtId="0" fontId="54" fillId="6" borderId="101" xfId="0" applyFont="1" applyFill="1" applyBorder="1"/>
    <xf numFmtId="0" fontId="54" fillId="6" borderId="65" xfId="0" applyFont="1" applyFill="1" applyBorder="1"/>
    <xf numFmtId="166" fontId="54" fillId="6" borderId="30" xfId="0" applyNumberFormat="1" applyFont="1" applyFill="1" applyBorder="1"/>
    <xf numFmtId="0" fontId="54" fillId="11" borderId="38" xfId="0" quotePrefix="1" applyFont="1" applyFill="1" applyBorder="1" applyAlignment="1">
      <alignment horizontal="left" vertical="center"/>
    </xf>
    <xf numFmtId="164" fontId="54" fillId="12" borderId="27" xfId="0" applyNumberFormat="1" applyFont="1" applyFill="1" applyBorder="1" applyAlignment="1">
      <alignment horizontal="center" vertical="center"/>
    </xf>
    <xf numFmtId="164" fontId="20" fillId="6" borderId="27" xfId="0" applyNumberFormat="1" applyFont="1" applyFill="1" applyBorder="1" applyAlignment="1">
      <alignment horizontal="center" vertical="center"/>
    </xf>
    <xf numFmtId="0" fontId="54" fillId="0" borderId="9" xfId="0" applyFont="1" applyBorder="1" applyAlignment="1">
      <alignment horizontal="left" vertical="center"/>
    </xf>
    <xf numFmtId="0" fontId="54" fillId="0" borderId="30" xfId="0" applyFont="1" applyBorder="1" applyAlignment="1">
      <alignment vertical="center"/>
    </xf>
    <xf numFmtId="0" fontId="54" fillId="0" borderId="10" xfId="0" applyFont="1" applyBorder="1" applyAlignment="1">
      <alignment vertical="center"/>
    </xf>
    <xf numFmtId="0" fontId="54" fillId="0" borderId="2" xfId="0" applyFont="1" applyBorder="1"/>
    <xf numFmtId="0" fontId="54" fillId="0" borderId="1" xfId="0" applyFont="1" applyBorder="1"/>
    <xf numFmtId="0" fontId="54" fillId="11" borderId="37" xfId="0" quotePrefix="1" applyFont="1" applyFill="1" applyBorder="1" applyAlignment="1">
      <alignment horizontal="left" vertical="center"/>
    </xf>
    <xf numFmtId="164" fontId="54" fillId="12" borderId="28" xfId="0" applyNumberFormat="1" applyFont="1" applyFill="1" applyBorder="1" applyAlignment="1">
      <alignment horizontal="center" vertical="center"/>
    </xf>
    <xf numFmtId="164" fontId="20" fillId="6" borderId="28" xfId="0" applyNumberFormat="1" applyFont="1" applyFill="1" applyBorder="1" applyAlignment="1">
      <alignment horizontal="center" vertical="center"/>
    </xf>
    <xf numFmtId="0" fontId="54" fillId="7" borderId="45" xfId="0" applyFont="1" applyFill="1" applyBorder="1" applyAlignment="1">
      <alignment vertical="center"/>
    </xf>
    <xf numFmtId="0" fontId="54" fillId="7" borderId="43" xfId="0" applyFont="1" applyFill="1" applyBorder="1" applyAlignment="1">
      <alignment vertical="center"/>
    </xf>
    <xf numFmtId="167" fontId="65" fillId="12" borderId="57" xfId="0" applyNumberFormat="1" applyFont="1" applyFill="1" applyBorder="1" applyAlignment="1">
      <alignment horizontal="left" vertical="center"/>
    </xf>
    <xf numFmtId="0" fontId="65" fillId="0" borderId="44" xfId="0" applyFont="1" applyBorder="1" applyAlignment="1">
      <alignment horizontal="right"/>
    </xf>
    <xf numFmtId="0" fontId="54" fillId="7" borderId="5" xfId="0" applyFont="1" applyFill="1" applyBorder="1" applyAlignment="1">
      <alignment vertical="center"/>
    </xf>
    <xf numFmtId="0" fontId="46" fillId="7" borderId="0" xfId="0" applyFont="1" applyFill="1" applyAlignment="1">
      <alignment vertical="center"/>
    </xf>
    <xf numFmtId="167" fontId="54" fillId="6" borderId="26" xfId="0" applyNumberFormat="1" applyFont="1" applyFill="1" applyBorder="1" applyAlignment="1">
      <alignment horizontal="left" vertical="center"/>
    </xf>
    <xf numFmtId="0" fontId="66" fillId="12" borderId="26" xfId="0" applyFont="1" applyFill="1" applyBorder="1" applyAlignment="1">
      <alignment horizontal="center"/>
    </xf>
    <xf numFmtId="0" fontId="63" fillId="12" borderId="50" xfId="0" applyFont="1" applyFill="1" applyBorder="1" applyAlignment="1">
      <alignment vertical="top"/>
    </xf>
    <xf numFmtId="167" fontId="54" fillId="9" borderId="0" xfId="0" applyNumberFormat="1" applyFont="1" applyFill="1" applyAlignment="1">
      <alignment horizontal="left" vertical="center"/>
    </xf>
    <xf numFmtId="0" fontId="20" fillId="12" borderId="241" xfId="0" applyFont="1" applyFill="1" applyBorder="1" applyAlignment="1">
      <alignment horizontal="left"/>
    </xf>
    <xf numFmtId="0" fontId="60" fillId="15" borderId="59" xfId="0" applyFont="1" applyFill="1" applyBorder="1" applyAlignment="1">
      <alignment horizontal="left" vertical="top"/>
    </xf>
    <xf numFmtId="0" fontId="60" fillId="15" borderId="68" xfId="0" applyFont="1" applyFill="1" applyBorder="1" applyAlignment="1">
      <alignment horizontal="left" vertical="top"/>
    </xf>
    <xf numFmtId="0" fontId="60" fillId="15" borderId="68" xfId="0" quotePrefix="1" applyFont="1" applyFill="1" applyBorder="1" applyAlignment="1">
      <alignment horizontal="left" vertical="top"/>
    </xf>
    <xf numFmtId="0" fontId="60" fillId="15" borderId="35" xfId="0" quotePrefix="1" applyFont="1" applyFill="1" applyBorder="1" applyAlignment="1">
      <alignment horizontal="left" vertical="top"/>
    </xf>
    <xf numFmtId="0" fontId="54" fillId="6" borderId="30" xfId="0" quotePrefix="1" applyFont="1" applyFill="1" applyBorder="1" applyAlignment="1">
      <alignment horizontal="left"/>
    </xf>
    <xf numFmtId="167" fontId="54" fillId="6" borderId="27" xfId="0" applyNumberFormat="1" applyFont="1" applyFill="1" applyBorder="1" applyAlignment="1">
      <alignment horizontal="left" vertical="center"/>
    </xf>
    <xf numFmtId="168" fontId="54" fillId="12" borderId="27" xfId="0" applyNumberFormat="1" applyFont="1" applyFill="1" applyBorder="1" applyAlignment="1">
      <alignment horizontal="right" vertical="center"/>
    </xf>
    <xf numFmtId="0" fontId="67" fillId="12" borderId="50" xfId="0" applyFont="1" applyFill="1" applyBorder="1"/>
    <xf numFmtId="0" fontId="20" fillId="9" borderId="242" xfId="0" applyFont="1" applyFill="1" applyBorder="1" applyAlignment="1">
      <alignment horizontal="left"/>
    </xf>
    <xf numFmtId="0" fontId="54" fillId="3" borderId="166" xfId="0" quotePrefix="1" applyFont="1" applyFill="1" applyBorder="1" applyAlignment="1">
      <alignment horizontal="left" vertical="center"/>
    </xf>
    <xf numFmtId="0" fontId="54" fillId="3" borderId="165" xfId="0" quotePrefix="1" applyFont="1" applyFill="1" applyBorder="1" applyAlignment="1">
      <alignment horizontal="left" vertical="center"/>
    </xf>
    <xf numFmtId="0" fontId="54" fillId="3" borderId="165" xfId="0" applyFont="1" applyFill="1" applyBorder="1" applyAlignment="1">
      <alignment vertical="center"/>
    </xf>
    <xf numFmtId="0" fontId="54" fillId="3" borderId="165" xfId="0" quotePrefix="1" applyFont="1" applyFill="1" applyBorder="1" applyAlignment="1">
      <alignment horizontal="left"/>
    </xf>
    <xf numFmtId="0" fontId="54" fillId="12" borderId="165" xfId="0" applyFont="1" applyFill="1" applyBorder="1" applyAlignment="1">
      <alignment vertical="center"/>
    </xf>
    <xf numFmtId="0" fontId="54" fillId="3" borderId="167" xfId="0" applyFont="1" applyFill="1" applyBorder="1" applyAlignment="1">
      <alignment vertical="center"/>
    </xf>
    <xf numFmtId="0" fontId="54" fillId="0" borderId="11" xfId="0" applyFont="1" applyBorder="1" applyAlignment="1">
      <alignment horizontal="left" vertical="center"/>
    </xf>
    <xf numFmtId="0" fontId="54" fillId="0" borderId="31" xfId="0" quotePrefix="1" applyFont="1" applyBorder="1" applyAlignment="1">
      <alignment horizontal="left" vertical="center"/>
    </xf>
    <xf numFmtId="0" fontId="54" fillId="0" borderId="12" xfId="0" applyFont="1" applyBorder="1" applyAlignment="1">
      <alignment vertical="center"/>
    </xf>
    <xf numFmtId="0" fontId="54" fillId="6" borderId="27" xfId="0" applyFont="1" applyFill="1" applyBorder="1" applyAlignment="1">
      <alignment horizontal="left" vertical="center"/>
    </xf>
    <xf numFmtId="0" fontId="54" fillId="9" borderId="120" xfId="0" applyFont="1" applyFill="1" applyBorder="1" applyAlignment="1">
      <alignment vertical="center"/>
    </xf>
    <xf numFmtId="0" fontId="54" fillId="9" borderId="30" xfId="0" applyFont="1" applyFill="1" applyBorder="1" applyAlignment="1">
      <alignment vertical="center"/>
    </xf>
    <xf numFmtId="0" fontId="54" fillId="9" borderId="65" xfId="0" applyFont="1" applyFill="1" applyBorder="1" applyAlignment="1">
      <alignment vertical="center"/>
    </xf>
    <xf numFmtId="168" fontId="46" fillId="12" borderId="27" xfId="0" applyNumberFormat="1" applyFont="1" applyFill="1" applyBorder="1" applyAlignment="1">
      <alignment horizontal="right" vertical="center"/>
    </xf>
    <xf numFmtId="4" fontId="67" fillId="9" borderId="50" xfId="0" applyNumberFormat="1" applyFont="1" applyFill="1" applyBorder="1"/>
    <xf numFmtId="0" fontId="20" fillId="12" borderId="242" xfId="0" applyFont="1" applyFill="1" applyBorder="1" applyAlignment="1">
      <alignment horizontal="left"/>
    </xf>
    <xf numFmtId="0" fontId="54" fillId="3" borderId="22" xfId="0" quotePrefix="1" applyFont="1" applyFill="1" applyBorder="1" applyAlignment="1">
      <alignment horizontal="left" vertical="center"/>
    </xf>
    <xf numFmtId="0" fontId="54" fillId="3" borderId="30" xfId="0" quotePrefix="1" applyFont="1" applyFill="1" applyBorder="1" applyAlignment="1">
      <alignment horizontal="left" vertical="center"/>
    </xf>
    <xf numFmtId="0" fontId="54" fillId="3" borderId="30" xfId="0" applyFont="1" applyFill="1" applyBorder="1" applyAlignment="1">
      <alignment vertical="center"/>
    </xf>
    <xf numFmtId="0" fontId="54" fillId="3" borderId="30" xfId="0" quotePrefix="1" applyFont="1" applyFill="1" applyBorder="1" applyAlignment="1">
      <alignment horizontal="left"/>
    </xf>
    <xf numFmtId="0" fontId="54" fillId="3" borderId="23" xfId="0" quotePrefix="1" applyFont="1" applyFill="1" applyBorder="1" applyAlignment="1">
      <alignment horizontal="left" vertical="center"/>
    </xf>
    <xf numFmtId="0" fontId="54" fillId="6" borderId="120" xfId="0" applyFont="1" applyFill="1" applyBorder="1" applyAlignment="1">
      <alignment vertical="center"/>
    </xf>
    <xf numFmtId="0" fontId="54" fillId="9" borderId="27" xfId="0" applyFont="1" applyFill="1" applyBorder="1"/>
    <xf numFmtId="0" fontId="67" fillId="12" borderId="50" xfId="0" applyFont="1" applyFill="1" applyBorder="1" applyAlignment="1">
      <alignment vertical="top"/>
    </xf>
    <xf numFmtId="0" fontId="54" fillId="12" borderId="30" xfId="0" quotePrefix="1" applyFont="1" applyFill="1" applyBorder="1" applyAlignment="1">
      <alignment horizontal="left" vertical="center"/>
    </xf>
    <xf numFmtId="0" fontId="60" fillId="15" borderId="13" xfId="0" applyFont="1" applyFill="1" applyBorder="1" applyAlignment="1">
      <alignment horizontal="left" vertical="top" wrapText="1"/>
    </xf>
    <xf numFmtId="0" fontId="60" fillId="15" borderId="16" xfId="0" applyFont="1" applyFill="1" applyBorder="1" applyAlignment="1">
      <alignment horizontal="left" vertical="top" wrapText="1"/>
    </xf>
    <xf numFmtId="167" fontId="54" fillId="9" borderId="27" xfId="0" applyNumberFormat="1" applyFont="1" applyFill="1" applyBorder="1" applyAlignment="1">
      <alignment horizontal="right" vertical="center"/>
    </xf>
    <xf numFmtId="0" fontId="54" fillId="3" borderId="30" xfId="0" quotePrefix="1" applyFont="1" applyFill="1" applyBorder="1" applyAlignment="1">
      <alignment vertical="center"/>
    </xf>
    <xf numFmtId="0" fontId="54" fillId="3" borderId="23" xfId="0" quotePrefix="1" applyFont="1" applyFill="1" applyBorder="1" applyAlignment="1">
      <alignment vertical="center"/>
    </xf>
    <xf numFmtId="0" fontId="46" fillId="7" borderId="0" xfId="0" quotePrefix="1" applyFont="1" applyFill="1" applyAlignment="1">
      <alignment horizontal="left" vertical="center"/>
    </xf>
    <xf numFmtId="0" fontId="46" fillId="7" borderId="0" xfId="0" quotePrefix="1" applyFont="1" applyFill="1" applyAlignment="1">
      <alignment vertical="center"/>
    </xf>
    <xf numFmtId="0" fontId="54" fillId="12" borderId="120" xfId="0" applyFont="1" applyFill="1" applyBorder="1" applyAlignment="1">
      <alignment vertical="center"/>
    </xf>
    <xf numFmtId="0" fontId="54" fillId="12" borderId="65" xfId="0" applyFont="1" applyFill="1" applyBorder="1" applyAlignment="1">
      <alignment vertical="center"/>
    </xf>
    <xf numFmtId="0" fontId="54" fillId="12" borderId="30" xfId="0" applyFont="1" applyFill="1" applyBorder="1" applyAlignment="1">
      <alignment vertical="center"/>
    </xf>
    <xf numFmtId="0" fontId="67" fillId="12" borderId="50" xfId="0" applyFont="1" applyFill="1" applyBorder="1" applyAlignment="1">
      <alignment vertical="top" wrapText="1"/>
    </xf>
    <xf numFmtId="0" fontId="54" fillId="3" borderId="24" xfId="0" quotePrefix="1" applyFont="1" applyFill="1" applyBorder="1" applyAlignment="1">
      <alignment horizontal="left" vertical="center"/>
    </xf>
    <xf numFmtId="0" fontId="54" fillId="3" borderId="32" xfId="0" quotePrefix="1" applyFont="1" applyFill="1" applyBorder="1" applyAlignment="1">
      <alignment horizontal="left" vertical="center"/>
    </xf>
    <xf numFmtId="0" fontId="54" fillId="3" borderId="32" xfId="0" applyFont="1" applyFill="1" applyBorder="1" applyAlignment="1">
      <alignment vertical="center"/>
    </xf>
    <xf numFmtId="0" fontId="54" fillId="3" borderId="25" xfId="0" quotePrefix="1" applyFont="1" applyFill="1" applyBorder="1" applyAlignment="1">
      <alignment horizontal="left" vertical="center"/>
    </xf>
    <xf numFmtId="0" fontId="54" fillId="4" borderId="36" xfId="0" quotePrefix="1" applyFont="1" applyFill="1" applyBorder="1" applyAlignment="1">
      <alignment horizontal="left" vertical="center"/>
    </xf>
    <xf numFmtId="164" fontId="54" fillId="12" borderId="26" xfId="0" applyNumberFormat="1" applyFont="1" applyFill="1" applyBorder="1" applyAlignment="1">
      <alignment horizontal="center" vertical="center"/>
    </xf>
    <xf numFmtId="164" fontId="20" fillId="6" borderId="26" xfId="0" applyNumberFormat="1" applyFont="1" applyFill="1" applyBorder="1" applyAlignment="1">
      <alignment horizontal="center" vertical="center"/>
    </xf>
    <xf numFmtId="4" fontId="54" fillId="5" borderId="22" xfId="0" applyNumberFormat="1" applyFont="1" applyFill="1" applyBorder="1" applyAlignment="1">
      <alignment vertical="center"/>
    </xf>
    <xf numFmtId="0" fontId="54" fillId="13" borderId="22" xfId="0" quotePrefix="1" applyFont="1" applyFill="1" applyBorder="1" applyAlignment="1">
      <alignment horizontal="left" vertical="center"/>
    </xf>
    <xf numFmtId="0" fontId="54" fillId="13" borderId="30" xfId="0" applyFont="1" applyFill="1" applyBorder="1" applyAlignment="1">
      <alignment vertical="center"/>
    </xf>
    <xf numFmtId="0" fontId="54" fillId="13" borderId="30" xfId="0" quotePrefix="1" applyFont="1" applyFill="1" applyBorder="1" applyAlignment="1">
      <alignment horizontal="left" vertical="center"/>
    </xf>
    <xf numFmtId="0" fontId="54" fillId="13" borderId="23" xfId="0" applyFont="1" applyFill="1" applyBorder="1" applyAlignment="1">
      <alignment vertical="center"/>
    </xf>
    <xf numFmtId="2" fontId="55" fillId="0" borderId="38" xfId="0" applyNumberFormat="1" applyFont="1" applyBorder="1" applyAlignment="1">
      <alignment vertical="center"/>
    </xf>
    <xf numFmtId="2" fontId="55" fillId="0" borderId="23" xfId="0" applyNumberFormat="1" applyFont="1" applyBorder="1" applyAlignment="1">
      <alignment vertical="center"/>
    </xf>
    <xf numFmtId="1" fontId="55" fillId="0" borderId="23" xfId="0" applyNumberFormat="1" applyFont="1" applyBorder="1" applyAlignment="1">
      <alignment vertical="center"/>
    </xf>
    <xf numFmtId="2" fontId="55" fillId="0" borderId="25" xfId="0" applyNumberFormat="1" applyFont="1" applyBorder="1" applyAlignment="1">
      <alignment vertical="center"/>
    </xf>
    <xf numFmtId="1" fontId="55" fillId="0" borderId="25" xfId="0" applyNumberFormat="1" applyFont="1" applyBorder="1" applyAlignment="1">
      <alignment vertical="center"/>
    </xf>
    <xf numFmtId="1" fontId="55" fillId="12" borderId="25" xfId="0" applyNumberFormat="1" applyFont="1" applyFill="1" applyBorder="1" applyAlignment="1">
      <alignment horizontal="left" vertical="center"/>
    </xf>
    <xf numFmtId="2" fontId="55" fillId="12" borderId="25" xfId="0" applyNumberFormat="1" applyFont="1" applyFill="1" applyBorder="1" applyAlignment="1">
      <alignment vertical="center"/>
    </xf>
    <xf numFmtId="168" fontId="46" fillId="12" borderId="27" xfId="0" applyNumberFormat="1" applyFont="1" applyFill="1" applyBorder="1" applyAlignment="1" applyProtection="1">
      <alignment horizontal="right" vertical="center"/>
      <protection hidden="1"/>
    </xf>
    <xf numFmtId="0" fontId="54" fillId="13" borderId="23" xfId="0" quotePrefix="1" applyFont="1" applyFill="1" applyBorder="1" applyAlignment="1">
      <alignment horizontal="left" vertical="center"/>
    </xf>
    <xf numFmtId="0" fontId="60" fillId="15" borderId="59" xfId="0" applyFont="1" applyFill="1" applyBorder="1"/>
    <xf numFmtId="0" fontId="60" fillId="15" borderId="35" xfId="0" quotePrefix="1" applyFont="1" applyFill="1" applyBorder="1" applyAlignment="1">
      <alignment horizontal="left"/>
    </xf>
    <xf numFmtId="0" fontId="59" fillId="12" borderId="33" xfId="0" applyFont="1" applyFill="1" applyBorder="1"/>
    <xf numFmtId="0" fontId="67" fillId="9" borderId="50" xfId="0" applyFont="1" applyFill="1" applyBorder="1"/>
    <xf numFmtId="0" fontId="54" fillId="0" borderId="36" xfId="0" quotePrefix="1" applyFont="1" applyBorder="1" applyAlignment="1">
      <alignment horizontal="left"/>
    </xf>
    <xf numFmtId="0" fontId="54" fillId="0" borderId="40" xfId="0" quotePrefix="1" applyFont="1" applyBorder="1" applyAlignment="1">
      <alignment horizontal="left"/>
    </xf>
    <xf numFmtId="0" fontId="54" fillId="0" borderId="40" xfId="0" quotePrefix="1" applyFont="1" applyBorder="1"/>
    <xf numFmtId="0" fontId="54" fillId="31" borderId="30" xfId="0" applyFont="1" applyFill="1" applyBorder="1" applyAlignment="1">
      <alignment vertical="center"/>
    </xf>
    <xf numFmtId="168" fontId="46" fillId="5" borderId="27" xfId="0" applyNumberFormat="1" applyFont="1" applyFill="1" applyBorder="1" applyAlignment="1">
      <alignment horizontal="right" vertical="center"/>
    </xf>
    <xf numFmtId="0" fontId="67" fillId="31" borderId="50" xfId="0" applyFont="1" applyFill="1" applyBorder="1" applyAlignment="1">
      <alignment vertical="top"/>
    </xf>
    <xf numFmtId="0" fontId="54" fillId="0" borderId="38" xfId="0" quotePrefix="1" applyFont="1" applyBorder="1" applyAlignment="1">
      <alignment horizontal="left"/>
    </xf>
    <xf numFmtId="0" fontId="54" fillId="0" borderId="23" xfId="0" applyFont="1" applyBorder="1"/>
    <xf numFmtId="0" fontId="54" fillId="13" borderId="24" xfId="0" quotePrefix="1" applyFont="1" applyFill="1" applyBorder="1" applyAlignment="1">
      <alignment horizontal="left" vertical="center"/>
    </xf>
    <xf numFmtId="0" fontId="54" fillId="13" borderId="32" xfId="0" applyFont="1" applyFill="1" applyBorder="1" applyAlignment="1">
      <alignment vertical="center"/>
    </xf>
    <xf numFmtId="0" fontId="54" fillId="13" borderId="32" xfId="0" quotePrefix="1" applyFont="1" applyFill="1" applyBorder="1" applyAlignment="1">
      <alignment horizontal="left" vertical="center"/>
    </xf>
    <xf numFmtId="0" fontId="54" fillId="13" borderId="25" xfId="0" quotePrefix="1" applyFont="1" applyFill="1" applyBorder="1" applyAlignment="1">
      <alignment horizontal="left" vertical="center"/>
    </xf>
    <xf numFmtId="0" fontId="54" fillId="0" borderId="37" xfId="0" quotePrefix="1" applyFont="1" applyBorder="1" applyAlignment="1">
      <alignment horizontal="left"/>
    </xf>
    <xf numFmtId="0" fontId="54" fillId="0" borderId="25" xfId="0" quotePrefix="1" applyFont="1" applyBorder="1" applyAlignment="1">
      <alignment horizontal="left"/>
    </xf>
    <xf numFmtId="0" fontId="54" fillId="0" borderId="25" xfId="0" quotePrefix="1" applyFont="1" applyBorder="1"/>
    <xf numFmtId="0" fontId="54" fillId="19" borderId="45" xfId="0" applyFont="1" applyFill="1" applyBorder="1"/>
    <xf numFmtId="0" fontId="54" fillId="19" borderId="58" xfId="0" applyFont="1" applyFill="1" applyBorder="1"/>
    <xf numFmtId="0" fontId="54" fillId="19" borderId="239" xfId="0" applyFont="1" applyFill="1" applyBorder="1"/>
    <xf numFmtId="0" fontId="54" fillId="19" borderId="240" xfId="0" applyFont="1" applyFill="1" applyBorder="1"/>
    <xf numFmtId="0" fontId="67" fillId="9" borderId="50" xfId="0" applyFont="1" applyFill="1" applyBorder="1" applyAlignment="1">
      <alignment vertical="top" wrapText="1"/>
    </xf>
    <xf numFmtId="0" fontId="60" fillId="15" borderId="13" xfId="0" applyFont="1" applyFill="1" applyBorder="1" applyAlignment="1">
      <alignment horizontal="left" vertical="top"/>
    </xf>
    <xf numFmtId="0" fontId="60" fillId="15" borderId="46" xfId="0" applyFont="1" applyFill="1" applyBorder="1" applyAlignment="1">
      <alignment horizontal="left" vertical="top"/>
    </xf>
    <xf numFmtId="0" fontId="60" fillId="15" borderId="13" xfId="0" quotePrefix="1" applyFont="1" applyFill="1" applyBorder="1" applyAlignment="1">
      <alignment horizontal="left" vertical="top"/>
    </xf>
    <xf numFmtId="0" fontId="54" fillId="0" borderId="154" xfId="0" applyFont="1" applyBorder="1" applyAlignment="1">
      <alignment vertical="center"/>
    </xf>
    <xf numFmtId="0" fontId="54" fillId="0" borderId="147" xfId="0" applyFont="1" applyBorder="1" applyAlignment="1">
      <alignment horizontal="right" vertical="center"/>
    </xf>
    <xf numFmtId="0" fontId="54" fillId="0" borderId="148" xfId="0" applyFont="1" applyBorder="1" applyAlignment="1">
      <alignment vertical="center"/>
    </xf>
    <xf numFmtId="0" fontId="62" fillId="15" borderId="58" xfId="0" quotePrefix="1" applyFont="1" applyFill="1" applyBorder="1" applyAlignment="1">
      <alignment horizontal="left"/>
    </xf>
    <xf numFmtId="0" fontId="54" fillId="2" borderId="166" xfId="0" quotePrefix="1" applyFont="1" applyFill="1" applyBorder="1" applyAlignment="1">
      <alignment horizontal="left"/>
    </xf>
    <xf numFmtId="0" fontId="54" fillId="0" borderId="165" xfId="0" applyFont="1" applyBorder="1"/>
    <xf numFmtId="0" fontId="54" fillId="0" borderId="165" xfId="0" quotePrefix="1" applyFont="1" applyBorder="1"/>
    <xf numFmtId="0" fontId="54" fillId="0" borderId="165" xfId="0" quotePrefix="1" applyFont="1" applyBorder="1" applyAlignment="1">
      <alignment horizontal="left"/>
    </xf>
    <xf numFmtId="0" fontId="54" fillId="0" borderId="167" xfId="0" quotePrefix="1" applyFont="1" applyBorder="1"/>
    <xf numFmtId="0" fontId="60" fillId="15" borderId="13" xfId="0" quotePrefix="1" applyFont="1" applyFill="1" applyBorder="1" applyAlignment="1">
      <alignment horizontal="left"/>
    </xf>
    <xf numFmtId="0" fontId="61" fillId="15" borderId="35" xfId="0" quotePrefix="1" applyFont="1" applyFill="1" applyBorder="1" applyAlignment="1">
      <alignment horizontal="left"/>
    </xf>
    <xf numFmtId="0" fontId="54" fillId="2" borderId="22" xfId="0" quotePrefix="1" applyFont="1" applyFill="1" applyBorder="1" applyAlignment="1">
      <alignment horizontal="left"/>
    </xf>
    <xf numFmtId="0" fontId="54" fillId="0" borderId="30" xfId="0" applyFont="1" applyBorder="1"/>
    <xf numFmtId="0" fontId="54" fillId="0" borderId="30" xfId="0" quotePrefix="1" applyFont="1" applyBorder="1"/>
    <xf numFmtId="0" fontId="54" fillId="0" borderId="30" xfId="0" quotePrefix="1" applyFont="1" applyBorder="1" applyAlignment="1">
      <alignment horizontal="left"/>
    </xf>
    <xf numFmtId="0" fontId="54" fillId="0" borderId="23" xfId="0" quotePrefix="1" applyFont="1" applyBorder="1"/>
    <xf numFmtId="0" fontId="54" fillId="0" borderId="25" xfId="0" applyFont="1" applyBorder="1"/>
    <xf numFmtId="0" fontId="54" fillId="27" borderId="22" xfId="0" quotePrefix="1" applyFont="1" applyFill="1" applyBorder="1" applyAlignment="1">
      <alignment horizontal="left"/>
    </xf>
    <xf numFmtId="0" fontId="54" fillId="0" borderId="52" xfId="0" applyFont="1" applyBorder="1"/>
    <xf numFmtId="0" fontId="54" fillId="0" borderId="53" xfId="0" applyFont="1" applyBorder="1"/>
    <xf numFmtId="0" fontId="54" fillId="0" borderId="23" xfId="0" quotePrefix="1" applyFont="1" applyBorder="1" applyAlignment="1">
      <alignment horizontal="left"/>
    </xf>
    <xf numFmtId="0" fontId="60" fillId="15" borderId="13" xfId="0" applyFont="1" applyFill="1" applyBorder="1"/>
    <xf numFmtId="167" fontId="68" fillId="9" borderId="50" xfId="0" applyNumberFormat="1" applyFont="1" applyFill="1" applyBorder="1" applyAlignment="1">
      <alignment horizontal="left" vertical="top" wrapText="1"/>
    </xf>
    <xf numFmtId="0" fontId="54" fillId="0" borderId="38" xfId="0" quotePrefix="1" applyFont="1" applyBorder="1"/>
    <xf numFmtId="0" fontId="54" fillId="6" borderId="28" xfId="0" applyFont="1" applyFill="1" applyBorder="1" applyAlignment="1">
      <alignment horizontal="left" vertical="center"/>
    </xf>
    <xf numFmtId="0" fontId="54" fillId="9" borderId="122" xfId="0" applyFont="1" applyFill="1" applyBorder="1" applyAlignment="1">
      <alignment vertical="center"/>
    </xf>
    <xf numFmtId="0" fontId="54" fillId="9" borderId="32" xfId="0" applyFont="1" applyFill="1" applyBorder="1" applyAlignment="1">
      <alignment vertical="center"/>
    </xf>
    <xf numFmtId="0" fontId="54" fillId="9" borderId="67" xfId="0" applyFont="1" applyFill="1" applyBorder="1" applyAlignment="1">
      <alignment vertical="center"/>
    </xf>
    <xf numFmtId="168" fontId="46" fillId="12" borderId="28" xfId="0" applyNumberFormat="1" applyFont="1" applyFill="1" applyBorder="1" applyAlignment="1">
      <alignment horizontal="right" vertical="center"/>
    </xf>
    <xf numFmtId="167" fontId="68" fillId="9" borderId="48" xfId="0" applyNumberFormat="1" applyFont="1" applyFill="1" applyBorder="1" applyAlignment="1">
      <alignment horizontal="left" vertical="top" wrapText="1"/>
    </xf>
    <xf numFmtId="0" fontId="20" fillId="12" borderId="243" xfId="0" applyFont="1" applyFill="1" applyBorder="1" applyAlignment="1">
      <alignment horizontal="left"/>
    </xf>
    <xf numFmtId="0" fontId="60" fillId="15" borderId="13" xfId="0" applyFont="1" applyFill="1" applyBorder="1" applyAlignment="1">
      <alignment horizontal="center"/>
    </xf>
    <xf numFmtId="0" fontId="60" fillId="15" borderId="16" xfId="0" applyFont="1" applyFill="1" applyBorder="1" applyAlignment="1">
      <alignment horizontal="center"/>
    </xf>
    <xf numFmtId="0" fontId="54" fillId="7" borderId="0" xfId="0" applyFont="1" applyFill="1" applyAlignment="1">
      <alignment vertical="center"/>
    </xf>
    <xf numFmtId="0" fontId="54" fillId="0" borderId="71" xfId="0" applyFont="1" applyBorder="1"/>
    <xf numFmtId="0" fontId="54" fillId="0" borderId="14" xfId="0" applyFont="1" applyBorder="1"/>
    <xf numFmtId="0" fontId="20" fillId="0" borderId="15" xfId="2" quotePrefix="1" applyFont="1" applyBorder="1" applyAlignment="1">
      <alignment horizontal="center" vertical="center"/>
    </xf>
    <xf numFmtId="0" fontId="54" fillId="6" borderId="164" xfId="0" applyFont="1" applyFill="1" applyBorder="1" applyAlignment="1">
      <alignment horizontal="left" vertical="center"/>
    </xf>
    <xf numFmtId="0" fontId="54" fillId="7" borderId="70" xfId="0" applyFont="1" applyFill="1" applyBorder="1" applyAlignment="1">
      <alignment vertical="center"/>
    </xf>
    <xf numFmtId="0" fontId="54" fillId="7" borderId="68" xfId="0" applyFont="1" applyFill="1" applyBorder="1" applyAlignment="1">
      <alignment vertical="center"/>
    </xf>
    <xf numFmtId="0" fontId="54" fillId="7" borderId="63" xfId="0" applyFont="1" applyFill="1" applyBorder="1" applyAlignment="1">
      <alignment vertical="center"/>
    </xf>
    <xf numFmtId="168" fontId="46" fillId="6" borderId="27" xfId="0" applyNumberFormat="1" applyFont="1" applyFill="1" applyBorder="1" applyAlignment="1">
      <alignment horizontal="right" vertical="center"/>
    </xf>
    <xf numFmtId="0" fontId="69" fillId="9" borderId="50" xfId="0" applyFont="1" applyFill="1" applyBorder="1"/>
    <xf numFmtId="0" fontId="54" fillId="0" borderId="167" xfId="0" applyFont="1" applyBorder="1"/>
    <xf numFmtId="0" fontId="54" fillId="0" borderId="5" xfId="0" quotePrefix="1" applyFont="1" applyBorder="1"/>
    <xf numFmtId="0" fontId="54" fillId="0" borderId="9" xfId="0" applyFont="1" applyBorder="1"/>
    <xf numFmtId="0" fontId="20" fillId="0" borderId="10" xfId="2" applyFont="1" applyBorder="1" applyAlignment="1">
      <alignment horizontal="center" vertical="center"/>
    </xf>
    <xf numFmtId="168" fontId="65" fillId="12" borderId="13" xfId="0" applyNumberFormat="1" applyFont="1" applyFill="1" applyBorder="1" applyAlignment="1">
      <alignment horizontal="right" vertical="center"/>
    </xf>
    <xf numFmtId="168" fontId="65" fillId="12" borderId="28" xfId="0" applyNumberFormat="1" applyFont="1" applyFill="1" applyBorder="1" applyAlignment="1">
      <alignment horizontal="right" vertical="center"/>
    </xf>
    <xf numFmtId="0" fontId="69" fillId="9" borderId="48" xfId="0" applyFont="1" applyFill="1" applyBorder="1"/>
    <xf numFmtId="0" fontId="54" fillId="0" borderId="32" xfId="0" applyFont="1" applyBorder="1"/>
    <xf numFmtId="0" fontId="54" fillId="7" borderId="2" xfId="0" applyFont="1" applyFill="1" applyBorder="1" applyAlignment="1">
      <alignment vertical="center"/>
    </xf>
    <xf numFmtId="0" fontId="54" fillId="7" borderId="1" xfId="0" applyFont="1" applyFill="1" applyBorder="1" applyAlignment="1">
      <alignment vertical="center"/>
    </xf>
    <xf numFmtId="0" fontId="54" fillId="0" borderId="180" xfId="0" applyFont="1" applyBorder="1"/>
    <xf numFmtId="0" fontId="60" fillId="15" borderId="35" xfId="0" applyFont="1" applyFill="1" applyBorder="1"/>
    <xf numFmtId="0" fontId="54" fillId="0" borderId="32" xfId="0" quotePrefix="1" applyFont="1" applyBorder="1" applyAlignment="1">
      <alignment horizontal="left"/>
    </xf>
    <xf numFmtId="0" fontId="54" fillId="0" borderId="37" xfId="0" applyFont="1" applyBorder="1"/>
    <xf numFmtId="0" fontId="20" fillId="0" borderId="10" xfId="2" quotePrefix="1" applyFont="1" applyBorder="1" applyAlignment="1">
      <alignment horizontal="center" vertical="center"/>
    </xf>
    <xf numFmtId="0" fontId="54" fillId="0" borderId="3" xfId="0" applyFont="1" applyBorder="1"/>
    <xf numFmtId="3" fontId="59" fillId="12" borderId="33" xfId="0" applyNumberFormat="1" applyFont="1" applyFill="1" applyBorder="1" applyAlignment="1">
      <alignment vertical="top" wrapText="1"/>
    </xf>
    <xf numFmtId="0" fontId="60" fillId="15" borderId="17" xfId="0" applyFont="1" applyFill="1" applyBorder="1" applyAlignment="1">
      <alignment horizontal="center"/>
    </xf>
    <xf numFmtId="0" fontId="60" fillId="15" borderId="19" xfId="0" applyFont="1" applyFill="1" applyBorder="1" applyAlignment="1">
      <alignment horizontal="center"/>
    </xf>
    <xf numFmtId="0" fontId="54" fillId="0" borderId="11" xfId="0" applyFont="1" applyBorder="1"/>
    <xf numFmtId="0" fontId="54" fillId="0" borderId="40" xfId="0" applyFont="1" applyBorder="1"/>
    <xf numFmtId="0" fontId="70" fillId="39" borderId="310" xfId="0" applyFont="1" applyFill="1" applyBorder="1" applyAlignment="1">
      <alignment vertical="center" wrapText="1"/>
    </xf>
    <xf numFmtId="38" fontId="70" fillId="12" borderId="313" xfId="0" applyNumberFormat="1" applyFont="1" applyFill="1" applyBorder="1" applyAlignment="1">
      <alignment vertical="center" wrapText="1"/>
    </xf>
    <xf numFmtId="38" fontId="70" fillId="12" borderId="314" xfId="0" applyNumberFormat="1" applyFont="1" applyFill="1" applyBorder="1" applyAlignment="1">
      <alignment vertical="center" wrapText="1"/>
    </xf>
    <xf numFmtId="0" fontId="70" fillId="39" borderId="311" xfId="0" applyFont="1" applyFill="1" applyBorder="1" applyAlignment="1">
      <alignment vertical="center" wrapText="1"/>
    </xf>
    <xf numFmtId="38" fontId="70" fillId="12" borderId="315" xfId="0" applyNumberFormat="1" applyFont="1" applyFill="1" applyBorder="1" applyAlignment="1">
      <alignment vertical="center" wrapText="1"/>
    </xf>
    <xf numFmtId="38" fontId="70" fillId="12" borderId="316" xfId="0" applyNumberFormat="1" applyFont="1" applyFill="1" applyBorder="1" applyAlignment="1">
      <alignment vertical="center" wrapText="1"/>
    </xf>
    <xf numFmtId="0" fontId="54" fillId="6" borderId="102" xfId="0" applyFont="1" applyFill="1" applyBorder="1"/>
    <xf numFmtId="0" fontId="54" fillId="6" borderId="110" xfId="0" applyFont="1" applyFill="1" applyBorder="1"/>
    <xf numFmtId="0" fontId="54" fillId="6" borderId="103" xfId="0" applyFont="1" applyFill="1" applyBorder="1"/>
    <xf numFmtId="0" fontId="54" fillId="6" borderId="150" xfId="0" applyFont="1" applyFill="1" applyBorder="1"/>
    <xf numFmtId="0" fontId="60" fillId="15" borderId="45" xfId="0" applyFont="1" applyFill="1" applyBorder="1"/>
    <xf numFmtId="0" fontId="60" fillId="15" borderId="45" xfId="0" quotePrefix="1" applyFont="1" applyFill="1" applyBorder="1" applyAlignment="1">
      <alignment horizontal="left" vertical="top"/>
    </xf>
    <xf numFmtId="0" fontId="71" fillId="15" borderId="45" xfId="0" quotePrefix="1" applyFont="1" applyFill="1" applyBorder="1" applyAlignment="1">
      <alignment horizontal="center" vertical="top"/>
    </xf>
    <xf numFmtId="0" fontId="70" fillId="39" borderId="312" xfId="0" applyFont="1" applyFill="1" applyBorder="1" applyAlignment="1">
      <alignment vertical="center" wrapText="1"/>
    </xf>
    <xf numFmtId="38" fontId="70" fillId="12" borderId="317" xfId="0" applyNumberFormat="1" applyFont="1" applyFill="1" applyBorder="1" applyAlignment="1">
      <alignment vertical="center" wrapText="1"/>
    </xf>
    <xf numFmtId="38" fontId="70" fillId="12" borderId="318" xfId="0" applyNumberFormat="1" applyFont="1" applyFill="1" applyBorder="1" applyAlignment="1">
      <alignment vertical="center" wrapText="1"/>
    </xf>
    <xf numFmtId="167" fontId="54" fillId="0" borderId="7" xfId="0" applyNumberFormat="1" applyFont="1" applyBorder="1"/>
    <xf numFmtId="0" fontId="20" fillId="0" borderId="8" xfId="2" quotePrefix="1" applyFont="1" applyBorder="1" applyAlignment="1">
      <alignment horizontal="center" vertical="center"/>
    </xf>
    <xf numFmtId="0" fontId="54" fillId="19" borderId="13" xfId="0" applyFont="1" applyFill="1" applyBorder="1"/>
    <xf numFmtId="0" fontId="54" fillId="12" borderId="13" xfId="0" applyFont="1" applyFill="1" applyBorder="1"/>
    <xf numFmtId="2" fontId="55" fillId="12" borderId="35" xfId="0" quotePrefix="1" applyNumberFormat="1" applyFont="1" applyFill="1" applyBorder="1" applyAlignment="1">
      <alignment vertical="center"/>
    </xf>
    <xf numFmtId="167" fontId="54" fillId="0" borderId="9" xfId="0" applyNumberFormat="1" applyFont="1" applyBorder="1"/>
    <xf numFmtId="0" fontId="54" fillId="19" borderId="5" xfId="0" applyFont="1" applyFill="1" applyBorder="1"/>
    <xf numFmtId="0" fontId="54" fillId="6" borderId="5" xfId="0" applyFont="1" applyFill="1" applyBorder="1"/>
    <xf numFmtId="0" fontId="54" fillId="12" borderId="5" xfId="0" applyFont="1" applyFill="1" applyBorder="1"/>
    <xf numFmtId="0" fontId="54" fillId="12" borderId="71" xfId="0" applyFont="1" applyFill="1" applyBorder="1"/>
    <xf numFmtId="0" fontId="54" fillId="19" borderId="36" xfId="0" applyFont="1" applyFill="1" applyBorder="1"/>
    <xf numFmtId="0" fontId="54" fillId="6" borderId="36" xfId="0" applyFont="1" applyFill="1" applyBorder="1"/>
    <xf numFmtId="0" fontId="54" fillId="12" borderId="36" xfId="0" applyFont="1" applyFill="1" applyBorder="1"/>
    <xf numFmtId="0" fontId="54" fillId="12" borderId="26" xfId="0" applyFont="1" applyFill="1" applyBorder="1"/>
    <xf numFmtId="0" fontId="54" fillId="0" borderId="45" xfId="0" quotePrefix="1" applyFont="1" applyBorder="1" applyAlignment="1">
      <alignment horizontal="left"/>
    </xf>
    <xf numFmtId="0" fontId="54" fillId="0" borderId="58" xfId="0" quotePrefix="1" applyFont="1" applyBorder="1"/>
    <xf numFmtId="0" fontId="54" fillId="19" borderId="38" xfId="0" applyFont="1" applyFill="1" applyBorder="1"/>
    <xf numFmtId="0" fontId="54" fillId="6" borderId="38" xfId="0" applyFont="1" applyFill="1" applyBorder="1"/>
    <xf numFmtId="0" fontId="54" fillId="12" borderId="38" xfId="0" applyFont="1" applyFill="1" applyBorder="1"/>
    <xf numFmtId="0" fontId="54" fillId="12" borderId="27" xfId="0" applyFont="1" applyFill="1" applyBorder="1"/>
    <xf numFmtId="167" fontId="54" fillId="0" borderId="11" xfId="0" applyNumberFormat="1" applyFont="1" applyBorder="1"/>
    <xf numFmtId="0" fontId="20" fillId="0" borderId="12" xfId="2" applyFont="1" applyBorder="1" applyAlignment="1">
      <alignment horizontal="center" vertical="center"/>
    </xf>
    <xf numFmtId="0" fontId="54" fillId="19" borderId="37" xfId="0" quotePrefix="1" applyFont="1" applyFill="1" applyBorder="1" applyAlignment="1">
      <alignment horizontal="left"/>
    </xf>
    <xf numFmtId="0" fontId="54" fillId="6" borderId="37" xfId="0" quotePrefix="1" applyFont="1" applyFill="1" applyBorder="1" applyAlignment="1">
      <alignment horizontal="left"/>
    </xf>
    <xf numFmtId="0" fontId="54" fillId="12" borderId="37" xfId="0" quotePrefix="1" applyFont="1" applyFill="1" applyBorder="1"/>
    <xf numFmtId="0" fontId="54" fillId="12" borderId="28" xfId="0" applyFont="1" applyFill="1" applyBorder="1"/>
    <xf numFmtId="0" fontId="54" fillId="0" borderId="0" xfId="0" applyFont="1" applyAlignment="1">
      <alignment horizontal="left"/>
    </xf>
    <xf numFmtId="0" fontId="61" fillId="15" borderId="326" xfId="0" quotePrefix="1" applyFont="1" applyFill="1" applyBorder="1" applyAlignment="1">
      <alignment horizontal="center" vertical="top" wrapText="1"/>
    </xf>
    <xf numFmtId="0" fontId="61" fillId="15" borderId="329" xfId="0" quotePrefix="1" applyFont="1" applyFill="1" applyBorder="1" applyAlignment="1">
      <alignment horizontal="center" vertical="top" wrapText="1"/>
    </xf>
    <xf numFmtId="0" fontId="60" fillId="15" borderId="70" xfId="0" applyFont="1" applyFill="1" applyBorder="1" applyAlignment="1">
      <alignment horizontal="center"/>
    </xf>
    <xf numFmtId="0" fontId="54" fillId="0" borderId="327" xfId="0" applyFont="1" applyBorder="1" applyAlignment="1">
      <alignment horizontal="center"/>
    </xf>
    <xf numFmtId="164" fontId="54" fillId="0" borderId="41" xfId="0" applyNumberFormat="1" applyFont="1" applyBorder="1" applyAlignment="1">
      <alignment horizontal="center"/>
    </xf>
    <xf numFmtId="164" fontId="73" fillId="0" borderId="41" xfId="0" applyNumberFormat="1" applyFont="1" applyBorder="1" applyAlignment="1">
      <alignment horizontal="center"/>
    </xf>
    <xf numFmtId="167" fontId="54" fillId="0" borderId="36" xfId="0" applyNumberFormat="1" applyFont="1" applyBorder="1"/>
    <xf numFmtId="0" fontId="54" fillId="0" borderId="64" xfId="0" quotePrefix="1" applyFont="1" applyBorder="1" applyAlignment="1">
      <alignment horizontal="left"/>
    </xf>
    <xf numFmtId="0" fontId="54" fillId="0" borderId="323" xfId="0" applyFont="1" applyBorder="1" applyAlignment="1">
      <alignment horizontal="center"/>
    </xf>
    <xf numFmtId="164" fontId="54" fillId="0" borderId="23" xfId="0" applyNumberFormat="1" applyFont="1" applyBorder="1" applyAlignment="1">
      <alignment horizontal="center"/>
    </xf>
    <xf numFmtId="164" fontId="73" fillId="0" borderId="23" xfId="0" applyNumberFormat="1" applyFont="1" applyBorder="1" applyAlignment="1">
      <alignment horizontal="center"/>
    </xf>
    <xf numFmtId="167" fontId="54" fillId="0" borderId="38" xfId="0" applyNumberFormat="1" applyFont="1" applyBorder="1"/>
    <xf numFmtId="0" fontId="54" fillId="0" borderId="65" xfId="0" applyFont="1" applyBorder="1"/>
    <xf numFmtId="0" fontId="54" fillId="19" borderId="37" xfId="0" applyFont="1" applyFill="1" applyBorder="1"/>
    <xf numFmtId="0" fontId="54" fillId="0" borderId="65" xfId="0" quotePrefix="1" applyFont="1" applyBorder="1" applyAlignment="1">
      <alignment horizontal="left"/>
    </xf>
    <xf numFmtId="0" fontId="54" fillId="0" borderId="324" xfId="0" quotePrefix="1" applyFont="1" applyBorder="1" applyAlignment="1">
      <alignment horizontal="center"/>
    </xf>
    <xf numFmtId="164" fontId="54" fillId="0" borderId="325" xfId="0" quotePrefix="1" applyNumberFormat="1" applyFont="1" applyBorder="1" applyAlignment="1">
      <alignment horizontal="center"/>
    </xf>
    <xf numFmtId="164" fontId="73" fillId="0" borderId="325" xfId="0" quotePrefix="1" applyNumberFormat="1" applyFont="1" applyBorder="1" applyAlignment="1">
      <alignment horizontal="center"/>
    </xf>
    <xf numFmtId="0" fontId="54" fillId="0" borderId="167" xfId="0" quotePrefix="1" applyFont="1" applyBorder="1" applyAlignment="1">
      <alignment horizontal="left"/>
    </xf>
    <xf numFmtId="167" fontId="54" fillId="0" borderId="37" xfId="0" quotePrefix="1" applyNumberFormat="1" applyFont="1" applyBorder="1"/>
    <xf numFmtId="0" fontId="54" fillId="0" borderId="67" xfId="0" quotePrefix="1" applyFont="1" applyBorder="1" applyAlignment="1">
      <alignment horizontal="left"/>
    </xf>
    <xf numFmtId="0" fontId="54" fillId="0" borderId="37" xfId="0" quotePrefix="1" applyFont="1" applyBorder="1"/>
    <xf numFmtId="10" fontId="54" fillId="6" borderId="164" xfId="0" quotePrefix="1" applyNumberFormat="1" applyFont="1" applyFill="1" applyBorder="1"/>
    <xf numFmtId="10" fontId="54" fillId="6" borderId="164" xfId="0" applyNumberFormat="1" applyFont="1" applyFill="1" applyBorder="1"/>
    <xf numFmtId="0" fontId="20" fillId="0" borderId="26" xfId="0" quotePrefix="1" applyFont="1" applyBorder="1" applyAlignment="1">
      <alignment horizontal="left" vertical="center"/>
    </xf>
    <xf numFmtId="2" fontId="20" fillId="0" borderId="166" xfId="0" quotePrefix="1" applyNumberFormat="1" applyFont="1" applyBorder="1" applyAlignment="1">
      <alignment vertical="center"/>
    </xf>
    <xf numFmtId="0" fontId="20" fillId="0" borderId="165" xfId="0" quotePrefix="1" applyFont="1" applyBorder="1" applyAlignment="1">
      <alignment vertical="center"/>
    </xf>
    <xf numFmtId="2" fontId="20" fillId="0" borderId="167" xfId="0" quotePrefix="1" applyNumberFormat="1" applyFont="1" applyBorder="1" applyAlignment="1">
      <alignment vertical="center"/>
    </xf>
    <xf numFmtId="0" fontId="54" fillId="0" borderId="27" xfId="0" quotePrefix="1" applyFont="1" applyBorder="1" applyAlignment="1">
      <alignment horizontal="left" vertical="center"/>
    </xf>
    <xf numFmtId="0" fontId="54" fillId="0" borderId="22" xfId="0" quotePrefix="1" applyFont="1" applyBorder="1" applyAlignment="1">
      <alignment vertical="center"/>
    </xf>
    <xf numFmtId="2" fontId="54" fillId="0" borderId="30" xfId="0" applyNumberFormat="1" applyFont="1" applyBorder="1" applyAlignment="1">
      <alignment vertical="center"/>
    </xf>
    <xf numFmtId="0" fontId="54" fillId="0" borderId="23" xfId="0" applyFont="1" applyBorder="1" applyAlignment="1">
      <alignment vertical="center"/>
    </xf>
    <xf numFmtId="0" fontId="54" fillId="0" borderId="28" xfId="0" quotePrefix="1" applyFont="1" applyBorder="1" applyAlignment="1">
      <alignment horizontal="left" vertical="center"/>
    </xf>
    <xf numFmtId="0" fontId="54" fillId="0" borderId="24" xfId="0" quotePrefix="1" applyFont="1" applyBorder="1" applyAlignment="1">
      <alignment vertical="center"/>
    </xf>
    <xf numFmtId="0" fontId="54" fillId="0" borderId="32" xfId="0" applyFont="1" applyBorder="1" applyAlignment="1">
      <alignment vertical="center"/>
    </xf>
    <xf numFmtId="2" fontId="54" fillId="0" borderId="25" xfId="0" applyNumberFormat="1" applyFont="1" applyBorder="1" applyAlignment="1">
      <alignment vertical="center"/>
    </xf>
    <xf numFmtId="0" fontId="54" fillId="14" borderId="36" xfId="0" quotePrefix="1" applyFont="1" applyFill="1" applyBorder="1"/>
    <xf numFmtId="0" fontId="54" fillId="14" borderId="38" xfId="0" applyFont="1" applyFill="1" applyBorder="1"/>
    <xf numFmtId="0" fontId="54" fillId="19" borderId="25" xfId="0" applyFont="1" applyFill="1" applyBorder="1"/>
    <xf numFmtId="0" fontId="60" fillId="15" borderId="164" xfId="0" applyFont="1" applyFill="1" applyBorder="1"/>
    <xf numFmtId="0" fontId="54" fillId="0" borderId="26" xfId="0" quotePrefix="1" applyFont="1" applyBorder="1" applyAlignment="1">
      <alignment horizontal="left"/>
    </xf>
    <xf numFmtId="0" fontId="54" fillId="0" borderId="28" xfId="0" quotePrefix="1" applyFont="1" applyBorder="1" applyAlignment="1">
      <alignment horizontal="left"/>
    </xf>
    <xf numFmtId="0" fontId="54" fillId="0" borderId="28" xfId="0" applyFont="1" applyBorder="1"/>
    <xf numFmtId="0" fontId="59" fillId="12" borderId="180" xfId="0" applyFont="1" applyFill="1" applyBorder="1" applyAlignment="1">
      <alignment horizontal="left" vertical="top" wrapText="1"/>
    </xf>
    <xf numFmtId="0" fontId="60" fillId="15" borderId="45" xfId="0" quotePrefix="1" applyFont="1" applyFill="1" applyBorder="1" applyAlignment="1">
      <alignment horizontal="left" vertical="top" wrapText="1"/>
    </xf>
    <xf numFmtId="0" fontId="60" fillId="15" borderId="13" xfId="0" quotePrefix="1" applyFont="1" applyFill="1" applyBorder="1" applyAlignment="1">
      <alignment horizontal="left" vertical="top" wrapText="1"/>
    </xf>
    <xf numFmtId="2" fontId="55" fillId="0" borderId="72" xfId="0" applyNumberFormat="1" applyFont="1" applyBorder="1" applyAlignment="1">
      <alignment vertical="center"/>
    </xf>
    <xf numFmtId="2" fontId="55" fillId="0" borderId="53" xfId="0" applyNumberFormat="1" applyFont="1" applyBorder="1" applyAlignment="1">
      <alignment vertical="center"/>
    </xf>
    <xf numFmtId="0" fontId="54" fillId="0" borderId="0" xfId="0" applyFont="1" applyAlignment="1">
      <alignment wrapText="1"/>
    </xf>
    <xf numFmtId="164" fontId="6" fillId="0" borderId="0" xfId="0" applyNumberFormat="1" applyFont="1" applyProtection="1">
      <protection hidden="1"/>
    </xf>
    <xf numFmtId="0" fontId="6" fillId="0" borderId="42" xfId="0" applyFont="1" applyBorder="1" applyProtection="1">
      <protection hidden="1"/>
    </xf>
    <xf numFmtId="0" fontId="28" fillId="12" borderId="344" xfId="0" applyFont="1" applyFill="1" applyBorder="1" applyProtection="1">
      <protection hidden="1"/>
    </xf>
    <xf numFmtId="166" fontId="10" fillId="12" borderId="278" xfId="0" applyNumberFormat="1" applyFont="1" applyFill="1" applyBorder="1" applyProtection="1">
      <protection hidden="1"/>
    </xf>
    <xf numFmtId="166" fontId="10" fillId="12" borderId="242" xfId="0" applyNumberFormat="1" applyFont="1" applyFill="1" applyBorder="1" applyProtection="1">
      <protection hidden="1"/>
    </xf>
    <xf numFmtId="166" fontId="10" fillId="12" borderId="276" xfId="0" applyNumberFormat="1" applyFont="1" applyFill="1" applyBorder="1" applyProtection="1">
      <protection hidden="1"/>
    </xf>
    <xf numFmtId="168" fontId="6" fillId="12" borderId="278" xfId="0" applyNumberFormat="1" applyFont="1" applyFill="1" applyBorder="1" applyProtection="1">
      <protection hidden="1"/>
    </xf>
    <xf numFmtId="168" fontId="6" fillId="12" borderId="276" xfId="0" applyNumberFormat="1" applyFont="1" applyFill="1" applyBorder="1" applyProtection="1">
      <protection hidden="1"/>
    </xf>
    <xf numFmtId="0" fontId="10" fillId="26" borderId="166" xfId="0" applyFont="1" applyFill="1" applyBorder="1" applyProtection="1">
      <protection hidden="1"/>
    </xf>
    <xf numFmtId="0" fontId="10" fillId="26" borderId="167" xfId="0" applyFont="1" applyFill="1" applyBorder="1" applyProtection="1">
      <protection hidden="1"/>
    </xf>
    <xf numFmtId="0" fontId="10" fillId="26" borderId="24" xfId="0" applyFont="1" applyFill="1" applyBorder="1" applyProtection="1">
      <protection hidden="1"/>
    </xf>
    <xf numFmtId="0" fontId="10" fillId="26" borderId="25" xfId="0" applyFont="1" applyFill="1" applyBorder="1" applyProtection="1">
      <protection hidden="1"/>
    </xf>
    <xf numFmtId="0" fontId="10" fillId="26" borderId="59" xfId="0" applyFont="1" applyFill="1" applyBorder="1" applyProtection="1">
      <protection hidden="1"/>
    </xf>
    <xf numFmtId="0" fontId="10" fillId="26" borderId="329" xfId="0" applyFont="1" applyFill="1" applyBorder="1" applyProtection="1">
      <protection hidden="1"/>
    </xf>
    <xf numFmtId="0" fontId="10" fillId="23" borderId="166" xfId="0" applyFont="1" applyFill="1" applyBorder="1" applyProtection="1">
      <protection hidden="1"/>
    </xf>
    <xf numFmtId="0" fontId="10" fillId="23" borderId="167" xfId="0" applyFont="1" applyFill="1" applyBorder="1" applyProtection="1">
      <protection hidden="1"/>
    </xf>
    <xf numFmtId="0" fontId="10" fillId="23" borderId="22" xfId="0" applyFont="1" applyFill="1" applyBorder="1" applyProtection="1">
      <protection hidden="1"/>
    </xf>
    <xf numFmtId="0" fontId="10" fillId="23" borderId="23" xfId="0" applyFont="1" applyFill="1" applyBorder="1" applyProtection="1">
      <protection hidden="1"/>
    </xf>
    <xf numFmtId="0" fontId="10" fillId="23" borderId="24" xfId="0" applyFont="1" applyFill="1" applyBorder="1" applyProtection="1">
      <protection hidden="1"/>
    </xf>
    <xf numFmtId="0" fontId="10" fillId="23" borderId="25" xfId="0" applyFont="1" applyFill="1" applyBorder="1" applyProtection="1">
      <protection hidden="1"/>
    </xf>
    <xf numFmtId="166" fontId="43" fillId="24" borderId="36" xfId="0" applyNumberFormat="1" applyFont="1" applyFill="1" applyBorder="1" applyProtection="1">
      <protection hidden="1"/>
    </xf>
    <xf numFmtId="3" fontId="43" fillId="24" borderId="121" xfId="0" applyNumberFormat="1" applyFont="1" applyFill="1" applyBorder="1" applyProtection="1">
      <protection hidden="1"/>
    </xf>
    <xf numFmtId="3" fontId="43" fillId="24" borderId="346" xfId="0" applyNumberFormat="1" applyFont="1" applyFill="1" applyBorder="1" applyProtection="1">
      <protection hidden="1"/>
    </xf>
    <xf numFmtId="3" fontId="43" fillId="38" borderId="120" xfId="0" applyNumberFormat="1" applyFont="1" applyFill="1" applyBorder="1" applyProtection="1">
      <protection hidden="1"/>
    </xf>
    <xf numFmtId="3" fontId="43" fillId="38" borderId="59" xfId="0" applyNumberFormat="1" applyFont="1" applyFill="1" applyBorder="1" applyProtection="1">
      <protection hidden="1"/>
    </xf>
    <xf numFmtId="10" fontId="6" fillId="0" borderId="0" xfId="0" applyNumberFormat="1" applyFont="1"/>
    <xf numFmtId="166" fontId="17" fillId="0" borderId="227" xfId="0" applyNumberFormat="1" applyFont="1" applyBorder="1" applyProtection="1">
      <protection hidden="1"/>
    </xf>
    <xf numFmtId="166" fontId="17" fillId="0" borderId="347" xfId="0" applyNumberFormat="1" applyFont="1" applyBorder="1" applyProtection="1">
      <protection hidden="1"/>
    </xf>
    <xf numFmtId="166" fontId="17" fillId="0" borderId="303" xfId="0" applyNumberFormat="1" applyFont="1" applyBorder="1" applyProtection="1">
      <protection hidden="1"/>
    </xf>
    <xf numFmtId="166" fontId="43" fillId="38" borderId="348" xfId="0" applyNumberFormat="1" applyFont="1" applyFill="1" applyBorder="1" applyProtection="1">
      <protection hidden="1"/>
    </xf>
    <xf numFmtId="166" fontId="43" fillId="38" borderId="323" xfId="0" applyNumberFormat="1" applyFont="1" applyFill="1" applyBorder="1" applyProtection="1">
      <protection hidden="1"/>
    </xf>
    <xf numFmtId="166" fontId="43" fillId="38" borderId="349" xfId="0" applyNumberFormat="1" applyFont="1" applyFill="1" applyBorder="1" applyProtection="1">
      <protection hidden="1"/>
    </xf>
    <xf numFmtId="166" fontId="14" fillId="12" borderId="288" xfId="0" applyNumberFormat="1" applyFont="1" applyFill="1" applyBorder="1" applyProtection="1">
      <protection hidden="1"/>
    </xf>
    <xf numFmtId="1" fontId="15" fillId="9" borderId="292" xfId="3" applyNumberFormat="1" applyFont="1" applyFill="1" applyBorder="1" applyAlignment="1" applyProtection="1">
      <alignment vertical="center"/>
      <protection hidden="1"/>
    </xf>
    <xf numFmtId="49" fontId="51" fillId="41" borderId="351" xfId="0" applyNumberFormat="1" applyFont="1" applyFill="1" applyBorder="1" applyAlignment="1" applyProtection="1">
      <alignment horizontal="left" vertical="center"/>
      <protection locked="0"/>
    </xf>
    <xf numFmtId="0" fontId="15" fillId="9" borderId="139" xfId="0" quotePrefix="1" applyFont="1" applyFill="1" applyBorder="1" applyAlignment="1" applyProtection="1">
      <alignment vertical="center"/>
      <protection hidden="1"/>
    </xf>
    <xf numFmtId="0" fontId="15" fillId="9" borderId="352" xfId="0" quotePrefix="1" applyFont="1" applyFill="1" applyBorder="1" applyAlignment="1" applyProtection="1">
      <alignment vertical="center"/>
      <protection hidden="1"/>
    </xf>
    <xf numFmtId="49" fontId="51" fillId="41" borderId="353" xfId="0" applyNumberFormat="1" applyFont="1" applyFill="1" applyBorder="1" applyAlignment="1" applyProtection="1">
      <alignment horizontal="left" vertical="center"/>
      <protection locked="0"/>
    </xf>
    <xf numFmtId="49" fontId="51" fillId="41" borderId="354" xfId="0" applyNumberFormat="1" applyFont="1" applyFill="1" applyBorder="1" applyAlignment="1" applyProtection="1">
      <alignment horizontal="left" vertical="center"/>
      <protection locked="0"/>
    </xf>
    <xf numFmtId="49" fontId="51" fillId="41" borderId="355" xfId="0" applyNumberFormat="1" applyFont="1" applyFill="1" applyBorder="1" applyAlignment="1" applyProtection="1">
      <alignment horizontal="left" vertical="center"/>
      <protection locked="0"/>
    </xf>
    <xf numFmtId="1" fontId="15" fillId="9" borderId="140" xfId="3" applyNumberFormat="1" applyFont="1" applyFill="1" applyBorder="1" applyAlignment="1" applyProtection="1">
      <alignment vertical="center"/>
      <protection hidden="1"/>
    </xf>
    <xf numFmtId="49" fontId="51" fillId="41" borderId="356" xfId="0" applyNumberFormat="1" applyFont="1" applyFill="1" applyBorder="1" applyAlignment="1" applyProtection="1">
      <alignment horizontal="left" vertical="center"/>
      <protection locked="0"/>
    </xf>
    <xf numFmtId="1" fontId="15" fillId="9" borderId="163" xfId="3" applyNumberFormat="1" applyFont="1" applyFill="1" applyBorder="1" applyAlignment="1" applyProtection="1">
      <alignment vertical="center"/>
      <protection hidden="1"/>
    </xf>
    <xf numFmtId="0" fontId="15" fillId="9" borderId="357" xfId="0" quotePrefix="1" applyFont="1" applyFill="1" applyBorder="1" applyAlignment="1" applyProtection="1">
      <alignment vertical="center"/>
      <protection hidden="1"/>
    </xf>
    <xf numFmtId="49" fontId="51" fillId="41" borderId="358" xfId="0" applyNumberFormat="1" applyFont="1" applyFill="1" applyBorder="1" applyAlignment="1" applyProtection="1">
      <alignment horizontal="left" vertical="center"/>
      <protection locked="0"/>
    </xf>
    <xf numFmtId="49" fontId="51" fillId="41" borderId="359" xfId="0" applyNumberFormat="1" applyFont="1" applyFill="1" applyBorder="1" applyAlignment="1" applyProtection="1">
      <alignment horizontal="left" vertical="center"/>
      <protection locked="0"/>
    </xf>
    <xf numFmtId="1" fontId="15" fillId="9" borderId="142" xfId="3" applyNumberFormat="1" applyFont="1" applyFill="1" applyBorder="1" applyAlignment="1" applyProtection="1">
      <alignment vertical="center"/>
      <protection hidden="1"/>
    </xf>
    <xf numFmtId="0" fontId="51" fillId="41" borderId="142" xfId="0" applyFont="1" applyFill="1" applyBorder="1" applyAlignment="1" applyProtection="1">
      <alignment horizontal="left" vertical="center"/>
      <protection locked="0"/>
    </xf>
    <xf numFmtId="0" fontId="15" fillId="9" borderId="142" xfId="0" quotePrefix="1" applyFont="1" applyFill="1" applyBorder="1" applyAlignment="1" applyProtection="1">
      <alignment vertical="center"/>
      <protection hidden="1"/>
    </xf>
    <xf numFmtId="49" fontId="51" fillId="41" borderId="143" xfId="0" applyNumberFormat="1" applyFont="1" applyFill="1" applyBorder="1" applyAlignment="1" applyProtection="1">
      <alignment horizontal="left" vertical="center"/>
      <protection locked="0"/>
    </xf>
    <xf numFmtId="0" fontId="43" fillId="13" borderId="330" xfId="0" applyFont="1" applyFill="1" applyBorder="1" applyAlignment="1" applyProtection="1">
      <alignment vertical="center"/>
      <protection hidden="1"/>
    </xf>
    <xf numFmtId="0" fontId="43" fillId="13" borderId="46" xfId="0" applyFont="1" applyFill="1" applyBorder="1" applyAlignment="1" applyProtection="1">
      <alignment vertical="center"/>
      <protection hidden="1"/>
    </xf>
    <xf numFmtId="0" fontId="43" fillId="13" borderId="16" xfId="0" applyFont="1" applyFill="1" applyBorder="1" applyAlignment="1" applyProtection="1">
      <alignment vertical="center"/>
      <protection hidden="1"/>
    </xf>
    <xf numFmtId="0" fontId="43" fillId="13" borderId="45" xfId="0" applyFont="1" applyFill="1" applyBorder="1" applyAlignment="1" applyProtection="1">
      <alignment vertical="center"/>
      <protection hidden="1"/>
    </xf>
    <xf numFmtId="0" fontId="43" fillId="13" borderId="43" xfId="0" applyFont="1" applyFill="1" applyBorder="1" applyAlignment="1" applyProtection="1">
      <alignment vertical="center"/>
      <protection hidden="1"/>
    </xf>
    <xf numFmtId="0" fontId="43" fillId="13" borderId="42" xfId="0" applyFont="1" applyFill="1" applyBorder="1" applyAlignment="1" applyProtection="1">
      <alignment vertical="center"/>
      <protection hidden="1"/>
    </xf>
    <xf numFmtId="49" fontId="51" fillId="41" borderId="360" xfId="0" applyNumberFormat="1" applyFont="1" applyFill="1" applyBorder="1" applyAlignment="1" applyProtection="1">
      <alignment horizontal="left" vertical="center"/>
      <protection locked="0"/>
    </xf>
    <xf numFmtId="0" fontId="6" fillId="0" borderId="45" xfId="0" applyFont="1" applyBorder="1" applyAlignment="1" applyProtection="1">
      <alignment vertical="center"/>
      <protection hidden="1"/>
    </xf>
    <xf numFmtId="0" fontId="6" fillId="0" borderId="43" xfId="0" applyFont="1" applyBorder="1" applyAlignment="1" applyProtection="1">
      <alignment vertical="center"/>
      <protection hidden="1"/>
    </xf>
    <xf numFmtId="0" fontId="6" fillId="9" borderId="59" xfId="0" applyFont="1" applyFill="1" applyBorder="1" applyAlignment="1" applyProtection="1">
      <alignment horizontal="center" vertical="center"/>
      <protection hidden="1"/>
    </xf>
    <xf numFmtId="0" fontId="6" fillId="9" borderId="68" xfId="0" applyFont="1" applyFill="1" applyBorder="1" applyAlignment="1" applyProtection="1">
      <alignment horizontal="center" vertical="center"/>
      <protection hidden="1"/>
    </xf>
    <xf numFmtId="0" fontId="6" fillId="0" borderId="42" xfId="0" applyFont="1" applyBorder="1" applyAlignment="1" applyProtection="1">
      <alignment vertical="center"/>
      <protection hidden="1"/>
    </xf>
    <xf numFmtId="3" fontId="17" fillId="41" borderId="155" xfId="0" applyNumberFormat="1" applyFont="1" applyFill="1" applyBorder="1" applyAlignment="1" applyProtection="1">
      <alignment vertical="center"/>
      <protection locked="0" hidden="1"/>
    </xf>
    <xf numFmtId="0" fontId="15" fillId="9" borderId="161" xfId="0" quotePrefix="1" applyFont="1" applyFill="1" applyBorder="1" applyAlignment="1" applyProtection="1">
      <alignment vertical="center"/>
      <protection hidden="1"/>
    </xf>
    <xf numFmtId="0" fontId="15" fillId="9" borderId="362" xfId="0" quotePrefix="1" applyFont="1" applyFill="1" applyBorder="1" applyAlignment="1" applyProtection="1">
      <alignment vertical="center"/>
      <protection hidden="1"/>
    </xf>
    <xf numFmtId="0" fontId="15" fillId="9" borderId="284" xfId="0" quotePrefix="1" applyFont="1" applyFill="1" applyBorder="1" applyAlignment="1" applyProtection="1">
      <alignment vertical="center"/>
      <protection hidden="1"/>
    </xf>
    <xf numFmtId="0" fontId="15" fillId="9" borderId="364" xfId="0" quotePrefix="1" applyFont="1" applyFill="1" applyBorder="1" applyAlignment="1" applyProtection="1">
      <alignment vertical="center"/>
      <protection hidden="1"/>
    </xf>
    <xf numFmtId="3" fontId="49" fillId="41" borderId="365" xfId="0" applyNumberFormat="1" applyFont="1" applyFill="1" applyBorder="1" applyAlignment="1" applyProtection="1">
      <alignment vertical="center"/>
      <protection locked="0"/>
    </xf>
    <xf numFmtId="1" fontId="15" fillId="9" borderId="284" xfId="3" applyNumberFormat="1" applyFont="1" applyFill="1" applyBorder="1" applyAlignment="1" applyProtection="1">
      <alignment vertical="center"/>
      <protection hidden="1"/>
    </xf>
    <xf numFmtId="0" fontId="6" fillId="0" borderId="361" xfId="0" applyFont="1" applyBorder="1" applyAlignment="1" applyProtection="1">
      <alignment vertical="center"/>
      <protection hidden="1"/>
    </xf>
    <xf numFmtId="0" fontId="14" fillId="9" borderId="364" xfId="0" applyFont="1" applyFill="1" applyBorder="1" applyAlignment="1" applyProtection="1">
      <alignment vertical="center"/>
      <protection hidden="1"/>
    </xf>
    <xf numFmtId="0" fontId="10" fillId="9" borderId="369" xfId="0" applyFont="1" applyFill="1" applyBorder="1" applyAlignment="1" applyProtection="1">
      <alignment vertical="center"/>
      <protection hidden="1"/>
    </xf>
    <xf numFmtId="4" fontId="10" fillId="6" borderId="23" xfId="0" applyNumberFormat="1" applyFont="1" applyFill="1" applyBorder="1" applyAlignment="1">
      <alignment horizontal="right"/>
    </xf>
    <xf numFmtId="4" fontId="10" fillId="6" borderId="53" xfId="0" applyNumberFormat="1" applyFont="1" applyFill="1" applyBorder="1" applyAlignment="1">
      <alignment horizontal="right"/>
    </xf>
    <xf numFmtId="4" fontId="14" fillId="6" borderId="23" xfId="0" applyNumberFormat="1" applyFont="1" applyFill="1" applyBorder="1" applyAlignment="1">
      <alignment horizontal="right"/>
    </xf>
    <xf numFmtId="172" fontId="10" fillId="6" borderId="23" xfId="0" applyNumberFormat="1" applyFont="1" applyFill="1" applyBorder="1" applyAlignment="1">
      <alignment horizontal="right"/>
    </xf>
    <xf numFmtId="172" fontId="10" fillId="6" borderId="53" xfId="0" applyNumberFormat="1" applyFont="1" applyFill="1" applyBorder="1" applyAlignment="1">
      <alignment horizontal="right"/>
    </xf>
    <xf numFmtId="0" fontId="6" fillId="6" borderId="336" xfId="0" quotePrefix="1" applyFont="1" applyFill="1" applyBorder="1" applyAlignment="1" applyProtection="1">
      <alignment vertical="center"/>
      <protection hidden="1"/>
    </xf>
    <xf numFmtId="4" fontId="10" fillId="6" borderId="41" xfId="0" applyNumberFormat="1" applyFont="1" applyFill="1" applyBorder="1" applyAlignment="1">
      <alignment horizontal="right"/>
    </xf>
    <xf numFmtId="172" fontId="10" fillId="6" borderId="41" xfId="0" applyNumberFormat="1" applyFont="1" applyFill="1" applyBorder="1" applyAlignment="1">
      <alignment horizontal="right"/>
    </xf>
    <xf numFmtId="0" fontId="6" fillId="6" borderId="59" xfId="0" quotePrefix="1" applyFont="1" applyFill="1" applyBorder="1" applyAlignment="1">
      <alignment vertical="center"/>
    </xf>
    <xf numFmtId="4" fontId="28" fillId="12" borderId="329" xfId="0" applyNumberFormat="1" applyFont="1" applyFill="1" applyBorder="1" applyAlignment="1">
      <alignment horizontal="right"/>
    </xf>
    <xf numFmtId="172" fontId="28" fillId="12" borderId="329" xfId="0" applyNumberFormat="1" applyFont="1" applyFill="1" applyBorder="1" applyAlignment="1">
      <alignment horizontal="right"/>
    </xf>
    <xf numFmtId="173" fontId="17" fillId="12" borderId="363" xfId="0" applyNumberFormat="1" applyFont="1" applyFill="1" applyBorder="1" applyAlignment="1" applyProtection="1">
      <alignment horizontal="right" vertical="center"/>
      <protection locked="0"/>
    </xf>
    <xf numFmtId="3" fontId="21" fillId="17" borderId="328" xfId="0" applyNumberFormat="1" applyFont="1" applyFill="1" applyBorder="1" applyAlignment="1" applyProtection="1">
      <alignment vertical="center"/>
      <protection hidden="1"/>
    </xf>
    <xf numFmtId="0" fontId="15" fillId="9" borderId="371" xfId="0" quotePrefix="1" applyFont="1" applyFill="1" applyBorder="1" applyAlignment="1" applyProtection="1">
      <alignment vertical="center"/>
      <protection hidden="1"/>
    </xf>
    <xf numFmtId="0" fontId="15" fillId="9" borderId="372" xfId="0" quotePrefix="1" applyFont="1" applyFill="1" applyBorder="1" applyAlignment="1" applyProtection="1">
      <alignment vertical="center"/>
      <protection hidden="1"/>
    </xf>
    <xf numFmtId="164" fontId="17" fillId="41" borderId="373" xfId="0" applyNumberFormat="1" applyFont="1" applyFill="1" applyBorder="1" applyAlignment="1" applyProtection="1">
      <alignment vertical="center"/>
      <protection locked="0" hidden="1"/>
    </xf>
    <xf numFmtId="164" fontId="21" fillId="17" borderId="31" xfId="0" applyNumberFormat="1" applyFont="1" applyFill="1" applyBorder="1" applyAlignment="1" applyProtection="1">
      <alignment vertical="center"/>
      <protection hidden="1"/>
    </xf>
    <xf numFmtId="164" fontId="28" fillId="17" borderId="374" xfId="0" applyNumberFormat="1" applyFont="1" applyFill="1" applyBorder="1" applyAlignment="1" applyProtection="1">
      <alignment vertical="center"/>
      <protection hidden="1"/>
    </xf>
    <xf numFmtId="0" fontId="6" fillId="9" borderId="375" xfId="0" applyFont="1" applyFill="1" applyBorder="1" applyAlignment="1" applyProtection="1">
      <alignment horizontal="center" vertical="center"/>
      <protection hidden="1"/>
    </xf>
    <xf numFmtId="0" fontId="1" fillId="0" borderId="247" xfId="0" applyFont="1" applyBorder="1"/>
    <xf numFmtId="0" fontId="1" fillId="12" borderId="209" xfId="0" applyFont="1" applyFill="1" applyBorder="1"/>
    <xf numFmtId="0" fontId="1" fillId="12" borderId="210" xfId="0" applyFont="1" applyFill="1" applyBorder="1"/>
    <xf numFmtId="0" fontId="1" fillId="12" borderId="211" xfId="0" applyFont="1" applyFill="1" applyBorder="1"/>
    <xf numFmtId="0" fontId="1" fillId="12" borderId="212" xfId="0" applyFont="1" applyFill="1" applyBorder="1"/>
    <xf numFmtId="173" fontId="6" fillId="9" borderId="89" xfId="0" applyNumberFormat="1" applyFont="1" applyFill="1" applyBorder="1" applyAlignment="1" applyProtection="1">
      <alignment horizontal="right" vertical="center"/>
      <protection hidden="1"/>
    </xf>
    <xf numFmtId="173" fontId="6" fillId="9" borderId="376" xfId="0" applyNumberFormat="1" applyFont="1" applyFill="1" applyBorder="1" applyAlignment="1" applyProtection="1">
      <alignment horizontal="right" vertical="center"/>
      <protection hidden="1"/>
    </xf>
    <xf numFmtId="0" fontId="14" fillId="9" borderId="368" xfId="0" applyFont="1" applyFill="1" applyBorder="1" applyAlignment="1" applyProtection="1">
      <alignment vertical="center"/>
      <protection hidden="1"/>
    </xf>
    <xf numFmtId="0" fontId="10" fillId="9" borderId="297" xfId="0" applyFont="1" applyFill="1" applyBorder="1" applyAlignment="1" applyProtection="1">
      <alignment vertical="center"/>
      <protection hidden="1"/>
    </xf>
    <xf numFmtId="172" fontId="6" fillId="9" borderId="355" xfId="1" applyNumberFormat="1" applyFont="1" applyFill="1" applyBorder="1" applyAlignment="1" applyProtection="1">
      <alignment horizontal="right" vertical="center"/>
      <protection hidden="1"/>
    </xf>
    <xf numFmtId="172" fontId="6" fillId="9" borderId="356" xfId="1" applyNumberFormat="1" applyFont="1" applyFill="1" applyBorder="1" applyAlignment="1" applyProtection="1">
      <alignment vertical="center"/>
      <protection hidden="1"/>
    </xf>
    <xf numFmtId="172" fontId="6" fillId="9" borderId="370" xfId="1" applyNumberFormat="1" applyFont="1" applyFill="1" applyBorder="1" applyAlignment="1" applyProtection="1">
      <alignment vertical="center"/>
      <protection hidden="1"/>
    </xf>
    <xf numFmtId="164" fontId="6" fillId="9" borderId="378" xfId="0" applyNumberFormat="1" applyFont="1" applyFill="1" applyBorder="1" applyAlignment="1" applyProtection="1">
      <alignment vertical="center"/>
      <protection hidden="1"/>
    </xf>
    <xf numFmtId="164" fontId="6" fillId="9" borderId="379" xfId="0" applyNumberFormat="1" applyFont="1" applyFill="1" applyBorder="1" applyAlignment="1" applyProtection="1">
      <alignment vertical="center"/>
      <protection hidden="1"/>
    </xf>
    <xf numFmtId="164" fontId="6" fillId="9" borderId="380" xfId="0" applyNumberFormat="1" applyFont="1" applyFill="1" applyBorder="1" applyAlignment="1" applyProtection="1">
      <alignment vertical="center"/>
      <protection hidden="1"/>
    </xf>
    <xf numFmtId="173" fontId="6" fillId="9" borderId="86" xfId="0" applyNumberFormat="1" applyFont="1" applyFill="1" applyBorder="1" applyAlignment="1" applyProtection="1">
      <alignment horizontal="right" vertical="center"/>
      <protection hidden="1"/>
    </xf>
    <xf numFmtId="0" fontId="15" fillId="9" borderId="377" xfId="0" quotePrefix="1" applyFont="1" applyFill="1" applyBorder="1" applyAlignment="1" applyProtection="1">
      <alignment vertical="center"/>
      <protection hidden="1"/>
    </xf>
    <xf numFmtId="0" fontId="6" fillId="0" borderId="235" xfId="0" applyFont="1" applyBorder="1" applyProtection="1">
      <protection hidden="1"/>
    </xf>
    <xf numFmtId="0" fontId="6" fillId="0" borderId="236" xfId="0" applyFont="1" applyBorder="1" applyProtection="1">
      <protection hidden="1"/>
    </xf>
    <xf numFmtId="0" fontId="6" fillId="0" borderId="381" xfId="0" applyFont="1" applyBorder="1" applyProtection="1">
      <protection hidden="1"/>
    </xf>
    <xf numFmtId="0" fontId="15" fillId="9" borderId="355" xfId="0" quotePrefix="1" applyFont="1" applyFill="1" applyBorder="1" applyAlignment="1" applyProtection="1">
      <alignment vertical="center"/>
      <protection hidden="1"/>
    </xf>
    <xf numFmtId="1" fontId="15" fillId="9" borderId="356" xfId="3" applyNumberFormat="1" applyFont="1" applyFill="1" applyBorder="1" applyAlignment="1" applyProtection="1">
      <alignment vertical="center"/>
      <protection hidden="1"/>
    </xf>
    <xf numFmtId="0" fontId="15" fillId="9" borderId="370" xfId="0" quotePrefix="1" applyFont="1" applyFill="1" applyBorder="1" applyAlignment="1" applyProtection="1">
      <alignment vertical="center"/>
      <protection hidden="1"/>
    </xf>
    <xf numFmtId="0" fontId="14" fillId="9" borderId="234" xfId="0" applyFont="1" applyFill="1" applyBorder="1" applyAlignment="1" applyProtection="1">
      <alignment horizontal="center" vertical="center"/>
      <protection hidden="1"/>
    </xf>
    <xf numFmtId="0" fontId="14" fillId="9" borderId="235" xfId="0" applyFont="1" applyFill="1" applyBorder="1" applyAlignment="1" applyProtection="1">
      <alignment horizontal="center" vertical="center"/>
      <protection hidden="1"/>
    </xf>
    <xf numFmtId="0" fontId="6" fillId="0" borderId="367" xfId="0" applyFont="1" applyBorder="1" applyAlignment="1" applyProtection="1">
      <alignment vertical="center"/>
      <protection hidden="1"/>
    </xf>
    <xf numFmtId="0" fontId="14" fillId="9" borderId="234" xfId="0" applyFont="1" applyFill="1" applyBorder="1" applyAlignment="1" applyProtection="1">
      <alignment horizontal="center" vertical="top"/>
      <protection hidden="1"/>
    </xf>
    <xf numFmtId="4" fontId="49" fillId="9" borderId="366" xfId="0" applyNumberFormat="1" applyFont="1" applyFill="1" applyBorder="1" applyAlignment="1">
      <alignment vertical="center"/>
    </xf>
    <xf numFmtId="0" fontId="17" fillId="18" borderId="234" xfId="0" applyFont="1" applyFill="1" applyBorder="1" applyProtection="1">
      <protection hidden="1"/>
    </xf>
    <xf numFmtId="0" fontId="6" fillId="18" borderId="234" xfId="0" applyFont="1" applyFill="1" applyBorder="1" applyProtection="1">
      <protection hidden="1"/>
    </xf>
    <xf numFmtId="166" fontId="28" fillId="18" borderId="234" xfId="0" applyNumberFormat="1" applyFont="1" applyFill="1" applyBorder="1" applyAlignment="1" applyProtection="1">
      <alignment vertical="center"/>
      <protection hidden="1"/>
    </xf>
    <xf numFmtId="172" fontId="28" fillId="18" borderId="234" xfId="1" applyNumberFormat="1" applyFont="1" applyFill="1" applyBorder="1" applyAlignment="1" applyProtection="1">
      <alignment vertical="center"/>
      <protection hidden="1"/>
    </xf>
    <xf numFmtId="0" fontId="29" fillId="37" borderId="326" xfId="0" applyFont="1" applyFill="1" applyBorder="1" applyProtection="1">
      <protection hidden="1"/>
    </xf>
    <xf numFmtId="0" fontId="17" fillId="6" borderId="384" xfId="0" applyFont="1" applyFill="1" applyBorder="1" applyAlignment="1" applyProtection="1">
      <alignment horizontal="center" vertical="center"/>
      <protection hidden="1"/>
    </xf>
    <xf numFmtId="0" fontId="17" fillId="6" borderId="385" xfId="0" applyFont="1" applyFill="1" applyBorder="1" applyAlignment="1" applyProtection="1">
      <alignment horizontal="center" vertical="center"/>
      <protection hidden="1"/>
    </xf>
    <xf numFmtId="0" fontId="17" fillId="6" borderId="386" xfId="0" applyFont="1" applyFill="1" applyBorder="1" applyAlignment="1" applyProtection="1">
      <alignment horizontal="center" vertical="center"/>
      <protection hidden="1"/>
    </xf>
    <xf numFmtId="164" fontId="54" fillId="0" borderId="30" xfId="0" applyNumberFormat="1" applyFont="1" applyBorder="1"/>
    <xf numFmtId="167" fontId="54" fillId="11" borderId="30" xfId="0" applyNumberFormat="1" applyFont="1" applyFill="1" applyBorder="1" applyAlignment="1">
      <alignment horizontal="right" vertical="center"/>
    </xf>
    <xf numFmtId="167" fontId="54" fillId="43" borderId="121" xfId="0" applyNumberFormat="1" applyFont="1" applyFill="1" applyBorder="1" applyAlignment="1">
      <alignment horizontal="right" vertical="center"/>
    </xf>
    <xf numFmtId="167" fontId="54" fillId="43" borderId="120" xfId="0" applyNumberFormat="1" applyFont="1" applyFill="1" applyBorder="1" applyAlignment="1">
      <alignment horizontal="right" vertical="center"/>
    </xf>
    <xf numFmtId="166" fontId="10" fillId="12" borderId="275" xfId="0" applyNumberFormat="1" applyFont="1" applyFill="1" applyBorder="1" applyProtection="1">
      <protection hidden="1"/>
    </xf>
    <xf numFmtId="166" fontId="10" fillId="12" borderId="270" xfId="0" applyNumberFormat="1" applyFont="1" applyFill="1" applyBorder="1" applyProtection="1">
      <protection hidden="1"/>
    </xf>
    <xf numFmtId="166" fontId="10" fillId="12" borderId="273" xfId="0" applyNumberFormat="1" applyFont="1" applyFill="1" applyBorder="1" applyProtection="1">
      <protection hidden="1"/>
    </xf>
    <xf numFmtId="3" fontId="14" fillId="12" borderId="275" xfId="0" applyNumberFormat="1" applyFont="1" applyFill="1" applyBorder="1" applyProtection="1">
      <protection hidden="1"/>
    </xf>
    <xf numFmtId="3" fontId="14" fillId="0" borderId="278" xfId="0" applyNumberFormat="1" applyFont="1" applyBorder="1" applyProtection="1">
      <protection hidden="1"/>
    </xf>
    <xf numFmtId="3" fontId="14" fillId="0" borderId="242" xfId="0" applyNumberFormat="1" applyFont="1" applyBorder="1" applyProtection="1">
      <protection hidden="1"/>
    </xf>
    <xf numFmtId="3" fontId="14" fillId="0" borderId="276" xfId="0" applyNumberFormat="1" applyFont="1" applyBorder="1" applyProtection="1">
      <protection hidden="1"/>
    </xf>
    <xf numFmtId="0" fontId="54" fillId="27" borderId="51" xfId="0" quotePrefix="1" applyFont="1" applyFill="1" applyBorder="1" applyAlignment="1">
      <alignment horizontal="left"/>
    </xf>
    <xf numFmtId="0" fontId="54" fillId="27" borderId="54" xfId="0" quotePrefix="1" applyFont="1" applyFill="1" applyBorder="1" applyAlignment="1">
      <alignment horizontal="left"/>
    </xf>
    <xf numFmtId="0" fontId="54" fillId="0" borderId="55" xfId="0" quotePrefix="1" applyFont="1" applyBorder="1" applyAlignment="1">
      <alignment horizontal="left"/>
    </xf>
    <xf numFmtId="0" fontId="54" fillId="0" borderId="55" xfId="0" quotePrefix="1" applyFont="1" applyBorder="1"/>
    <xf numFmtId="0" fontId="54" fillId="0" borderId="41" xfId="0" quotePrefix="1" applyFont="1" applyBorder="1"/>
    <xf numFmtId="0" fontId="54" fillId="0" borderId="41" xfId="0" quotePrefix="1" applyFont="1" applyBorder="1" applyAlignment="1">
      <alignment horizontal="left"/>
    </xf>
    <xf numFmtId="0" fontId="54" fillId="2" borderId="24" xfId="0" quotePrefix="1" applyFont="1" applyFill="1" applyBorder="1" applyAlignment="1">
      <alignment horizontal="left"/>
    </xf>
    <xf numFmtId="0" fontId="54" fillId="0" borderId="32" xfId="0" quotePrefix="1" applyFont="1" applyBorder="1"/>
    <xf numFmtId="3" fontId="74" fillId="6" borderId="270" xfId="0" applyNumberFormat="1" applyFont="1" applyFill="1" applyBorder="1" applyProtection="1">
      <protection hidden="1"/>
    </xf>
    <xf numFmtId="3" fontId="74" fillId="6" borderId="273" xfId="0" applyNumberFormat="1" applyFont="1" applyFill="1" applyBorder="1" applyProtection="1">
      <protection hidden="1"/>
    </xf>
    <xf numFmtId="4" fontId="5" fillId="42" borderId="246" xfId="0" applyNumberFormat="1" applyFont="1" applyFill="1" applyBorder="1"/>
    <xf numFmtId="4" fontId="9" fillId="42" borderId="383" xfId="0" applyNumberFormat="1" applyFont="1" applyFill="1" applyBorder="1"/>
    <xf numFmtId="4" fontId="5" fillId="42" borderId="383" xfId="0" applyNumberFormat="1" applyFont="1" applyFill="1" applyBorder="1"/>
    <xf numFmtId="4" fontId="5" fillId="42" borderId="383" xfId="0" quotePrefix="1" applyNumberFormat="1" applyFont="1" applyFill="1" applyBorder="1" applyAlignment="1">
      <alignment horizontal="left"/>
    </xf>
    <xf numFmtId="3" fontId="5" fillId="42" borderId="383" xfId="0" applyNumberFormat="1" applyFont="1" applyFill="1" applyBorder="1"/>
    <xf numFmtId="0" fontId="54" fillId="23" borderId="164" xfId="0" quotePrefix="1" applyFont="1" applyFill="1" applyBorder="1" applyAlignment="1">
      <alignment horizontal="left" vertical="top"/>
    </xf>
    <xf numFmtId="0" fontId="54" fillId="23" borderId="164" xfId="0" applyFont="1" applyFill="1" applyBorder="1" applyAlignment="1">
      <alignment horizontal="left"/>
    </xf>
    <xf numFmtId="167" fontId="54" fillId="11" borderId="165" xfId="0" applyNumberFormat="1" applyFont="1" applyFill="1" applyBorder="1" applyAlignment="1">
      <alignment horizontal="right" vertical="center"/>
    </xf>
    <xf numFmtId="167" fontId="54" fillId="11" borderId="64" xfId="0" applyNumberFormat="1" applyFont="1" applyFill="1" applyBorder="1" applyAlignment="1">
      <alignment horizontal="right" vertical="center"/>
    </xf>
    <xf numFmtId="167" fontId="54" fillId="11" borderId="65" xfId="0" applyNumberFormat="1" applyFont="1" applyFill="1" applyBorder="1" applyAlignment="1">
      <alignment horizontal="right" vertical="center"/>
    </xf>
    <xf numFmtId="0" fontId="54" fillId="12" borderId="378" xfId="0" applyFont="1" applyFill="1" applyBorder="1" applyAlignment="1">
      <alignment horizontal="left"/>
    </xf>
    <xf numFmtId="0" fontId="54" fillId="12" borderId="380" xfId="0" applyFont="1" applyFill="1" applyBorder="1" applyAlignment="1">
      <alignment horizontal="left"/>
    </xf>
    <xf numFmtId="168" fontId="54" fillId="12" borderId="378" xfId="0" applyNumberFormat="1" applyFont="1" applyFill="1" applyBorder="1"/>
    <xf numFmtId="168" fontId="54" fillId="12" borderId="380" xfId="0" applyNumberFormat="1" applyFont="1" applyFill="1" applyBorder="1"/>
    <xf numFmtId="0" fontId="10" fillId="9" borderId="66" xfId="2" quotePrefix="1" applyFont="1" applyFill="1" applyBorder="1" applyAlignment="1" applyProtection="1">
      <alignment horizontal="left" vertical="center"/>
      <protection hidden="1"/>
    </xf>
    <xf numFmtId="0" fontId="10" fillId="9" borderId="66" xfId="2" applyFont="1" applyFill="1" applyBorder="1" applyAlignment="1" applyProtection="1">
      <alignment horizontal="left" vertical="center"/>
      <protection hidden="1"/>
    </xf>
    <xf numFmtId="165" fontId="8" fillId="9" borderId="168" xfId="0" quotePrefix="1" applyNumberFormat="1" applyFont="1" applyFill="1" applyBorder="1" applyAlignment="1" applyProtection="1">
      <alignment horizontal="left" vertical="center"/>
      <protection hidden="1"/>
    </xf>
    <xf numFmtId="165" fontId="8" fillId="9" borderId="66" xfId="0" applyNumberFormat="1" applyFont="1" applyFill="1" applyBorder="1" applyAlignment="1" applyProtection="1">
      <alignment horizontal="left" vertical="center"/>
      <protection hidden="1"/>
    </xf>
    <xf numFmtId="165" fontId="8" fillId="0" borderId="83" xfId="0" applyNumberFormat="1" applyFont="1" applyBorder="1" applyAlignment="1" applyProtection="1">
      <alignment horizontal="left" vertical="center"/>
      <protection hidden="1"/>
    </xf>
    <xf numFmtId="165" fontId="8" fillId="0" borderId="152" xfId="0" applyNumberFormat="1" applyFont="1" applyBorder="1" applyAlignment="1" applyProtection="1">
      <alignment horizontal="left" vertical="center"/>
      <protection hidden="1"/>
    </xf>
    <xf numFmtId="165" fontId="8" fillId="0" borderId="152" xfId="0" quotePrefix="1" applyNumberFormat="1" applyFont="1" applyBorder="1" applyAlignment="1" applyProtection="1">
      <alignment horizontal="left" vertical="center"/>
      <protection hidden="1"/>
    </xf>
    <xf numFmtId="165" fontId="8" fillId="0" borderId="69" xfId="0" quotePrefix="1" applyNumberFormat="1" applyFont="1" applyBorder="1" applyAlignment="1" applyProtection="1">
      <alignment horizontal="left" vertical="center"/>
      <protection hidden="1"/>
    </xf>
    <xf numFmtId="165" fontId="8" fillId="0" borderId="66" xfId="0" quotePrefix="1" applyNumberFormat="1" applyFont="1" applyBorder="1" applyAlignment="1" applyProtection="1">
      <alignment horizontal="left" vertical="center"/>
      <protection hidden="1"/>
    </xf>
    <xf numFmtId="2" fontId="8" fillId="0" borderId="66" xfId="0" applyNumberFormat="1" applyFont="1" applyBorder="1" applyAlignment="1" applyProtection="1">
      <alignment horizontal="left" vertical="center"/>
      <protection hidden="1"/>
    </xf>
    <xf numFmtId="2" fontId="8" fillId="0" borderId="73" xfId="0" quotePrefix="1" applyNumberFormat="1" applyFont="1" applyBorder="1" applyAlignment="1" applyProtection="1">
      <alignment horizontal="left" vertical="center"/>
      <protection hidden="1"/>
    </xf>
    <xf numFmtId="2" fontId="8" fillId="0" borderId="66" xfId="0" applyNumberFormat="1" applyFont="1" applyBorder="1" applyAlignment="1" applyProtection="1">
      <alignment vertical="center"/>
      <protection hidden="1"/>
    </xf>
    <xf numFmtId="0" fontId="6" fillId="0" borderId="66" xfId="0" applyFont="1" applyBorder="1" applyAlignment="1" applyProtection="1">
      <alignment vertical="center"/>
      <protection hidden="1"/>
    </xf>
    <xf numFmtId="2" fontId="8" fillId="0" borderId="152" xfId="0" applyNumberFormat="1" applyFont="1" applyBorder="1" applyAlignment="1" applyProtection="1">
      <alignment horizontal="left" vertical="center"/>
      <protection hidden="1"/>
    </xf>
    <xf numFmtId="2" fontId="8" fillId="0" borderId="112" xfId="0" applyNumberFormat="1" applyFont="1" applyBorder="1" applyAlignment="1" applyProtection="1">
      <alignment horizontal="left" vertical="center"/>
      <protection hidden="1"/>
    </xf>
    <xf numFmtId="0" fontId="10" fillId="9" borderId="73" xfId="2" applyFont="1" applyFill="1" applyBorder="1" applyAlignment="1" applyProtection="1">
      <alignment horizontal="left" vertical="center"/>
      <protection hidden="1"/>
    </xf>
    <xf numFmtId="0" fontId="6" fillId="0" borderId="66" xfId="0" applyFont="1" applyBorder="1" applyProtection="1">
      <protection hidden="1"/>
    </xf>
    <xf numFmtId="0" fontId="10" fillId="9" borderId="69" xfId="2" applyFont="1" applyFill="1" applyBorder="1" applyAlignment="1" applyProtection="1">
      <alignment horizontal="left" vertical="center"/>
      <protection hidden="1"/>
    </xf>
    <xf numFmtId="165" fontId="8" fillId="0" borderId="104" xfId="0" applyNumberFormat="1" applyFont="1" applyBorder="1" applyAlignment="1" applyProtection="1">
      <alignment horizontal="left" vertical="center"/>
      <protection hidden="1"/>
    </xf>
    <xf numFmtId="165" fontId="8" fillId="0" borderId="73" xfId="0" applyNumberFormat="1" applyFont="1" applyBorder="1" applyAlignment="1" applyProtection="1">
      <alignment horizontal="left" vertical="center"/>
      <protection hidden="1"/>
    </xf>
    <xf numFmtId="165" fontId="8" fillId="0" borderId="112" xfId="0" applyNumberFormat="1" applyFont="1" applyBorder="1" applyAlignment="1" applyProtection="1">
      <alignment horizontal="left" vertical="center"/>
      <protection hidden="1"/>
    </xf>
    <xf numFmtId="0" fontId="10" fillId="9" borderId="168" xfId="2" quotePrefix="1" applyFont="1" applyFill="1" applyBorder="1" applyAlignment="1" applyProtection="1">
      <alignment horizontal="left" vertical="center"/>
      <protection hidden="1"/>
    </xf>
    <xf numFmtId="0" fontId="10" fillId="9" borderId="152" xfId="2" quotePrefix="1" applyFont="1" applyFill="1" applyBorder="1" applyAlignment="1" applyProtection="1">
      <alignment horizontal="left" vertical="center"/>
      <protection hidden="1"/>
    </xf>
    <xf numFmtId="0" fontId="10" fillId="9" borderId="152" xfId="2" applyFont="1" applyFill="1" applyBorder="1" applyAlignment="1" applyProtection="1">
      <alignment horizontal="left" vertical="center"/>
      <protection hidden="1"/>
    </xf>
    <xf numFmtId="165" fontId="8" fillId="9" borderId="152" xfId="0" applyNumberFormat="1" applyFont="1" applyFill="1" applyBorder="1" applyAlignment="1" applyProtection="1">
      <alignment horizontal="left" vertical="center"/>
      <protection hidden="1"/>
    </xf>
    <xf numFmtId="165" fontId="8" fillId="9" borderId="201" xfId="0" applyNumberFormat="1" applyFont="1" applyFill="1" applyBorder="1" applyAlignment="1" applyProtection="1">
      <alignment horizontal="left" vertical="center"/>
      <protection hidden="1"/>
    </xf>
    <xf numFmtId="165" fontId="8" fillId="0" borderId="168" xfId="0" applyNumberFormat="1" applyFont="1" applyBorder="1" applyAlignment="1" applyProtection="1">
      <alignment horizontal="left" vertical="center"/>
      <protection hidden="1"/>
    </xf>
    <xf numFmtId="165" fontId="8" fillId="0" borderId="201" xfId="0" applyNumberFormat="1" applyFont="1" applyBorder="1" applyAlignment="1" applyProtection="1">
      <alignment horizontal="left" vertical="center"/>
      <protection hidden="1"/>
    </xf>
    <xf numFmtId="165" fontId="8" fillId="0" borderId="104" xfId="0" quotePrefix="1" applyNumberFormat="1" applyFont="1" applyBorder="1" applyAlignment="1" applyProtection="1">
      <alignment horizontal="left" vertical="center"/>
      <protection hidden="1"/>
    </xf>
    <xf numFmtId="165" fontId="8" fillId="0" borderId="201" xfId="0" quotePrefix="1" applyNumberFormat="1" applyFont="1" applyBorder="1" applyAlignment="1" applyProtection="1">
      <alignment horizontal="left" vertical="center"/>
      <protection hidden="1"/>
    </xf>
    <xf numFmtId="165" fontId="8" fillId="0" borderId="76" xfId="0" quotePrefix="1" applyNumberFormat="1" applyFont="1" applyBorder="1" applyAlignment="1" applyProtection="1">
      <alignment horizontal="left" vertical="center"/>
      <protection hidden="1"/>
    </xf>
    <xf numFmtId="165" fontId="8" fillId="0" borderId="168" xfId="0" quotePrefix="1" applyNumberFormat="1" applyFont="1" applyBorder="1" applyAlignment="1" applyProtection="1">
      <alignment horizontal="left" vertical="center"/>
      <protection hidden="1"/>
    </xf>
    <xf numFmtId="165" fontId="8" fillId="0" borderId="76" xfId="0" quotePrefix="1" applyNumberFormat="1" applyFont="1" applyBorder="1" applyAlignment="1" applyProtection="1">
      <alignment vertical="center"/>
      <protection hidden="1"/>
    </xf>
    <xf numFmtId="2" fontId="8" fillId="0" borderId="168" xfId="0" applyNumberFormat="1" applyFont="1" applyBorder="1" applyAlignment="1" applyProtection="1">
      <alignment vertical="center"/>
      <protection hidden="1"/>
    </xf>
    <xf numFmtId="2" fontId="8" fillId="0" borderId="201" xfId="0" applyNumberFormat="1" applyFont="1" applyBorder="1" applyAlignment="1" applyProtection="1">
      <alignment horizontal="left" vertical="center"/>
      <protection hidden="1"/>
    </xf>
    <xf numFmtId="2" fontId="8" fillId="0" borderId="168" xfId="0" applyNumberFormat="1" applyFont="1" applyBorder="1" applyAlignment="1" applyProtection="1">
      <alignment horizontal="left" vertical="center"/>
      <protection hidden="1"/>
    </xf>
    <xf numFmtId="2" fontId="8" fillId="0" borderId="152" xfId="0" quotePrefix="1" applyNumberFormat="1" applyFont="1" applyBorder="1" applyAlignment="1" applyProtection="1">
      <alignment horizontal="left" vertical="center"/>
      <protection hidden="1"/>
    </xf>
    <xf numFmtId="2" fontId="8" fillId="0" borderId="253" xfId="0" quotePrefix="1" applyNumberFormat="1" applyFont="1" applyBorder="1" applyAlignment="1" applyProtection="1">
      <alignment horizontal="left" vertical="center"/>
      <protection hidden="1"/>
    </xf>
    <xf numFmtId="2" fontId="8" fillId="0" borderId="168" xfId="0" quotePrefix="1" applyNumberFormat="1" applyFont="1" applyBorder="1" applyAlignment="1" applyProtection="1">
      <alignment horizontal="left" vertical="center"/>
      <protection hidden="1"/>
    </xf>
    <xf numFmtId="2" fontId="8" fillId="0" borderId="152" xfId="0" applyNumberFormat="1" applyFont="1" applyBorder="1" applyAlignment="1" applyProtection="1">
      <alignment vertical="center"/>
      <protection hidden="1"/>
    </xf>
    <xf numFmtId="2" fontId="8" fillId="0" borderId="201" xfId="0" quotePrefix="1" applyNumberFormat="1" applyFont="1" applyBorder="1" applyAlignment="1" applyProtection="1">
      <alignment horizontal="left" vertical="center"/>
      <protection hidden="1"/>
    </xf>
    <xf numFmtId="0" fontId="6" fillId="0" borderId="152" xfId="0" applyFont="1" applyBorder="1" applyAlignment="1" applyProtection="1">
      <alignment vertical="center"/>
      <protection hidden="1"/>
    </xf>
    <xf numFmtId="0" fontId="6" fillId="0" borderId="201" xfId="0" applyFont="1" applyBorder="1" applyAlignment="1" applyProtection="1">
      <alignment vertical="center"/>
      <protection hidden="1"/>
    </xf>
    <xf numFmtId="2" fontId="8" fillId="0" borderId="76" xfId="0" applyNumberFormat="1" applyFont="1" applyBorder="1" applyAlignment="1" applyProtection="1">
      <alignment horizontal="left" vertical="center"/>
      <protection hidden="1"/>
    </xf>
    <xf numFmtId="2" fontId="8" fillId="0" borderId="79" xfId="0" applyNumberFormat="1" applyFont="1" applyBorder="1" applyAlignment="1" applyProtection="1">
      <alignment horizontal="left" vertical="center"/>
      <protection hidden="1"/>
    </xf>
    <xf numFmtId="0" fontId="17" fillId="34" borderId="78" xfId="0" applyFont="1" applyFill="1" applyBorder="1" applyAlignment="1" applyProtection="1">
      <alignment horizontal="center" vertical="center"/>
      <protection hidden="1"/>
    </xf>
    <xf numFmtId="165" fontId="8" fillId="0" borderId="79" xfId="0" quotePrefix="1" applyNumberFormat="1" applyFont="1" applyBorder="1" applyAlignment="1" applyProtection="1">
      <alignment horizontal="left" vertical="center"/>
      <protection hidden="1"/>
    </xf>
    <xf numFmtId="0" fontId="17" fillId="34" borderId="84" xfId="0" applyFont="1" applyFill="1" applyBorder="1" applyAlignment="1" applyProtection="1">
      <alignment horizontal="center" vertical="center"/>
      <protection hidden="1"/>
    </xf>
    <xf numFmtId="165" fontId="8" fillId="9" borderId="104" xfId="0" quotePrefix="1" applyNumberFormat="1" applyFont="1" applyFill="1" applyBorder="1" applyAlignment="1" applyProtection="1">
      <alignment horizontal="left" vertical="center"/>
      <protection hidden="1"/>
    </xf>
    <xf numFmtId="165" fontId="8" fillId="9" borderId="112" xfId="0" applyNumberFormat="1" applyFont="1" applyFill="1" applyBorder="1" applyAlignment="1" applyProtection="1">
      <alignment horizontal="left" vertical="center"/>
      <protection hidden="1"/>
    </xf>
    <xf numFmtId="165" fontId="8" fillId="0" borderId="112" xfId="0" quotePrefix="1" applyNumberFormat="1" applyFont="1" applyBorder="1" applyAlignment="1" applyProtection="1">
      <alignment horizontal="left" vertical="center"/>
      <protection hidden="1"/>
    </xf>
    <xf numFmtId="2" fontId="8" fillId="0" borderId="104" xfId="0" applyNumberFormat="1" applyFont="1" applyBorder="1" applyAlignment="1" applyProtection="1">
      <alignment vertical="center"/>
      <protection hidden="1"/>
    </xf>
    <xf numFmtId="2" fontId="8" fillId="0" borderId="77" xfId="0" applyNumberFormat="1" applyFont="1" applyBorder="1" applyAlignment="1" applyProtection="1">
      <alignment horizontal="left" vertical="center"/>
      <protection hidden="1"/>
    </xf>
    <xf numFmtId="2" fontId="8" fillId="0" borderId="104" xfId="0" applyNumberFormat="1" applyFont="1" applyBorder="1" applyAlignment="1" applyProtection="1">
      <alignment horizontal="left" vertical="center"/>
      <protection hidden="1"/>
    </xf>
    <xf numFmtId="2" fontId="8" fillId="0" borderId="104" xfId="0" quotePrefix="1" applyNumberFormat="1" applyFont="1" applyBorder="1" applyAlignment="1" applyProtection="1">
      <alignment horizontal="left" vertical="center"/>
      <protection hidden="1"/>
    </xf>
    <xf numFmtId="0" fontId="6" fillId="0" borderId="112" xfId="0" applyFont="1" applyBorder="1" applyAlignment="1" applyProtection="1">
      <alignment vertical="center"/>
      <protection hidden="1"/>
    </xf>
    <xf numFmtId="0" fontId="6" fillId="0" borderId="112" xfId="0" quotePrefix="1" applyFont="1" applyBorder="1" applyAlignment="1" applyProtection="1">
      <alignment horizontal="left" vertical="center"/>
      <protection hidden="1"/>
    </xf>
    <xf numFmtId="0" fontId="6" fillId="0" borderId="152" xfId="0" applyFont="1" applyBorder="1" applyProtection="1">
      <protection hidden="1"/>
    </xf>
    <xf numFmtId="0" fontId="6" fillId="0" borderId="201" xfId="0" applyFont="1" applyBorder="1" applyProtection="1">
      <protection hidden="1"/>
    </xf>
    <xf numFmtId="0" fontId="6" fillId="0" borderId="112" xfId="0" applyFont="1" applyBorder="1" applyProtection="1">
      <protection hidden="1"/>
    </xf>
    <xf numFmtId="2" fontId="8" fillId="0" borderId="80" xfId="0" applyNumberFormat="1" applyFont="1" applyBorder="1" applyAlignment="1" applyProtection="1">
      <alignment horizontal="left" vertical="center"/>
      <protection hidden="1"/>
    </xf>
    <xf numFmtId="0" fontId="10" fillId="9" borderId="249" xfId="2" applyFont="1" applyFill="1" applyBorder="1" applyAlignment="1" applyProtection="1">
      <alignment horizontal="left" vertical="center"/>
      <protection hidden="1"/>
    </xf>
    <xf numFmtId="0" fontId="14" fillId="0" borderId="77" xfId="2" applyFont="1" applyBorder="1" applyAlignment="1" applyProtection="1">
      <alignment horizontal="center" vertical="center"/>
      <protection hidden="1"/>
    </xf>
    <xf numFmtId="0" fontId="14" fillId="0" borderId="80" xfId="2" applyFont="1" applyBorder="1" applyAlignment="1" applyProtection="1">
      <alignment horizontal="center" vertical="center"/>
      <protection hidden="1"/>
    </xf>
    <xf numFmtId="0" fontId="17" fillId="34" borderId="77" xfId="0" applyFont="1" applyFill="1" applyBorder="1" applyAlignment="1" applyProtection="1">
      <alignment horizontal="center" vertical="center"/>
      <protection hidden="1"/>
    </xf>
    <xf numFmtId="0" fontId="10" fillId="9" borderId="104" xfId="2" quotePrefix="1" applyFont="1" applyFill="1" applyBorder="1" applyAlignment="1" applyProtection="1">
      <alignment horizontal="left" vertical="center"/>
      <protection hidden="1"/>
    </xf>
    <xf numFmtId="165" fontId="8" fillId="0" borderId="84" xfId="0" applyNumberFormat="1" applyFont="1" applyBorder="1" applyAlignment="1" applyProtection="1">
      <alignment horizontal="left" vertical="center"/>
      <protection hidden="1"/>
    </xf>
    <xf numFmtId="165" fontId="8" fillId="0" borderId="66" xfId="0" applyNumberFormat="1" applyFont="1" applyBorder="1" applyAlignment="1" applyProtection="1">
      <alignment horizontal="left" vertical="center"/>
      <protection hidden="1"/>
    </xf>
    <xf numFmtId="165" fontId="8" fillId="0" borderId="77" xfId="0" quotePrefix="1" applyNumberFormat="1" applyFont="1" applyBorder="1" applyAlignment="1" applyProtection="1">
      <alignment horizontal="left" vertical="center"/>
      <protection hidden="1"/>
    </xf>
    <xf numFmtId="165" fontId="8" fillId="0" borderId="77" xfId="0" quotePrefix="1" applyNumberFormat="1" applyFont="1" applyBorder="1" applyAlignment="1" applyProtection="1">
      <alignment vertical="center"/>
      <protection hidden="1"/>
    </xf>
    <xf numFmtId="2" fontId="8" fillId="0" borderId="112" xfId="0" quotePrefix="1" applyNumberFormat="1" applyFont="1" applyBorder="1" applyAlignment="1" applyProtection="1">
      <alignment horizontal="left" vertical="center"/>
      <protection hidden="1"/>
    </xf>
    <xf numFmtId="165" fontId="8" fillId="0" borderId="80" xfId="0" quotePrefix="1" applyNumberFormat="1" applyFont="1" applyBorder="1" applyAlignment="1" applyProtection="1">
      <alignment horizontal="left" vertical="center"/>
      <protection hidden="1"/>
    </xf>
    <xf numFmtId="164" fontId="26" fillId="0" borderId="30" xfId="0" applyNumberFormat="1" applyFont="1" applyBorder="1" applyProtection="1">
      <protection hidden="1"/>
    </xf>
    <xf numFmtId="0" fontId="54" fillId="6" borderId="2" xfId="0" applyFont="1" applyFill="1" applyBorder="1"/>
    <xf numFmtId="0" fontId="54" fillId="6" borderId="1" xfId="0" applyFont="1" applyFill="1" applyBorder="1"/>
    <xf numFmtId="0" fontId="54" fillId="6" borderId="4" xfId="0" applyFont="1" applyFill="1" applyBorder="1"/>
    <xf numFmtId="0" fontId="54" fillId="6" borderId="0" xfId="0" applyFont="1" applyFill="1"/>
    <xf numFmtId="0" fontId="54" fillId="6" borderId="3" xfId="0" applyFont="1" applyFill="1" applyBorder="1"/>
    <xf numFmtId="0" fontId="54" fillId="6" borderId="3" xfId="0" applyFont="1" applyFill="1" applyBorder="1" applyAlignment="1">
      <alignment horizontal="left"/>
    </xf>
    <xf numFmtId="0" fontId="58" fillId="0" borderId="1" xfId="0" applyFont="1" applyBorder="1" applyAlignment="1">
      <alignment horizontal="center"/>
    </xf>
    <xf numFmtId="0" fontId="58" fillId="0" borderId="1" xfId="0" applyFont="1" applyBorder="1" applyAlignment="1">
      <alignment horizontal="center" vertical="top"/>
    </xf>
    <xf numFmtId="0" fontId="58" fillId="0" borderId="4" xfId="0" applyFont="1" applyBorder="1" applyAlignment="1">
      <alignment horizontal="center" vertical="top"/>
    </xf>
    <xf numFmtId="0" fontId="54" fillId="0" borderId="0" xfId="0" applyFont="1" applyAlignment="1">
      <alignment horizontal="left" vertical="top"/>
    </xf>
    <xf numFmtId="0" fontId="17" fillId="34" borderId="76" xfId="0" applyFont="1" applyFill="1" applyBorder="1" applyAlignment="1" applyProtection="1">
      <alignment horizontal="left" vertical="center"/>
      <protection hidden="1"/>
    </xf>
    <xf numFmtId="0" fontId="17" fillId="34" borderId="84" xfId="0" applyFont="1" applyFill="1" applyBorder="1" applyAlignment="1" applyProtection="1">
      <alignment horizontal="left" vertical="center"/>
      <protection hidden="1"/>
    </xf>
    <xf numFmtId="0" fontId="12" fillId="9" borderId="55" xfId="0" quotePrefix="1" applyFont="1" applyFill="1" applyBorder="1" applyAlignment="1" applyProtection="1">
      <alignment horizontal="center"/>
      <protection hidden="1"/>
    </xf>
    <xf numFmtId="167" fontId="54" fillId="12" borderId="166" xfId="0" applyNumberFormat="1" applyFont="1" applyFill="1" applyBorder="1" applyAlignment="1">
      <alignment horizontal="right" vertical="center"/>
    </xf>
    <xf numFmtId="167" fontId="63" fillId="12" borderId="24" xfId="0" applyNumberFormat="1" applyFont="1" applyFill="1" applyBorder="1" applyAlignment="1">
      <alignment horizontal="right" vertical="center"/>
    </xf>
    <xf numFmtId="164" fontId="54" fillId="0" borderId="0" xfId="0" applyNumberFormat="1" applyFont="1"/>
    <xf numFmtId="2" fontId="55" fillId="37" borderId="40" xfId="0" quotePrefix="1" applyNumberFormat="1" applyFont="1" applyFill="1" applyBorder="1" applyAlignment="1">
      <alignment vertical="center"/>
    </xf>
    <xf numFmtId="1" fontId="55" fillId="37" borderId="41" xfId="0" quotePrefix="1" applyNumberFormat="1" applyFont="1" applyFill="1" applyBorder="1" applyAlignment="1">
      <alignment horizontal="left" vertical="center"/>
    </xf>
    <xf numFmtId="2" fontId="55" fillId="37" borderId="41" xfId="0" quotePrefix="1" applyNumberFormat="1" applyFont="1" applyFill="1" applyBorder="1" applyAlignment="1">
      <alignment vertical="center"/>
    </xf>
    <xf numFmtId="1" fontId="55" fillId="27" borderId="41" xfId="0" quotePrefix="1" applyNumberFormat="1" applyFont="1" applyFill="1" applyBorder="1" applyAlignment="1">
      <alignment horizontal="left" vertical="center"/>
    </xf>
    <xf numFmtId="2" fontId="55" fillId="27" borderId="40" xfId="0" quotePrefix="1" applyNumberFormat="1" applyFont="1" applyFill="1" applyBorder="1" applyAlignment="1">
      <alignment vertical="center"/>
    </xf>
    <xf numFmtId="2" fontId="55" fillId="27" borderId="41" xfId="0" quotePrefix="1" applyNumberFormat="1" applyFont="1" applyFill="1" applyBorder="1" applyAlignment="1">
      <alignment vertical="center"/>
    </xf>
    <xf numFmtId="1" fontId="55" fillId="2" borderId="41" xfId="0" quotePrefix="1" applyNumberFormat="1" applyFont="1" applyFill="1" applyBorder="1" applyAlignment="1">
      <alignment horizontal="left" vertical="center"/>
    </xf>
    <xf numFmtId="2" fontId="55" fillId="2" borderId="40" xfId="0" quotePrefix="1" applyNumberFormat="1" applyFont="1" applyFill="1" applyBorder="1" applyAlignment="1">
      <alignment vertical="center"/>
    </xf>
    <xf numFmtId="2" fontId="55" fillId="2" borderId="41" xfId="0" quotePrefix="1" applyNumberFormat="1" applyFont="1" applyFill="1" applyBorder="1" applyAlignment="1">
      <alignment vertical="center"/>
    </xf>
    <xf numFmtId="2" fontId="55" fillId="0" borderId="37" xfId="0" applyNumberFormat="1" applyFont="1" applyBorder="1" applyAlignment="1">
      <alignment vertical="center"/>
    </xf>
    <xf numFmtId="2" fontId="55" fillId="0" borderId="39" xfId="0" applyNumberFormat="1" applyFont="1" applyBorder="1" applyAlignment="1">
      <alignment vertical="center"/>
    </xf>
    <xf numFmtId="2" fontId="55" fillId="0" borderId="72" xfId="0" quotePrefix="1" applyNumberFormat="1" applyFont="1" applyBorder="1" applyAlignment="1">
      <alignment vertical="center"/>
    </xf>
    <xf numFmtId="2" fontId="55" fillId="0" borderId="36" xfId="0" applyNumberFormat="1" applyFont="1" applyBorder="1" applyAlignment="1">
      <alignment vertical="center"/>
    </xf>
    <xf numFmtId="2" fontId="55" fillId="0" borderId="40" xfId="0" applyNumberFormat="1" applyFont="1" applyBorder="1" applyAlignment="1">
      <alignment vertical="center"/>
    </xf>
    <xf numFmtId="2" fontId="55" fillId="0" borderId="53" xfId="0" quotePrefix="1" applyNumberFormat="1" applyFont="1" applyBorder="1" applyAlignment="1">
      <alignment vertical="center"/>
    </xf>
    <xf numFmtId="2" fontId="55" fillId="0" borderId="41" xfId="0" applyNumberFormat="1" applyFont="1" applyBorder="1" applyAlignment="1">
      <alignment vertical="center"/>
    </xf>
    <xf numFmtId="2" fontId="55" fillId="4" borderId="53" xfId="0" applyNumberFormat="1" applyFont="1" applyFill="1" applyBorder="1" applyAlignment="1">
      <alignment horizontal="left" vertical="center"/>
    </xf>
    <xf numFmtId="2" fontId="55" fillId="19" borderId="26" xfId="0" quotePrefix="1" applyNumberFormat="1" applyFont="1" applyFill="1" applyBorder="1" applyAlignment="1">
      <alignment horizontal="left" vertical="center"/>
    </xf>
    <xf numFmtId="2" fontId="55" fillId="19" borderId="34" xfId="0" quotePrefix="1" applyNumberFormat="1" applyFont="1" applyFill="1" applyBorder="1" applyAlignment="1">
      <alignment horizontal="left" vertical="center"/>
    </xf>
    <xf numFmtId="2" fontId="55" fillId="19" borderId="34" xfId="0" applyNumberFormat="1" applyFont="1" applyFill="1" applyBorder="1" applyAlignment="1">
      <alignment horizontal="left" vertical="center"/>
    </xf>
    <xf numFmtId="2" fontId="55" fillId="19" borderId="53" xfId="0" quotePrefix="1" applyNumberFormat="1" applyFont="1" applyFill="1" applyBorder="1" applyAlignment="1">
      <alignment horizontal="left" vertical="center"/>
    </xf>
    <xf numFmtId="2" fontId="55" fillId="19" borderId="53" xfId="0" applyNumberFormat="1" applyFont="1" applyFill="1" applyBorder="1" applyAlignment="1">
      <alignment horizontal="left" vertical="center"/>
    </xf>
    <xf numFmtId="2" fontId="55" fillId="4" borderId="34" xfId="0" quotePrefix="1" applyNumberFormat="1" applyFont="1" applyFill="1" applyBorder="1" applyAlignment="1">
      <alignment horizontal="left" vertical="center"/>
    </xf>
    <xf numFmtId="2" fontId="55" fillId="0" borderId="25" xfId="0" applyNumberFormat="1" applyFont="1" applyBorder="1" applyAlignment="1">
      <alignment horizontal="left" vertical="center"/>
    </xf>
    <xf numFmtId="2" fontId="55" fillId="4" borderId="53" xfId="0" quotePrefix="1" applyNumberFormat="1" applyFont="1" applyFill="1" applyBorder="1" applyAlignment="1">
      <alignment horizontal="left" vertical="center"/>
    </xf>
    <xf numFmtId="0" fontId="71" fillId="15" borderId="0" xfId="0" applyFont="1" applyFill="1" applyAlignment="1">
      <alignment horizontal="center"/>
    </xf>
    <xf numFmtId="0" fontId="54" fillId="8" borderId="13" xfId="0" quotePrefix="1" applyFont="1" applyFill="1" applyBorder="1" applyAlignment="1">
      <alignment horizontal="left" vertical="center"/>
    </xf>
    <xf numFmtId="0" fontId="54" fillId="8" borderId="39" xfId="0" quotePrefix="1" applyFont="1" applyFill="1" applyBorder="1" applyAlignment="1">
      <alignment horizontal="left" vertical="center"/>
    </xf>
    <xf numFmtId="0" fontId="54" fillId="8" borderId="38" xfId="0" quotePrefix="1" applyFont="1" applyFill="1" applyBorder="1" applyAlignment="1">
      <alignment horizontal="left" vertical="center"/>
    </xf>
    <xf numFmtId="0" fontId="54" fillId="8" borderId="37" xfId="0" quotePrefix="1" applyFont="1" applyFill="1" applyBorder="1" applyAlignment="1">
      <alignment horizontal="left" vertical="center"/>
    </xf>
    <xf numFmtId="164" fontId="54" fillId="4" borderId="124" xfId="0" applyNumberFormat="1" applyFont="1" applyFill="1" applyBorder="1" applyAlignment="1">
      <alignment horizontal="left" vertical="center"/>
    </xf>
    <xf numFmtId="164" fontId="54" fillId="12" borderId="124" xfId="0" applyNumberFormat="1" applyFont="1" applyFill="1" applyBorder="1" applyAlignment="1">
      <alignment horizontal="center" vertical="center"/>
    </xf>
    <xf numFmtId="167" fontId="54" fillId="6" borderId="124" xfId="0" applyNumberFormat="1" applyFont="1" applyFill="1" applyBorder="1" applyAlignment="1">
      <alignment horizontal="center" vertical="center"/>
    </xf>
    <xf numFmtId="167" fontId="54" fillId="12" borderId="124" xfId="0" applyNumberFormat="1" applyFont="1" applyFill="1" applyBorder="1" applyAlignment="1">
      <alignment horizontal="center" vertical="center"/>
    </xf>
    <xf numFmtId="164" fontId="54" fillId="2" borderId="124" xfId="0" applyNumberFormat="1" applyFont="1" applyFill="1" applyBorder="1" applyAlignment="1">
      <alignment horizontal="left" vertical="center"/>
    </xf>
    <xf numFmtId="164" fontId="54" fillId="11" borderId="124" xfId="0" applyNumberFormat="1" applyFont="1" applyFill="1" applyBorder="1" applyAlignment="1">
      <alignment horizontal="left" vertical="center"/>
    </xf>
    <xf numFmtId="164" fontId="54" fillId="12" borderId="394" xfId="0" applyNumberFormat="1" applyFont="1" applyFill="1" applyBorder="1" applyAlignment="1">
      <alignment horizontal="center" vertical="center"/>
    </xf>
    <xf numFmtId="167" fontId="54" fillId="6" borderId="394" xfId="0" applyNumberFormat="1" applyFont="1" applyFill="1" applyBorder="1" applyAlignment="1">
      <alignment horizontal="center" vertical="center"/>
    </xf>
    <xf numFmtId="167" fontId="54" fillId="12" borderId="394" xfId="0" applyNumberFormat="1" applyFont="1" applyFill="1" applyBorder="1" applyAlignment="1">
      <alignment horizontal="center" vertical="center"/>
    </xf>
    <xf numFmtId="164" fontId="54" fillId="11" borderId="396" xfId="0" applyNumberFormat="1" applyFont="1" applyFill="1" applyBorder="1" applyAlignment="1">
      <alignment horizontal="center" vertical="center"/>
    </xf>
    <xf numFmtId="164" fontId="54" fillId="11" borderId="397" xfId="0" applyNumberFormat="1" applyFont="1" applyFill="1" applyBorder="1" applyAlignment="1">
      <alignment horizontal="center" vertical="center"/>
    </xf>
    <xf numFmtId="164" fontId="54" fillId="11" borderId="398" xfId="0" applyNumberFormat="1" applyFont="1" applyFill="1" applyBorder="1" applyAlignment="1">
      <alignment horizontal="center" vertical="center"/>
    </xf>
    <xf numFmtId="164" fontId="54" fillId="11" borderId="399" xfId="0" applyNumberFormat="1" applyFont="1" applyFill="1" applyBorder="1" applyAlignment="1">
      <alignment horizontal="left" vertical="center"/>
    </xf>
    <xf numFmtId="164" fontId="54" fillId="12" borderId="399" xfId="0" applyNumberFormat="1" applyFont="1" applyFill="1" applyBorder="1" applyAlignment="1">
      <alignment horizontal="center" vertical="center"/>
    </xf>
    <xf numFmtId="167" fontId="54" fillId="6" borderId="399" xfId="0" applyNumberFormat="1" applyFont="1" applyFill="1" applyBorder="1" applyAlignment="1">
      <alignment horizontal="center" vertical="center"/>
    </xf>
    <xf numFmtId="167" fontId="54" fillId="12" borderId="399" xfId="0" applyNumberFormat="1" applyFont="1" applyFill="1" applyBorder="1" applyAlignment="1">
      <alignment horizontal="center" vertical="center"/>
    </xf>
    <xf numFmtId="164" fontId="54" fillId="11" borderId="400" xfId="0" applyNumberFormat="1" applyFont="1" applyFill="1" applyBorder="1" applyAlignment="1">
      <alignment horizontal="center" vertical="center"/>
    </xf>
    <xf numFmtId="164" fontId="54" fillId="2" borderId="393" xfId="0" applyNumberFormat="1" applyFont="1" applyFill="1" applyBorder="1" applyAlignment="1">
      <alignment horizontal="center" vertical="center"/>
    </xf>
    <xf numFmtId="164" fontId="54" fillId="2" borderId="394" xfId="0" applyNumberFormat="1" applyFont="1" applyFill="1" applyBorder="1" applyAlignment="1">
      <alignment horizontal="left" vertical="center"/>
    </xf>
    <xf numFmtId="164" fontId="54" fillId="2" borderId="395" xfId="0" applyNumberFormat="1" applyFont="1" applyFill="1" applyBorder="1" applyAlignment="1">
      <alignment horizontal="center" vertical="center"/>
    </xf>
    <xf numFmtId="164" fontId="54" fillId="2" borderId="396" xfId="0" applyNumberFormat="1" applyFont="1" applyFill="1" applyBorder="1" applyAlignment="1">
      <alignment horizontal="center" vertical="center"/>
    </xf>
    <xf numFmtId="164" fontId="54" fillId="2" borderId="397" xfId="0" applyNumberFormat="1" applyFont="1" applyFill="1" applyBorder="1" applyAlignment="1">
      <alignment horizontal="center" vertical="center"/>
    </xf>
    <xf numFmtId="164" fontId="54" fillId="2" borderId="398" xfId="0" applyNumberFormat="1" applyFont="1" applyFill="1" applyBorder="1" applyAlignment="1">
      <alignment horizontal="center" vertical="center"/>
    </xf>
    <xf numFmtId="164" fontId="54" fillId="2" borderId="399" xfId="0" applyNumberFormat="1" applyFont="1" applyFill="1" applyBorder="1" applyAlignment="1">
      <alignment horizontal="left" vertical="center"/>
    </xf>
    <xf numFmtId="164" fontId="54" fillId="2" borderId="400" xfId="0" applyNumberFormat="1" applyFont="1" applyFill="1" applyBorder="1" applyAlignment="1">
      <alignment horizontal="center" vertical="center"/>
    </xf>
    <xf numFmtId="164" fontId="54" fillId="4" borderId="393" xfId="0" applyNumberFormat="1" applyFont="1" applyFill="1" applyBorder="1" applyAlignment="1">
      <alignment horizontal="center" vertical="center"/>
    </xf>
    <xf numFmtId="164" fontId="54" fillId="4" borderId="394" xfId="0" applyNumberFormat="1" applyFont="1" applyFill="1" applyBorder="1" applyAlignment="1">
      <alignment horizontal="left" vertical="center"/>
    </xf>
    <xf numFmtId="164" fontId="54" fillId="4" borderId="395" xfId="0" applyNumberFormat="1" applyFont="1" applyFill="1" applyBorder="1" applyAlignment="1">
      <alignment horizontal="center" vertical="center"/>
    </xf>
    <xf numFmtId="164" fontId="54" fillId="4" borderId="396" xfId="0" applyNumberFormat="1" applyFont="1" applyFill="1" applyBorder="1" applyAlignment="1">
      <alignment horizontal="center" vertical="center"/>
    </xf>
    <xf numFmtId="164" fontId="54" fillId="4" borderId="397" xfId="0" applyNumberFormat="1" applyFont="1" applyFill="1" applyBorder="1" applyAlignment="1">
      <alignment horizontal="center" vertical="center"/>
    </xf>
    <xf numFmtId="164" fontId="54" fillId="4" borderId="398" xfId="0" applyNumberFormat="1" applyFont="1" applyFill="1" applyBorder="1" applyAlignment="1">
      <alignment horizontal="center" vertical="center"/>
    </xf>
    <xf numFmtId="164" fontId="54" fillId="4" borderId="399" xfId="0" applyNumberFormat="1" applyFont="1" applyFill="1" applyBorder="1" applyAlignment="1">
      <alignment horizontal="left" vertical="center"/>
    </xf>
    <xf numFmtId="164" fontId="54" fillId="4" borderId="400" xfId="0" applyNumberFormat="1" applyFont="1" applyFill="1" applyBorder="1" applyAlignment="1">
      <alignment horizontal="center" vertical="center"/>
    </xf>
    <xf numFmtId="0" fontId="54" fillId="2" borderId="36" xfId="0" quotePrefix="1" applyFont="1" applyFill="1" applyBorder="1" applyAlignment="1">
      <alignment horizontal="left" vertical="top"/>
    </xf>
    <xf numFmtId="1" fontId="55" fillId="26" borderId="41" xfId="0" quotePrefix="1" applyNumberFormat="1" applyFont="1" applyFill="1" applyBorder="1" applyAlignment="1">
      <alignment horizontal="left" vertical="center"/>
    </xf>
    <xf numFmtId="2" fontId="55" fillId="26" borderId="40" xfId="0" quotePrefix="1" applyNumberFormat="1" applyFont="1" applyFill="1" applyBorder="1" applyAlignment="1">
      <alignment vertical="center"/>
    </xf>
    <xf numFmtId="2" fontId="55" fillId="26" borderId="41" xfId="0" quotePrefix="1" applyNumberFormat="1" applyFont="1" applyFill="1" applyBorder="1" applyAlignment="1">
      <alignment vertical="center"/>
    </xf>
    <xf numFmtId="0" fontId="6" fillId="10" borderId="30" xfId="0" applyFont="1" applyFill="1" applyBorder="1" applyProtection="1">
      <protection hidden="1"/>
    </xf>
    <xf numFmtId="0" fontId="24" fillId="10" borderId="30" xfId="0" applyFont="1" applyFill="1" applyBorder="1" applyProtection="1">
      <protection locked="0"/>
    </xf>
    <xf numFmtId="0" fontId="50" fillId="6" borderId="44" xfId="0" applyFont="1" applyFill="1" applyBorder="1" applyAlignment="1" applyProtection="1">
      <alignment horizontal="left" vertical="top" wrapText="1"/>
      <protection hidden="1"/>
    </xf>
    <xf numFmtId="0" fontId="6" fillId="0" borderId="0" xfId="0" applyFont="1" applyAlignment="1">
      <alignment horizontal="left" vertical="top" wrapText="1"/>
    </xf>
    <xf numFmtId="0" fontId="6" fillId="9" borderId="79" xfId="0" applyFont="1" applyFill="1" applyBorder="1" applyAlignment="1" applyProtection="1">
      <alignment vertical="center"/>
      <protection hidden="1"/>
    </xf>
    <xf numFmtId="0" fontId="6" fillId="9" borderId="80" xfId="0" applyFont="1" applyFill="1" applyBorder="1" applyProtection="1">
      <protection hidden="1"/>
    </xf>
    <xf numFmtId="0" fontId="6" fillId="9" borderId="80" xfId="0" applyFont="1" applyFill="1" applyBorder="1" applyAlignment="1" applyProtection="1">
      <alignment vertical="center"/>
      <protection hidden="1"/>
    </xf>
    <xf numFmtId="0" fontId="15" fillId="9" borderId="80" xfId="0" applyFont="1" applyFill="1" applyBorder="1" applyAlignment="1" applyProtection="1">
      <alignment vertical="center"/>
      <protection hidden="1"/>
    </xf>
    <xf numFmtId="0" fontId="15" fillId="9" borderId="80" xfId="0" applyFont="1" applyFill="1" applyBorder="1" applyProtection="1">
      <protection hidden="1"/>
    </xf>
    <xf numFmtId="0" fontId="15" fillId="9" borderId="81" xfId="0" applyFont="1" applyFill="1" applyBorder="1" applyAlignment="1" applyProtection="1">
      <alignment vertical="center"/>
      <protection hidden="1"/>
    </xf>
    <xf numFmtId="0" fontId="61" fillId="15" borderId="44" xfId="0" quotePrefix="1" applyFont="1" applyFill="1" applyBorder="1" applyAlignment="1">
      <alignment horizontal="left" vertical="top"/>
    </xf>
    <xf numFmtId="0" fontId="60" fillId="15" borderId="58" xfId="0" quotePrefix="1" applyFont="1" applyFill="1" applyBorder="1" applyAlignment="1">
      <alignment horizontal="center" vertical="top"/>
    </xf>
    <xf numFmtId="0" fontId="72" fillId="4" borderId="7" xfId="0" quotePrefix="1" applyFont="1" applyFill="1" applyBorder="1" applyAlignment="1">
      <alignment horizontal="left" vertical="center"/>
    </xf>
    <xf numFmtId="0" fontId="72" fillId="4" borderId="8" xfId="0" quotePrefix="1" applyFont="1" applyFill="1" applyBorder="1" applyAlignment="1">
      <alignment horizontal="left" vertical="center"/>
    </xf>
    <xf numFmtId="0" fontId="72" fillId="4" borderId="9" xfId="0" quotePrefix="1" applyFont="1" applyFill="1" applyBorder="1" applyAlignment="1">
      <alignment horizontal="left" vertical="center"/>
    </xf>
    <xf numFmtId="0" fontId="72" fillId="4" borderId="10" xfId="0" quotePrefix="1" applyFont="1" applyFill="1" applyBorder="1" applyAlignment="1">
      <alignment horizontal="left" vertical="center"/>
    </xf>
    <xf numFmtId="0" fontId="54" fillId="4" borderId="9" xfId="0" quotePrefix="1" applyFont="1" applyFill="1" applyBorder="1" applyAlignment="1">
      <alignment horizontal="left" vertical="center"/>
    </xf>
    <xf numFmtId="0" fontId="54" fillId="4" borderId="10" xfId="0" quotePrefix="1" applyFont="1" applyFill="1" applyBorder="1" applyAlignment="1">
      <alignment horizontal="left" vertical="center"/>
    </xf>
    <xf numFmtId="0" fontId="72" fillId="4" borderId="10" xfId="0" applyFont="1" applyFill="1" applyBorder="1" applyAlignment="1">
      <alignment horizontal="left" vertical="center"/>
    </xf>
    <xf numFmtId="0" fontId="54" fillId="4" borderId="11" xfId="0" quotePrefix="1" applyFont="1" applyFill="1" applyBorder="1" applyAlignment="1">
      <alignment horizontal="left" vertical="center"/>
    </xf>
    <xf numFmtId="0" fontId="54" fillId="4" borderId="12" xfId="0" applyFont="1" applyFill="1" applyBorder="1" applyAlignment="1">
      <alignment horizontal="left" vertical="center"/>
    </xf>
    <xf numFmtId="0" fontId="72" fillId="16" borderId="7" xfId="0" quotePrefix="1" applyFont="1" applyFill="1" applyBorder="1" applyAlignment="1">
      <alignment horizontal="left" vertical="center"/>
    </xf>
    <xf numFmtId="0" fontId="72" fillId="16" borderId="8" xfId="0" quotePrefix="1" applyFont="1" applyFill="1" applyBorder="1" applyAlignment="1">
      <alignment horizontal="left" vertical="center"/>
    </xf>
    <xf numFmtId="0" fontId="72" fillId="16" borderId="9" xfId="0" quotePrefix="1" applyFont="1" applyFill="1" applyBorder="1" applyAlignment="1">
      <alignment horizontal="left" vertical="center"/>
    </xf>
    <xf numFmtId="0" fontId="72" fillId="16" borderId="10" xfId="0" quotePrefix="1" applyFont="1" applyFill="1" applyBorder="1" applyAlignment="1">
      <alignment horizontal="left" vertical="center"/>
    </xf>
    <xf numFmtId="0" fontId="54" fillId="16" borderId="11" xfId="0" quotePrefix="1" applyFont="1" applyFill="1" applyBorder="1" applyAlignment="1">
      <alignment horizontal="left" vertical="center"/>
    </xf>
    <xf numFmtId="0" fontId="54" fillId="16" borderId="12" xfId="0" quotePrefix="1" applyFont="1" applyFill="1" applyBorder="1" applyAlignment="1">
      <alignment horizontal="left" vertical="center"/>
    </xf>
    <xf numFmtId="0" fontId="72" fillId="8" borderId="7" xfId="0" applyFont="1" applyFill="1" applyBorder="1" applyAlignment="1">
      <alignment horizontal="left" vertical="center"/>
    </xf>
    <xf numFmtId="0" fontId="72" fillId="8" borderId="8" xfId="0" quotePrefix="1" applyFont="1" applyFill="1" applyBorder="1" applyAlignment="1">
      <alignment horizontal="left" vertical="center"/>
    </xf>
    <xf numFmtId="0" fontId="72" fillId="8" borderId="9" xfId="0" applyFont="1" applyFill="1" applyBorder="1" applyAlignment="1">
      <alignment horizontal="left" vertical="center"/>
    </xf>
    <xf numFmtId="0" fontId="72" fillId="8" borderId="10" xfId="0" applyFont="1" applyFill="1" applyBorder="1" applyAlignment="1">
      <alignment horizontal="left" vertical="center"/>
    </xf>
    <xf numFmtId="0" fontId="54" fillId="8" borderId="9" xfId="0" quotePrefix="1" applyFont="1" applyFill="1" applyBorder="1" applyAlignment="1">
      <alignment horizontal="left" vertical="center"/>
    </xf>
    <xf numFmtId="0" fontId="54" fillId="8" borderId="10" xfId="0" applyFont="1" applyFill="1" applyBorder="1" applyAlignment="1">
      <alignment horizontal="left" vertical="center"/>
    </xf>
    <xf numFmtId="0" fontId="72" fillId="8" borderId="9" xfId="0" quotePrefix="1" applyFont="1" applyFill="1" applyBorder="1" applyAlignment="1">
      <alignment horizontal="left" vertical="center"/>
    </xf>
    <xf numFmtId="0" fontId="54" fillId="8" borderId="11" xfId="0" quotePrefix="1" applyFont="1" applyFill="1" applyBorder="1" applyAlignment="1">
      <alignment horizontal="left" vertical="center"/>
    </xf>
    <xf numFmtId="0" fontId="54" fillId="8" borderId="12" xfId="0" applyFont="1" applyFill="1" applyBorder="1" applyAlignment="1">
      <alignment horizontal="left" vertical="center"/>
    </xf>
    <xf numFmtId="0" fontId="72" fillId="14" borderId="7" xfId="0" applyFont="1" applyFill="1" applyBorder="1" applyAlignment="1">
      <alignment horizontal="left" vertical="center"/>
    </xf>
    <xf numFmtId="0" fontId="72" fillId="14" borderId="8" xfId="0" quotePrefix="1" applyFont="1" applyFill="1" applyBorder="1" applyAlignment="1">
      <alignment horizontal="left" vertical="center"/>
    </xf>
    <xf numFmtId="0" fontId="54" fillId="14" borderId="9" xfId="0" applyFont="1" applyFill="1" applyBorder="1" applyAlignment="1">
      <alignment horizontal="left" vertical="center"/>
    </xf>
    <xf numFmtId="0" fontId="54" fillId="14" borderId="10" xfId="0" applyFont="1" applyFill="1" applyBorder="1" applyAlignment="1">
      <alignment horizontal="left" vertical="center"/>
    </xf>
    <xf numFmtId="0" fontId="54" fillId="14" borderId="9" xfId="0" quotePrefix="1" applyFont="1" applyFill="1" applyBorder="1" applyAlignment="1">
      <alignment horizontal="left" vertical="center"/>
    </xf>
    <xf numFmtId="0" fontId="72" fillId="14" borderId="9" xfId="0" quotePrefix="1" applyFont="1" applyFill="1" applyBorder="1" applyAlignment="1">
      <alignment horizontal="left" vertical="center"/>
    </xf>
    <xf numFmtId="0" fontId="72" fillId="14" borderId="10" xfId="0" quotePrefix="1" applyFont="1" applyFill="1" applyBorder="1" applyAlignment="1">
      <alignment horizontal="left" vertical="center"/>
    </xf>
    <xf numFmtId="0" fontId="54" fillId="14" borderId="10" xfId="0" quotePrefix="1" applyFont="1" applyFill="1" applyBorder="1" applyAlignment="1">
      <alignment horizontal="left" vertical="center"/>
    </xf>
    <xf numFmtId="0" fontId="72" fillId="14" borderId="9" xfId="0" applyFont="1" applyFill="1" applyBorder="1" applyAlignment="1">
      <alignment horizontal="left" vertical="center"/>
    </xf>
    <xf numFmtId="0" fontId="72" fillId="14" borderId="10" xfId="0" applyFont="1" applyFill="1" applyBorder="1" applyAlignment="1">
      <alignment horizontal="left" vertical="center"/>
    </xf>
    <xf numFmtId="0" fontId="54" fillId="14" borderId="11" xfId="0" quotePrefix="1" applyFont="1" applyFill="1" applyBorder="1" applyAlignment="1">
      <alignment horizontal="left" vertical="center"/>
    </xf>
    <xf numFmtId="0" fontId="54" fillId="14" borderId="12" xfId="0" applyFont="1" applyFill="1" applyBorder="1" applyAlignment="1">
      <alignment horizontal="left" vertical="center"/>
    </xf>
    <xf numFmtId="0" fontId="72" fillId="2" borderId="7" xfId="0" applyFont="1" applyFill="1" applyBorder="1" applyAlignment="1">
      <alignment horizontal="left" vertical="center"/>
    </xf>
    <xf numFmtId="0" fontId="72" fillId="2" borderId="8" xfId="0" quotePrefix="1" applyFont="1" applyFill="1" applyBorder="1" applyAlignment="1">
      <alignment horizontal="left" vertical="center"/>
    </xf>
    <xf numFmtId="0" fontId="54" fillId="2" borderId="9"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9" xfId="0" quotePrefix="1" applyFont="1" applyFill="1" applyBorder="1" applyAlignment="1">
      <alignment horizontal="left" vertical="center"/>
    </xf>
    <xf numFmtId="0" fontId="72" fillId="2" borderId="9" xfId="0" quotePrefix="1" applyFont="1" applyFill="1" applyBorder="1" applyAlignment="1">
      <alignment horizontal="left" vertical="center"/>
    </xf>
    <xf numFmtId="0" fontId="72" fillId="2" borderId="10" xfId="0" quotePrefix="1" applyFont="1" applyFill="1" applyBorder="1" applyAlignment="1">
      <alignment horizontal="left" vertical="center"/>
    </xf>
    <xf numFmtId="0" fontId="54" fillId="2" borderId="10" xfId="0" quotePrefix="1" applyFont="1" applyFill="1" applyBorder="1" applyAlignment="1">
      <alignment horizontal="left" vertical="center"/>
    </xf>
    <xf numFmtId="0" fontId="72" fillId="2" borderId="9" xfId="0" applyFont="1" applyFill="1" applyBorder="1" applyAlignment="1">
      <alignment horizontal="left" vertical="center"/>
    </xf>
    <xf numFmtId="0" fontId="72" fillId="2" borderId="10" xfId="0" applyFont="1" applyFill="1" applyBorder="1" applyAlignment="1">
      <alignment horizontal="left" vertical="center"/>
    </xf>
    <xf numFmtId="0" fontId="54" fillId="2" borderId="11" xfId="0" quotePrefix="1" applyFont="1" applyFill="1" applyBorder="1" applyAlignment="1">
      <alignment horizontal="left" vertical="center"/>
    </xf>
    <xf numFmtId="0" fontId="54" fillId="2" borderId="12" xfId="0" applyFont="1" applyFill="1" applyBorder="1" applyAlignment="1">
      <alignment horizontal="left" vertical="center"/>
    </xf>
    <xf numFmtId="0" fontId="75" fillId="21" borderId="326" xfId="0" applyFont="1" applyFill="1" applyBorder="1" applyAlignment="1">
      <alignment horizontal="left" vertical="top" wrapText="1"/>
    </xf>
    <xf numFmtId="0" fontId="19" fillId="0" borderId="0" xfId="0" applyFont="1"/>
    <xf numFmtId="0" fontId="54" fillId="0" borderId="288" xfId="0" quotePrefix="1" applyFont="1" applyBorder="1" applyAlignment="1">
      <alignment horizontal="left"/>
    </xf>
    <xf numFmtId="0" fontId="54" fillId="20" borderId="289" xfId="0" applyFont="1" applyFill="1" applyBorder="1"/>
    <xf numFmtId="0" fontId="54" fillId="0" borderId="291" xfId="0" quotePrefix="1" applyFont="1" applyBorder="1" applyAlignment="1">
      <alignment horizontal="left"/>
    </xf>
    <xf numFmtId="0" fontId="54" fillId="20" borderId="293" xfId="0" applyFont="1" applyFill="1" applyBorder="1"/>
    <xf numFmtId="0" fontId="54" fillId="0" borderId="294" xfId="0" quotePrefix="1" applyFont="1" applyBorder="1" applyAlignment="1">
      <alignment horizontal="left"/>
    </xf>
    <xf numFmtId="2" fontId="8" fillId="0" borderId="0" xfId="0" quotePrefix="1" applyNumberFormat="1" applyFont="1" applyAlignment="1" applyProtection="1">
      <alignment vertical="top"/>
      <protection hidden="1"/>
    </xf>
    <xf numFmtId="174" fontId="25" fillId="0" borderId="160" xfId="0" quotePrefix="1" applyNumberFormat="1" applyFont="1" applyBorder="1" applyAlignment="1" applyProtection="1">
      <alignment horizontal="center" vertical="center"/>
      <protection hidden="1"/>
    </xf>
    <xf numFmtId="174" fontId="25" fillId="0" borderId="123" xfId="0" quotePrefix="1" applyNumberFormat="1" applyFont="1" applyBorder="1" applyAlignment="1" applyProtection="1">
      <alignment horizontal="center" vertical="center"/>
      <protection hidden="1"/>
    </xf>
    <xf numFmtId="174" fontId="25" fillId="0" borderId="199" xfId="5" applyNumberFormat="1" applyFont="1" applyBorder="1" applyAlignment="1" applyProtection="1">
      <alignment horizontal="center" vertical="center"/>
      <protection hidden="1"/>
    </xf>
    <xf numFmtId="174" fontId="25" fillId="0" borderId="232" xfId="0" applyNumberFormat="1" applyFont="1" applyBorder="1" applyAlignment="1" applyProtection="1">
      <alignment horizontal="center" vertical="center"/>
      <protection hidden="1"/>
    </xf>
    <xf numFmtId="167" fontId="26" fillId="0" borderId="30" xfId="0" applyNumberFormat="1" applyFont="1" applyBorder="1" applyProtection="1">
      <protection hidden="1"/>
    </xf>
    <xf numFmtId="167" fontId="6" fillId="17" borderId="82" xfId="0" applyNumberFormat="1" applyFont="1" applyFill="1" applyBorder="1" applyAlignment="1" applyProtection="1">
      <alignment horizontal="right" vertical="center"/>
      <protection hidden="1"/>
    </xf>
    <xf numFmtId="167" fontId="15" fillId="17" borderId="93" xfId="0" applyNumberFormat="1" applyFont="1" applyFill="1" applyBorder="1" applyAlignment="1" applyProtection="1">
      <alignment horizontal="right" vertical="center"/>
      <protection hidden="1"/>
    </xf>
    <xf numFmtId="167" fontId="15" fillId="17" borderId="116" xfId="0" applyNumberFormat="1" applyFont="1" applyFill="1" applyBorder="1" applyAlignment="1" applyProtection="1">
      <alignment horizontal="right" vertical="center"/>
      <protection hidden="1"/>
    </xf>
    <xf numFmtId="167" fontId="15" fillId="17" borderId="91" xfId="0" applyNumberFormat="1" applyFont="1" applyFill="1" applyBorder="1" applyAlignment="1" applyProtection="1">
      <alignment horizontal="right" vertical="center"/>
      <protection hidden="1"/>
    </xf>
    <xf numFmtId="167" fontId="15" fillId="17" borderId="92" xfId="0" applyNumberFormat="1" applyFont="1" applyFill="1" applyBorder="1" applyAlignment="1" applyProtection="1">
      <alignment horizontal="right" vertical="center"/>
      <protection hidden="1"/>
    </xf>
    <xf numFmtId="167" fontId="15" fillId="17" borderId="94" xfId="0" applyNumberFormat="1" applyFont="1" applyFill="1" applyBorder="1" applyAlignment="1" applyProtection="1">
      <alignment horizontal="right" vertical="center"/>
      <protection hidden="1"/>
    </xf>
    <xf numFmtId="167" fontId="15" fillId="17" borderId="118" xfId="0" applyNumberFormat="1" applyFont="1" applyFill="1" applyBorder="1" applyAlignment="1" applyProtection="1">
      <alignment horizontal="right" vertical="center"/>
      <protection hidden="1"/>
    </xf>
    <xf numFmtId="167" fontId="15" fillId="17" borderId="111" xfId="0" applyNumberFormat="1" applyFont="1" applyFill="1" applyBorder="1" applyAlignment="1" applyProtection="1">
      <alignment horizontal="right" vertical="center"/>
      <protection hidden="1"/>
    </xf>
    <xf numFmtId="167" fontId="50" fillId="41" borderId="82" xfId="0" applyNumberFormat="1" applyFont="1" applyFill="1" applyBorder="1" applyAlignment="1" applyProtection="1">
      <alignment horizontal="right" vertical="center"/>
      <protection locked="0"/>
    </xf>
    <xf numFmtId="167" fontId="15" fillId="17" borderId="82" xfId="0" applyNumberFormat="1" applyFont="1" applyFill="1" applyBorder="1" applyAlignment="1" applyProtection="1">
      <alignment horizontal="right" vertical="center"/>
      <protection hidden="1"/>
    </xf>
    <xf numFmtId="167" fontId="29" fillId="17" borderId="93" xfId="0" applyNumberFormat="1" applyFont="1" applyFill="1" applyBorder="1" applyAlignment="1" applyProtection="1">
      <alignment horizontal="right" vertical="center"/>
      <protection hidden="1"/>
    </xf>
    <xf numFmtId="167" fontId="17" fillId="17" borderId="82" xfId="0" applyNumberFormat="1" applyFont="1" applyFill="1" applyBorder="1" applyAlignment="1" applyProtection="1">
      <alignment horizontal="right" vertical="center"/>
      <protection hidden="1"/>
    </xf>
    <xf numFmtId="4" fontId="5" fillId="27" borderId="262" xfId="0" applyNumberFormat="1" applyFont="1" applyFill="1" applyBorder="1"/>
    <xf numFmtId="4" fontId="5" fillId="27" borderId="263" xfId="0" applyNumberFormat="1" applyFont="1" applyFill="1" applyBorder="1"/>
    <xf numFmtId="4" fontId="5" fillId="27" borderId="265" xfId="0" applyNumberFormat="1" applyFont="1" applyFill="1" applyBorder="1"/>
    <xf numFmtId="0" fontId="15" fillId="0" borderId="79" xfId="0" applyFont="1" applyBorder="1" applyProtection="1">
      <protection hidden="1"/>
    </xf>
    <xf numFmtId="171" fontId="38" fillId="0" borderId="0" xfId="0" quotePrefix="1" applyNumberFormat="1" applyFont="1" applyAlignment="1" applyProtection="1">
      <alignment horizontal="right" vertical="center"/>
      <protection hidden="1"/>
    </xf>
    <xf numFmtId="0" fontId="69" fillId="9" borderId="47" xfId="0" applyFont="1" applyFill="1" applyBorder="1"/>
    <xf numFmtId="0" fontId="54" fillId="9" borderId="132" xfId="0" applyFont="1" applyFill="1" applyBorder="1" applyAlignment="1">
      <alignment vertical="center"/>
    </xf>
    <xf numFmtId="0" fontId="54" fillId="9" borderId="42" xfId="0" applyFont="1" applyFill="1" applyBorder="1" applyAlignment="1">
      <alignment vertical="center"/>
    </xf>
    <xf numFmtId="167" fontId="68" fillId="9" borderId="42" xfId="0" applyNumberFormat="1" applyFont="1" applyFill="1" applyBorder="1" applyAlignment="1">
      <alignment horizontal="left" vertical="top" wrapText="1"/>
    </xf>
    <xf numFmtId="168" fontId="46" fillId="36" borderId="26" xfId="0" applyNumberFormat="1" applyFont="1" applyFill="1" applyBorder="1" applyAlignment="1">
      <alignment horizontal="right" vertical="center"/>
    </xf>
    <xf numFmtId="168" fontId="71" fillId="36" borderId="28" xfId="0" applyNumberFormat="1" applyFont="1" applyFill="1" applyBorder="1" applyAlignment="1">
      <alignment horizontal="right" vertical="center"/>
    </xf>
    <xf numFmtId="0" fontId="14" fillId="34" borderId="105" xfId="2" quotePrefix="1" applyFont="1" applyFill="1" applyBorder="1" applyAlignment="1" applyProtection="1">
      <alignment horizontal="center" vertical="center"/>
      <protection hidden="1"/>
    </xf>
    <xf numFmtId="0" fontId="14" fillId="34" borderId="106" xfId="1" quotePrefix="1" applyNumberFormat="1" applyFont="1" applyFill="1" applyBorder="1" applyAlignment="1" applyProtection="1">
      <alignment horizontal="center" vertical="center"/>
      <protection hidden="1"/>
    </xf>
    <xf numFmtId="0" fontId="14" fillId="34" borderId="106" xfId="1" applyNumberFormat="1" applyFont="1" applyFill="1" applyBorder="1" applyAlignment="1" applyProtection="1">
      <alignment horizontal="center" vertical="center"/>
      <protection hidden="1"/>
    </xf>
    <xf numFmtId="0" fontId="14" fillId="34" borderId="107" xfId="1" applyNumberFormat="1" applyFont="1" applyFill="1" applyBorder="1" applyAlignment="1" applyProtection="1">
      <alignment horizontal="center" vertical="center"/>
      <protection hidden="1"/>
    </xf>
    <xf numFmtId="168" fontId="50" fillId="45" borderId="117" xfId="0" applyNumberFormat="1" applyFont="1" applyFill="1" applyBorder="1" applyProtection="1">
      <protection locked="0"/>
    </xf>
    <xf numFmtId="4" fontId="47" fillId="9" borderId="456" xfId="0" applyNumberFormat="1" applyFont="1" applyFill="1" applyBorder="1" applyAlignment="1" applyProtection="1">
      <alignment vertical="center"/>
      <protection hidden="1"/>
    </xf>
    <xf numFmtId="164" fontId="9" fillId="12" borderId="275" xfId="0" applyNumberFormat="1" applyFont="1" applyFill="1" applyBorder="1" applyAlignment="1" applyProtection="1">
      <alignment horizontal="center"/>
      <protection locked="0"/>
    </xf>
    <xf numFmtId="0" fontId="63" fillId="12" borderId="457" xfId="0" quotePrefix="1" applyFont="1" applyFill="1" applyBorder="1" applyAlignment="1">
      <alignment horizontal="left"/>
    </xf>
    <xf numFmtId="0" fontId="54" fillId="12" borderId="458" xfId="0" applyFont="1" applyFill="1" applyBorder="1"/>
    <xf numFmtId="0" fontId="63" fillId="12" borderId="459" xfId="0" applyFont="1" applyFill="1" applyBorder="1"/>
    <xf numFmtId="0" fontId="54" fillId="12" borderId="460" xfId="0" applyFont="1" applyFill="1" applyBorder="1"/>
    <xf numFmtId="0" fontId="63" fillId="12" borderId="457" xfId="0" applyFont="1" applyFill="1" applyBorder="1"/>
    <xf numFmtId="0" fontId="63" fillId="12" borderId="459" xfId="0" quotePrefix="1" applyFont="1" applyFill="1" applyBorder="1" applyAlignment="1">
      <alignment horizontal="left"/>
    </xf>
    <xf numFmtId="0" fontId="60" fillId="15" borderId="286" xfId="0" applyFont="1" applyFill="1" applyBorder="1" applyAlignment="1">
      <alignment horizontal="center" vertical="top" wrapText="1"/>
    </xf>
    <xf numFmtId="0" fontId="61" fillId="15" borderId="286" xfId="0" quotePrefix="1" applyFont="1" applyFill="1" applyBorder="1" applyAlignment="1">
      <alignment horizontal="center" vertical="top" wrapText="1"/>
    </xf>
    <xf numFmtId="0" fontId="61" fillId="15" borderId="422" xfId="0" quotePrefix="1" applyFont="1" applyFill="1" applyBorder="1" applyAlignment="1">
      <alignment horizontal="center" vertical="top" wrapText="1"/>
    </xf>
    <xf numFmtId="0" fontId="54" fillId="2" borderId="461" xfId="0" applyFont="1" applyFill="1" applyBorder="1"/>
    <xf numFmtId="0" fontId="54" fillId="2" borderId="462" xfId="0" applyFont="1" applyFill="1" applyBorder="1"/>
    <xf numFmtId="0" fontId="54" fillId="11" borderId="463" xfId="0" applyFont="1" applyFill="1" applyBorder="1"/>
    <xf numFmtId="0" fontId="54" fillId="11" borderId="464" xfId="0" applyFont="1" applyFill="1" applyBorder="1"/>
    <xf numFmtId="0" fontId="54" fillId="4" borderId="461" xfId="0" applyFont="1" applyFill="1" applyBorder="1"/>
    <xf numFmtId="0" fontId="54" fillId="4" borderId="462" xfId="0" applyFont="1" applyFill="1" applyBorder="1"/>
    <xf numFmtId="0" fontId="54" fillId="8" borderId="463" xfId="0" applyFont="1" applyFill="1" applyBorder="1"/>
    <xf numFmtId="0" fontId="54" fillId="8" borderId="464" xfId="0" applyFont="1" applyFill="1" applyBorder="1"/>
    <xf numFmtId="0" fontId="71" fillId="35" borderId="45" xfId="0" applyFont="1" applyFill="1" applyBorder="1" applyAlignment="1">
      <alignment horizontal="center" vertical="top" wrapText="1"/>
    </xf>
    <xf numFmtId="2" fontId="55" fillId="5" borderId="41" xfId="0" quotePrefix="1" applyNumberFormat="1" applyFont="1" applyFill="1" applyBorder="1" applyAlignment="1">
      <alignment horizontal="left" vertical="center"/>
    </xf>
    <xf numFmtId="2" fontId="55" fillId="5" borderId="23" xfId="0" applyNumberFormat="1" applyFont="1" applyFill="1" applyBorder="1" applyAlignment="1">
      <alignment horizontal="left" vertical="center"/>
    </xf>
    <xf numFmtId="2" fontId="55" fillId="5" borderId="25" xfId="0" applyNumberFormat="1" applyFont="1" applyFill="1" applyBorder="1" applyAlignment="1">
      <alignment horizontal="left" vertical="center"/>
    </xf>
    <xf numFmtId="4" fontId="54" fillId="0" borderId="0" xfId="0" applyNumberFormat="1" applyFont="1"/>
    <xf numFmtId="3" fontId="58" fillId="5" borderId="193" xfId="0" applyNumberFormat="1" applyFont="1" applyFill="1" applyBorder="1"/>
    <xf numFmtId="2" fontId="54" fillId="0" borderId="0" xfId="0" applyNumberFormat="1" applyFont="1"/>
    <xf numFmtId="4" fontId="58" fillId="12" borderId="194" xfId="0" applyNumberFormat="1" applyFont="1" applyFill="1" applyBorder="1"/>
    <xf numFmtId="0" fontId="76" fillId="0" borderId="0" xfId="0" quotePrefix="1" applyFont="1" applyAlignment="1">
      <alignment horizontal="left"/>
    </xf>
    <xf numFmtId="3" fontId="58" fillId="12" borderId="193" xfId="0" applyNumberFormat="1" applyFont="1" applyFill="1" applyBorder="1"/>
    <xf numFmtId="1" fontId="54" fillId="0" borderId="0" xfId="0" applyNumberFormat="1" applyFont="1"/>
    <xf numFmtId="0" fontId="20" fillId="0" borderId="330" xfId="0" applyFont="1" applyBorder="1"/>
    <xf numFmtId="0" fontId="20" fillId="0" borderId="46" xfId="0" applyFont="1" applyBorder="1"/>
    <xf numFmtId="0" fontId="20" fillId="0" borderId="16" xfId="0" applyFont="1" applyBorder="1"/>
    <xf numFmtId="4" fontId="60" fillId="15" borderId="179" xfId="0" quotePrefix="1" applyNumberFormat="1" applyFont="1" applyFill="1" applyBorder="1" applyAlignment="1">
      <alignment horizontal="center" vertical="top" wrapText="1"/>
    </xf>
    <xf numFmtId="4" fontId="60" fillId="15" borderId="124" xfId="0" quotePrefix="1" applyNumberFormat="1" applyFont="1" applyFill="1" applyBorder="1" applyAlignment="1">
      <alignment horizontal="center" vertical="top" wrapText="1"/>
    </xf>
    <xf numFmtId="2" fontId="60" fillId="15" borderId="124" xfId="0" quotePrefix="1" applyNumberFormat="1" applyFont="1" applyFill="1" applyBorder="1" applyAlignment="1">
      <alignment horizontal="center" vertical="top" wrapText="1"/>
    </xf>
    <xf numFmtId="1" fontId="60" fillId="15" borderId="124" xfId="0" quotePrefix="1" applyNumberFormat="1" applyFont="1" applyFill="1" applyBorder="1" applyAlignment="1">
      <alignment horizontal="center" vertical="top" wrapText="1"/>
    </xf>
    <xf numFmtId="0" fontId="20" fillId="0" borderId="5" xfId="0" applyFont="1" applyBorder="1"/>
    <xf numFmtId="0" fontId="20" fillId="0" borderId="0" xfId="0" applyFont="1"/>
    <xf numFmtId="0" fontId="20" fillId="0" borderId="3" xfId="0" applyFont="1" applyBorder="1"/>
    <xf numFmtId="4" fontId="58" fillId="12" borderId="179" xfId="0" applyNumberFormat="1" applyFont="1" applyFill="1" applyBorder="1"/>
    <xf numFmtId="4" fontId="58" fillId="12" borderId="124" xfId="0" applyNumberFormat="1" applyFont="1" applyFill="1" applyBorder="1"/>
    <xf numFmtId="3" fontId="58" fillId="12" borderId="124" xfId="0" applyNumberFormat="1" applyFont="1" applyFill="1" applyBorder="1"/>
    <xf numFmtId="2" fontId="58" fillId="12" borderId="124" xfId="0" applyNumberFormat="1" applyFont="1" applyFill="1" applyBorder="1"/>
    <xf numFmtId="2" fontId="58" fillId="12" borderId="130" xfId="0" applyNumberFormat="1" applyFont="1" applyFill="1" applyBorder="1"/>
    <xf numFmtId="2" fontId="20" fillId="12" borderId="130" xfId="0" applyNumberFormat="1" applyFont="1" applyFill="1" applyBorder="1"/>
    <xf numFmtId="0" fontId="45" fillId="12" borderId="179" xfId="0" applyFont="1" applyFill="1" applyBorder="1"/>
    <xf numFmtId="0" fontId="45" fillId="12" borderId="124" xfId="0" applyFont="1" applyFill="1" applyBorder="1"/>
    <xf numFmtId="0" fontId="45" fillId="12" borderId="130" xfId="0" applyFont="1" applyFill="1" applyBorder="1"/>
    <xf numFmtId="4" fontId="45" fillId="12" borderId="124" xfId="0" applyNumberFormat="1" applyFont="1" applyFill="1" applyBorder="1"/>
    <xf numFmtId="0" fontId="20" fillId="12" borderId="130" xfId="0" applyFont="1" applyFill="1" applyBorder="1"/>
    <xf numFmtId="3" fontId="58" fillId="12" borderId="173" xfId="0" applyNumberFormat="1" applyFont="1" applyFill="1" applyBorder="1"/>
    <xf numFmtId="3" fontId="58" fillId="12" borderId="128" xfId="0" applyNumberFormat="1" applyFont="1" applyFill="1" applyBorder="1"/>
    <xf numFmtId="4" fontId="58" fillId="12" borderId="193" xfId="0" applyNumberFormat="1" applyFont="1" applyFill="1" applyBorder="1"/>
    <xf numFmtId="3" fontId="20" fillId="12" borderId="128" xfId="0" applyNumberFormat="1" applyFont="1" applyFill="1" applyBorder="1"/>
    <xf numFmtId="4" fontId="58" fillId="12" borderId="345" xfId="0" applyNumberFormat="1" applyFont="1" applyFill="1" applyBorder="1"/>
    <xf numFmtId="3" fontId="58" fillId="12" borderId="194" xfId="0" applyNumberFormat="1" applyFont="1" applyFill="1" applyBorder="1"/>
    <xf numFmtId="4" fontId="58" fillId="12" borderId="195" xfId="0" applyNumberFormat="1" applyFont="1" applyFill="1" applyBorder="1"/>
    <xf numFmtId="4" fontId="20" fillId="12" borderId="195" xfId="0" applyNumberFormat="1" applyFont="1" applyFill="1" applyBorder="1"/>
    <xf numFmtId="0" fontId="20" fillId="0" borderId="2" xfId="0" applyFont="1" applyBorder="1"/>
    <xf numFmtId="0" fontId="20" fillId="0" borderId="1" xfId="0" applyFont="1" applyBorder="1"/>
    <xf numFmtId="0" fontId="20" fillId="0" borderId="4" xfId="0" applyFont="1" applyBorder="1"/>
    <xf numFmtId="4" fontId="45" fillId="12" borderId="195" xfId="0" applyNumberFormat="1" applyFont="1" applyFill="1" applyBorder="1"/>
    <xf numFmtId="0" fontId="60" fillId="15" borderId="133" xfId="0" applyFont="1" applyFill="1" applyBorder="1" applyAlignment="1">
      <alignment horizontal="left" vertical="top"/>
    </xf>
    <xf numFmtId="0" fontId="60" fillId="15" borderId="134" xfId="0" applyFont="1" applyFill="1" applyBorder="1" applyAlignment="1">
      <alignment horizontal="left" vertical="top"/>
    </xf>
    <xf numFmtId="0" fontId="60" fillId="15" borderId="134" xfId="0" quotePrefix="1" applyFont="1" applyFill="1" applyBorder="1" applyAlignment="1">
      <alignment horizontal="left" vertical="top"/>
    </xf>
    <xf numFmtId="0" fontId="60" fillId="15" borderId="125" xfId="0" applyFont="1" applyFill="1" applyBorder="1" applyAlignment="1">
      <alignment horizontal="left" vertical="top"/>
    </xf>
    <xf numFmtId="0" fontId="60" fillId="15" borderId="42" xfId="0" applyFont="1" applyFill="1" applyBorder="1" applyAlignment="1">
      <alignment horizontal="left" vertical="top"/>
    </xf>
    <xf numFmtId="0" fontId="20" fillId="0" borderId="0" xfId="0" quotePrefix="1" applyFont="1" applyAlignment="1">
      <alignment horizontal="left"/>
    </xf>
    <xf numFmtId="2" fontId="20" fillId="0" borderId="0" xfId="0" applyNumberFormat="1" applyFont="1"/>
    <xf numFmtId="4" fontId="71" fillId="21" borderId="56" xfId="0" applyNumberFormat="1" applyFont="1" applyFill="1" applyBorder="1" applyAlignment="1">
      <alignment horizontal="center"/>
    </xf>
    <xf numFmtId="2" fontId="20" fillId="6" borderId="30" xfId="0" quotePrefix="1" applyNumberFormat="1" applyFont="1" applyFill="1" applyBorder="1" applyAlignment="1">
      <alignment horizontal="left" vertical="center"/>
    </xf>
    <xf numFmtId="2" fontId="20" fillId="0" borderId="30" xfId="0" quotePrefix="1" applyNumberFormat="1" applyFont="1" applyBorder="1" applyAlignment="1">
      <alignment horizontal="left" vertical="center"/>
    </xf>
    <xf numFmtId="4" fontId="20" fillId="6" borderId="30" xfId="0" applyNumberFormat="1" applyFont="1" applyFill="1" applyBorder="1"/>
    <xf numFmtId="0" fontId="60" fillId="15" borderId="43" xfId="0" quotePrefix="1" applyFont="1" applyFill="1" applyBorder="1" applyAlignment="1">
      <alignment horizontal="left" vertical="top"/>
    </xf>
    <xf numFmtId="0" fontId="60" fillId="15" borderId="42" xfId="0" quotePrefix="1" applyFont="1" applyFill="1" applyBorder="1" applyAlignment="1">
      <alignment horizontal="left" vertical="top"/>
    </xf>
    <xf numFmtId="4" fontId="58" fillId="21" borderId="256" xfId="0" applyNumberFormat="1" applyFont="1" applyFill="1" applyBorder="1"/>
    <xf numFmtId="4" fontId="58" fillId="21" borderId="45" xfId="0" applyNumberFormat="1" applyFont="1" applyFill="1" applyBorder="1"/>
    <xf numFmtId="4" fontId="58" fillId="21" borderId="132" xfId="0" applyNumberFormat="1" applyFont="1" applyFill="1" applyBorder="1"/>
    <xf numFmtId="4" fontId="58" fillId="21" borderId="56" xfId="0" applyNumberFormat="1" applyFont="1" applyFill="1" applyBorder="1"/>
    <xf numFmtId="0" fontId="60" fillId="15" borderId="43" xfId="0" applyFont="1" applyFill="1" applyBorder="1" applyAlignment="1">
      <alignment horizontal="left" vertical="top"/>
    </xf>
    <xf numFmtId="0" fontId="60" fillId="15" borderId="135" xfId="0" quotePrefix="1" applyFont="1" applyFill="1" applyBorder="1" applyAlignment="1">
      <alignment horizontal="left" vertical="top"/>
    </xf>
    <xf numFmtId="3" fontId="20" fillId="6" borderId="30" xfId="0" applyNumberFormat="1" applyFont="1" applyFill="1" applyBorder="1"/>
    <xf numFmtId="0" fontId="60" fillId="15" borderId="126" xfId="0" applyFont="1" applyFill="1" applyBorder="1" applyAlignment="1">
      <alignment horizontal="left" vertical="top"/>
    </xf>
    <xf numFmtId="0" fontId="60" fillId="15" borderId="125" xfId="0" quotePrefix="1" applyFont="1" applyFill="1" applyBorder="1" applyAlignment="1">
      <alignment horizontal="left" vertical="top"/>
    </xf>
    <xf numFmtId="1" fontId="20" fillId="12" borderId="30" xfId="0" applyNumberFormat="1" applyFont="1" applyFill="1" applyBorder="1"/>
    <xf numFmtId="0" fontId="54" fillId="0" borderId="403" xfId="0" applyFont="1" applyBorder="1"/>
    <xf numFmtId="0" fontId="54" fillId="0" borderId="80" xfId="0" applyFont="1" applyBorder="1"/>
    <xf numFmtId="0" fontId="20" fillId="18" borderId="61" xfId="0" applyFont="1" applyFill="1" applyBorder="1"/>
    <xf numFmtId="0" fontId="20" fillId="18" borderId="158" xfId="0" applyFont="1" applyFill="1" applyBorder="1"/>
    <xf numFmtId="0" fontId="20" fillId="18" borderId="157" xfId="0" applyFont="1" applyFill="1" applyBorder="1"/>
    <xf numFmtId="4" fontId="20" fillId="21" borderId="257" xfId="0" applyNumberFormat="1" applyFont="1" applyFill="1" applyBorder="1"/>
    <xf numFmtId="4" fontId="20" fillId="21" borderId="258" xfId="0" applyNumberFormat="1" applyFont="1" applyFill="1" applyBorder="1"/>
    <xf numFmtId="4" fontId="20" fillId="21" borderId="255" xfId="0" applyNumberFormat="1" applyFont="1" applyFill="1" applyBorder="1"/>
    <xf numFmtId="1" fontId="20" fillId="21" borderId="258" xfId="0" applyNumberFormat="1" applyFont="1" applyFill="1" applyBorder="1"/>
    <xf numFmtId="4" fontId="20" fillId="21" borderId="259" xfId="0" applyNumberFormat="1" applyFont="1" applyFill="1" applyBorder="1"/>
    <xf numFmtId="4" fontId="20" fillId="21" borderId="260" xfId="0" applyNumberFormat="1" applyFont="1" applyFill="1" applyBorder="1"/>
    <xf numFmtId="0" fontId="60" fillId="15" borderId="126" xfId="0" quotePrefix="1" applyFont="1" applyFill="1" applyBorder="1" applyAlignment="1">
      <alignment horizontal="left" vertical="top"/>
    </xf>
    <xf numFmtId="0" fontId="60" fillId="15" borderId="134" xfId="0" quotePrefix="1" applyFont="1" applyFill="1" applyBorder="1" applyAlignment="1">
      <alignment horizontal="center" vertical="top"/>
    </xf>
    <xf numFmtId="4" fontId="71" fillId="36" borderId="466" xfId="0" applyNumberFormat="1" applyFont="1" applyFill="1" applyBorder="1" applyAlignment="1">
      <alignment horizontal="right"/>
    </xf>
    <xf numFmtId="4" fontId="61" fillId="35" borderId="467" xfId="0" applyNumberFormat="1" applyFont="1" applyFill="1" applyBorder="1"/>
    <xf numFmtId="1" fontId="20" fillId="36" borderId="468" xfId="0" applyNumberFormat="1" applyFont="1" applyFill="1" applyBorder="1"/>
    <xf numFmtId="2" fontId="54" fillId="36" borderId="469" xfId="0" applyNumberFormat="1" applyFont="1" applyFill="1" applyBorder="1"/>
    <xf numFmtId="4" fontId="58" fillId="21" borderId="470" xfId="0" applyNumberFormat="1" applyFont="1" applyFill="1" applyBorder="1"/>
    <xf numFmtId="164" fontId="54" fillId="5" borderId="473" xfId="0" applyNumberFormat="1" applyFont="1" applyFill="1" applyBorder="1" applyAlignment="1">
      <alignment horizontal="center" vertical="center"/>
    </xf>
    <xf numFmtId="164" fontId="54" fillId="5" borderId="274" xfId="0" applyNumberFormat="1" applyFont="1" applyFill="1" applyBorder="1" applyAlignment="1">
      <alignment horizontal="left" vertical="center"/>
    </xf>
    <xf numFmtId="164" fontId="54" fillId="5" borderId="274" xfId="0" applyNumberFormat="1" applyFont="1" applyFill="1" applyBorder="1" applyAlignment="1">
      <alignment horizontal="center" vertical="center"/>
    </xf>
    <xf numFmtId="167" fontId="54" fillId="5" borderId="274" xfId="0" applyNumberFormat="1" applyFont="1" applyFill="1" applyBorder="1" applyAlignment="1">
      <alignment horizontal="center" vertical="center"/>
    </xf>
    <xf numFmtId="164" fontId="54" fillId="5" borderId="474" xfId="0" applyNumberFormat="1" applyFont="1" applyFill="1" applyBorder="1" applyAlignment="1">
      <alignment horizontal="center" vertical="center"/>
    </xf>
    <xf numFmtId="164" fontId="57" fillId="0" borderId="0" xfId="0" applyNumberFormat="1" applyFont="1"/>
    <xf numFmtId="174" fontId="25" fillId="0" borderId="450" xfId="0" quotePrefix="1" applyNumberFormat="1" applyFont="1" applyBorder="1" applyAlignment="1" applyProtection="1">
      <alignment horizontal="center" vertical="center"/>
      <protection hidden="1"/>
    </xf>
    <xf numFmtId="174" fontId="25" fillId="0" borderId="245" xfId="0" quotePrefix="1" applyNumberFormat="1" applyFont="1" applyBorder="1" applyAlignment="1" applyProtection="1">
      <alignment horizontal="center" vertical="center"/>
      <protection hidden="1"/>
    </xf>
    <xf numFmtId="174" fontId="25" fillId="0" borderId="449" xfId="0" quotePrefix="1" applyNumberFormat="1" applyFont="1" applyBorder="1" applyAlignment="1" applyProtection="1">
      <alignment horizontal="center" vertical="center"/>
      <protection hidden="1"/>
    </xf>
    <xf numFmtId="174" fontId="25" fillId="0" borderId="176" xfId="0" quotePrefix="1" applyNumberFormat="1" applyFont="1" applyBorder="1" applyAlignment="1" applyProtection="1">
      <alignment horizontal="center" vertical="center"/>
      <protection hidden="1"/>
    </xf>
    <xf numFmtId="174" fontId="25" fillId="0" borderId="251" xfId="0" quotePrefix="1" applyNumberFormat="1" applyFont="1" applyBorder="1" applyAlignment="1" applyProtection="1">
      <alignment horizontal="center" vertical="center"/>
      <protection hidden="1"/>
    </xf>
    <xf numFmtId="174" fontId="25" fillId="0" borderId="447" xfId="0" quotePrefix="1" applyNumberFormat="1" applyFont="1" applyBorder="1" applyAlignment="1" applyProtection="1">
      <alignment horizontal="center" vertical="center"/>
      <protection hidden="1"/>
    </xf>
    <xf numFmtId="174" fontId="25" fillId="0" borderId="448" xfId="0" quotePrefix="1" applyNumberFormat="1" applyFont="1" applyBorder="1" applyAlignment="1" applyProtection="1">
      <alignment horizontal="center" vertical="center"/>
      <protection hidden="1"/>
    </xf>
    <xf numFmtId="174" fontId="25" fillId="0" borderId="401" xfId="0" quotePrefix="1" applyNumberFormat="1" applyFont="1" applyBorder="1" applyAlignment="1" applyProtection="1">
      <alignment horizontal="center" vertical="center"/>
      <protection hidden="1"/>
    </xf>
    <xf numFmtId="174" fontId="25" fillId="0" borderId="162" xfId="0" quotePrefix="1" applyNumberFormat="1" applyFont="1" applyBorder="1" applyAlignment="1" applyProtection="1">
      <alignment horizontal="center" vertical="center"/>
      <protection hidden="1"/>
    </xf>
    <xf numFmtId="174" fontId="25" fillId="0" borderId="446" xfId="0" quotePrefix="1" applyNumberFormat="1" applyFont="1" applyBorder="1" applyAlignment="1" applyProtection="1">
      <alignment horizontal="center" vertical="center"/>
      <protection hidden="1"/>
    </xf>
    <xf numFmtId="174" fontId="25" fillId="0" borderId="252" xfId="0" quotePrefix="1" applyNumberFormat="1" applyFont="1" applyBorder="1" applyAlignment="1" applyProtection="1">
      <alignment horizontal="center" vertical="center"/>
      <protection hidden="1"/>
    </xf>
    <xf numFmtId="174" fontId="25" fillId="0" borderId="389" xfId="0" quotePrefix="1" applyNumberFormat="1" applyFont="1" applyBorder="1" applyAlignment="1" applyProtection="1">
      <alignment horizontal="center" vertical="center"/>
      <protection hidden="1"/>
    </xf>
    <xf numFmtId="174" fontId="25" fillId="0" borderId="160" xfId="0" applyNumberFormat="1" applyFont="1" applyBorder="1" applyAlignment="1" applyProtection="1">
      <alignment horizontal="center" vertical="center"/>
      <protection hidden="1"/>
    </xf>
    <xf numFmtId="174" fontId="25" fillId="0" borderId="447" xfId="0" applyNumberFormat="1" applyFont="1" applyBorder="1" applyAlignment="1" applyProtection="1">
      <alignment horizontal="center" vertical="center"/>
      <protection hidden="1"/>
    </xf>
    <xf numFmtId="174" fontId="25" fillId="0" borderId="199" xfId="2" applyNumberFormat="1" applyFont="1" applyBorder="1" applyAlignment="1" applyProtection="1">
      <alignment horizontal="center" vertical="center"/>
      <protection hidden="1"/>
    </xf>
    <xf numFmtId="0" fontId="14" fillId="46" borderId="82" xfId="2" applyFont="1" applyFill="1" applyBorder="1" applyAlignment="1" applyProtection="1">
      <alignment horizontal="center" vertical="center"/>
      <protection hidden="1"/>
    </xf>
    <xf numFmtId="0" fontId="10" fillId="46" borderId="404" xfId="2" quotePrefix="1" applyFont="1" applyFill="1" applyBorder="1" applyAlignment="1" applyProtection="1">
      <alignment horizontal="left" vertical="center"/>
      <protection hidden="1"/>
    </xf>
    <xf numFmtId="0" fontId="10" fillId="46" borderId="405" xfId="2" quotePrefix="1" applyFont="1" applyFill="1" applyBorder="1" applyAlignment="1" applyProtection="1">
      <alignment horizontal="left" vertical="center"/>
      <protection hidden="1"/>
    </xf>
    <xf numFmtId="0" fontId="10" fillId="46" borderId="405" xfId="2" applyFont="1" applyFill="1" applyBorder="1" applyAlignment="1" applyProtection="1">
      <alignment horizontal="left" vertical="center"/>
      <protection hidden="1"/>
    </xf>
    <xf numFmtId="165" fontId="8" fillId="46" borderId="408" xfId="0" quotePrefix="1" applyNumberFormat="1" applyFont="1" applyFill="1" applyBorder="1" applyAlignment="1" applyProtection="1">
      <alignment horizontal="left" vertical="center"/>
      <protection hidden="1"/>
    </xf>
    <xf numFmtId="165" fontId="8" fillId="46" borderId="409" xfId="0" applyNumberFormat="1" applyFont="1" applyFill="1" applyBorder="1" applyAlignment="1" applyProtection="1">
      <alignment vertical="center"/>
      <protection hidden="1"/>
    </xf>
    <xf numFmtId="165" fontId="8" fillId="46" borderId="405" xfId="0" applyNumberFormat="1" applyFont="1" applyFill="1" applyBorder="1" applyAlignment="1" applyProtection="1">
      <alignment vertical="center"/>
      <protection hidden="1"/>
    </xf>
    <xf numFmtId="165" fontId="8" fillId="46" borderId="405" xfId="0" quotePrefix="1" applyNumberFormat="1" applyFont="1" applyFill="1" applyBorder="1" applyAlignment="1" applyProtection="1">
      <alignment horizontal="left" vertical="center"/>
      <protection hidden="1"/>
    </xf>
    <xf numFmtId="165" fontId="8" fillId="46" borderId="410" xfId="0" quotePrefix="1" applyNumberFormat="1" applyFont="1" applyFill="1" applyBorder="1" applyAlignment="1" applyProtection="1">
      <alignment horizontal="left" vertical="center"/>
      <protection hidden="1"/>
    </xf>
    <xf numFmtId="165" fontId="8" fillId="46" borderId="406" xfId="0" quotePrefix="1" applyNumberFormat="1" applyFont="1" applyFill="1" applyBorder="1" applyAlignment="1" applyProtection="1">
      <alignment horizontal="left" vertical="center"/>
      <protection hidden="1"/>
    </xf>
    <xf numFmtId="165" fontId="8" fillId="46" borderId="411" xfId="0" applyNumberFormat="1" applyFont="1" applyFill="1" applyBorder="1" applyAlignment="1" applyProtection="1">
      <alignment vertical="center"/>
      <protection hidden="1"/>
    </xf>
    <xf numFmtId="165" fontId="8" fillId="46" borderId="412" xfId="0" quotePrefix="1" applyNumberFormat="1" applyFont="1" applyFill="1" applyBorder="1" applyAlignment="1" applyProtection="1">
      <alignment horizontal="left" vertical="center"/>
      <protection hidden="1"/>
    </xf>
    <xf numFmtId="165" fontId="8" fillId="46" borderId="413" xfId="0" quotePrefix="1" applyNumberFormat="1" applyFont="1" applyFill="1" applyBorder="1" applyAlignment="1" applyProtection="1">
      <alignment horizontal="left" vertical="center"/>
      <protection hidden="1"/>
    </xf>
    <xf numFmtId="165" fontId="8" fillId="46" borderId="411" xfId="0" quotePrefix="1" applyNumberFormat="1" applyFont="1" applyFill="1" applyBorder="1" applyAlignment="1" applyProtection="1">
      <alignment horizontal="left" vertical="center"/>
      <protection hidden="1"/>
    </xf>
    <xf numFmtId="165" fontId="8" fillId="46" borderId="414" xfId="0" quotePrefix="1" applyNumberFormat="1" applyFont="1" applyFill="1" applyBorder="1" applyAlignment="1" applyProtection="1">
      <alignment horizontal="left" vertical="center"/>
      <protection hidden="1"/>
    </xf>
    <xf numFmtId="2" fontId="8" fillId="46" borderId="412" xfId="0" applyNumberFormat="1" applyFont="1" applyFill="1" applyBorder="1" applyAlignment="1" applyProtection="1">
      <alignment vertical="center"/>
      <protection hidden="1"/>
    </xf>
    <xf numFmtId="2" fontId="8" fillId="46" borderId="405" xfId="0" applyNumberFormat="1" applyFont="1" applyFill="1" applyBorder="1" applyAlignment="1" applyProtection="1">
      <alignment vertical="center"/>
      <protection hidden="1"/>
    </xf>
    <xf numFmtId="2" fontId="8" fillId="46" borderId="411" xfId="0" applyNumberFormat="1" applyFont="1" applyFill="1" applyBorder="1" applyAlignment="1" applyProtection="1">
      <alignment vertical="center"/>
      <protection hidden="1"/>
    </xf>
    <xf numFmtId="2" fontId="8" fillId="46" borderId="406" xfId="0" applyNumberFormat="1" applyFont="1" applyFill="1" applyBorder="1" applyAlignment="1" applyProtection="1">
      <alignment vertical="center"/>
      <protection hidden="1"/>
    </xf>
    <xf numFmtId="2" fontId="8" fillId="46" borderId="406" xfId="0" quotePrefix="1" applyNumberFormat="1" applyFont="1" applyFill="1" applyBorder="1" applyAlignment="1" applyProtection="1">
      <alignment horizontal="left" vertical="center"/>
      <protection hidden="1"/>
    </xf>
    <xf numFmtId="2" fontId="8" fillId="46" borderId="411" xfId="0" quotePrefix="1" applyNumberFormat="1" applyFont="1" applyFill="1" applyBorder="1" applyAlignment="1" applyProtection="1">
      <alignment horizontal="left" vertical="center"/>
      <protection hidden="1"/>
    </xf>
    <xf numFmtId="2" fontId="8" fillId="46" borderId="413" xfId="0" applyNumberFormat="1" applyFont="1" applyFill="1" applyBorder="1" applyAlignment="1" applyProtection="1">
      <alignment vertical="center"/>
      <protection hidden="1"/>
    </xf>
    <xf numFmtId="2" fontId="8" fillId="46" borderId="405" xfId="0" quotePrefix="1" applyNumberFormat="1" applyFont="1" applyFill="1" applyBorder="1" applyAlignment="1" applyProtection="1">
      <alignment horizontal="left" vertical="center"/>
      <protection hidden="1"/>
    </xf>
    <xf numFmtId="0" fontId="6" fillId="46" borderId="405" xfId="0" quotePrefix="1" applyFont="1" applyFill="1" applyBorder="1" applyAlignment="1" applyProtection="1">
      <alignment horizontal="left" vertical="center"/>
      <protection hidden="1"/>
    </xf>
    <xf numFmtId="0" fontId="6" fillId="46" borderId="411" xfId="0" quotePrefix="1" applyFont="1" applyFill="1" applyBorder="1" applyAlignment="1" applyProtection="1">
      <alignment horizontal="left" vertical="center"/>
      <protection hidden="1"/>
    </xf>
    <xf numFmtId="0" fontId="6" fillId="46" borderId="405" xfId="0" applyFont="1" applyFill="1" applyBorder="1" applyAlignment="1" applyProtection="1">
      <alignment vertical="center"/>
      <protection hidden="1"/>
    </xf>
    <xf numFmtId="0" fontId="6" fillId="46" borderId="410" xfId="0" quotePrefix="1" applyFont="1" applyFill="1" applyBorder="1" applyAlignment="1" applyProtection="1">
      <alignment horizontal="left" vertical="center"/>
      <protection hidden="1"/>
    </xf>
    <xf numFmtId="2" fontId="8" fillId="46" borderId="412" xfId="0" quotePrefix="1" applyNumberFormat="1" applyFont="1" applyFill="1" applyBorder="1" applyAlignment="1" applyProtection="1">
      <alignment horizontal="left" vertical="center"/>
      <protection hidden="1"/>
    </xf>
    <xf numFmtId="2" fontId="8" fillId="46" borderId="154" xfId="0" quotePrefix="1" applyNumberFormat="1" applyFont="1" applyFill="1" applyBorder="1" applyAlignment="1" applyProtection="1">
      <alignment horizontal="left" vertical="center"/>
      <protection hidden="1"/>
    </xf>
    <xf numFmtId="2" fontId="8" fillId="46" borderId="407" xfId="0" applyNumberFormat="1" applyFont="1" applyFill="1" applyBorder="1" applyAlignment="1" applyProtection="1">
      <alignment vertical="center"/>
      <protection hidden="1"/>
    </xf>
    <xf numFmtId="2" fontId="8" fillId="46" borderId="414" xfId="0" quotePrefix="1" applyNumberFormat="1" applyFont="1" applyFill="1" applyBorder="1" applyAlignment="1" applyProtection="1">
      <alignment horizontal="left" vertical="center"/>
      <protection hidden="1"/>
    </xf>
    <xf numFmtId="2" fontId="8" fillId="46" borderId="410" xfId="0" applyNumberFormat="1" applyFont="1" applyFill="1" applyBorder="1" applyAlignment="1" applyProtection="1">
      <alignment vertical="center"/>
      <protection hidden="1"/>
    </xf>
    <xf numFmtId="2" fontId="8" fillId="46" borderId="415" xfId="0" quotePrefix="1" applyNumberFormat="1" applyFont="1" applyFill="1" applyBorder="1" applyAlignment="1" applyProtection="1">
      <alignment horizontal="left" vertical="center"/>
      <protection hidden="1"/>
    </xf>
    <xf numFmtId="0" fontId="10" fillId="46" borderId="406" xfId="2" quotePrefix="1" applyFont="1" applyFill="1" applyBorder="1" applyAlignment="1" applyProtection="1">
      <alignment horizontal="left" vertical="center"/>
      <protection hidden="1"/>
    </xf>
    <xf numFmtId="0" fontId="10" fillId="46" borderId="407" xfId="2" quotePrefix="1" applyFont="1" applyFill="1" applyBorder="1" applyAlignment="1" applyProtection="1">
      <alignment horizontal="left" vertical="center"/>
      <protection hidden="1"/>
    </xf>
    <xf numFmtId="165" fontId="8" fillId="46" borderId="407" xfId="0" quotePrefix="1" applyNumberFormat="1" applyFont="1" applyFill="1" applyBorder="1" applyAlignment="1" applyProtection="1">
      <alignment horizontal="left" vertical="center"/>
      <protection hidden="1"/>
    </xf>
    <xf numFmtId="0" fontId="10" fillId="46" borderId="407" xfId="2" applyFont="1" applyFill="1" applyBorder="1" applyAlignment="1" applyProtection="1">
      <alignment horizontal="left" vertical="center"/>
      <protection hidden="1"/>
    </xf>
    <xf numFmtId="0" fontId="10" fillId="46" borderId="411" xfId="2" quotePrefix="1" applyFont="1" applyFill="1" applyBorder="1" applyAlignment="1" applyProtection="1">
      <alignment horizontal="left" vertical="center"/>
      <protection hidden="1"/>
    </xf>
    <xf numFmtId="165" fontId="8" fillId="46" borderId="154" xfId="0" quotePrefix="1" applyNumberFormat="1" applyFont="1" applyFill="1" applyBorder="1" applyAlignment="1" applyProtection="1">
      <alignment horizontal="left" vertical="center"/>
      <protection hidden="1"/>
    </xf>
    <xf numFmtId="0" fontId="6" fillId="46" borderId="405" xfId="0" applyFont="1" applyFill="1" applyBorder="1" applyProtection="1">
      <protection hidden="1"/>
    </xf>
    <xf numFmtId="0" fontId="6" fillId="46" borderId="407" xfId="0" applyFont="1" applyFill="1" applyBorder="1" applyProtection="1">
      <protection hidden="1"/>
    </xf>
    <xf numFmtId="0" fontId="6" fillId="46" borderId="407" xfId="0" quotePrefix="1" applyFont="1" applyFill="1" applyBorder="1" applyAlignment="1" applyProtection="1">
      <alignment horizontal="left"/>
      <protection hidden="1"/>
    </xf>
    <xf numFmtId="0" fontId="6" fillId="46" borderId="411" xfId="0" quotePrefix="1" applyFont="1" applyFill="1" applyBorder="1" applyAlignment="1" applyProtection="1">
      <alignment horizontal="left"/>
      <protection hidden="1"/>
    </xf>
    <xf numFmtId="0" fontId="6" fillId="46" borderId="405" xfId="0" quotePrefix="1" applyFont="1" applyFill="1" applyBorder="1" applyAlignment="1" applyProtection="1">
      <alignment horizontal="left"/>
      <protection hidden="1"/>
    </xf>
    <xf numFmtId="0" fontId="6" fillId="46" borderId="411" xfId="0" applyFont="1" applyFill="1" applyBorder="1" applyProtection="1">
      <protection hidden="1"/>
    </xf>
    <xf numFmtId="0" fontId="10" fillId="46" borderId="412" xfId="2" applyFont="1" applyFill="1" applyBorder="1" applyAlignment="1" applyProtection="1">
      <alignment horizontal="left" vertical="center"/>
      <protection hidden="1"/>
    </xf>
    <xf numFmtId="165" fontId="8" fillId="46" borderId="416" xfId="0" quotePrefix="1" applyNumberFormat="1" applyFont="1" applyFill="1" applyBorder="1" applyAlignment="1" applyProtection="1">
      <alignment horizontal="left" vertical="center"/>
      <protection hidden="1"/>
    </xf>
    <xf numFmtId="2" fontId="8" fillId="46" borderId="416" xfId="0" applyNumberFormat="1" applyFont="1" applyFill="1" applyBorder="1" applyAlignment="1" applyProtection="1">
      <alignment vertical="center"/>
      <protection hidden="1"/>
    </xf>
    <xf numFmtId="165" fontId="8" fillId="46" borderId="409" xfId="0" quotePrefix="1" applyNumberFormat="1" applyFont="1" applyFill="1" applyBorder="1" applyAlignment="1" applyProtection="1">
      <alignment horizontal="left" vertical="center"/>
      <protection hidden="1"/>
    </xf>
    <xf numFmtId="166" fontId="14" fillId="12" borderId="476" xfId="0" applyNumberFormat="1" applyFont="1" applyFill="1" applyBorder="1" applyProtection="1">
      <protection hidden="1"/>
    </xf>
    <xf numFmtId="0" fontId="28" fillId="12" borderId="44" xfId="0" applyFont="1" applyFill="1" applyBorder="1" applyProtection="1">
      <protection hidden="1"/>
    </xf>
    <xf numFmtId="166" fontId="14" fillId="12" borderId="336" xfId="0" applyNumberFormat="1" applyFont="1" applyFill="1" applyBorder="1" applyProtection="1">
      <protection hidden="1"/>
    </xf>
    <xf numFmtId="0" fontId="29" fillId="37" borderId="180" xfId="0" applyFont="1" applyFill="1" applyBorder="1" applyProtection="1">
      <protection hidden="1"/>
    </xf>
    <xf numFmtId="166" fontId="14" fillId="12" borderId="291" xfId="0" applyNumberFormat="1" applyFont="1" applyFill="1" applyBorder="1" applyProtection="1">
      <protection hidden="1"/>
    </xf>
    <xf numFmtId="0" fontId="60" fillId="15" borderId="35" xfId="0" applyFont="1" applyFill="1" applyBorder="1" applyAlignment="1">
      <alignment horizontal="left" vertical="top"/>
    </xf>
    <xf numFmtId="0" fontId="2" fillId="12" borderId="322" xfId="0" applyFont="1" applyFill="1" applyBorder="1"/>
    <xf numFmtId="0" fontId="2" fillId="12" borderId="287" xfId="0" applyFont="1" applyFill="1" applyBorder="1"/>
    <xf numFmtId="0" fontId="2" fillId="12" borderId="472" xfId="0" applyFont="1" applyFill="1" applyBorder="1"/>
    <xf numFmtId="0" fontId="2" fillId="12" borderId="471" xfId="0" applyFont="1" applyFill="1" applyBorder="1"/>
    <xf numFmtId="4" fontId="5" fillId="2" borderId="174" xfId="0" applyNumberFormat="1" applyFont="1" applyFill="1" applyBorder="1"/>
    <xf numFmtId="4" fontId="5" fillId="2" borderId="120" xfId="0" applyNumberFormat="1" applyFont="1" applyFill="1" applyBorder="1"/>
    <xf numFmtId="4" fontId="20" fillId="0" borderId="30" xfId="0" applyNumberFormat="1" applyFont="1" applyBorder="1"/>
    <xf numFmtId="4" fontId="20" fillId="5" borderId="30" xfId="0" applyNumberFormat="1" applyFont="1" applyFill="1" applyBorder="1"/>
    <xf numFmtId="169" fontId="20" fillId="0" borderId="30" xfId="0" applyNumberFormat="1" applyFont="1" applyBorder="1"/>
    <xf numFmtId="2" fontId="63" fillId="0" borderId="30" xfId="0" quotePrefix="1" applyNumberFormat="1" applyFont="1" applyBorder="1" applyAlignment="1">
      <alignment horizontal="left" vertical="center"/>
    </xf>
    <xf numFmtId="4" fontId="20" fillId="6" borderId="30" xfId="0" quotePrefix="1" applyNumberFormat="1" applyFont="1" applyFill="1" applyBorder="1" applyAlignment="1">
      <alignment horizontal="left"/>
    </xf>
    <xf numFmtId="169" fontId="20" fillId="6" borderId="30" xfId="0" applyNumberFormat="1" applyFont="1" applyFill="1" applyBorder="1"/>
    <xf numFmtId="4" fontId="20" fillId="0" borderId="30" xfId="0" quotePrefix="1" applyNumberFormat="1" applyFont="1" applyBorder="1" applyAlignment="1">
      <alignment vertical="center"/>
    </xf>
    <xf numFmtId="2" fontId="20" fillId="6" borderId="30" xfId="0" applyNumberFormat="1" applyFont="1" applyFill="1" applyBorder="1" applyAlignment="1">
      <alignment horizontal="left" vertical="center"/>
    </xf>
    <xf numFmtId="2" fontId="20" fillId="6" borderId="30" xfId="0" applyNumberFormat="1" applyFont="1" applyFill="1" applyBorder="1" applyAlignment="1">
      <alignment vertical="center"/>
    </xf>
    <xf numFmtId="2" fontId="20" fillId="0" borderId="30" xfId="0" quotePrefix="1" applyNumberFormat="1" applyFont="1" applyBorder="1" applyAlignment="1">
      <alignment vertical="center"/>
    </xf>
    <xf numFmtId="4" fontId="20" fillId="6" borderId="30" xfId="0" quotePrefix="1" applyNumberFormat="1" applyFont="1" applyFill="1" applyBorder="1"/>
    <xf numFmtId="166" fontId="20" fillId="6" borderId="30" xfId="0" quotePrefix="1" applyNumberFormat="1" applyFont="1" applyFill="1" applyBorder="1"/>
    <xf numFmtId="3" fontId="58" fillId="6" borderId="30" xfId="0" applyNumberFormat="1" applyFont="1" applyFill="1" applyBorder="1"/>
    <xf numFmtId="4" fontId="20" fillId="12" borderId="30" xfId="0" applyNumberFormat="1" applyFont="1" applyFill="1" applyBorder="1"/>
    <xf numFmtId="4" fontId="60" fillId="36" borderId="30" xfId="0" applyNumberFormat="1" applyFont="1" applyFill="1" applyBorder="1"/>
    <xf numFmtId="1" fontId="20" fillId="0" borderId="30" xfId="0" applyNumberFormat="1" applyFont="1" applyBorder="1"/>
    <xf numFmtId="2" fontId="20" fillId="0" borderId="30" xfId="0" applyNumberFormat="1" applyFont="1" applyBorder="1"/>
    <xf numFmtId="2" fontId="20" fillId="12" borderId="30" xfId="0" applyNumberFormat="1" applyFont="1" applyFill="1" applyBorder="1"/>
    <xf numFmtId="0" fontId="54" fillId="0" borderId="69" xfId="0" applyFont="1" applyBorder="1"/>
    <xf numFmtId="2" fontId="61" fillId="35" borderId="44" xfId="0" applyNumberFormat="1" applyFont="1" applyFill="1" applyBorder="1"/>
    <xf numFmtId="4" fontId="20" fillId="2" borderId="100" xfId="0" applyNumberFormat="1" applyFont="1" applyFill="1" applyBorder="1"/>
    <xf numFmtId="4" fontId="20" fillId="11" borderId="100" xfId="0" applyNumberFormat="1" applyFont="1" applyFill="1" applyBorder="1"/>
    <xf numFmtId="0" fontId="54" fillId="4" borderId="100" xfId="0" quotePrefix="1" applyFont="1" applyFill="1" applyBorder="1" applyAlignment="1">
      <alignment horizontal="left" vertical="center"/>
    </xf>
    <xf numFmtId="0" fontId="54" fillId="0" borderId="101" xfId="0" applyFont="1" applyBorder="1"/>
    <xf numFmtId="0" fontId="54" fillId="0" borderId="86" xfId="0" applyFont="1" applyBorder="1"/>
    <xf numFmtId="0" fontId="54" fillId="0" borderId="87" xfId="0" applyFont="1" applyBorder="1"/>
    <xf numFmtId="0" fontId="20" fillId="0" borderId="86" xfId="0" applyFont="1" applyBorder="1"/>
    <xf numFmtId="0" fontId="54" fillId="36" borderId="477" xfId="0" applyFont="1" applyFill="1" applyBorder="1"/>
    <xf numFmtId="0" fontId="60" fillId="15" borderId="478" xfId="0" applyFont="1" applyFill="1" applyBorder="1" applyAlignment="1">
      <alignment horizontal="left" vertical="top"/>
    </xf>
    <xf numFmtId="4" fontId="71" fillId="21" borderId="479" xfId="0" applyNumberFormat="1" applyFont="1" applyFill="1" applyBorder="1" applyAlignment="1">
      <alignment horizontal="center"/>
    </xf>
    <xf numFmtId="0" fontId="54" fillId="16" borderId="100" xfId="0" quotePrefix="1" applyFont="1" applyFill="1" applyBorder="1" applyAlignment="1">
      <alignment horizontal="left" vertical="center"/>
    </xf>
    <xf numFmtId="0" fontId="54" fillId="0" borderId="248" xfId="0" applyFont="1" applyBorder="1"/>
    <xf numFmtId="0" fontId="54" fillId="6" borderId="101" xfId="0" quotePrefix="1" applyFont="1" applyFill="1" applyBorder="1" applyAlignment="1">
      <alignment horizontal="left"/>
    </xf>
    <xf numFmtId="0" fontId="65" fillId="0" borderId="0" xfId="0" applyFont="1" applyAlignment="1">
      <alignment horizontal="center"/>
    </xf>
    <xf numFmtId="0" fontId="45" fillId="0" borderId="0" xfId="0" applyFont="1" applyAlignment="1">
      <alignment horizontal="center"/>
    </xf>
    <xf numFmtId="4" fontId="54" fillId="2" borderId="100" xfId="0" applyNumberFormat="1" applyFont="1" applyFill="1" applyBorder="1"/>
    <xf numFmtId="0" fontId="60" fillId="15" borderId="480" xfId="0" applyFont="1" applyFill="1" applyBorder="1" applyAlignment="1">
      <alignment horizontal="left" vertical="top"/>
    </xf>
    <xf numFmtId="2" fontId="54" fillId="12" borderId="101" xfId="0" applyNumberFormat="1" applyFont="1" applyFill="1" applyBorder="1"/>
    <xf numFmtId="0" fontId="54" fillId="8" borderId="100" xfId="0" quotePrefix="1" applyFont="1" applyFill="1" applyBorder="1" applyAlignment="1">
      <alignment horizontal="left" vertical="center"/>
    </xf>
    <xf numFmtId="0" fontId="10" fillId="9" borderId="69" xfId="2" quotePrefix="1" applyFont="1" applyFill="1" applyBorder="1" applyAlignment="1" applyProtection="1">
      <alignment horizontal="left" vertical="center"/>
      <protection hidden="1"/>
    </xf>
    <xf numFmtId="0" fontId="10" fillId="9" borderId="253" xfId="2" quotePrefix="1" applyFont="1" applyFill="1" applyBorder="1" applyAlignment="1" applyProtection="1">
      <alignment horizontal="left" vertical="center"/>
      <protection hidden="1"/>
    </xf>
    <xf numFmtId="0" fontId="10" fillId="9" borderId="73" xfId="2" quotePrefix="1" applyFont="1" applyFill="1" applyBorder="1" applyAlignment="1" applyProtection="1">
      <alignment horizontal="left" vertical="center"/>
      <protection hidden="1"/>
    </xf>
    <xf numFmtId="0" fontId="10" fillId="46" borderId="408" xfId="2" quotePrefix="1" applyFont="1" applyFill="1" applyBorder="1" applyAlignment="1" applyProtection="1">
      <alignment horizontal="left" vertical="center"/>
      <protection hidden="1"/>
    </xf>
    <xf numFmtId="4" fontId="1" fillId="0" borderId="0" xfId="0" applyNumberFormat="1" applyFont="1"/>
    <xf numFmtId="4" fontId="71" fillId="36" borderId="465" xfId="0" applyNumberFormat="1" applyFont="1" applyFill="1" applyBorder="1"/>
    <xf numFmtId="0" fontId="65" fillId="6" borderId="0" xfId="0" applyFont="1" applyFill="1" applyAlignment="1">
      <alignment horizontal="left"/>
    </xf>
    <xf numFmtId="164" fontId="54" fillId="6" borderId="3" xfId="0" applyNumberFormat="1" applyFont="1" applyFill="1" applyBorder="1"/>
    <xf numFmtId="164" fontId="54" fillId="12" borderId="30" xfId="0" applyNumberFormat="1" applyFont="1" applyFill="1" applyBorder="1"/>
    <xf numFmtId="0" fontId="54" fillId="2" borderId="52" xfId="0" applyFont="1" applyFill="1" applyBorder="1"/>
    <xf numFmtId="174" fontId="25" fillId="0" borderId="141" xfId="0" quotePrefix="1" applyNumberFormat="1" applyFont="1" applyBorder="1" applyAlignment="1" applyProtection="1">
      <alignment horizontal="center" vertical="center"/>
      <protection hidden="1"/>
    </xf>
    <xf numFmtId="164" fontId="54" fillId="23" borderId="0" xfId="0" applyNumberFormat="1" applyFont="1" applyFill="1" applyAlignment="1">
      <alignment vertical="center"/>
    </xf>
    <xf numFmtId="0" fontId="30" fillId="0" borderId="23" xfId="4" applyBorder="1"/>
    <xf numFmtId="4" fontId="5" fillId="27" borderId="261" xfId="0" applyNumberFormat="1" applyFont="1" applyFill="1" applyBorder="1"/>
    <xf numFmtId="4" fontId="9" fillId="27" borderId="261" xfId="0" applyNumberFormat="1" applyFont="1" applyFill="1" applyBorder="1"/>
    <xf numFmtId="4" fontId="5" fillId="27" borderId="261" xfId="0" quotePrefix="1" applyNumberFormat="1" applyFont="1" applyFill="1" applyBorder="1" applyAlignment="1">
      <alignment horizontal="left"/>
    </xf>
    <xf numFmtId="3" fontId="5" fillId="27" borderId="261" xfId="0" applyNumberFormat="1" applyFont="1" applyFill="1" applyBorder="1"/>
    <xf numFmtId="4" fontId="5" fillId="27" borderId="124" xfId="0" applyNumberFormat="1" applyFont="1" applyFill="1" applyBorder="1"/>
    <xf numFmtId="4" fontId="9" fillId="27" borderId="124" xfId="0" applyNumberFormat="1" applyFont="1" applyFill="1" applyBorder="1"/>
    <xf numFmtId="4" fontId="5" fillId="27" borderId="124" xfId="0" quotePrefix="1" applyNumberFormat="1" applyFont="1" applyFill="1" applyBorder="1" applyAlignment="1">
      <alignment horizontal="left"/>
    </xf>
    <xf numFmtId="3" fontId="5" fillId="27" borderId="124" xfId="0" applyNumberFormat="1" applyFont="1" applyFill="1" applyBorder="1"/>
    <xf numFmtId="4" fontId="5" fillId="27" borderId="264" xfId="0" applyNumberFormat="1" applyFont="1" applyFill="1" applyBorder="1"/>
    <xf numFmtId="4" fontId="9" fillId="27" borderId="264" xfId="0" applyNumberFormat="1" applyFont="1" applyFill="1" applyBorder="1"/>
    <xf numFmtId="4" fontId="5" fillId="27" borderId="264" xfId="0" quotePrefix="1" applyNumberFormat="1" applyFont="1" applyFill="1" applyBorder="1" applyAlignment="1">
      <alignment horizontal="left"/>
    </xf>
    <xf numFmtId="3" fontId="5" fillId="27" borderId="264" xfId="0" applyNumberFormat="1" applyFont="1" applyFill="1" applyBorder="1"/>
    <xf numFmtId="4" fontId="5" fillId="43" borderId="246" xfId="0" applyNumberFormat="1" applyFont="1" applyFill="1" applyBorder="1"/>
    <xf numFmtId="4" fontId="9" fillId="43" borderId="246" xfId="0" applyNumberFormat="1" applyFont="1" applyFill="1" applyBorder="1"/>
    <xf numFmtId="4" fontId="5" fillId="43" borderId="246" xfId="0" quotePrefix="1" applyNumberFormat="1" applyFont="1" applyFill="1" applyBorder="1" applyAlignment="1">
      <alignment horizontal="left"/>
    </xf>
    <xf numFmtId="3" fontId="5" fillId="43" borderId="246" xfId="0" applyNumberFormat="1" applyFont="1" applyFill="1" applyBorder="1"/>
    <xf numFmtId="4" fontId="5" fillId="43" borderId="230" xfId="0" applyNumberFormat="1" applyFont="1" applyFill="1" applyBorder="1"/>
    <xf numFmtId="4" fontId="9" fillId="43" borderId="230" xfId="0" applyNumberFormat="1" applyFont="1" applyFill="1" applyBorder="1"/>
    <xf numFmtId="4" fontId="5" fillId="43" borderId="230" xfId="0" quotePrefix="1" applyNumberFormat="1" applyFont="1" applyFill="1" applyBorder="1" applyAlignment="1">
      <alignment horizontal="left"/>
    </xf>
    <xf numFmtId="3" fontId="5" fillId="43" borderId="230" xfId="0" applyNumberFormat="1" applyFont="1" applyFill="1" applyBorder="1"/>
    <xf numFmtId="4" fontId="5" fillId="42" borderId="382" xfId="0" applyNumberFormat="1" applyFont="1" applyFill="1" applyBorder="1"/>
    <xf numFmtId="174" fontId="25" fillId="0" borderId="429" xfId="5" applyNumberFormat="1" applyFont="1" applyBorder="1" applyAlignment="1" applyProtection="1">
      <alignment horizontal="center" vertical="center"/>
      <protection hidden="1"/>
    </xf>
    <xf numFmtId="174" fontId="25" fillId="0" borderId="428" xfId="5" applyNumberFormat="1" applyFont="1" applyBorder="1" applyAlignment="1" applyProtection="1">
      <alignment horizontal="center" vertical="center"/>
      <protection hidden="1"/>
    </xf>
    <xf numFmtId="174" fontId="25" fillId="0" borderId="481" xfId="5" applyNumberFormat="1" applyFont="1" applyBorder="1" applyAlignment="1" applyProtection="1">
      <alignment horizontal="center" vertical="center"/>
      <protection hidden="1"/>
    </xf>
    <xf numFmtId="174" fontId="25" fillId="0" borderId="267" xfId="5" applyNumberFormat="1" applyFont="1" applyBorder="1" applyAlignment="1" applyProtection="1">
      <alignment horizontal="center" vertical="center"/>
      <protection hidden="1"/>
    </xf>
    <xf numFmtId="174" fontId="25" fillId="0" borderId="482" xfId="5" applyNumberFormat="1" applyFont="1" applyBorder="1" applyAlignment="1" applyProtection="1">
      <alignment horizontal="center" vertical="center"/>
      <protection hidden="1"/>
    </xf>
    <xf numFmtId="174" fontId="25" fillId="0" borderId="483" xfId="5" applyNumberFormat="1" applyFont="1" applyBorder="1" applyAlignment="1" applyProtection="1">
      <alignment horizontal="center" vertical="center"/>
      <protection hidden="1"/>
    </xf>
    <xf numFmtId="174" fontId="25" fillId="0" borderId="428" xfId="0" quotePrefix="1" applyNumberFormat="1" applyFont="1" applyBorder="1" applyAlignment="1" applyProtection="1">
      <alignment horizontal="center" vertical="center"/>
      <protection hidden="1"/>
    </xf>
    <xf numFmtId="174" fontId="25" fillId="0" borderId="199" xfId="0" quotePrefix="1" applyNumberFormat="1" applyFont="1" applyBorder="1" applyAlignment="1" applyProtection="1">
      <alignment horizontal="center" vertical="center"/>
      <protection hidden="1"/>
    </xf>
    <xf numFmtId="174" fontId="25" fillId="0" borderId="429" xfId="0" quotePrefix="1" applyNumberFormat="1" applyFont="1" applyBorder="1" applyAlignment="1" applyProtection="1">
      <alignment horizontal="center" vertical="center"/>
      <protection hidden="1"/>
    </xf>
    <xf numFmtId="174" fontId="25" fillId="0" borderId="434" xfId="0" quotePrefix="1" applyNumberFormat="1" applyFont="1" applyBorder="1" applyAlignment="1" applyProtection="1">
      <alignment horizontal="center" vertical="center"/>
      <protection hidden="1"/>
    </xf>
    <xf numFmtId="174" fontId="25" fillId="0" borderId="200" xfId="0" quotePrefix="1" applyNumberFormat="1" applyFont="1" applyBorder="1" applyAlignment="1" applyProtection="1">
      <alignment horizontal="center" vertical="center"/>
      <protection hidden="1"/>
    </xf>
    <xf numFmtId="174" fontId="25" fillId="0" borderId="435" xfId="0" quotePrefix="1" applyNumberFormat="1" applyFont="1" applyBorder="1" applyAlignment="1" applyProtection="1">
      <alignment horizontal="center" vertical="center"/>
      <protection hidden="1"/>
    </xf>
    <xf numFmtId="174" fontId="25" fillId="0" borderId="430" xfId="0" quotePrefix="1" applyNumberFormat="1" applyFont="1" applyBorder="1" applyAlignment="1" applyProtection="1">
      <alignment horizontal="center" vertical="center"/>
      <protection hidden="1"/>
    </xf>
    <xf numFmtId="174" fontId="25" fillId="0" borderId="198" xfId="0" quotePrefix="1" applyNumberFormat="1" applyFont="1" applyBorder="1" applyAlignment="1" applyProtection="1">
      <alignment horizontal="center" vertical="center"/>
      <protection hidden="1"/>
    </xf>
    <xf numFmtId="174" fontId="25" fillId="0" borderId="431" xfId="0" quotePrefix="1" applyNumberFormat="1" applyFont="1" applyBorder="1" applyAlignment="1" applyProtection="1">
      <alignment horizontal="center" vertical="center"/>
      <protection hidden="1"/>
    </xf>
    <xf numFmtId="174" fontId="25" fillId="0" borderId="200" xfId="0" applyNumberFormat="1" applyFont="1" applyBorder="1" applyAlignment="1" applyProtection="1">
      <alignment horizontal="center" vertical="center"/>
      <protection hidden="1"/>
    </xf>
    <xf numFmtId="174" fontId="25" fillId="0" borderId="434" xfId="0" applyNumberFormat="1" applyFont="1" applyBorder="1" applyAlignment="1" applyProtection="1">
      <alignment horizontal="center" vertical="center"/>
      <protection hidden="1"/>
    </xf>
    <xf numFmtId="174" fontId="25" fillId="0" borderId="199" xfId="0" applyNumberFormat="1" applyFont="1" applyBorder="1" applyAlignment="1" applyProtection="1">
      <alignment horizontal="center" vertical="center"/>
      <protection hidden="1"/>
    </xf>
    <xf numFmtId="174" fontId="25" fillId="0" borderId="428" xfId="2" applyNumberFormat="1" applyFont="1" applyBorder="1" applyAlignment="1" applyProtection="1">
      <alignment horizontal="center" vertical="center"/>
      <protection hidden="1"/>
    </xf>
    <xf numFmtId="174" fontId="25" fillId="0" borderId="402" xfId="2" applyNumberFormat="1" applyFont="1" applyBorder="1" applyAlignment="1" applyProtection="1">
      <alignment horizontal="center" vertical="center"/>
      <protection hidden="1"/>
    </xf>
    <xf numFmtId="174" fontId="25" fillId="0" borderId="441" xfId="2" applyNumberFormat="1" applyFont="1" applyBorder="1" applyAlignment="1" applyProtection="1">
      <alignment horizontal="center" vertical="center"/>
      <protection hidden="1"/>
    </xf>
    <xf numFmtId="174" fontId="25" fillId="0" borderId="402" xfId="0" quotePrefix="1" applyNumberFormat="1" applyFont="1" applyBorder="1" applyAlignment="1" applyProtection="1">
      <alignment horizontal="center" vertical="center"/>
      <protection hidden="1"/>
    </xf>
    <xf numFmtId="174" fontId="25" fillId="0" borderId="443" xfId="0" quotePrefix="1" applyNumberFormat="1" applyFont="1" applyBorder="1" applyAlignment="1" applyProtection="1">
      <alignment horizontal="center" vertical="center"/>
      <protection hidden="1"/>
    </xf>
    <xf numFmtId="174" fontId="25" fillId="0" borderId="442" xfId="0" quotePrefix="1" applyNumberFormat="1" applyFont="1" applyBorder="1" applyAlignment="1" applyProtection="1">
      <alignment horizontal="center" vertical="center"/>
      <protection hidden="1"/>
    </xf>
    <xf numFmtId="174" fontId="25" fillId="0" borderId="443" xfId="0" applyNumberFormat="1" applyFont="1" applyBorder="1" applyAlignment="1" applyProtection="1">
      <alignment horizontal="center" vertical="center"/>
      <protection hidden="1"/>
    </xf>
    <xf numFmtId="174" fontId="25" fillId="0" borderId="486" xfId="0" quotePrefix="1" applyNumberFormat="1" applyFont="1" applyBorder="1" applyAlignment="1" applyProtection="1">
      <alignment horizontal="center" vertical="center"/>
      <protection hidden="1"/>
    </xf>
    <xf numFmtId="174" fontId="25" fillId="0" borderId="372" xfId="0" quotePrefix="1" applyNumberFormat="1" applyFont="1" applyBorder="1" applyAlignment="1" applyProtection="1">
      <alignment horizontal="center" vertical="center"/>
      <protection hidden="1"/>
    </xf>
    <xf numFmtId="0" fontId="37" fillId="0" borderId="80" xfId="2" quotePrefix="1" applyFont="1" applyBorder="1" applyAlignment="1" applyProtection="1">
      <alignment vertical="center"/>
      <protection hidden="1"/>
    </xf>
    <xf numFmtId="0" fontId="14" fillId="34" borderId="487" xfId="1" applyNumberFormat="1" applyFont="1" applyFill="1" applyBorder="1" applyAlignment="1" applyProtection="1">
      <alignment horizontal="center" vertical="center"/>
      <protection hidden="1"/>
    </xf>
    <xf numFmtId="174" fontId="25" fillId="0" borderId="425" xfId="2" applyNumberFormat="1" applyFont="1" applyBorder="1" applyAlignment="1" applyProtection="1">
      <alignment horizontal="center" vertical="center"/>
      <protection hidden="1"/>
    </xf>
    <xf numFmtId="174" fontId="25" fillId="0" borderId="85" xfId="2" applyNumberFormat="1" applyFont="1" applyBorder="1" applyAlignment="1" applyProtection="1">
      <alignment horizontal="center" vertical="center"/>
      <protection hidden="1"/>
    </xf>
    <xf numFmtId="174" fontId="25" fillId="0" borderId="426" xfId="0" quotePrefix="1" applyNumberFormat="1" applyFont="1" applyBorder="1" applyAlignment="1" applyProtection="1">
      <alignment horizontal="center" vertical="center"/>
      <protection hidden="1"/>
    </xf>
    <xf numFmtId="174" fontId="25" fillId="0" borderId="81" xfId="0" quotePrefix="1" applyNumberFormat="1" applyFont="1" applyBorder="1" applyAlignment="1" applyProtection="1">
      <alignment horizontal="center" vertical="center"/>
      <protection hidden="1"/>
    </xf>
    <xf numFmtId="174" fontId="25" fillId="0" borderId="488" xfId="2" applyNumberFormat="1" applyFont="1" applyBorder="1" applyAlignment="1" applyProtection="1">
      <alignment horizontal="center" vertical="center"/>
      <protection hidden="1"/>
    </xf>
    <xf numFmtId="174" fontId="25" fillId="0" borderId="90" xfId="2" applyNumberFormat="1" applyFont="1" applyBorder="1" applyAlignment="1" applyProtection="1">
      <alignment horizontal="center" vertical="center"/>
      <protection hidden="1"/>
    </xf>
    <xf numFmtId="174" fontId="25" fillId="0" borderId="488" xfId="0" quotePrefix="1" applyNumberFormat="1" applyFont="1" applyBorder="1" applyAlignment="1" applyProtection="1">
      <alignment horizontal="center" vertical="center"/>
      <protection hidden="1"/>
    </xf>
    <xf numFmtId="174" fontId="25" fillId="0" borderId="90" xfId="0" quotePrefix="1" applyNumberFormat="1" applyFont="1" applyBorder="1" applyAlignment="1" applyProtection="1">
      <alignment horizontal="center" vertical="center"/>
      <protection hidden="1"/>
    </xf>
    <xf numFmtId="174" fontId="25" fillId="0" borderId="488" xfId="0" applyNumberFormat="1" applyFont="1" applyBorder="1" applyAlignment="1" applyProtection="1">
      <alignment horizontal="center" vertical="center"/>
      <protection hidden="1"/>
    </xf>
    <xf numFmtId="174" fontId="25" fillId="0" borderId="90" xfId="0" applyNumberFormat="1" applyFont="1" applyBorder="1" applyAlignment="1" applyProtection="1">
      <alignment horizontal="center" vertical="center"/>
      <protection hidden="1"/>
    </xf>
    <xf numFmtId="174" fontId="25" fillId="0" borderId="271" xfId="0" quotePrefix="1" applyNumberFormat="1" applyFont="1" applyBorder="1" applyAlignment="1" applyProtection="1">
      <alignment horizontal="center" vertical="center"/>
      <protection hidden="1"/>
    </xf>
    <xf numFmtId="0" fontId="65" fillId="37" borderId="16" xfId="0" applyFont="1" applyFill="1" applyBorder="1" applyAlignment="1">
      <alignment horizontal="center"/>
    </xf>
    <xf numFmtId="0" fontId="65" fillId="33" borderId="16" xfId="0" applyFont="1" applyFill="1" applyBorder="1" applyAlignment="1">
      <alignment horizontal="center"/>
    </xf>
    <xf numFmtId="0" fontId="65" fillId="14" borderId="16" xfId="0" applyFont="1" applyFill="1" applyBorder="1" applyAlignment="1">
      <alignment horizontal="center"/>
    </xf>
    <xf numFmtId="0" fontId="65" fillId="23" borderId="16" xfId="0" applyFont="1" applyFill="1" applyBorder="1" applyAlignment="1">
      <alignment horizontal="center"/>
    </xf>
    <xf numFmtId="4" fontId="5" fillId="5" borderId="261" xfId="0" quotePrefix="1" applyNumberFormat="1" applyFont="1" applyFill="1" applyBorder="1" applyAlignment="1">
      <alignment horizontal="left"/>
    </xf>
    <xf numFmtId="4" fontId="5" fillId="5" borderId="262" xfId="0" applyNumberFormat="1" applyFont="1" applyFill="1" applyBorder="1"/>
    <xf numFmtId="4" fontId="5" fillId="5" borderId="263" xfId="0" applyNumberFormat="1" applyFont="1" applyFill="1" applyBorder="1"/>
    <xf numFmtId="3" fontId="42" fillId="11" borderId="124" xfId="0" applyNumberFormat="1" applyFont="1" applyFill="1" applyBorder="1"/>
    <xf numFmtId="4" fontId="5" fillId="5" borderId="265" xfId="0" applyNumberFormat="1" applyFont="1" applyFill="1" applyBorder="1"/>
    <xf numFmtId="4" fontId="5" fillId="5" borderId="230" xfId="0" applyNumberFormat="1" applyFont="1" applyFill="1" applyBorder="1"/>
    <xf numFmtId="4" fontId="5" fillId="5" borderId="246" xfId="0" applyNumberFormat="1" applyFont="1" applyFill="1" applyBorder="1"/>
    <xf numFmtId="4" fontId="5" fillId="5" borderId="124" xfId="0" quotePrefix="1" applyNumberFormat="1" applyFont="1" applyFill="1" applyBorder="1" applyAlignment="1">
      <alignment horizontal="left"/>
    </xf>
    <xf numFmtId="4" fontId="5" fillId="5" borderId="264" xfId="0" quotePrefix="1" applyNumberFormat="1" applyFont="1" applyFill="1" applyBorder="1" applyAlignment="1">
      <alignment horizontal="left"/>
    </xf>
    <xf numFmtId="4" fontId="5" fillId="5" borderId="230" xfId="0" quotePrefix="1" applyNumberFormat="1" applyFont="1" applyFill="1" applyBorder="1" applyAlignment="1">
      <alignment horizontal="left"/>
    </xf>
    <xf numFmtId="4" fontId="5" fillId="5" borderId="246" xfId="0" quotePrefix="1" applyNumberFormat="1" applyFont="1" applyFill="1" applyBorder="1" applyAlignment="1">
      <alignment horizontal="left"/>
    </xf>
    <xf numFmtId="0" fontId="59" fillId="5" borderId="0" xfId="0" applyFont="1" applyFill="1"/>
    <xf numFmtId="2" fontId="55" fillId="0" borderId="69" xfId="0" applyNumberFormat="1" applyFont="1" applyBorder="1" applyAlignment="1">
      <alignment vertical="center"/>
    </xf>
    <xf numFmtId="0" fontId="78" fillId="5" borderId="82" xfId="0" applyFont="1" applyFill="1" applyBorder="1" applyProtection="1">
      <protection locked="0"/>
    </xf>
    <xf numFmtId="0" fontId="54" fillId="5" borderId="5" xfId="0" quotePrefix="1" applyFont="1" applyFill="1" applyBorder="1"/>
    <xf numFmtId="0" fontId="60" fillId="15" borderId="135" xfId="0" quotePrefix="1" applyFont="1" applyFill="1" applyBorder="1" applyAlignment="1">
      <alignment horizontal="center" vertical="top"/>
    </xf>
    <xf numFmtId="0" fontId="60" fillId="15" borderId="134" xfId="0" quotePrefix="1" applyFont="1" applyFill="1" applyBorder="1" applyAlignment="1">
      <alignment horizontal="right" vertical="top"/>
    </xf>
    <xf numFmtId="174" fontId="25" fillId="0" borderId="427" xfId="2" applyNumberFormat="1" applyFont="1" applyBorder="1" applyAlignment="1" applyProtection="1">
      <alignment horizontal="center" vertical="center"/>
      <protection hidden="1"/>
    </xf>
    <xf numFmtId="174" fontId="25" fillId="0" borderId="250" xfId="2" applyNumberFormat="1" applyFont="1" applyBorder="1" applyAlignment="1" applyProtection="1">
      <alignment horizontal="center" vertical="center"/>
      <protection hidden="1"/>
    </xf>
    <xf numFmtId="4" fontId="47" fillId="9" borderId="455" xfId="0" applyNumberFormat="1" applyFont="1" applyFill="1" applyBorder="1" applyAlignment="1" applyProtection="1">
      <alignment vertical="center"/>
      <protection locked="0" hidden="1"/>
    </xf>
    <xf numFmtId="0" fontId="54" fillId="12" borderId="166" xfId="0" quotePrefix="1" applyFont="1" applyFill="1" applyBorder="1" applyAlignment="1">
      <alignment horizontal="left"/>
    </xf>
    <xf numFmtId="0" fontId="54" fillId="12" borderId="24" xfId="0" quotePrefix="1" applyFont="1" applyFill="1" applyBorder="1" applyAlignment="1">
      <alignment horizontal="left"/>
    </xf>
    <xf numFmtId="0" fontId="17" fillId="6" borderId="13" xfId="0" applyFont="1" applyFill="1" applyBorder="1" applyAlignment="1">
      <alignment horizontal="center" vertical="center"/>
    </xf>
    <xf numFmtId="0" fontId="17" fillId="6" borderId="326" xfId="0" applyFont="1" applyFill="1" applyBorder="1" applyAlignment="1">
      <alignment horizontal="center" vertical="center"/>
    </xf>
    <xf numFmtId="0" fontId="17" fillId="6" borderId="16" xfId="0" applyFont="1" applyFill="1" applyBorder="1" applyAlignment="1">
      <alignment horizontal="center" vertical="center"/>
    </xf>
    <xf numFmtId="0" fontId="17" fillId="6" borderId="326" xfId="0" applyFont="1" applyFill="1" applyBorder="1" applyAlignment="1">
      <alignment horizontal="left" vertical="center"/>
    </xf>
    <xf numFmtId="164" fontId="29" fillId="12" borderId="281" xfId="0" applyNumberFormat="1" applyFont="1" applyFill="1" applyBorder="1" applyAlignment="1">
      <alignment horizontal="left"/>
    </xf>
    <xf numFmtId="164" fontId="29" fillId="12" borderId="269" xfId="0" applyNumberFormat="1" applyFont="1" applyFill="1" applyBorder="1" applyAlignment="1">
      <alignment horizontal="center"/>
    </xf>
    <xf numFmtId="164" fontId="29" fillId="12" borderId="275" xfId="0" applyNumberFormat="1" applyFont="1" applyFill="1" applyBorder="1" applyAlignment="1">
      <alignment horizontal="center"/>
    </xf>
    <xf numFmtId="164" fontId="29" fillId="12" borderId="424" xfId="0" applyNumberFormat="1" applyFont="1" applyFill="1" applyBorder="1" applyAlignment="1">
      <alignment horizontal="left"/>
    </xf>
    <xf numFmtId="164" fontId="29" fillId="12" borderId="492" xfId="0" applyNumberFormat="1" applyFont="1" applyFill="1" applyBorder="1" applyAlignment="1">
      <alignment horizontal="center"/>
    </xf>
    <xf numFmtId="164" fontId="29" fillId="12" borderId="277" xfId="0" applyNumberFormat="1" applyFont="1" applyFill="1" applyBorder="1" applyAlignment="1">
      <alignment horizontal="center"/>
    </xf>
    <xf numFmtId="164" fontId="29" fillId="12" borderId="284" xfId="0" applyNumberFormat="1" applyFont="1" applyFill="1" applyBorder="1" applyAlignment="1">
      <alignment horizontal="left"/>
    </xf>
    <xf numFmtId="164" fontId="29" fillId="12" borderId="272" xfId="0" applyNumberFormat="1" applyFont="1" applyFill="1" applyBorder="1" applyAlignment="1">
      <alignment horizontal="center"/>
    </xf>
    <xf numFmtId="164" fontId="29" fillId="12" borderId="270" xfId="0" applyNumberFormat="1" applyFont="1" applyFill="1" applyBorder="1" applyAlignment="1">
      <alignment horizontal="center"/>
    </xf>
    <xf numFmtId="0" fontId="17" fillId="22" borderId="164" xfId="0" applyFont="1" applyFill="1" applyBorder="1" applyProtection="1">
      <protection locked="0"/>
    </xf>
    <xf numFmtId="0" fontId="17" fillId="6" borderId="44" xfId="0" applyFont="1" applyFill="1" applyBorder="1" applyAlignment="1">
      <alignment horizontal="center" vertical="center"/>
    </xf>
    <xf numFmtId="0" fontId="17" fillId="6" borderId="42" xfId="0" applyFont="1" applyFill="1" applyBorder="1" applyAlignment="1">
      <alignment horizontal="center" vertical="center"/>
    </xf>
    <xf numFmtId="164" fontId="29" fillId="22" borderId="493" xfId="0" applyNumberFormat="1" applyFont="1" applyFill="1" applyBorder="1" applyAlignment="1" applyProtection="1">
      <alignment horizontal="center"/>
      <protection locked="0"/>
    </xf>
    <xf numFmtId="164" fontId="29" fillId="22" borderId="355" xfId="0" applyNumberFormat="1" applyFont="1" applyFill="1" applyBorder="1" applyAlignment="1" applyProtection="1">
      <alignment horizontal="center"/>
      <protection locked="0"/>
    </xf>
    <xf numFmtId="164" fontId="29" fillId="22" borderId="494" xfId="0" applyNumberFormat="1" applyFont="1" applyFill="1" applyBorder="1" applyAlignment="1" applyProtection="1">
      <alignment horizontal="center"/>
      <protection locked="0"/>
    </xf>
    <xf numFmtId="164" fontId="29" fillId="22" borderId="495" xfId="0" applyNumberFormat="1" applyFont="1" applyFill="1" applyBorder="1" applyAlignment="1" applyProtection="1">
      <alignment horizontal="center"/>
      <protection locked="0"/>
    </xf>
    <xf numFmtId="164" fontId="29" fillId="22" borderId="420" xfId="0" applyNumberFormat="1" applyFont="1" applyFill="1" applyBorder="1" applyAlignment="1" applyProtection="1">
      <alignment horizontal="center"/>
      <protection locked="0"/>
    </xf>
    <xf numFmtId="164" fontId="29" fillId="22" borderId="496" xfId="0" applyNumberFormat="1" applyFont="1" applyFill="1" applyBorder="1" applyAlignment="1" applyProtection="1">
      <alignment horizontal="center"/>
      <protection locked="0"/>
    </xf>
    <xf numFmtId="164" fontId="29" fillId="22" borderId="421" xfId="0" applyNumberFormat="1" applyFont="1" applyFill="1" applyBorder="1" applyAlignment="1" applyProtection="1">
      <alignment horizontal="center"/>
      <protection locked="0"/>
    </xf>
    <xf numFmtId="164" fontId="29" fillId="22" borderId="356" xfId="0" applyNumberFormat="1" applyFont="1" applyFill="1" applyBorder="1" applyAlignment="1" applyProtection="1">
      <alignment horizontal="center"/>
      <protection locked="0"/>
    </xf>
    <xf numFmtId="0" fontId="6" fillId="2" borderId="490" xfId="0" applyFont="1" applyFill="1" applyBorder="1" applyAlignment="1">
      <alignment horizontal="left" vertical="center"/>
    </xf>
    <xf numFmtId="0" fontId="6" fillId="11" borderId="497" xfId="0" applyFont="1" applyFill="1" applyBorder="1" applyAlignment="1">
      <alignment horizontal="left" vertical="center"/>
    </xf>
    <xf numFmtId="0" fontId="6" fillId="4" borderId="490" xfId="0" quotePrefix="1" applyFont="1" applyFill="1" applyBorder="1" applyAlignment="1">
      <alignment horizontal="left" vertical="center"/>
    </xf>
    <xf numFmtId="0" fontId="6" fillId="16" borderId="379" xfId="0" quotePrefix="1" applyFont="1" applyFill="1" applyBorder="1" applyAlignment="1">
      <alignment horizontal="left" vertical="center"/>
    </xf>
    <xf numFmtId="0" fontId="6" fillId="2" borderId="498" xfId="0" applyFont="1" applyFill="1" applyBorder="1"/>
    <xf numFmtId="0" fontId="6" fillId="4" borderId="499" xfId="0" applyFont="1" applyFill="1" applyBorder="1"/>
    <xf numFmtId="0" fontId="6" fillId="6" borderId="286" xfId="0" applyFont="1" applyFill="1" applyBorder="1" applyAlignment="1">
      <alignment horizontal="left" vertical="center"/>
    </xf>
    <xf numFmtId="0" fontId="6" fillId="6" borderId="491" xfId="0" applyFont="1" applyFill="1" applyBorder="1" applyAlignment="1">
      <alignment horizontal="left" vertical="center"/>
    </xf>
    <xf numFmtId="0" fontId="6" fillId="6" borderId="498" xfId="0" applyFont="1" applyFill="1" applyBorder="1" applyAlignment="1">
      <alignment horizontal="left" vertical="center"/>
    </xf>
    <xf numFmtId="0" fontId="6" fillId="6" borderId="500" xfId="0" applyFont="1" applyFill="1" applyBorder="1" applyAlignment="1">
      <alignment horizontal="left" vertical="center"/>
    </xf>
    <xf numFmtId="164" fontId="29" fillId="22" borderId="278" xfId="0" applyNumberFormat="1" applyFont="1" applyFill="1" applyBorder="1" applyAlignment="1">
      <alignment horizontal="left"/>
    </xf>
    <xf numFmtId="164" fontId="29" fillId="22" borderId="242" xfId="0" applyNumberFormat="1" applyFont="1" applyFill="1" applyBorder="1" applyAlignment="1">
      <alignment horizontal="left"/>
    </xf>
    <xf numFmtId="164" fontId="29" fillId="22" borderId="276" xfId="0" applyNumberFormat="1" applyFont="1" applyFill="1" applyBorder="1" applyAlignment="1">
      <alignment horizontal="left"/>
    </xf>
    <xf numFmtId="164" fontId="29" fillId="22" borderId="180" xfId="0" applyNumberFormat="1" applyFont="1" applyFill="1" applyBorder="1" applyAlignment="1">
      <alignment horizontal="left"/>
    </xf>
    <xf numFmtId="164" fontId="29" fillId="22" borderId="326" xfId="0" applyNumberFormat="1" applyFont="1" applyFill="1" applyBorder="1" applyAlignment="1">
      <alignment horizontal="left"/>
    </xf>
    <xf numFmtId="0" fontId="17" fillId="0" borderId="0" xfId="0" applyFont="1" applyAlignment="1">
      <alignment horizontal="left"/>
    </xf>
    <xf numFmtId="174" fontId="25" fillId="0" borderId="417" xfId="0" quotePrefix="1" applyNumberFormat="1" applyFont="1" applyBorder="1" applyAlignment="1" applyProtection="1">
      <alignment horizontal="center" vertical="center"/>
      <protection hidden="1"/>
    </xf>
    <xf numFmtId="174" fontId="25" fillId="0" borderId="475" xfId="0" quotePrefix="1" applyNumberFormat="1" applyFont="1" applyBorder="1" applyAlignment="1" applyProtection="1">
      <alignment horizontal="center" vertical="center"/>
      <protection hidden="1"/>
    </xf>
    <xf numFmtId="174" fontId="25" fillId="0" borderId="232" xfId="0" quotePrefix="1" applyNumberFormat="1" applyFont="1" applyBorder="1" applyAlignment="1" applyProtection="1">
      <alignment horizontal="center" vertical="center"/>
      <protection hidden="1"/>
    </xf>
    <xf numFmtId="2" fontId="8" fillId="46" borderId="501" xfId="0" quotePrefix="1" applyNumberFormat="1" applyFont="1" applyFill="1" applyBorder="1" applyAlignment="1" applyProtection="1">
      <alignment horizontal="left" vertical="center"/>
      <protection hidden="1"/>
    </xf>
    <xf numFmtId="0" fontId="54" fillId="5" borderId="2" xfId="0" quotePrefix="1" applyFont="1" applyFill="1" applyBorder="1"/>
    <xf numFmtId="174" fontId="10" fillId="48" borderId="166" xfId="1" applyNumberFormat="1" applyFont="1" applyFill="1" applyBorder="1" applyAlignment="1">
      <alignment horizontal="center"/>
    </xf>
    <xf numFmtId="174" fontId="10" fillId="48" borderId="165" xfId="1" applyNumberFormat="1" applyFont="1" applyFill="1" applyBorder="1" applyAlignment="1">
      <alignment horizontal="center"/>
    </xf>
    <xf numFmtId="174" fontId="10" fillId="48" borderId="167" xfId="1" applyNumberFormat="1" applyFont="1" applyFill="1" applyBorder="1" applyAlignment="1">
      <alignment horizontal="center"/>
    </xf>
    <xf numFmtId="174" fontId="10" fillId="48" borderId="22" xfId="1" applyNumberFormat="1" applyFont="1" applyFill="1" applyBorder="1" applyAlignment="1">
      <alignment horizontal="center"/>
    </xf>
    <xf numFmtId="174" fontId="10" fillId="48" borderId="30" xfId="1" applyNumberFormat="1" applyFont="1" applyFill="1" applyBorder="1" applyAlignment="1">
      <alignment horizontal="center"/>
    </xf>
    <xf numFmtId="174" fontId="10" fillId="48" borderId="23" xfId="1" applyNumberFormat="1" applyFont="1" applyFill="1" applyBorder="1" applyAlignment="1">
      <alignment horizontal="center"/>
    </xf>
    <xf numFmtId="174" fontId="10" fillId="48" borderId="24" xfId="1" applyNumberFormat="1" applyFont="1" applyFill="1" applyBorder="1" applyAlignment="1">
      <alignment horizontal="center"/>
    </xf>
    <xf numFmtId="174" fontId="10" fillId="48" borderId="32" xfId="1" applyNumberFormat="1" applyFont="1" applyFill="1" applyBorder="1" applyAlignment="1">
      <alignment horizontal="center"/>
    </xf>
    <xf numFmtId="174" fontId="10" fillId="48" borderId="25" xfId="1" applyNumberFormat="1" applyFont="1" applyFill="1" applyBorder="1" applyAlignment="1">
      <alignment horizontal="center"/>
    </xf>
    <xf numFmtId="174" fontId="10" fillId="0" borderId="166" xfId="1" applyNumberFormat="1" applyFont="1" applyFill="1" applyBorder="1" applyAlignment="1">
      <alignment horizontal="center"/>
    </xf>
    <xf numFmtId="174" fontId="10" fillId="0" borderId="165" xfId="1" applyNumberFormat="1" applyFont="1" applyFill="1" applyBorder="1" applyAlignment="1">
      <alignment horizontal="center"/>
    </xf>
    <xf numFmtId="174" fontId="10" fillId="9" borderId="166" xfId="1" applyNumberFormat="1" applyFont="1" applyFill="1" applyBorder="1" applyAlignment="1">
      <alignment horizontal="center"/>
    </xf>
    <xf numFmtId="174" fontId="10" fillId="9" borderId="165" xfId="1" applyNumberFormat="1" applyFont="1" applyFill="1" applyBorder="1" applyAlignment="1">
      <alignment horizontal="center"/>
    </xf>
    <xf numFmtId="174" fontId="10" fillId="9" borderId="22" xfId="1" applyNumberFormat="1" applyFont="1" applyFill="1" applyBorder="1" applyAlignment="1">
      <alignment horizontal="center"/>
    </xf>
    <xf numFmtId="174" fontId="10" fillId="9" borderId="30" xfId="1" applyNumberFormat="1" applyFont="1" applyFill="1" applyBorder="1" applyAlignment="1">
      <alignment horizontal="center"/>
    </xf>
    <xf numFmtId="174" fontId="10" fillId="48" borderId="54" xfId="1" applyNumberFormat="1" applyFont="1" applyFill="1" applyBorder="1" applyAlignment="1">
      <alignment horizontal="center"/>
    </xf>
    <xf numFmtId="174" fontId="10" fillId="48" borderId="55" xfId="1" applyNumberFormat="1" applyFont="1" applyFill="1" applyBorder="1" applyAlignment="1">
      <alignment horizontal="center"/>
    </xf>
    <xf numFmtId="174" fontId="25" fillId="9" borderId="200" xfId="0" quotePrefix="1" applyNumberFormat="1" applyFont="1" applyFill="1" applyBorder="1" applyAlignment="1" applyProtection="1">
      <alignment horizontal="center" vertical="center"/>
      <protection hidden="1"/>
    </xf>
    <xf numFmtId="174" fontId="10" fillId="9" borderId="199" xfId="0" applyNumberFormat="1" applyFont="1" applyFill="1" applyBorder="1" applyAlignment="1" applyProtection="1">
      <alignment horizontal="center" vertical="center"/>
      <protection hidden="1"/>
    </xf>
    <xf numFmtId="174" fontId="10" fillId="48" borderId="41" xfId="1" applyNumberFormat="1" applyFont="1" applyFill="1" applyBorder="1" applyAlignment="1">
      <alignment horizontal="center"/>
    </xf>
    <xf numFmtId="174" fontId="25" fillId="0" borderId="485" xfId="0" quotePrefix="1" applyNumberFormat="1" applyFont="1" applyBorder="1" applyAlignment="1" applyProtection="1">
      <alignment horizontal="center" vertical="center"/>
      <protection hidden="1"/>
    </xf>
    <xf numFmtId="174" fontId="10" fillId="48" borderId="64" xfId="1" applyNumberFormat="1" applyFont="1" applyFill="1" applyBorder="1" applyAlignment="1">
      <alignment horizontal="center"/>
    </xf>
    <xf numFmtId="174" fontId="10" fillId="48" borderId="65" xfId="1" applyNumberFormat="1" applyFont="1" applyFill="1" applyBorder="1" applyAlignment="1">
      <alignment horizontal="center"/>
    </xf>
    <xf numFmtId="174" fontId="25" fillId="0" borderId="503" xfId="0" quotePrefix="1" applyNumberFormat="1" applyFont="1" applyBorder="1" applyAlignment="1" applyProtection="1">
      <alignment horizontal="center" vertical="center"/>
      <protection hidden="1"/>
    </xf>
    <xf numFmtId="174" fontId="25" fillId="0" borderId="502" xfId="0" quotePrefix="1" applyNumberFormat="1" applyFont="1" applyBorder="1" applyAlignment="1" applyProtection="1">
      <alignment horizontal="center" vertical="center"/>
      <protection hidden="1"/>
    </xf>
    <xf numFmtId="174" fontId="25" fillId="0" borderId="283" xfId="0" quotePrefix="1" applyNumberFormat="1" applyFont="1" applyBorder="1" applyAlignment="1" applyProtection="1">
      <alignment horizontal="center" vertical="center"/>
      <protection hidden="1"/>
    </xf>
    <xf numFmtId="174" fontId="25" fillId="0" borderId="418" xfId="0" applyNumberFormat="1" applyFont="1" applyBorder="1" applyAlignment="1" applyProtection="1">
      <alignment horizontal="center" vertical="center"/>
      <protection hidden="1"/>
    </xf>
    <xf numFmtId="174" fontId="25" fillId="0" borderId="423" xfId="0" quotePrefix="1" applyNumberFormat="1" applyFont="1" applyBorder="1" applyAlignment="1" applyProtection="1">
      <alignment horizontal="center" vertical="center"/>
      <protection hidden="1"/>
    </xf>
    <xf numFmtId="174" fontId="10" fillId="48" borderId="507" xfId="1" applyNumberFormat="1" applyFont="1" applyFill="1" applyBorder="1" applyAlignment="1">
      <alignment horizontal="center"/>
    </xf>
    <xf numFmtId="174" fontId="10" fillId="48" borderId="508" xfId="1" applyNumberFormat="1" applyFont="1" applyFill="1" applyBorder="1" applyAlignment="1">
      <alignment horizontal="center"/>
    </xf>
    <xf numFmtId="174" fontId="25" fillId="0" borderId="509" xfId="0" quotePrefix="1" applyNumberFormat="1" applyFont="1" applyBorder="1" applyAlignment="1" applyProtection="1">
      <alignment horizontal="center" vertical="center"/>
      <protection hidden="1"/>
    </xf>
    <xf numFmtId="174" fontId="25" fillId="0" borderId="513" xfId="0" quotePrefix="1" applyNumberFormat="1" applyFont="1" applyBorder="1" applyAlignment="1" applyProtection="1">
      <alignment horizontal="center" vertical="center"/>
      <protection hidden="1"/>
    </xf>
    <xf numFmtId="174" fontId="25" fillId="48" borderId="64" xfId="1" applyNumberFormat="1" applyFont="1" applyFill="1" applyBorder="1" applyAlignment="1">
      <alignment horizontal="center"/>
    </xf>
    <xf numFmtId="174" fontId="25" fillId="48" borderId="65" xfId="1" applyNumberFormat="1" applyFont="1" applyFill="1" applyBorder="1" applyAlignment="1">
      <alignment horizontal="center"/>
    </xf>
    <xf numFmtId="174" fontId="25" fillId="48" borderId="137" xfId="1" applyNumberFormat="1" applyFont="1" applyFill="1" applyBorder="1" applyAlignment="1">
      <alignment horizontal="center"/>
    </xf>
    <xf numFmtId="174" fontId="25" fillId="48" borderId="514" xfId="1" applyNumberFormat="1" applyFont="1" applyFill="1" applyBorder="1" applyAlignment="1">
      <alignment horizontal="center"/>
    </xf>
    <xf numFmtId="174" fontId="10" fillId="9" borderId="54" xfId="1" applyNumberFormat="1" applyFont="1" applyFill="1" applyBorder="1" applyAlignment="1">
      <alignment horizontal="center"/>
    </xf>
    <xf numFmtId="174" fontId="10" fillId="9" borderId="55" xfId="1" applyNumberFormat="1" applyFont="1" applyFill="1" applyBorder="1" applyAlignment="1">
      <alignment horizontal="center"/>
    </xf>
    <xf numFmtId="174" fontId="10" fillId="9" borderId="65" xfId="1" applyNumberFormat="1" applyFont="1" applyFill="1" applyBorder="1" applyAlignment="1">
      <alignment horizontal="center"/>
    </xf>
    <xf numFmtId="174" fontId="10" fillId="9" borderId="508" xfId="1" applyNumberFormat="1" applyFont="1" applyFill="1" applyBorder="1" applyAlignment="1">
      <alignment horizontal="center"/>
    </xf>
    <xf numFmtId="174" fontId="10" fillId="9" borderId="24" xfId="1" applyNumberFormat="1" applyFont="1" applyFill="1" applyBorder="1" applyAlignment="1">
      <alignment horizontal="center"/>
    </xf>
    <xf numFmtId="174" fontId="10" fillId="9" borderId="32" xfId="1" applyNumberFormat="1" applyFont="1" applyFill="1" applyBorder="1" applyAlignment="1">
      <alignment horizontal="center"/>
    </xf>
    <xf numFmtId="174" fontId="10" fillId="9" borderId="67" xfId="1" applyNumberFormat="1" applyFont="1" applyFill="1" applyBorder="1" applyAlignment="1">
      <alignment horizontal="center"/>
    </xf>
    <xf numFmtId="174" fontId="10" fillId="9" borderId="510" xfId="1" applyNumberFormat="1" applyFont="1" applyFill="1" applyBorder="1" applyAlignment="1">
      <alignment horizontal="center"/>
    </xf>
    <xf numFmtId="174" fontId="10" fillId="9" borderId="504" xfId="1" applyNumberFormat="1" applyFont="1" applyFill="1" applyBorder="1" applyAlignment="1">
      <alignment horizontal="center"/>
    </xf>
    <xf numFmtId="174" fontId="10" fillId="9" borderId="511" xfId="1" applyNumberFormat="1" applyFont="1" applyFill="1" applyBorder="1" applyAlignment="1">
      <alignment horizontal="center"/>
    </xf>
    <xf numFmtId="174" fontId="10" fillId="9" borderId="64" xfId="1" applyNumberFormat="1" applyFont="1" applyFill="1" applyBorder="1" applyAlignment="1">
      <alignment horizontal="center"/>
    </xf>
    <xf numFmtId="174" fontId="10" fillId="9" borderId="507" xfId="1" applyNumberFormat="1" applyFont="1" applyFill="1" applyBorder="1" applyAlignment="1">
      <alignment horizontal="center"/>
    </xf>
    <xf numFmtId="174" fontId="10" fillId="9" borderId="51" xfId="1" applyNumberFormat="1" applyFont="1" applyFill="1" applyBorder="1" applyAlignment="1">
      <alignment horizontal="center"/>
    </xf>
    <xf numFmtId="174" fontId="10" fillId="9" borderId="52" xfId="1" applyNumberFormat="1" applyFont="1" applyFill="1" applyBorder="1" applyAlignment="1">
      <alignment horizontal="center"/>
    </xf>
    <xf numFmtId="174" fontId="10" fillId="9" borderId="505" xfId="1" applyNumberFormat="1" applyFont="1" applyFill="1" applyBorder="1" applyAlignment="1">
      <alignment horizontal="center"/>
    </xf>
    <xf numFmtId="174" fontId="10" fillId="9" borderId="512" xfId="1" applyNumberFormat="1" applyFont="1" applyFill="1" applyBorder="1" applyAlignment="1">
      <alignment horizontal="center"/>
    </xf>
    <xf numFmtId="174" fontId="10" fillId="9" borderId="430" xfId="0" quotePrefix="1" applyNumberFormat="1" applyFont="1" applyFill="1" applyBorder="1" applyAlignment="1" applyProtection="1">
      <alignment horizontal="center" vertical="center"/>
      <protection hidden="1"/>
    </xf>
    <xf numFmtId="174" fontId="10" fillId="9" borderId="198" xfId="0" quotePrefix="1" applyNumberFormat="1" applyFont="1" applyFill="1" applyBorder="1" applyAlignment="1" applyProtection="1">
      <alignment horizontal="center" vertical="center"/>
      <protection hidden="1"/>
    </xf>
    <xf numFmtId="174" fontId="10" fillId="9" borderId="431" xfId="0" quotePrefix="1" applyNumberFormat="1" applyFont="1" applyFill="1" applyBorder="1" applyAlignment="1" applyProtection="1">
      <alignment horizontal="center" vertical="center"/>
      <protection hidden="1"/>
    </xf>
    <xf numFmtId="174" fontId="10" fillId="0" borderId="428" xfId="0" quotePrefix="1" applyNumberFormat="1" applyFont="1" applyBorder="1" applyAlignment="1" applyProtection="1">
      <alignment horizontal="center" vertical="center"/>
      <protection hidden="1"/>
    </xf>
    <xf numFmtId="174" fontId="10" fillId="0" borderId="199" xfId="0" quotePrefix="1" applyNumberFormat="1" applyFont="1" applyBorder="1" applyAlignment="1" applyProtection="1">
      <alignment horizontal="center" vertical="center"/>
      <protection hidden="1"/>
    </xf>
    <xf numFmtId="174" fontId="10" fillId="0" borderId="429" xfId="0" quotePrefix="1" applyNumberFormat="1" applyFont="1" applyBorder="1" applyAlignment="1" applyProtection="1">
      <alignment horizontal="center" vertical="center"/>
      <protection hidden="1"/>
    </xf>
    <xf numFmtId="174" fontId="10" fillId="9" borderId="428" xfId="0" quotePrefix="1" applyNumberFormat="1" applyFont="1" applyFill="1" applyBorder="1" applyAlignment="1" applyProtection="1">
      <alignment horizontal="center" vertical="center"/>
      <protection hidden="1"/>
    </xf>
    <xf numFmtId="174" fontId="10" fillId="9" borderId="199" xfId="0" quotePrefix="1" applyNumberFormat="1" applyFont="1" applyFill="1" applyBorder="1" applyAlignment="1" applyProtection="1">
      <alignment horizontal="center" vertical="center"/>
      <protection hidden="1"/>
    </xf>
    <xf numFmtId="174" fontId="10" fillId="9" borderId="429" xfId="0" quotePrefix="1" applyNumberFormat="1" applyFont="1" applyFill="1" applyBorder="1" applyAlignment="1" applyProtection="1">
      <alignment horizontal="center" vertical="center"/>
      <protection hidden="1"/>
    </xf>
    <xf numFmtId="174" fontId="10" fillId="9" borderId="434" xfId="0" quotePrefix="1" applyNumberFormat="1" applyFont="1" applyFill="1" applyBorder="1" applyAlignment="1" applyProtection="1">
      <alignment horizontal="center" vertical="center"/>
      <protection hidden="1"/>
    </xf>
    <xf numFmtId="174" fontId="10" fillId="9" borderId="200" xfId="0" quotePrefix="1" applyNumberFormat="1" applyFont="1" applyFill="1" applyBorder="1" applyAlignment="1" applyProtection="1">
      <alignment horizontal="center" vertical="center"/>
      <protection hidden="1"/>
    </xf>
    <xf numFmtId="174" fontId="10" fillId="9" borderId="435" xfId="0" quotePrefix="1" applyNumberFormat="1" applyFont="1" applyFill="1" applyBorder="1" applyAlignment="1" applyProtection="1">
      <alignment horizontal="center" vertical="center"/>
      <protection hidden="1"/>
    </xf>
    <xf numFmtId="174" fontId="10" fillId="0" borderId="434" xfId="0" quotePrefix="1" applyNumberFormat="1" applyFont="1" applyBorder="1" applyAlignment="1" applyProtection="1">
      <alignment horizontal="center" vertical="center"/>
      <protection hidden="1"/>
    </xf>
    <xf numFmtId="174" fontId="10" fillId="0" borderId="200" xfId="0" quotePrefix="1" applyNumberFormat="1" applyFont="1" applyBorder="1" applyAlignment="1" applyProtection="1">
      <alignment horizontal="center" vertical="center"/>
      <protection hidden="1"/>
    </xf>
    <xf numFmtId="174" fontId="10" fillId="0" borderId="435" xfId="0" quotePrefix="1" applyNumberFormat="1" applyFont="1" applyBorder="1" applyAlignment="1" applyProtection="1">
      <alignment horizontal="center" vertical="center"/>
      <protection hidden="1"/>
    </xf>
    <xf numFmtId="174" fontId="10" fillId="0" borderId="430" xfId="0" quotePrefix="1" applyNumberFormat="1" applyFont="1" applyBorder="1" applyAlignment="1" applyProtection="1">
      <alignment horizontal="center" vertical="center"/>
      <protection hidden="1"/>
    </xf>
    <xf numFmtId="174" fontId="10" fillId="0" borderId="198" xfId="0" quotePrefix="1" applyNumberFormat="1" applyFont="1" applyBorder="1" applyAlignment="1" applyProtection="1">
      <alignment horizontal="center" vertical="center"/>
      <protection hidden="1"/>
    </xf>
    <xf numFmtId="174" fontId="10" fillId="0" borderId="431" xfId="0" quotePrefix="1" applyNumberFormat="1" applyFont="1" applyBorder="1" applyAlignment="1" applyProtection="1">
      <alignment horizontal="center" vertical="center"/>
      <protection hidden="1"/>
    </xf>
    <xf numFmtId="174" fontId="10" fillId="0" borderId="436" xfId="0" quotePrefix="1" applyNumberFormat="1" applyFont="1" applyBorder="1" applyAlignment="1" applyProtection="1">
      <alignment horizontal="center" vertical="center"/>
      <protection hidden="1"/>
    </xf>
    <xf numFmtId="174" fontId="10" fillId="0" borderId="245" xfId="0" quotePrefix="1" applyNumberFormat="1" applyFont="1" applyBorder="1" applyAlignment="1" applyProtection="1">
      <alignment horizontal="center" vertical="center"/>
      <protection hidden="1"/>
    </xf>
    <xf numFmtId="174" fontId="10" fillId="0" borderId="437" xfId="0" quotePrefix="1" applyNumberFormat="1" applyFont="1" applyBorder="1" applyAlignment="1" applyProtection="1">
      <alignment horizontal="center" vertical="center"/>
      <protection hidden="1"/>
    </xf>
    <xf numFmtId="174" fontId="10" fillId="0" borderId="245" xfId="0" applyNumberFormat="1" applyFont="1" applyBorder="1" applyAlignment="1" applyProtection="1">
      <alignment horizontal="center" vertical="center"/>
      <protection hidden="1"/>
    </xf>
    <xf numFmtId="174" fontId="10" fillId="0" borderId="437" xfId="0" applyNumberFormat="1" applyFont="1" applyBorder="1" applyAlignment="1" applyProtection="1">
      <alignment horizontal="center" vertical="center"/>
      <protection hidden="1"/>
    </xf>
    <xf numFmtId="174" fontId="10" fillId="0" borderId="438" xfId="0" quotePrefix="1" applyNumberFormat="1" applyFont="1" applyBorder="1" applyAlignment="1" applyProtection="1">
      <alignment horizontal="center" vertical="center"/>
      <protection hidden="1"/>
    </xf>
    <xf numFmtId="174" fontId="10" fillId="0" borderId="439" xfId="0" quotePrefix="1" applyNumberFormat="1" applyFont="1" applyBorder="1" applyAlignment="1" applyProtection="1">
      <alignment horizontal="center" vertical="center"/>
      <protection hidden="1"/>
    </xf>
    <xf numFmtId="174" fontId="10" fillId="0" borderId="440" xfId="0" quotePrefix="1" applyNumberFormat="1" applyFont="1" applyBorder="1" applyAlignment="1" applyProtection="1">
      <alignment horizontal="center" vertical="center"/>
      <protection hidden="1"/>
    </xf>
    <xf numFmtId="174" fontId="10" fillId="9" borderId="442" xfId="0" quotePrefix="1" applyNumberFormat="1" applyFont="1" applyFill="1" applyBorder="1" applyAlignment="1" applyProtection="1">
      <alignment horizontal="center" vertical="center"/>
      <protection hidden="1"/>
    </xf>
    <xf numFmtId="174" fontId="10" fillId="0" borderId="402" xfId="0" quotePrefix="1" applyNumberFormat="1" applyFont="1" applyBorder="1" applyAlignment="1" applyProtection="1">
      <alignment horizontal="center" vertical="center"/>
      <protection hidden="1"/>
    </xf>
    <xf numFmtId="174" fontId="10" fillId="9" borderId="402" xfId="0" quotePrefix="1" applyNumberFormat="1" applyFont="1" applyFill="1" applyBorder="1" applyAlignment="1" applyProtection="1">
      <alignment horizontal="center" vertical="center"/>
      <protection hidden="1"/>
    </xf>
    <xf numFmtId="174" fontId="10" fillId="9" borderId="443" xfId="0" quotePrefix="1" applyNumberFormat="1" applyFont="1" applyFill="1" applyBorder="1" applyAlignment="1" applyProtection="1">
      <alignment horizontal="center" vertical="center"/>
      <protection hidden="1"/>
    </xf>
    <xf numFmtId="174" fontId="10" fillId="0" borderId="443" xfId="0" quotePrefix="1" applyNumberFormat="1" applyFont="1" applyBorder="1" applyAlignment="1" applyProtection="1">
      <alignment horizontal="center" vertical="center"/>
      <protection hidden="1"/>
    </xf>
    <xf numFmtId="174" fontId="10" fillId="0" borderId="442" xfId="0" quotePrefix="1" applyNumberFormat="1" applyFont="1" applyBorder="1" applyAlignment="1" applyProtection="1">
      <alignment horizontal="center" vertical="center"/>
      <protection hidden="1"/>
    </xf>
    <xf numFmtId="174" fontId="10" fillId="0" borderId="444" xfId="0" quotePrefix="1" applyNumberFormat="1" applyFont="1" applyBorder="1" applyAlignment="1" applyProtection="1">
      <alignment horizontal="center" vertical="center"/>
      <protection hidden="1"/>
    </xf>
    <xf numFmtId="174" fontId="10" fillId="0" borderId="445" xfId="0" quotePrefix="1" applyNumberFormat="1" applyFont="1" applyBorder="1" applyAlignment="1" applyProtection="1">
      <alignment horizontal="center" vertical="center"/>
      <protection hidden="1"/>
    </xf>
    <xf numFmtId="174" fontId="10" fillId="9" borderId="198" xfId="0" applyNumberFormat="1" applyFont="1" applyFill="1" applyBorder="1" applyAlignment="1" applyProtection="1">
      <alignment horizontal="center" vertical="center"/>
      <protection hidden="1"/>
    </xf>
    <xf numFmtId="174" fontId="10" fillId="9" borderId="160" xfId="0" quotePrefix="1" applyNumberFormat="1" applyFont="1" applyFill="1" applyBorder="1" applyAlignment="1" applyProtection="1">
      <alignment horizontal="center" vertical="center"/>
      <protection hidden="1"/>
    </xf>
    <xf numFmtId="174" fontId="10" fillId="9" borderId="200" xfId="0" applyNumberFormat="1" applyFont="1" applyFill="1" applyBorder="1" applyAlignment="1" applyProtection="1">
      <alignment horizontal="center" vertical="center"/>
      <protection hidden="1"/>
    </xf>
    <xf numFmtId="174" fontId="10" fillId="9" borderId="245" xfId="0" applyNumberFormat="1" applyFont="1" applyFill="1" applyBorder="1" applyAlignment="1" applyProtection="1">
      <alignment horizontal="center" vertical="center"/>
      <protection hidden="1"/>
    </xf>
    <xf numFmtId="174" fontId="10" fillId="9" borderId="123" xfId="0" applyNumberFormat="1" applyFont="1" applyFill="1" applyBorder="1" applyAlignment="1" applyProtection="1">
      <alignment horizontal="center" vertical="center"/>
      <protection hidden="1"/>
    </xf>
    <xf numFmtId="174" fontId="10" fillId="9" borderId="245" xfId="0" quotePrefix="1" applyNumberFormat="1" applyFont="1" applyFill="1" applyBorder="1" applyAlignment="1" applyProtection="1">
      <alignment horizontal="center" vertical="center"/>
      <protection hidden="1"/>
    </xf>
    <xf numFmtId="174" fontId="10" fillId="9" borderId="449" xfId="0" quotePrefix="1" applyNumberFormat="1" applyFont="1" applyFill="1" applyBorder="1" applyAlignment="1" applyProtection="1">
      <alignment horizontal="center" vertical="center"/>
      <protection hidden="1"/>
    </xf>
    <xf numFmtId="174" fontId="10" fillId="9" borderId="176" xfId="0" quotePrefix="1" applyNumberFormat="1" applyFont="1" applyFill="1" applyBorder="1" applyAlignment="1" applyProtection="1">
      <alignment horizontal="center" vertical="center"/>
      <protection hidden="1"/>
    </xf>
    <xf numFmtId="174" fontId="10" fillId="9" borderId="251" xfId="0" quotePrefix="1" applyNumberFormat="1" applyFont="1" applyFill="1" applyBorder="1" applyAlignment="1" applyProtection="1">
      <alignment horizontal="center" vertical="center"/>
      <protection hidden="1"/>
    </xf>
    <xf numFmtId="174" fontId="10" fillId="9" borderId="389" xfId="0" quotePrefix="1" applyNumberFormat="1" applyFont="1" applyFill="1" applyBorder="1" applyAlignment="1" applyProtection="1">
      <alignment horizontal="center" vertical="center"/>
      <protection hidden="1"/>
    </xf>
    <xf numFmtId="174" fontId="10" fillId="9" borderId="123" xfId="0" quotePrefix="1" applyNumberFormat="1" applyFont="1" applyFill="1" applyBorder="1" applyAlignment="1" applyProtection="1">
      <alignment horizontal="center" vertical="center"/>
      <protection hidden="1"/>
    </xf>
    <xf numFmtId="174" fontId="10" fillId="9" borderId="252" xfId="0" quotePrefix="1" applyNumberFormat="1" applyFont="1" applyFill="1" applyBorder="1" applyAlignment="1" applyProtection="1">
      <alignment horizontal="center" vertical="center"/>
      <protection hidden="1"/>
    </xf>
    <xf numFmtId="174" fontId="10" fillId="9" borderId="447" xfId="0" quotePrefix="1" applyNumberFormat="1" applyFont="1" applyFill="1" applyBorder="1" applyAlignment="1" applyProtection="1">
      <alignment horizontal="center" vertical="center"/>
      <protection hidden="1"/>
    </xf>
    <xf numFmtId="174" fontId="10" fillId="9" borderId="448" xfId="0" quotePrefix="1" applyNumberFormat="1" applyFont="1" applyFill="1" applyBorder="1" applyAlignment="1" applyProtection="1">
      <alignment horizontal="center" vertical="center"/>
      <protection hidden="1"/>
    </xf>
    <xf numFmtId="174" fontId="10" fillId="9" borderId="449" xfId="0" applyNumberFormat="1" applyFont="1" applyFill="1" applyBorder="1" applyAlignment="1" applyProtection="1">
      <alignment horizontal="center" vertical="center"/>
      <protection hidden="1"/>
    </xf>
    <xf numFmtId="174" fontId="10" fillId="9" borderId="176" xfId="0" applyNumberFormat="1" applyFont="1" applyFill="1" applyBorder="1" applyAlignment="1" applyProtection="1">
      <alignment horizontal="center" vertical="center"/>
      <protection hidden="1"/>
    </xf>
    <xf numFmtId="174" fontId="10" fillId="9" borderId="251" xfId="0" applyNumberFormat="1" applyFont="1" applyFill="1" applyBorder="1" applyAlignment="1" applyProtection="1">
      <alignment horizontal="center" vertical="center"/>
      <protection hidden="1"/>
    </xf>
    <xf numFmtId="174" fontId="10" fillId="9" borderId="389" xfId="0" applyNumberFormat="1" applyFont="1" applyFill="1" applyBorder="1" applyAlignment="1" applyProtection="1">
      <alignment horizontal="center" vertical="center"/>
      <protection hidden="1"/>
    </xf>
    <xf numFmtId="174" fontId="10" fillId="9" borderId="252" xfId="0" applyNumberFormat="1" applyFont="1" applyFill="1" applyBorder="1" applyAlignment="1" applyProtection="1">
      <alignment horizontal="center" vertical="center"/>
      <protection hidden="1"/>
    </xf>
    <xf numFmtId="174" fontId="10" fillId="9" borderId="447" xfId="0" applyNumberFormat="1" applyFont="1" applyFill="1" applyBorder="1" applyAlignment="1" applyProtection="1">
      <alignment horizontal="center" vertical="center"/>
      <protection hidden="1"/>
    </xf>
    <xf numFmtId="174" fontId="10" fillId="9" borderId="160" xfId="0" applyNumberFormat="1" applyFont="1" applyFill="1" applyBorder="1" applyAlignment="1" applyProtection="1">
      <alignment horizontal="center" vertical="center"/>
      <protection hidden="1"/>
    </xf>
    <xf numFmtId="174" fontId="10" fillId="9" borderId="448" xfId="0" applyNumberFormat="1" applyFont="1" applyFill="1" applyBorder="1" applyAlignment="1" applyProtection="1">
      <alignment horizontal="center" vertical="center"/>
      <protection hidden="1"/>
    </xf>
    <xf numFmtId="174" fontId="10" fillId="9" borderId="450" xfId="0" quotePrefix="1" applyNumberFormat="1" applyFont="1" applyFill="1" applyBorder="1" applyAlignment="1" applyProtection="1">
      <alignment horizontal="center" vertical="center"/>
      <protection hidden="1"/>
    </xf>
    <xf numFmtId="174" fontId="10" fillId="9" borderId="444" xfId="0" quotePrefix="1" applyNumberFormat="1" applyFont="1" applyFill="1" applyBorder="1" applyAlignment="1" applyProtection="1">
      <alignment horizontal="center" vertical="center"/>
      <protection hidden="1"/>
    </xf>
    <xf numFmtId="174" fontId="10" fillId="9" borderId="444" xfId="0" applyNumberFormat="1" applyFont="1" applyFill="1" applyBorder="1" applyAlignment="1" applyProtection="1">
      <alignment horizontal="center" vertical="center"/>
      <protection hidden="1"/>
    </xf>
    <xf numFmtId="174" fontId="10" fillId="9" borderId="450" xfId="0" applyNumberFormat="1" applyFont="1" applyFill="1" applyBorder="1" applyAlignment="1" applyProtection="1">
      <alignment horizontal="center" vertical="center"/>
      <protection hidden="1"/>
    </xf>
    <xf numFmtId="174" fontId="10" fillId="9" borderId="390" xfId="0" quotePrefix="1" applyNumberFormat="1" applyFont="1" applyFill="1" applyBorder="1" applyAlignment="1" applyProtection="1">
      <alignment horizontal="center" vertical="center"/>
      <protection hidden="1"/>
    </xf>
    <xf numFmtId="174" fontId="10" fillId="9" borderId="391" xfId="0" quotePrefix="1" applyNumberFormat="1" applyFont="1" applyFill="1" applyBorder="1" applyAlignment="1" applyProtection="1">
      <alignment horizontal="center" vertical="center"/>
      <protection hidden="1"/>
    </xf>
    <xf numFmtId="174" fontId="10" fillId="9" borderId="392" xfId="0" quotePrefix="1" applyNumberFormat="1" applyFont="1" applyFill="1" applyBorder="1" applyAlignment="1" applyProtection="1">
      <alignment horizontal="center" vertical="center"/>
      <protection hidden="1"/>
    </xf>
    <xf numFmtId="174" fontId="10" fillId="9" borderId="502" xfId="0" quotePrefix="1" applyNumberFormat="1" applyFont="1" applyFill="1" applyBorder="1" applyAlignment="1" applyProtection="1">
      <alignment horizontal="center" vertical="center"/>
      <protection hidden="1"/>
    </xf>
    <xf numFmtId="174" fontId="10" fillId="9" borderId="177" xfId="0" quotePrefix="1" applyNumberFormat="1" applyFont="1" applyFill="1" applyBorder="1" applyAlignment="1" applyProtection="1">
      <alignment horizontal="center" vertical="center"/>
      <protection hidden="1"/>
    </xf>
    <xf numFmtId="174" fontId="10" fillId="9" borderId="283" xfId="0" quotePrefix="1" applyNumberFormat="1" applyFont="1" applyFill="1" applyBorder="1" applyAlignment="1" applyProtection="1">
      <alignment horizontal="center" vertical="center"/>
      <protection hidden="1"/>
    </xf>
    <xf numFmtId="174" fontId="10" fillId="9" borderId="141" xfId="0" quotePrefix="1" applyNumberFormat="1" applyFont="1" applyFill="1" applyBorder="1" applyAlignment="1" applyProtection="1">
      <alignment horizontal="center" vertical="center"/>
      <protection hidden="1"/>
    </xf>
    <xf numFmtId="174" fontId="10" fillId="9" borderId="418" xfId="0" quotePrefix="1" applyNumberFormat="1" applyFont="1" applyFill="1" applyBorder="1" applyAlignment="1" applyProtection="1">
      <alignment horizontal="center" vertical="center"/>
      <protection hidden="1"/>
    </xf>
    <xf numFmtId="174" fontId="10" fillId="9" borderId="484" xfId="0" quotePrefix="1" applyNumberFormat="1" applyFont="1" applyFill="1" applyBorder="1" applyAlignment="1" applyProtection="1">
      <alignment horizontal="center" vertical="center"/>
      <protection hidden="1"/>
    </xf>
    <xf numFmtId="174" fontId="10" fillId="9" borderId="449" xfId="2" applyNumberFormat="1" applyFont="1" applyFill="1" applyBorder="1" applyAlignment="1" applyProtection="1">
      <alignment horizontal="center" vertical="center"/>
      <protection hidden="1"/>
    </xf>
    <xf numFmtId="174" fontId="10" fillId="9" borderId="176" xfId="2" applyNumberFormat="1" applyFont="1" applyFill="1" applyBorder="1" applyAlignment="1" applyProtection="1">
      <alignment horizontal="center" vertical="center"/>
      <protection hidden="1"/>
    </xf>
    <xf numFmtId="174" fontId="10" fillId="9" borderId="502" xfId="2" applyNumberFormat="1" applyFont="1" applyFill="1" applyBorder="1" applyAlignment="1" applyProtection="1">
      <alignment horizontal="center" vertical="center"/>
      <protection hidden="1"/>
    </xf>
    <xf numFmtId="174" fontId="10" fillId="9" borderId="177" xfId="2" applyNumberFormat="1" applyFont="1" applyFill="1" applyBorder="1" applyAlignment="1" applyProtection="1">
      <alignment horizontal="center" vertical="center"/>
      <protection hidden="1"/>
    </xf>
    <xf numFmtId="174" fontId="10" fillId="9" borderId="447" xfId="2" applyNumberFormat="1" applyFont="1" applyFill="1" applyBorder="1" applyAlignment="1" applyProtection="1">
      <alignment horizontal="center" vertical="center"/>
      <protection hidden="1"/>
    </xf>
    <xf numFmtId="174" fontId="10" fillId="9" borderId="160" xfId="2" applyNumberFormat="1" applyFont="1" applyFill="1" applyBorder="1" applyAlignment="1" applyProtection="1">
      <alignment horizontal="center" vertical="center"/>
      <protection hidden="1"/>
    </xf>
    <xf numFmtId="174" fontId="10" fillId="9" borderId="418" xfId="2" applyNumberFormat="1" applyFont="1" applyFill="1" applyBorder="1" applyAlignment="1" applyProtection="1">
      <alignment horizontal="center" vertical="center"/>
      <protection hidden="1"/>
    </xf>
    <xf numFmtId="174" fontId="10" fillId="9" borderId="484" xfId="2" applyNumberFormat="1" applyFont="1" applyFill="1" applyBorder="1" applyAlignment="1" applyProtection="1">
      <alignment horizontal="center" vertical="center"/>
      <protection hidden="1"/>
    </xf>
    <xf numFmtId="174" fontId="10" fillId="0" borderId="485" xfId="0" quotePrefix="1" applyNumberFormat="1" applyFont="1" applyBorder="1" applyAlignment="1" applyProtection="1">
      <alignment horizontal="center" vertical="center"/>
      <protection hidden="1"/>
    </xf>
    <xf numFmtId="174" fontId="10" fillId="9" borderId="509" xfId="2" applyNumberFormat="1" applyFont="1" applyFill="1" applyBorder="1" applyAlignment="1" applyProtection="1">
      <alignment horizontal="center" vertical="center"/>
      <protection hidden="1"/>
    </xf>
    <xf numFmtId="174" fontId="10" fillId="9" borderId="503" xfId="0" quotePrefix="1" applyNumberFormat="1" applyFont="1" applyFill="1" applyBorder="1" applyAlignment="1" applyProtection="1">
      <alignment horizontal="center" vertical="center"/>
      <protection hidden="1"/>
    </xf>
    <xf numFmtId="174" fontId="10" fillId="9" borderId="485" xfId="0" quotePrefix="1" applyNumberFormat="1" applyFont="1" applyFill="1" applyBorder="1" applyAlignment="1" applyProtection="1">
      <alignment horizontal="center" vertical="center"/>
      <protection hidden="1"/>
    </xf>
    <xf numFmtId="174" fontId="10" fillId="0" borderId="450" xfId="0" quotePrefix="1" applyNumberFormat="1" applyFont="1" applyBorder="1" applyAlignment="1" applyProtection="1">
      <alignment horizontal="center" vertical="center"/>
      <protection hidden="1"/>
    </xf>
    <xf numFmtId="174" fontId="10" fillId="0" borderId="503" xfId="0" quotePrefix="1" applyNumberFormat="1" applyFont="1" applyBorder="1" applyAlignment="1" applyProtection="1">
      <alignment horizontal="center" vertical="center"/>
      <protection hidden="1"/>
    </xf>
    <xf numFmtId="174" fontId="10" fillId="9" borderId="506" xfId="0" quotePrefix="1" applyNumberFormat="1" applyFont="1" applyFill="1" applyBorder="1" applyAlignment="1" applyProtection="1">
      <alignment horizontal="center" vertical="center"/>
      <protection hidden="1"/>
    </xf>
    <xf numFmtId="174" fontId="10" fillId="9" borderId="489" xfId="0" quotePrefix="1" applyNumberFormat="1" applyFont="1" applyFill="1" applyBorder="1" applyAlignment="1" applyProtection="1">
      <alignment horizontal="center" vertical="center"/>
      <protection hidden="1"/>
    </xf>
    <xf numFmtId="174" fontId="10" fillId="9" borderId="232" xfId="0" quotePrefix="1" applyNumberFormat="1" applyFont="1" applyFill="1" applyBorder="1" applyAlignment="1" applyProtection="1">
      <alignment horizontal="center" vertical="center"/>
      <protection hidden="1"/>
    </xf>
    <xf numFmtId="174" fontId="25" fillId="48" borderId="23" xfId="1" applyNumberFormat="1" applyFont="1" applyFill="1" applyBorder="1" applyAlignment="1">
      <alignment horizontal="center"/>
    </xf>
    <xf numFmtId="174" fontId="25" fillId="48" borderId="32" xfId="1" applyNumberFormat="1" applyFont="1" applyFill="1" applyBorder="1" applyAlignment="1">
      <alignment horizontal="center"/>
    </xf>
    <xf numFmtId="174" fontId="25" fillId="48" borderId="25" xfId="1" applyNumberFormat="1" applyFont="1" applyFill="1" applyBorder="1" applyAlignment="1">
      <alignment horizontal="center"/>
    </xf>
    <xf numFmtId="174" fontId="25" fillId="48" borderId="30" xfId="1" applyNumberFormat="1" applyFont="1" applyFill="1" applyBorder="1" applyAlignment="1">
      <alignment horizontal="center"/>
    </xf>
    <xf numFmtId="174" fontId="25" fillId="48" borderId="167" xfId="1" applyNumberFormat="1" applyFont="1" applyFill="1" applyBorder="1" applyAlignment="1">
      <alignment horizontal="center"/>
    </xf>
    <xf numFmtId="174" fontId="25" fillId="47" borderId="24" xfId="1" applyNumberFormat="1" applyFont="1" applyFill="1" applyBorder="1" applyAlignment="1">
      <alignment horizontal="center"/>
    </xf>
    <xf numFmtId="174" fontId="25" fillId="47" borderId="32" xfId="1" applyNumberFormat="1" applyFont="1" applyFill="1" applyBorder="1" applyAlignment="1">
      <alignment horizontal="center"/>
    </xf>
    <xf numFmtId="174" fontId="25" fillId="9" borderId="30" xfId="1" applyNumberFormat="1" applyFont="1" applyFill="1" applyBorder="1" applyAlignment="1">
      <alignment horizontal="center"/>
    </xf>
    <xf numFmtId="174" fontId="25" fillId="0" borderId="22" xfId="1" applyNumberFormat="1" applyFont="1" applyFill="1" applyBorder="1" applyAlignment="1">
      <alignment horizontal="center"/>
    </xf>
    <xf numFmtId="174" fontId="25" fillId="0" borderId="30" xfId="1" applyNumberFormat="1" applyFont="1" applyFill="1" applyBorder="1" applyAlignment="1">
      <alignment horizontal="center"/>
    </xf>
    <xf numFmtId="174" fontId="25" fillId="48" borderId="165" xfId="1" applyNumberFormat="1" applyFont="1" applyFill="1" applyBorder="1" applyAlignment="1">
      <alignment horizontal="center"/>
    </xf>
    <xf numFmtId="174" fontId="25" fillId="48" borderId="508" xfId="1" applyNumberFormat="1" applyFont="1" applyFill="1" applyBorder="1" applyAlignment="1">
      <alignment horizontal="center"/>
    </xf>
    <xf numFmtId="174" fontId="25" fillId="48" borderId="507" xfId="1" applyNumberFormat="1" applyFont="1" applyFill="1" applyBorder="1" applyAlignment="1">
      <alignment horizontal="center"/>
    </xf>
    <xf numFmtId="174" fontId="25" fillId="9" borderId="510" xfId="1" applyNumberFormat="1" applyFont="1" applyFill="1" applyBorder="1" applyAlignment="1">
      <alignment horizontal="center"/>
    </xf>
    <xf numFmtId="174" fontId="25" fillId="9" borderId="65" xfId="1" applyNumberFormat="1" applyFont="1" applyFill="1" applyBorder="1" applyAlignment="1">
      <alignment horizontal="center"/>
    </xf>
    <xf numFmtId="174" fontId="25" fillId="9" borderId="508" xfId="1" applyNumberFormat="1" applyFont="1" applyFill="1" applyBorder="1" applyAlignment="1">
      <alignment horizontal="center"/>
    </xf>
    <xf numFmtId="174" fontId="25" fillId="9" borderId="32" xfId="1" applyNumberFormat="1" applyFont="1" applyFill="1" applyBorder="1" applyAlignment="1">
      <alignment horizontal="center"/>
    </xf>
    <xf numFmtId="174" fontId="25" fillId="9" borderId="67" xfId="1" applyNumberFormat="1" applyFont="1" applyFill="1" applyBorder="1" applyAlignment="1">
      <alignment horizontal="center"/>
    </xf>
    <xf numFmtId="174" fontId="25" fillId="9" borderId="484" xfId="0" quotePrefix="1" applyNumberFormat="1" applyFont="1" applyFill="1" applyBorder="1" applyAlignment="1" applyProtection="1">
      <alignment horizontal="center" vertical="center"/>
      <protection hidden="1"/>
    </xf>
    <xf numFmtId="174" fontId="25" fillId="9" borderId="512" xfId="1" applyNumberFormat="1" applyFont="1" applyFill="1" applyBorder="1" applyAlignment="1">
      <alignment horizontal="center"/>
    </xf>
    <xf numFmtId="174" fontId="25" fillId="9" borderId="435" xfId="0" quotePrefix="1" applyNumberFormat="1" applyFont="1" applyFill="1" applyBorder="1" applyAlignment="1" applyProtection="1">
      <alignment horizontal="center" vertical="center"/>
      <protection hidden="1"/>
    </xf>
    <xf numFmtId="174" fontId="25" fillId="48" borderId="22" xfId="1" applyNumberFormat="1" applyFont="1" applyFill="1" applyBorder="1" applyAlignment="1">
      <alignment horizontal="center"/>
    </xf>
    <xf numFmtId="174" fontId="10" fillId="9" borderId="430" xfId="0" applyNumberFormat="1" applyFont="1" applyFill="1" applyBorder="1" applyAlignment="1" applyProtection="1">
      <alignment horizontal="center" vertical="center"/>
      <protection hidden="1"/>
    </xf>
    <xf numFmtId="174" fontId="10" fillId="9" borderId="431" xfId="0" applyNumberFormat="1" applyFont="1" applyFill="1" applyBorder="1" applyAlignment="1" applyProtection="1">
      <alignment horizontal="center" vertical="center"/>
      <protection hidden="1"/>
    </xf>
    <xf numFmtId="174" fontId="10" fillId="9" borderId="428" xfId="0" applyNumberFormat="1" applyFont="1" applyFill="1" applyBorder="1" applyAlignment="1" applyProtection="1">
      <alignment horizontal="center" vertical="center"/>
      <protection hidden="1"/>
    </xf>
    <xf numFmtId="174" fontId="10" fillId="9" borderId="429" xfId="0" applyNumberFormat="1" applyFont="1" applyFill="1" applyBorder="1" applyAlignment="1" applyProtection="1">
      <alignment horizontal="center" vertical="center"/>
      <protection hidden="1"/>
    </xf>
    <xf numFmtId="174" fontId="25" fillId="9" borderId="430" xfId="0" applyNumberFormat="1" applyFont="1" applyFill="1" applyBorder="1" applyAlignment="1" applyProtection="1">
      <alignment horizontal="center" vertical="center"/>
      <protection hidden="1"/>
    </xf>
    <xf numFmtId="174" fontId="25" fillId="9" borderId="198" xfId="0" applyNumberFormat="1" applyFont="1" applyFill="1" applyBorder="1" applyAlignment="1" applyProtection="1">
      <alignment horizontal="center" vertical="center"/>
      <protection hidden="1"/>
    </xf>
    <xf numFmtId="174" fontId="25" fillId="9" borderId="431" xfId="0" applyNumberFormat="1" applyFont="1" applyFill="1" applyBorder="1" applyAlignment="1" applyProtection="1">
      <alignment horizontal="center" vertical="center"/>
      <protection hidden="1"/>
    </xf>
    <xf numFmtId="174" fontId="10" fillId="9" borderId="434" xfId="0" applyNumberFormat="1" applyFont="1" applyFill="1" applyBorder="1" applyAlignment="1" applyProtection="1">
      <alignment horizontal="center" vertical="center"/>
      <protection hidden="1"/>
    </xf>
    <xf numFmtId="174" fontId="10" fillId="9" borderId="435" xfId="0" applyNumberFormat="1" applyFont="1" applyFill="1" applyBorder="1" applyAlignment="1" applyProtection="1">
      <alignment horizontal="center" vertical="center"/>
      <protection hidden="1"/>
    </xf>
    <xf numFmtId="174" fontId="10" fillId="9" borderId="436" xfId="0" applyNumberFormat="1" applyFont="1" applyFill="1" applyBorder="1" applyAlignment="1" applyProtection="1">
      <alignment horizontal="center" vertical="center"/>
      <protection hidden="1"/>
    </xf>
    <xf numFmtId="174" fontId="10" fillId="9" borderId="437" xfId="0" applyNumberFormat="1" applyFont="1" applyFill="1" applyBorder="1" applyAlignment="1" applyProtection="1">
      <alignment horizontal="center" vertical="center"/>
      <protection hidden="1"/>
    </xf>
    <xf numFmtId="174" fontId="10" fillId="9" borderId="432" xfId="0" quotePrefix="1" applyNumberFormat="1" applyFont="1" applyFill="1" applyBorder="1" applyAlignment="1" applyProtection="1">
      <alignment horizontal="center" vertical="center"/>
      <protection hidden="1"/>
    </xf>
    <xf numFmtId="174" fontId="10" fillId="9" borderId="433" xfId="0" quotePrefix="1" applyNumberFormat="1" applyFont="1" applyFill="1" applyBorder="1" applyAlignment="1" applyProtection="1">
      <alignment horizontal="center" vertical="center"/>
      <protection hidden="1"/>
    </xf>
    <xf numFmtId="174" fontId="25" fillId="0" borderId="435" xfId="0" applyNumberFormat="1" applyFont="1" applyBorder="1" applyAlignment="1" applyProtection="1">
      <alignment horizontal="center" vertical="center"/>
      <protection hidden="1"/>
    </xf>
    <xf numFmtId="174" fontId="25" fillId="0" borderId="428" xfId="0" applyNumberFormat="1" applyFont="1" applyBorder="1" applyAlignment="1" applyProtection="1">
      <alignment horizontal="center" vertical="center"/>
      <protection hidden="1"/>
    </xf>
    <xf numFmtId="174" fontId="25" fillId="0" borderId="429" xfId="0" applyNumberFormat="1" applyFont="1" applyBorder="1" applyAlignment="1" applyProtection="1">
      <alignment horizontal="center" vertical="center"/>
      <protection hidden="1"/>
    </xf>
    <xf numFmtId="174" fontId="25" fillId="0" borderId="432" xfId="0" applyNumberFormat="1" applyFont="1" applyBorder="1" applyAlignment="1" applyProtection="1">
      <alignment horizontal="center" vertical="center"/>
      <protection hidden="1"/>
    </xf>
    <xf numFmtId="174" fontId="25" fillId="0" borderId="433" xfId="0" applyNumberFormat="1" applyFont="1" applyBorder="1" applyAlignment="1" applyProtection="1">
      <alignment horizontal="center" vertical="center"/>
      <protection hidden="1"/>
    </xf>
    <xf numFmtId="0" fontId="6" fillId="0" borderId="73" xfId="0" applyFont="1" applyBorder="1" applyAlignment="1" applyProtection="1">
      <alignment vertical="center"/>
      <protection hidden="1"/>
    </xf>
    <xf numFmtId="0" fontId="6" fillId="0" borderId="168" xfId="0" applyFont="1" applyBorder="1" applyAlignment="1" applyProtection="1">
      <alignment vertical="center"/>
      <protection hidden="1"/>
    </xf>
    <xf numFmtId="0" fontId="6" fillId="0" borderId="104" xfId="0" applyFont="1" applyBorder="1" applyAlignment="1" applyProtection="1">
      <alignment vertical="center"/>
      <protection hidden="1"/>
    </xf>
    <xf numFmtId="0" fontId="6" fillId="0" borderId="431" xfId="0" applyFont="1" applyBorder="1" applyAlignment="1" applyProtection="1">
      <alignment vertical="center"/>
      <protection hidden="1"/>
    </xf>
    <xf numFmtId="2" fontId="20" fillId="42" borderId="30" xfId="0" applyNumberFormat="1" applyFont="1" applyFill="1" applyBorder="1"/>
    <xf numFmtId="2" fontId="20" fillId="42" borderId="30" xfId="0" quotePrefix="1" applyNumberFormat="1" applyFont="1" applyFill="1" applyBorder="1" applyAlignment="1">
      <alignment horizontal="left" vertical="center"/>
    </xf>
    <xf numFmtId="0" fontId="54" fillId="0" borderId="39" xfId="0" quotePrefix="1" applyFont="1" applyBorder="1"/>
    <xf numFmtId="0" fontId="54" fillId="0" borderId="36" xfId="0" quotePrefix="1" applyFont="1" applyBorder="1"/>
    <xf numFmtId="174" fontId="10" fillId="48" borderId="51" xfId="1" applyNumberFormat="1" applyFont="1" applyFill="1" applyBorder="1" applyAlignment="1">
      <alignment horizontal="center"/>
    </xf>
    <xf numFmtId="174" fontId="10" fillId="48" borderId="52" xfId="1" applyNumberFormat="1" applyFont="1" applyFill="1" applyBorder="1" applyAlignment="1">
      <alignment horizontal="center"/>
    </xf>
    <xf numFmtId="174" fontId="10" fillId="48" borderId="53" xfId="1" applyNumberFormat="1" applyFont="1" applyFill="1" applyBorder="1" applyAlignment="1">
      <alignment horizontal="center"/>
    </xf>
    <xf numFmtId="165" fontId="8" fillId="0" borderId="435" xfId="0" quotePrefix="1" applyNumberFormat="1" applyFont="1" applyBorder="1" applyAlignment="1" applyProtection="1">
      <alignment horizontal="left" vertical="center"/>
      <protection hidden="1"/>
    </xf>
    <xf numFmtId="0" fontId="6" fillId="0" borderId="185" xfId="0" applyFont="1" applyBorder="1" applyProtection="1">
      <protection hidden="1"/>
    </xf>
    <xf numFmtId="1" fontId="20" fillId="14" borderId="30" xfId="0" applyNumberFormat="1" applyFont="1" applyFill="1" applyBorder="1"/>
    <xf numFmtId="0" fontId="54" fillId="12" borderId="276" xfId="0" applyFont="1" applyFill="1" applyBorder="1"/>
    <xf numFmtId="0" fontId="65" fillId="33" borderId="330" xfId="0" applyFont="1" applyFill="1" applyBorder="1" applyAlignment="1">
      <alignment horizontal="left"/>
    </xf>
    <xf numFmtId="0" fontId="65" fillId="14" borderId="330" xfId="0" applyFont="1" applyFill="1" applyBorder="1" applyAlignment="1">
      <alignment horizontal="left"/>
    </xf>
    <xf numFmtId="0" fontId="65" fillId="23" borderId="330" xfId="0" applyFont="1" applyFill="1" applyBorder="1" applyAlignment="1">
      <alignment horizontal="left"/>
    </xf>
    <xf numFmtId="0" fontId="65" fillId="37" borderId="330" xfId="0" applyFont="1" applyFill="1" applyBorder="1" applyAlignment="1">
      <alignment horizontal="left"/>
    </xf>
    <xf numFmtId="164" fontId="54" fillId="16" borderId="517" xfId="0" applyNumberFormat="1" applyFont="1" applyFill="1" applyBorder="1" applyAlignment="1">
      <alignment horizontal="center" vertical="center"/>
    </xf>
    <xf numFmtId="164" fontId="54" fillId="16" borderId="518" xfId="0" applyNumberFormat="1" applyFont="1" applyFill="1" applyBorder="1" applyAlignment="1">
      <alignment horizontal="left" vertical="center"/>
    </xf>
    <xf numFmtId="164" fontId="54" fillId="12" borderId="518" xfId="0" applyNumberFormat="1" applyFont="1" applyFill="1" applyBorder="1" applyAlignment="1">
      <alignment horizontal="center" vertical="center"/>
    </xf>
    <xf numFmtId="167" fontId="54" fillId="6" borderId="518" xfId="0" applyNumberFormat="1" applyFont="1" applyFill="1" applyBorder="1" applyAlignment="1">
      <alignment horizontal="center" vertical="center"/>
    </xf>
    <xf numFmtId="167" fontId="54" fillId="12" borderId="518" xfId="0" applyNumberFormat="1" applyFont="1" applyFill="1" applyBorder="1" applyAlignment="1">
      <alignment horizontal="center" vertical="center"/>
    </xf>
    <xf numFmtId="164" fontId="54" fillId="16" borderId="519" xfId="0" applyNumberFormat="1" applyFont="1" applyFill="1" applyBorder="1" applyAlignment="1">
      <alignment horizontal="center" vertical="center"/>
    </xf>
    <xf numFmtId="164" fontId="54" fillId="16" borderId="520" xfId="0" applyNumberFormat="1" applyFont="1" applyFill="1" applyBorder="1" applyAlignment="1">
      <alignment horizontal="center" vertical="center"/>
    </xf>
    <xf numFmtId="164" fontId="54" fillId="16" borderId="234" xfId="0" applyNumberFormat="1" applyFont="1" applyFill="1" applyBorder="1" applyAlignment="1">
      <alignment horizontal="left" vertical="center"/>
    </xf>
    <xf numFmtId="164" fontId="54" fillId="12" borderId="234" xfId="0" applyNumberFormat="1" applyFont="1" applyFill="1" applyBorder="1" applyAlignment="1">
      <alignment horizontal="center" vertical="center"/>
    </xf>
    <xf numFmtId="167" fontId="54" fillId="6" borderId="234" xfId="0" applyNumberFormat="1" applyFont="1" applyFill="1" applyBorder="1" applyAlignment="1">
      <alignment horizontal="center" vertical="center"/>
    </xf>
    <xf numFmtId="167" fontId="54" fillId="12" borderId="234" xfId="0" applyNumberFormat="1" applyFont="1" applyFill="1" applyBorder="1" applyAlignment="1">
      <alignment horizontal="center" vertical="center"/>
    </xf>
    <xf numFmtId="164" fontId="54" fillId="16" borderId="521" xfId="0" applyNumberFormat="1" applyFont="1" applyFill="1" applyBorder="1" applyAlignment="1">
      <alignment horizontal="center" vertical="center"/>
    </xf>
    <xf numFmtId="164" fontId="54" fillId="16" borderId="522" xfId="0" applyNumberFormat="1" applyFont="1" applyFill="1" applyBorder="1" applyAlignment="1">
      <alignment horizontal="center" vertical="center"/>
    </xf>
    <xf numFmtId="164" fontId="54" fillId="16" borderId="523" xfId="0" applyNumberFormat="1" applyFont="1" applyFill="1" applyBorder="1" applyAlignment="1">
      <alignment horizontal="left" vertical="center"/>
    </xf>
    <xf numFmtId="164" fontId="54" fillId="12" borderId="523" xfId="0" applyNumberFormat="1" applyFont="1" applyFill="1" applyBorder="1" applyAlignment="1">
      <alignment horizontal="center" vertical="center"/>
    </xf>
    <xf numFmtId="167" fontId="54" fillId="6" borderId="523" xfId="0" applyNumberFormat="1" applyFont="1" applyFill="1" applyBorder="1" applyAlignment="1">
      <alignment horizontal="center" vertical="center"/>
    </xf>
    <xf numFmtId="167" fontId="54" fillId="12" borderId="523" xfId="0" applyNumberFormat="1" applyFont="1" applyFill="1" applyBorder="1" applyAlignment="1">
      <alignment horizontal="center" vertical="center"/>
    </xf>
    <xf numFmtId="164" fontId="54" fillId="16" borderId="524" xfId="0" applyNumberFormat="1" applyFont="1" applyFill="1" applyBorder="1" applyAlignment="1">
      <alignment horizontal="center" vertical="center"/>
    </xf>
    <xf numFmtId="174" fontId="10" fillId="9" borderId="525" xfId="1" applyNumberFormat="1" applyFont="1" applyFill="1" applyBorder="1" applyAlignment="1">
      <alignment horizontal="center"/>
    </xf>
    <xf numFmtId="0" fontId="6" fillId="46" borderId="412" xfId="0" applyFont="1" applyFill="1" applyBorder="1" applyAlignment="1" applyProtection="1">
      <alignment vertical="center"/>
      <protection hidden="1"/>
    </xf>
    <xf numFmtId="0" fontId="6" fillId="46" borderId="415" xfId="0" applyFont="1" applyFill="1" applyBorder="1" applyAlignment="1" applyProtection="1">
      <alignment vertical="center"/>
      <protection hidden="1"/>
    </xf>
    <xf numFmtId="0" fontId="6" fillId="46" borderId="415" xfId="0" quotePrefix="1" applyFont="1" applyFill="1" applyBorder="1" applyAlignment="1" applyProtection="1">
      <alignment horizontal="left" vertical="center"/>
      <protection hidden="1"/>
    </xf>
    <xf numFmtId="4" fontId="54" fillId="3" borderId="20" xfId="0" applyNumberFormat="1" applyFont="1" applyFill="1" applyBorder="1" applyAlignment="1">
      <alignment vertical="center"/>
    </xf>
    <xf numFmtId="165" fontId="55" fillId="3" borderId="21" xfId="0" quotePrefix="1" applyNumberFormat="1" applyFont="1" applyFill="1" applyBorder="1" applyAlignment="1">
      <alignment horizontal="left" vertical="center"/>
    </xf>
    <xf numFmtId="4" fontId="54" fillId="3" borderId="22" xfId="0" applyNumberFormat="1" applyFont="1" applyFill="1" applyBorder="1" applyAlignment="1">
      <alignment vertical="center"/>
    </xf>
    <xf numFmtId="165" fontId="55" fillId="3" borderId="23" xfId="0" quotePrefix="1" applyNumberFormat="1" applyFont="1" applyFill="1" applyBorder="1" applyAlignment="1">
      <alignment horizontal="left" vertical="center"/>
    </xf>
    <xf numFmtId="165" fontId="55" fillId="3" borderId="23" xfId="0" quotePrefix="1" applyNumberFormat="1" applyFont="1" applyFill="1" applyBorder="1" applyAlignment="1">
      <alignment vertical="center"/>
    </xf>
    <xf numFmtId="4" fontId="54" fillId="3" borderId="24" xfId="0" applyNumberFormat="1" applyFont="1" applyFill="1" applyBorder="1" applyAlignment="1">
      <alignment vertical="center"/>
    </xf>
    <xf numFmtId="165" fontId="55" fillId="3" borderId="25" xfId="0" quotePrefix="1" applyNumberFormat="1" applyFont="1" applyFill="1" applyBorder="1" applyAlignment="1">
      <alignment horizontal="left" vertical="center"/>
    </xf>
    <xf numFmtId="0" fontId="44" fillId="49" borderId="184" xfId="0" applyFont="1" applyFill="1" applyBorder="1" applyProtection="1">
      <protection hidden="1"/>
    </xf>
    <xf numFmtId="0" fontId="44" fillId="49" borderId="185" xfId="0" applyFont="1" applyFill="1" applyBorder="1" applyProtection="1">
      <protection hidden="1"/>
    </xf>
    <xf numFmtId="0" fontId="44" fillId="49" borderId="84" xfId="0" applyFont="1" applyFill="1" applyBorder="1" applyProtection="1">
      <protection hidden="1"/>
    </xf>
    <xf numFmtId="0" fontId="43" fillId="49" borderId="84" xfId="0" applyFont="1" applyFill="1" applyBorder="1" applyAlignment="1" applyProtection="1">
      <alignment vertical="center"/>
      <protection hidden="1"/>
    </xf>
    <xf numFmtId="0" fontId="43" fillId="49" borderId="84" xfId="0" applyFont="1" applyFill="1" applyBorder="1" applyProtection="1">
      <protection hidden="1"/>
    </xf>
    <xf numFmtId="0" fontId="44" fillId="49" borderId="85" xfId="0" applyFont="1" applyFill="1" applyBorder="1" applyProtection="1">
      <protection hidden="1"/>
    </xf>
    <xf numFmtId="0" fontId="44" fillId="49" borderId="187" xfId="0" applyFont="1" applyFill="1" applyBorder="1" applyProtection="1">
      <protection hidden="1"/>
    </xf>
    <xf numFmtId="0" fontId="44" fillId="49" borderId="0" xfId="0" applyFont="1" applyFill="1" applyProtection="1">
      <protection hidden="1"/>
    </xf>
    <xf numFmtId="0" fontId="43" fillId="49" borderId="0" xfId="0" applyFont="1" applyFill="1" applyProtection="1">
      <protection hidden="1"/>
    </xf>
    <xf numFmtId="0" fontId="43" fillId="49" borderId="0" xfId="0" applyFont="1" applyFill="1" applyAlignment="1" applyProtection="1">
      <alignment horizontal="right"/>
      <protection hidden="1"/>
    </xf>
    <xf numFmtId="0" fontId="44" fillId="49" borderId="87" xfId="0" applyFont="1" applyFill="1" applyBorder="1" applyProtection="1">
      <protection hidden="1"/>
    </xf>
    <xf numFmtId="0" fontId="44" fillId="49" borderId="0" xfId="0" quotePrefix="1" applyFont="1" applyFill="1" applyAlignment="1" applyProtection="1">
      <alignment horizontal="left" vertical="center"/>
      <protection hidden="1"/>
    </xf>
    <xf numFmtId="0" fontId="43" fillId="49" borderId="0" xfId="0" applyFont="1" applyFill="1" applyAlignment="1" applyProtection="1">
      <alignment vertical="center"/>
      <protection hidden="1"/>
    </xf>
    <xf numFmtId="0" fontId="44" fillId="49" borderId="451" xfId="0" applyFont="1" applyFill="1" applyBorder="1" applyProtection="1">
      <protection hidden="1"/>
    </xf>
    <xf numFmtId="0" fontId="44" fillId="49" borderId="189" xfId="0" applyFont="1" applyFill="1" applyBorder="1" applyProtection="1">
      <protection hidden="1"/>
    </xf>
    <xf numFmtId="0" fontId="44" fillId="49" borderId="80" xfId="0" applyFont="1" applyFill="1" applyBorder="1" applyProtection="1">
      <protection hidden="1"/>
    </xf>
    <xf numFmtId="0" fontId="44" fillId="49" borderId="80" xfId="0" quotePrefix="1" applyFont="1" applyFill="1" applyBorder="1" applyAlignment="1" applyProtection="1">
      <alignment horizontal="left" vertical="center"/>
      <protection hidden="1"/>
    </xf>
    <xf numFmtId="0" fontId="43" fillId="49" borderId="80" xfId="0" applyFont="1" applyFill="1" applyBorder="1" applyProtection="1">
      <protection hidden="1"/>
    </xf>
    <xf numFmtId="0" fontId="44" fillId="49" borderId="81" xfId="0" applyFont="1" applyFill="1" applyBorder="1" applyProtection="1">
      <protection hidden="1"/>
    </xf>
    <xf numFmtId="0" fontId="21" fillId="49" borderId="184" xfId="0" applyFont="1" applyFill="1" applyBorder="1" applyProtection="1">
      <protection hidden="1"/>
    </xf>
    <xf numFmtId="0" fontId="21" fillId="49" borderId="185" xfId="0" applyFont="1" applyFill="1" applyBorder="1" applyProtection="1">
      <protection hidden="1"/>
    </xf>
    <xf numFmtId="0" fontId="21" fillId="49" borderId="187" xfId="0" applyFont="1" applyFill="1" applyBorder="1" applyProtection="1">
      <protection hidden="1"/>
    </xf>
    <xf numFmtId="0" fontId="21" fillId="49" borderId="0" xfId="0" applyFont="1" applyFill="1" applyProtection="1">
      <protection hidden="1"/>
    </xf>
    <xf numFmtId="0" fontId="21" fillId="49" borderId="451" xfId="0" applyFont="1" applyFill="1" applyBorder="1" applyProtection="1">
      <protection hidden="1"/>
    </xf>
    <xf numFmtId="0" fontId="21" fillId="49" borderId="189" xfId="0" applyFont="1" applyFill="1" applyBorder="1" applyProtection="1">
      <protection hidden="1"/>
    </xf>
    <xf numFmtId="0" fontId="21" fillId="49" borderId="84" xfId="0" applyFont="1" applyFill="1" applyBorder="1" applyProtection="1">
      <protection hidden="1"/>
    </xf>
    <xf numFmtId="0" fontId="21" fillId="49" borderId="87" xfId="0" applyFont="1" applyFill="1" applyBorder="1" applyProtection="1">
      <protection hidden="1"/>
    </xf>
    <xf numFmtId="0" fontId="21" fillId="49" borderId="80" xfId="0" applyFont="1" applyFill="1" applyBorder="1" applyProtection="1">
      <protection hidden="1"/>
    </xf>
    <xf numFmtId="0" fontId="21" fillId="49" borderId="81" xfId="0" applyFont="1" applyFill="1" applyBorder="1" applyProtection="1">
      <protection hidden="1"/>
    </xf>
    <xf numFmtId="0" fontId="6" fillId="3" borderId="190" xfId="0" applyFont="1" applyFill="1" applyBorder="1" applyProtection="1">
      <protection hidden="1"/>
    </xf>
    <xf numFmtId="0" fontId="6" fillId="3" borderId="191" xfId="0" applyFont="1" applyFill="1" applyBorder="1" applyProtection="1">
      <protection hidden="1"/>
    </xf>
    <xf numFmtId="0" fontId="6" fillId="3" borderId="515" xfId="0" applyFont="1" applyFill="1" applyBorder="1" applyProtection="1">
      <protection hidden="1"/>
    </xf>
    <xf numFmtId="0" fontId="17" fillId="6" borderId="516" xfId="2" quotePrefix="1" applyFont="1" applyFill="1" applyBorder="1" applyAlignment="1" applyProtection="1">
      <alignment horizontal="center" vertical="center"/>
      <protection hidden="1"/>
    </xf>
    <xf numFmtId="0" fontId="17" fillId="6" borderId="516" xfId="1" quotePrefix="1" applyNumberFormat="1" applyFont="1" applyFill="1" applyBorder="1" applyAlignment="1" applyProtection="1">
      <alignment horizontal="center" vertical="center"/>
      <protection hidden="1"/>
    </xf>
    <xf numFmtId="0" fontId="17" fillId="6" borderId="516" xfId="1" applyNumberFormat="1" applyFont="1" applyFill="1" applyBorder="1" applyAlignment="1" applyProtection="1">
      <alignment horizontal="center" vertical="center"/>
      <protection hidden="1"/>
    </xf>
    <xf numFmtId="0" fontId="54" fillId="20" borderId="295" xfId="0" applyFont="1" applyFill="1" applyBorder="1"/>
    <xf numFmtId="0" fontId="71" fillId="0" borderId="45" xfId="0" applyFont="1" applyBorder="1" applyAlignment="1">
      <alignment horizontal="center" vertical="top" wrapText="1"/>
    </xf>
    <xf numFmtId="4" fontId="20" fillId="6" borderId="30" xfId="0" quotePrefix="1" applyNumberFormat="1" applyFont="1" applyFill="1" applyBorder="1" applyAlignment="1">
      <alignment vertical="center"/>
    </xf>
    <xf numFmtId="2" fontId="20" fillId="6" borderId="30" xfId="0" quotePrefix="1" applyNumberFormat="1" applyFont="1" applyFill="1" applyBorder="1" applyAlignment="1">
      <alignment vertical="center"/>
    </xf>
    <xf numFmtId="4" fontId="20" fillId="6" borderId="30" xfId="0" applyNumberFormat="1" applyFont="1" applyFill="1" applyBorder="1" applyAlignment="1">
      <alignment horizontal="right"/>
    </xf>
    <xf numFmtId="2" fontId="40" fillId="0" borderId="83" xfId="0" quotePrefix="1" applyNumberFormat="1" applyFont="1" applyBorder="1" applyAlignment="1" applyProtection="1">
      <alignment horizontal="left" vertical="top"/>
      <protection hidden="1"/>
    </xf>
    <xf numFmtId="2" fontId="40" fillId="0" borderId="84" xfId="0" quotePrefix="1" applyNumberFormat="1" applyFont="1" applyBorder="1" applyAlignment="1" applyProtection="1">
      <alignment horizontal="left" vertical="top"/>
      <protection hidden="1"/>
    </xf>
    <xf numFmtId="2" fontId="40" fillId="0" borderId="85" xfId="0" quotePrefix="1" applyNumberFormat="1" applyFont="1" applyBorder="1" applyAlignment="1" applyProtection="1">
      <alignment horizontal="left" vertical="top"/>
      <protection hidden="1"/>
    </xf>
    <xf numFmtId="2" fontId="40" fillId="0" borderId="86" xfId="0" quotePrefix="1" applyNumberFormat="1" applyFont="1" applyBorder="1" applyAlignment="1" applyProtection="1">
      <alignment horizontal="left" vertical="top"/>
      <protection hidden="1"/>
    </xf>
    <xf numFmtId="2" fontId="40" fillId="0" borderId="87" xfId="0" quotePrefix="1" applyNumberFormat="1" applyFont="1" applyBorder="1" applyAlignment="1" applyProtection="1">
      <alignment horizontal="left" vertical="top"/>
      <protection hidden="1"/>
    </xf>
    <xf numFmtId="4" fontId="82" fillId="5" borderId="30" xfId="0" applyNumberFormat="1" applyFont="1" applyFill="1" applyBorder="1"/>
    <xf numFmtId="3" fontId="5" fillId="5" borderId="109" xfId="0" applyNumberFormat="1" applyFont="1" applyFill="1" applyBorder="1"/>
    <xf numFmtId="3" fontId="5" fillId="5" borderId="30" xfId="0" applyNumberFormat="1" applyFont="1" applyFill="1" applyBorder="1"/>
    <xf numFmtId="3" fontId="5" fillId="5" borderId="138" xfId="0" applyNumberFormat="1" applyFont="1" applyFill="1" applyBorder="1"/>
    <xf numFmtId="3" fontId="5" fillId="5" borderId="136" xfId="0" applyNumberFormat="1" applyFont="1" applyFill="1" applyBorder="1"/>
    <xf numFmtId="3" fontId="5" fillId="5" borderId="55" xfId="0" applyNumberFormat="1" applyFont="1" applyFill="1" applyBorder="1"/>
    <xf numFmtId="3" fontId="5" fillId="5" borderId="52" xfId="0" applyNumberFormat="1" applyFont="1" applyFill="1" applyBorder="1"/>
    <xf numFmtId="3" fontId="5" fillId="5" borderId="261" xfId="0" applyNumberFormat="1" applyFont="1" applyFill="1" applyBorder="1"/>
    <xf numFmtId="3" fontId="5" fillId="5" borderId="124" xfId="0" applyNumberFormat="1" applyFont="1" applyFill="1" applyBorder="1"/>
    <xf numFmtId="3" fontId="5" fillId="5" borderId="264" xfId="0" applyNumberFormat="1" applyFont="1" applyFill="1" applyBorder="1"/>
    <xf numFmtId="0" fontId="60" fillId="15" borderId="43" xfId="0" quotePrefix="1" applyFont="1" applyFill="1" applyBorder="1" applyAlignment="1">
      <alignment horizontal="center" vertical="center"/>
    </xf>
    <xf numFmtId="3" fontId="45" fillId="0" borderId="30" xfId="0" applyNumberFormat="1" applyFont="1" applyBorder="1" applyAlignment="1">
      <alignment horizontal="center"/>
    </xf>
    <xf numFmtId="0" fontId="45" fillId="5" borderId="124" xfId="0" applyFont="1" applyFill="1" applyBorder="1"/>
    <xf numFmtId="2" fontId="40" fillId="0" borderId="0" xfId="0" quotePrefix="1" applyNumberFormat="1" applyFont="1" applyAlignment="1" applyProtection="1">
      <alignment horizontal="left" vertical="top"/>
      <protection hidden="1"/>
    </xf>
    <xf numFmtId="0" fontId="6" fillId="0" borderId="69" xfId="0" quotePrefix="1" applyFont="1" applyBorder="1" applyAlignment="1" applyProtection="1">
      <alignment horizontal="left" vertical="center"/>
      <protection hidden="1"/>
    </xf>
    <xf numFmtId="0" fontId="6" fillId="0" borderId="73" xfId="0" quotePrefix="1" applyFont="1" applyBorder="1" applyAlignment="1" applyProtection="1">
      <alignment horizontal="left" vertical="center"/>
      <protection hidden="1"/>
    </xf>
    <xf numFmtId="0" fontId="6" fillId="46" borderId="407" xfId="0" quotePrefix="1" applyFont="1" applyFill="1" applyBorder="1" applyAlignment="1" applyProtection="1">
      <alignment horizontal="left" vertical="center"/>
      <protection hidden="1"/>
    </xf>
    <xf numFmtId="174" fontId="10" fillId="9" borderId="526" xfId="0" quotePrefix="1" applyNumberFormat="1" applyFont="1" applyFill="1" applyBorder="1" applyAlignment="1" applyProtection="1">
      <alignment horizontal="center" vertical="center"/>
      <protection hidden="1"/>
    </xf>
    <xf numFmtId="174" fontId="10" fillId="9" borderId="149" xfId="0" quotePrefix="1" applyNumberFormat="1" applyFont="1" applyFill="1" applyBorder="1" applyAlignment="1" applyProtection="1">
      <alignment horizontal="center" vertical="center"/>
      <protection hidden="1"/>
    </xf>
    <xf numFmtId="174" fontId="10" fillId="9" borderId="419" xfId="0" quotePrefix="1" applyNumberFormat="1" applyFont="1" applyFill="1" applyBorder="1" applyAlignment="1" applyProtection="1">
      <alignment horizontal="center" vertical="center"/>
      <protection hidden="1"/>
    </xf>
    <xf numFmtId="0" fontId="6" fillId="0" borderId="104" xfId="0" quotePrefix="1" applyFont="1" applyBorder="1" applyAlignment="1" applyProtection="1">
      <alignment horizontal="left" vertical="center"/>
      <protection hidden="1"/>
    </xf>
    <xf numFmtId="2" fontId="8" fillId="46" borderId="408" xfId="0" quotePrefix="1" applyNumberFormat="1" applyFont="1" applyFill="1" applyBorder="1" applyAlignment="1" applyProtection="1">
      <alignment horizontal="left" vertical="center"/>
      <protection hidden="1"/>
    </xf>
    <xf numFmtId="174" fontId="25" fillId="9" borderId="389" xfId="0" quotePrefix="1" applyNumberFormat="1" applyFont="1" applyFill="1" applyBorder="1" applyAlignment="1" applyProtection="1">
      <alignment horizontal="center" vertical="center"/>
      <protection hidden="1"/>
    </xf>
    <xf numFmtId="174" fontId="25" fillId="9" borderId="123" xfId="0" quotePrefix="1" applyNumberFormat="1" applyFont="1" applyFill="1" applyBorder="1" applyAlignment="1" applyProtection="1">
      <alignment horizontal="center" vertical="center"/>
      <protection hidden="1"/>
    </xf>
    <xf numFmtId="174" fontId="25" fillId="9" borderId="283" xfId="0" quotePrefix="1" applyNumberFormat="1" applyFont="1" applyFill="1" applyBorder="1" applyAlignment="1" applyProtection="1">
      <alignment horizontal="center" vertical="center"/>
      <protection hidden="1"/>
    </xf>
    <xf numFmtId="174" fontId="25" fillId="9" borderId="141" xfId="0" quotePrefix="1" applyNumberFormat="1" applyFont="1" applyFill="1" applyBorder="1" applyAlignment="1" applyProtection="1">
      <alignment horizontal="center" vertical="center"/>
      <protection hidden="1"/>
    </xf>
    <xf numFmtId="174" fontId="25" fillId="9" borderId="447" xfId="0" quotePrefix="1" applyNumberFormat="1" applyFont="1" applyFill="1" applyBorder="1" applyAlignment="1" applyProtection="1">
      <alignment horizontal="center" vertical="center"/>
      <protection hidden="1"/>
    </xf>
    <xf numFmtId="174" fontId="25" fillId="9" borderId="160" xfId="0" quotePrefix="1" applyNumberFormat="1" applyFont="1" applyFill="1" applyBorder="1" applyAlignment="1" applyProtection="1">
      <alignment horizontal="center" vertical="center"/>
      <protection hidden="1"/>
    </xf>
    <xf numFmtId="174" fontId="25" fillId="9" borderId="418" xfId="0" quotePrefix="1" applyNumberFormat="1" applyFont="1" applyFill="1" applyBorder="1" applyAlignment="1" applyProtection="1">
      <alignment horizontal="center" vertical="center"/>
      <protection hidden="1"/>
    </xf>
    <xf numFmtId="1" fontId="20" fillId="6" borderId="30" xfId="0" quotePrefix="1" applyNumberFormat="1" applyFont="1" applyFill="1" applyBorder="1" applyAlignment="1">
      <alignment vertical="center"/>
    </xf>
    <xf numFmtId="3" fontId="63" fillId="6" borderId="30" xfId="0" applyNumberFormat="1" applyFont="1" applyFill="1" applyBorder="1"/>
    <xf numFmtId="3" fontId="20" fillId="12" borderId="30" xfId="0" applyNumberFormat="1" applyFont="1" applyFill="1" applyBorder="1"/>
    <xf numFmtId="0" fontId="6" fillId="0" borderId="529" xfId="0" applyFont="1" applyBorder="1" applyProtection="1">
      <protection hidden="1"/>
    </xf>
    <xf numFmtId="174" fontId="25" fillId="0" borderId="530" xfId="0" quotePrefix="1" applyNumberFormat="1" applyFont="1" applyBorder="1" applyAlignment="1" applyProtection="1">
      <alignment horizontal="center" vertical="center"/>
      <protection hidden="1"/>
    </xf>
    <xf numFmtId="174" fontId="25" fillId="0" borderId="531" xfId="0" quotePrefix="1" applyNumberFormat="1" applyFont="1" applyBorder="1" applyAlignment="1" applyProtection="1">
      <alignment horizontal="center" vertical="center"/>
      <protection hidden="1"/>
    </xf>
    <xf numFmtId="174" fontId="10" fillId="48" borderId="532" xfId="1" applyNumberFormat="1" applyFont="1" applyFill="1" applyBorder="1" applyAlignment="1">
      <alignment horizontal="center"/>
    </xf>
    <xf numFmtId="2" fontId="55" fillId="0" borderId="49" xfId="0" quotePrefix="1" applyNumberFormat="1" applyFont="1" applyBorder="1" applyAlignment="1">
      <alignment vertical="center"/>
    </xf>
    <xf numFmtId="2" fontId="55" fillId="0" borderId="47" xfId="0" quotePrefix="1" applyNumberFormat="1" applyFont="1" applyBorder="1" applyAlignment="1">
      <alignment vertical="center"/>
    </xf>
    <xf numFmtId="2" fontId="55" fillId="0" borderId="50" xfId="0" applyNumberFormat="1" applyFont="1" applyBorder="1" applyAlignment="1">
      <alignment vertical="center"/>
    </xf>
    <xf numFmtId="2" fontId="55" fillId="0" borderId="48" xfId="0" applyNumberFormat="1" applyFont="1" applyBorder="1" applyAlignment="1">
      <alignment vertical="center"/>
    </xf>
    <xf numFmtId="2" fontId="55" fillId="0" borderId="26" xfId="0" quotePrefix="1" applyNumberFormat="1" applyFont="1" applyBorder="1" applyAlignment="1">
      <alignment vertical="center"/>
    </xf>
    <xf numFmtId="2" fontId="55" fillId="0" borderId="34" xfId="0" quotePrefix="1" applyNumberFormat="1" applyFont="1" applyBorder="1" applyAlignment="1">
      <alignment vertical="center"/>
    </xf>
    <xf numFmtId="2" fontId="55" fillId="0" borderId="27" xfId="0" applyNumberFormat="1" applyFont="1" applyBorder="1" applyAlignment="1">
      <alignment vertical="center"/>
    </xf>
    <xf numFmtId="2" fontId="55" fillId="0" borderId="28" xfId="0" quotePrefix="1" applyNumberFormat="1" applyFont="1" applyBorder="1" applyAlignment="1">
      <alignment vertical="center"/>
    </xf>
    <xf numFmtId="3" fontId="20" fillId="5" borderId="30" xfId="0" applyNumberFormat="1" applyFont="1" applyFill="1" applyBorder="1"/>
    <xf numFmtId="2" fontId="20" fillId="5" borderId="30" xfId="0" quotePrefix="1" applyNumberFormat="1" applyFont="1" applyFill="1" applyBorder="1" applyAlignment="1">
      <alignment vertical="center"/>
    </xf>
    <xf numFmtId="4" fontId="82" fillId="23" borderId="30" xfId="0" applyNumberFormat="1" applyFont="1" applyFill="1" applyBorder="1"/>
    <xf numFmtId="0" fontId="4" fillId="5" borderId="173" xfId="0" applyFont="1" applyFill="1" applyBorder="1" applyAlignment="1">
      <alignment horizontal="center" vertical="center" wrapText="1"/>
    </xf>
    <xf numFmtId="4" fontId="5" fillId="5" borderId="120" xfId="0" applyNumberFormat="1" applyFont="1" applyFill="1" applyBorder="1"/>
    <xf numFmtId="4" fontId="5" fillId="5" borderId="55" xfId="0" applyNumberFormat="1" applyFont="1" applyFill="1" applyBorder="1"/>
    <xf numFmtId="4" fontId="9" fillId="5" borderId="155" xfId="0" applyNumberFormat="1" applyFont="1" applyFill="1" applyBorder="1"/>
    <xf numFmtId="4" fontId="5" fillId="5" borderId="55" xfId="0" quotePrefix="1" applyNumberFormat="1" applyFont="1" applyFill="1" applyBorder="1" applyAlignment="1">
      <alignment horizontal="left"/>
    </xf>
    <xf numFmtId="4" fontId="9" fillId="5" borderId="145" xfId="0" applyNumberFormat="1" applyFont="1" applyFill="1" applyBorder="1"/>
    <xf numFmtId="4" fontId="5" fillId="5" borderId="136" xfId="0" applyNumberFormat="1" applyFont="1" applyFill="1" applyBorder="1"/>
    <xf numFmtId="4" fontId="5" fillId="5" borderId="136" xfId="0" quotePrefix="1" applyNumberFormat="1" applyFont="1" applyFill="1" applyBorder="1" applyAlignment="1">
      <alignment horizontal="left"/>
    </xf>
    <xf numFmtId="4" fontId="9" fillId="5" borderId="261" xfId="0" applyNumberFormat="1" applyFont="1" applyFill="1" applyBorder="1"/>
    <xf numFmtId="1" fontId="20" fillId="5" borderId="30" xfId="0" quotePrefix="1" applyNumberFormat="1" applyFont="1" applyFill="1" applyBorder="1" applyAlignment="1">
      <alignment vertical="center"/>
    </xf>
    <xf numFmtId="0" fontId="6" fillId="5" borderId="0" xfId="0" applyFont="1" applyFill="1"/>
    <xf numFmtId="2" fontId="20" fillId="5" borderId="30" xfId="0" applyNumberFormat="1" applyFont="1" applyFill="1" applyBorder="1"/>
    <xf numFmtId="3" fontId="20" fillId="0" borderId="30" xfId="0" applyNumberFormat="1" applyFont="1" applyBorder="1"/>
    <xf numFmtId="4" fontId="83" fillId="6" borderId="30" xfId="0" applyNumberFormat="1" applyFont="1" applyFill="1" applyBorder="1"/>
    <xf numFmtId="4" fontId="20" fillId="11" borderId="144" xfId="0" applyNumberFormat="1" applyFont="1" applyFill="1" applyBorder="1"/>
    <xf numFmtId="2" fontId="20" fillId="6" borderId="52" xfId="0" quotePrefix="1" applyNumberFormat="1" applyFont="1" applyFill="1" applyBorder="1" applyAlignment="1">
      <alignment horizontal="left" vertical="center"/>
    </xf>
    <xf numFmtId="169" fontId="20" fillId="6" borderId="52" xfId="0" applyNumberFormat="1" applyFont="1" applyFill="1" applyBorder="1"/>
    <xf numFmtId="4" fontId="20" fillId="6" borderId="52" xfId="0" applyNumberFormat="1" applyFont="1" applyFill="1" applyBorder="1"/>
    <xf numFmtId="3" fontId="20" fillId="6" borderId="52" xfId="0" applyNumberFormat="1" applyFont="1" applyFill="1" applyBorder="1"/>
    <xf numFmtId="3" fontId="20" fillId="0" borderId="52" xfId="0" applyNumberFormat="1" applyFont="1" applyBorder="1"/>
    <xf numFmtId="169" fontId="20" fillId="0" borderId="52" xfId="0" applyNumberFormat="1" applyFont="1" applyBorder="1"/>
    <xf numFmtId="2" fontId="20" fillId="6" borderId="55" xfId="0" quotePrefix="1" applyNumberFormat="1" applyFont="1" applyFill="1" applyBorder="1" applyAlignment="1">
      <alignment horizontal="left" vertical="center"/>
    </xf>
    <xf numFmtId="4" fontId="20" fillId="6" borderId="55" xfId="0" applyNumberFormat="1" applyFont="1" applyFill="1" applyBorder="1"/>
    <xf numFmtId="4" fontId="83" fillId="6" borderId="55" xfId="0" applyNumberFormat="1" applyFont="1" applyFill="1" applyBorder="1"/>
    <xf numFmtId="4" fontId="20" fillId="0" borderId="55" xfId="0" applyNumberFormat="1" applyFont="1" applyBorder="1"/>
    <xf numFmtId="3" fontId="20" fillId="6" borderId="55" xfId="0" applyNumberFormat="1" applyFont="1" applyFill="1" applyBorder="1"/>
    <xf numFmtId="4" fontId="20" fillId="11" borderId="533" xfId="0" applyNumberFormat="1" applyFont="1" applyFill="1" applyBorder="1"/>
    <xf numFmtId="2" fontId="20" fillId="6" borderId="534" xfId="0" quotePrefix="1" applyNumberFormat="1" applyFont="1" applyFill="1" applyBorder="1" applyAlignment="1">
      <alignment horizontal="left" vertical="center"/>
    </xf>
    <xf numFmtId="169" fontId="20" fillId="6" borderId="534" xfId="0" applyNumberFormat="1" applyFont="1" applyFill="1" applyBorder="1"/>
    <xf numFmtId="4" fontId="20" fillId="6" borderId="534" xfId="0" applyNumberFormat="1" applyFont="1" applyFill="1" applyBorder="1"/>
    <xf numFmtId="4" fontId="83" fillId="6" borderId="534" xfId="0" applyNumberFormat="1" applyFont="1" applyFill="1" applyBorder="1"/>
    <xf numFmtId="4" fontId="20" fillId="0" borderId="534" xfId="0" applyNumberFormat="1" applyFont="1" applyBorder="1"/>
    <xf numFmtId="3" fontId="20" fillId="6" borderId="534" xfId="0" applyNumberFormat="1" applyFont="1" applyFill="1" applyBorder="1"/>
    <xf numFmtId="4" fontId="20" fillId="11" borderId="536" xfId="0" applyNumberFormat="1" applyFont="1" applyFill="1" applyBorder="1"/>
    <xf numFmtId="4" fontId="20" fillId="11" borderId="538" xfId="0" applyNumberFormat="1" applyFont="1" applyFill="1" applyBorder="1"/>
    <xf numFmtId="2" fontId="20" fillId="6" borderId="539" xfId="0" quotePrefix="1" applyNumberFormat="1" applyFont="1" applyFill="1" applyBorder="1" applyAlignment="1">
      <alignment horizontal="left" vertical="center"/>
    </xf>
    <xf numFmtId="169" fontId="20" fillId="6" borderId="539" xfId="0" applyNumberFormat="1" applyFont="1" applyFill="1" applyBorder="1"/>
    <xf numFmtId="4" fontId="20" fillId="6" borderId="539" xfId="0" applyNumberFormat="1" applyFont="1" applyFill="1" applyBorder="1"/>
    <xf numFmtId="4" fontId="83" fillId="6" borderId="539" xfId="0" applyNumberFormat="1" applyFont="1" applyFill="1" applyBorder="1"/>
    <xf numFmtId="4" fontId="20" fillId="0" borderId="539" xfId="0" applyNumberFormat="1" applyFont="1" applyBorder="1"/>
    <xf numFmtId="3" fontId="20" fillId="6" borderId="539" xfId="0" applyNumberFormat="1" applyFont="1" applyFill="1" applyBorder="1"/>
    <xf numFmtId="4" fontId="20" fillId="11" borderId="541" xfId="0" applyNumberFormat="1" applyFont="1" applyFill="1" applyBorder="1"/>
    <xf numFmtId="4" fontId="20" fillId="11" borderId="542" xfId="0" applyNumberFormat="1" applyFont="1" applyFill="1" applyBorder="1"/>
    <xf numFmtId="2" fontId="20" fillId="6" borderId="543" xfId="0" quotePrefix="1" applyNumberFormat="1" applyFont="1" applyFill="1" applyBorder="1" applyAlignment="1">
      <alignment horizontal="left" vertical="center"/>
    </xf>
    <xf numFmtId="4" fontId="20" fillId="6" borderId="543" xfId="0" applyNumberFormat="1" applyFont="1" applyFill="1" applyBorder="1"/>
    <xf numFmtId="4" fontId="83" fillId="6" borderId="543" xfId="0" applyNumberFormat="1" applyFont="1" applyFill="1" applyBorder="1"/>
    <xf numFmtId="4" fontId="20" fillId="0" borderId="543" xfId="0" applyNumberFormat="1" applyFont="1" applyBorder="1"/>
    <xf numFmtId="3" fontId="20" fillId="6" borderId="543" xfId="0" applyNumberFormat="1" applyFont="1" applyFill="1" applyBorder="1"/>
    <xf numFmtId="4" fontId="9" fillId="5" borderId="124" xfId="0" applyNumberFormat="1" applyFont="1" applyFill="1" applyBorder="1"/>
    <xf numFmtId="4" fontId="20" fillId="0" borderId="52" xfId="0" quotePrefix="1" applyNumberFormat="1" applyFont="1" applyBorder="1" applyAlignment="1">
      <alignment horizontal="left"/>
    </xf>
    <xf numFmtId="4" fontId="20" fillId="0" borderId="534" xfId="0" quotePrefix="1" applyNumberFormat="1" applyFont="1" applyBorder="1" applyAlignment="1">
      <alignment horizontal="left"/>
    </xf>
    <xf numFmtId="4" fontId="20" fillId="0" borderId="30" xfId="0" quotePrefix="1" applyNumberFormat="1" applyFont="1" applyBorder="1" applyAlignment="1">
      <alignment horizontal="left"/>
    </xf>
    <xf numFmtId="4" fontId="20" fillId="0" borderId="539" xfId="0" quotePrefix="1" applyNumberFormat="1" applyFont="1" applyBorder="1" applyAlignment="1">
      <alignment horizontal="left"/>
    </xf>
    <xf numFmtId="4" fontId="20" fillId="0" borderId="55" xfId="0" quotePrefix="1" applyNumberFormat="1" applyFont="1" applyBorder="1" applyAlignment="1">
      <alignment horizontal="left"/>
    </xf>
    <xf numFmtId="4" fontId="20" fillId="0" borderId="543" xfId="0" quotePrefix="1" applyNumberFormat="1" applyFont="1" applyBorder="1" applyAlignment="1">
      <alignment horizontal="left"/>
    </xf>
    <xf numFmtId="3" fontId="20" fillId="5" borderId="535" xfId="0" applyNumberFormat="1" applyFont="1" applyFill="1" applyBorder="1"/>
    <xf numFmtId="3" fontId="20" fillId="5" borderId="537" xfId="0" applyNumberFormat="1" applyFont="1" applyFill="1" applyBorder="1"/>
    <xf numFmtId="3" fontId="20" fillId="5" borderId="540" xfId="0" applyNumberFormat="1" applyFont="1" applyFill="1" applyBorder="1"/>
    <xf numFmtId="3" fontId="20" fillId="5" borderId="328" xfId="0" applyNumberFormat="1" applyFont="1" applyFill="1" applyBorder="1"/>
    <xf numFmtId="3" fontId="20" fillId="5" borderId="544" xfId="0" applyNumberFormat="1" applyFont="1" applyFill="1" applyBorder="1"/>
    <xf numFmtId="0" fontId="54" fillId="5" borderId="40" xfId="0" applyFont="1" applyFill="1" applyBorder="1"/>
    <xf numFmtId="174" fontId="25" fillId="0" borderId="545" xfId="0" quotePrefix="1" applyNumberFormat="1" applyFont="1" applyBorder="1" applyAlignment="1" applyProtection="1">
      <alignment horizontal="center" vertical="center"/>
      <protection hidden="1"/>
    </xf>
    <xf numFmtId="174" fontId="10" fillId="9" borderId="475" xfId="0" quotePrefix="1" applyNumberFormat="1" applyFont="1" applyFill="1" applyBorder="1" applyAlignment="1" applyProtection="1">
      <alignment horizontal="center" vertical="center"/>
      <protection hidden="1"/>
    </xf>
    <xf numFmtId="4" fontId="9" fillId="5" borderId="261" xfId="0" quotePrefix="1" applyNumberFormat="1" applyFont="1" applyFill="1" applyBorder="1" applyAlignment="1">
      <alignment horizontal="left"/>
    </xf>
    <xf numFmtId="0" fontId="84" fillId="49" borderId="0" xfId="0" applyFont="1" applyFill="1" applyAlignment="1" applyProtection="1">
      <alignment horizontal="right"/>
      <protection hidden="1"/>
    </xf>
    <xf numFmtId="0" fontId="36" fillId="0" borderId="0" xfId="0" applyFont="1" applyProtection="1">
      <protection locked="0"/>
    </xf>
    <xf numFmtId="0" fontId="54" fillId="16" borderId="546" xfId="0" quotePrefix="1" applyFont="1" applyFill="1" applyBorder="1" applyAlignment="1">
      <alignment horizontal="left" vertical="center"/>
    </xf>
    <xf numFmtId="2" fontId="20" fillId="0" borderId="547" xfId="0" quotePrefix="1" applyNumberFormat="1" applyFont="1" applyBorder="1" applyAlignment="1">
      <alignment horizontal="left" vertical="center"/>
    </xf>
    <xf numFmtId="4" fontId="20" fillId="6" borderId="547" xfId="0" quotePrefix="1" applyNumberFormat="1" applyFont="1" applyFill="1" applyBorder="1" applyAlignment="1">
      <alignment horizontal="left"/>
    </xf>
    <xf numFmtId="0" fontId="54" fillId="0" borderId="548" xfId="0" applyFont="1" applyBorder="1"/>
    <xf numFmtId="169" fontId="60" fillId="24" borderId="547" xfId="0" applyNumberFormat="1" applyFont="1" applyFill="1" applyBorder="1"/>
    <xf numFmtId="4" fontId="20" fillId="24" borderId="547" xfId="0" applyNumberFormat="1" applyFont="1" applyFill="1" applyBorder="1"/>
    <xf numFmtId="169" fontId="20" fillId="0" borderId="547" xfId="0" applyNumberFormat="1" applyFont="1" applyBorder="1"/>
    <xf numFmtId="169" fontId="20" fillId="6" borderId="547" xfId="0" applyNumberFormat="1" applyFont="1" applyFill="1" applyBorder="1"/>
    <xf numFmtId="0" fontId="15" fillId="3" borderId="184" xfId="0" applyFont="1" applyFill="1" applyBorder="1" applyProtection="1">
      <protection hidden="1"/>
    </xf>
    <xf numFmtId="0" fontId="15" fillId="3" borderId="185" xfId="0" applyFont="1" applyFill="1" applyBorder="1" applyProtection="1">
      <protection hidden="1"/>
    </xf>
    <xf numFmtId="0" fontId="85" fillId="3" borderId="185" xfId="0" applyFont="1" applyFill="1" applyBorder="1" applyAlignment="1" applyProtection="1">
      <alignment vertical="center"/>
      <protection hidden="1"/>
    </xf>
    <xf numFmtId="0" fontId="12" fillId="3" borderId="185" xfId="0" applyFont="1" applyFill="1" applyBorder="1" applyAlignment="1" applyProtection="1">
      <alignment horizontal="left" vertical="center"/>
      <protection hidden="1"/>
    </xf>
    <xf numFmtId="0" fontId="12" fillId="3" borderId="185" xfId="0" applyFont="1" applyFill="1" applyBorder="1" applyProtection="1">
      <protection hidden="1"/>
    </xf>
    <xf numFmtId="0" fontId="15" fillId="3" borderId="186" xfId="0" applyFont="1" applyFill="1" applyBorder="1" applyProtection="1">
      <protection hidden="1"/>
    </xf>
    <xf numFmtId="0" fontId="15" fillId="3" borderId="187" xfId="0" applyFont="1" applyFill="1" applyBorder="1" applyProtection="1">
      <protection hidden="1"/>
    </xf>
    <xf numFmtId="0" fontId="15" fillId="3" borderId="0" xfId="0" applyFont="1" applyFill="1" applyProtection="1">
      <protection hidden="1"/>
    </xf>
    <xf numFmtId="0" fontId="85" fillId="3" borderId="0" xfId="0" applyFont="1" applyFill="1" applyAlignment="1" applyProtection="1">
      <alignment vertical="center"/>
      <protection hidden="1"/>
    </xf>
    <xf numFmtId="0" fontId="15" fillId="3" borderId="0" xfId="0" quotePrefix="1" applyFont="1" applyFill="1" applyAlignment="1" applyProtection="1">
      <alignment horizontal="left" vertical="center"/>
      <protection hidden="1"/>
    </xf>
    <xf numFmtId="0" fontId="12" fillId="3" borderId="0" xfId="0" applyFont="1" applyFill="1" applyProtection="1">
      <protection hidden="1"/>
    </xf>
    <xf numFmtId="0" fontId="15" fillId="3" borderId="188" xfId="0" applyFont="1" applyFill="1" applyBorder="1" applyProtection="1">
      <protection hidden="1"/>
    </xf>
    <xf numFmtId="0" fontId="12" fillId="3" borderId="0" xfId="0" applyFont="1" applyFill="1" applyAlignment="1" applyProtection="1">
      <alignment horizontal="right"/>
      <protection hidden="1"/>
    </xf>
    <xf numFmtId="0" fontId="12" fillId="3" borderId="0" xfId="0" applyFont="1" applyFill="1" applyAlignment="1" applyProtection="1">
      <alignment vertical="center"/>
      <protection hidden="1"/>
    </xf>
    <xf numFmtId="0" fontId="15" fillId="3" borderId="0" xfId="0" quotePrefix="1" applyFont="1" applyFill="1" applyAlignment="1" applyProtection="1">
      <alignment horizontal="left"/>
      <protection hidden="1"/>
    </xf>
    <xf numFmtId="0" fontId="12" fillId="3" borderId="0" xfId="0" quotePrefix="1" applyFont="1" applyFill="1" applyAlignment="1" applyProtection="1">
      <alignment horizontal="right"/>
      <protection hidden="1"/>
    </xf>
    <xf numFmtId="0" fontId="15" fillId="3" borderId="451" xfId="0" applyFont="1" applyFill="1" applyBorder="1" applyProtection="1">
      <protection hidden="1"/>
    </xf>
    <xf numFmtId="0" fontId="15" fillId="3" borderId="189" xfId="0" applyFont="1" applyFill="1" applyBorder="1" applyProtection="1">
      <protection hidden="1"/>
    </xf>
    <xf numFmtId="0" fontId="85" fillId="3" borderId="189" xfId="0" applyFont="1" applyFill="1" applyBorder="1" applyAlignment="1" applyProtection="1">
      <alignment vertical="center"/>
      <protection hidden="1"/>
    </xf>
    <xf numFmtId="0" fontId="15" fillId="3" borderId="189" xfId="0" quotePrefix="1" applyFont="1" applyFill="1" applyBorder="1" applyAlignment="1" applyProtection="1">
      <alignment horizontal="left" vertical="center"/>
      <protection hidden="1"/>
    </xf>
    <xf numFmtId="0" fontId="12" fillId="3" borderId="189" xfId="0" applyFont="1" applyFill="1" applyBorder="1" applyProtection="1">
      <protection hidden="1"/>
    </xf>
    <xf numFmtId="0" fontId="15" fillId="3" borderId="452" xfId="0" applyFont="1" applyFill="1" applyBorder="1" applyProtection="1">
      <protection hidden="1"/>
    </xf>
    <xf numFmtId="164" fontId="29" fillId="12" borderId="490" xfId="0" applyNumberFormat="1" applyFont="1" applyFill="1" applyBorder="1" applyAlignment="1" applyProtection="1">
      <alignment horizontal="left"/>
      <protection locked="0"/>
    </xf>
    <xf numFmtId="164" fontId="29" fillId="12" borderId="379" xfId="0" applyNumberFormat="1" applyFont="1" applyFill="1" applyBorder="1" applyAlignment="1" applyProtection="1">
      <alignment horizontal="left"/>
      <protection locked="0"/>
    </xf>
    <xf numFmtId="0" fontId="29" fillId="12" borderId="286" xfId="0" quotePrefix="1" applyFont="1" applyFill="1" applyBorder="1" applyAlignment="1" applyProtection="1">
      <alignment horizontal="left"/>
      <protection locked="0"/>
    </xf>
    <xf numFmtId="0" fontId="29" fillId="12" borderId="491" xfId="0" quotePrefix="1" applyFont="1" applyFill="1" applyBorder="1" applyAlignment="1" applyProtection="1">
      <alignment horizontal="left"/>
      <protection locked="0"/>
    </xf>
    <xf numFmtId="0" fontId="29" fillId="12" borderId="286" xfId="0" quotePrefix="1" applyFont="1" applyFill="1" applyBorder="1" applyAlignment="1" applyProtection="1">
      <alignment vertical="top" wrapText="1"/>
      <protection locked="0"/>
    </xf>
    <xf numFmtId="0" fontId="29" fillId="12" borderId="380" xfId="0" quotePrefix="1" applyFont="1" applyFill="1" applyBorder="1" applyAlignment="1" applyProtection="1">
      <alignment horizontal="left"/>
      <protection locked="0"/>
    </xf>
    <xf numFmtId="2" fontId="40" fillId="0" borderId="83" xfId="0" quotePrefix="1" applyNumberFormat="1" applyFont="1" applyBorder="1" applyAlignment="1" applyProtection="1">
      <alignment horizontal="left" vertical="top"/>
      <protection hidden="1"/>
    </xf>
    <xf numFmtId="2" fontId="40" fillId="0" borderId="84" xfId="0" quotePrefix="1" applyNumberFormat="1" applyFont="1" applyBorder="1" applyAlignment="1" applyProtection="1">
      <alignment horizontal="left" vertical="top"/>
      <protection hidden="1"/>
    </xf>
    <xf numFmtId="2" fontId="40" fillId="0" borderId="85" xfId="0" quotePrefix="1" applyNumberFormat="1" applyFont="1" applyBorder="1" applyAlignment="1" applyProtection="1">
      <alignment horizontal="left" vertical="top"/>
      <protection hidden="1"/>
    </xf>
    <xf numFmtId="2" fontId="40" fillId="0" borderId="79" xfId="0" quotePrefix="1" applyNumberFormat="1" applyFont="1" applyBorder="1" applyAlignment="1" applyProtection="1">
      <alignment horizontal="left" vertical="top"/>
      <protection hidden="1"/>
    </xf>
    <xf numFmtId="2" fontId="40" fillId="0" borderId="80" xfId="0" quotePrefix="1" applyNumberFormat="1" applyFont="1" applyBorder="1" applyAlignment="1" applyProtection="1">
      <alignment horizontal="left" vertical="top"/>
      <protection hidden="1"/>
    </xf>
    <xf numFmtId="2" fontId="40" fillId="0" borderId="81" xfId="0" quotePrefix="1" applyNumberFormat="1" applyFont="1" applyBorder="1" applyAlignment="1" applyProtection="1">
      <alignment horizontal="left" vertical="top"/>
      <protection hidden="1"/>
    </xf>
    <xf numFmtId="0" fontId="21" fillId="34" borderId="84" xfId="0" quotePrefix="1" applyFont="1" applyFill="1" applyBorder="1" applyAlignment="1" applyProtection="1">
      <alignment horizontal="left" vertical="center" wrapText="1"/>
      <protection hidden="1"/>
    </xf>
    <xf numFmtId="0" fontId="21" fillId="34" borderId="85" xfId="0" quotePrefix="1" applyFont="1" applyFill="1" applyBorder="1" applyAlignment="1" applyProtection="1">
      <alignment horizontal="left" vertical="center" wrapText="1"/>
      <protection hidden="1"/>
    </xf>
    <xf numFmtId="0" fontId="21" fillId="34" borderId="80" xfId="0" quotePrefix="1" applyFont="1" applyFill="1" applyBorder="1" applyAlignment="1" applyProtection="1">
      <alignment horizontal="left" vertical="center" wrapText="1"/>
      <protection hidden="1"/>
    </xf>
    <xf numFmtId="0" fontId="21" fillId="34" borderId="81" xfId="0" quotePrefix="1" applyFont="1" applyFill="1" applyBorder="1" applyAlignment="1" applyProtection="1">
      <alignment horizontal="left" vertical="center" wrapText="1"/>
      <protection hidden="1"/>
    </xf>
    <xf numFmtId="2" fontId="40" fillId="0" borderId="83" xfId="0" applyNumberFormat="1" applyFont="1" applyBorder="1" applyAlignment="1" applyProtection="1">
      <alignment horizontal="left" vertical="top"/>
      <protection hidden="1"/>
    </xf>
    <xf numFmtId="2" fontId="40" fillId="0" borderId="84" xfId="0" applyNumberFormat="1" applyFont="1" applyBorder="1" applyAlignment="1" applyProtection="1">
      <alignment horizontal="left" vertical="top"/>
      <protection hidden="1"/>
    </xf>
    <xf numFmtId="2" fontId="40" fillId="0" borderId="85" xfId="0" applyNumberFormat="1" applyFont="1" applyBorder="1" applyAlignment="1" applyProtection="1">
      <alignment horizontal="left" vertical="top"/>
      <protection hidden="1"/>
    </xf>
    <xf numFmtId="2" fontId="40" fillId="0" borderId="86" xfId="0" applyNumberFormat="1" applyFont="1" applyBorder="1" applyAlignment="1" applyProtection="1">
      <alignment horizontal="left" vertical="top"/>
      <protection hidden="1"/>
    </xf>
    <xf numFmtId="2" fontId="40" fillId="0" borderId="0" xfId="0" applyNumberFormat="1" applyFont="1" applyAlignment="1" applyProtection="1">
      <alignment horizontal="left" vertical="top"/>
      <protection hidden="1"/>
    </xf>
    <xf numFmtId="2" fontId="40" fillId="0" borderId="87" xfId="0" applyNumberFormat="1" applyFont="1" applyBorder="1" applyAlignment="1" applyProtection="1">
      <alignment horizontal="left" vertical="top"/>
      <protection hidden="1"/>
    </xf>
    <xf numFmtId="2" fontId="40" fillId="0" borderId="79" xfId="0" applyNumberFormat="1" applyFont="1" applyBorder="1" applyAlignment="1" applyProtection="1">
      <alignment horizontal="left" vertical="top"/>
      <protection hidden="1"/>
    </xf>
    <xf numFmtId="2" fontId="40" fillId="0" borderId="80" xfId="0" applyNumberFormat="1" applyFont="1" applyBorder="1" applyAlignment="1" applyProtection="1">
      <alignment horizontal="left" vertical="top"/>
      <protection hidden="1"/>
    </xf>
    <xf numFmtId="2" fontId="40" fillId="0" borderId="81" xfId="0" applyNumberFormat="1" applyFont="1" applyBorder="1" applyAlignment="1" applyProtection="1">
      <alignment horizontal="left" vertical="top"/>
      <protection hidden="1"/>
    </xf>
    <xf numFmtId="0" fontId="12" fillId="9" borderId="86" xfId="0" applyFont="1" applyFill="1" applyBorder="1" applyAlignment="1" applyProtection="1">
      <alignment horizontal="left"/>
      <protection hidden="1"/>
    </xf>
    <xf numFmtId="0" fontId="12" fillId="9" borderId="0" xfId="0" applyFont="1" applyFill="1" applyAlignment="1" applyProtection="1">
      <alignment horizontal="left"/>
      <protection hidden="1"/>
    </xf>
    <xf numFmtId="0" fontId="12" fillId="9" borderId="87" xfId="0" applyFont="1" applyFill="1" applyBorder="1" applyAlignment="1" applyProtection="1">
      <alignment horizontal="left"/>
      <protection hidden="1"/>
    </xf>
    <xf numFmtId="0" fontId="80" fillId="49" borderId="84" xfId="0" applyFont="1" applyFill="1" applyBorder="1" applyAlignment="1" applyProtection="1">
      <alignment horizontal="center" vertical="center"/>
      <protection hidden="1"/>
    </xf>
    <xf numFmtId="0" fontId="80" fillId="49" borderId="0" xfId="0" applyFont="1" applyFill="1" applyAlignment="1" applyProtection="1">
      <alignment horizontal="center" vertical="center"/>
      <protection hidden="1"/>
    </xf>
    <xf numFmtId="0" fontId="80" fillId="49" borderId="80" xfId="0" applyFont="1" applyFill="1" applyBorder="1" applyAlignment="1" applyProtection="1">
      <alignment horizontal="center" vertical="center"/>
      <protection hidden="1"/>
    </xf>
    <xf numFmtId="14" fontId="84" fillId="49" borderId="80" xfId="0" quotePrefix="1" applyNumberFormat="1" applyFont="1" applyFill="1" applyBorder="1" applyAlignment="1" applyProtection="1">
      <alignment horizontal="right" vertical="center"/>
      <protection hidden="1"/>
    </xf>
    <xf numFmtId="0" fontId="14" fillId="34" borderId="76" xfId="0" applyFont="1" applyFill="1" applyBorder="1" applyAlignment="1" applyProtection="1">
      <alignment horizontal="center" vertical="center"/>
      <protection hidden="1"/>
    </xf>
    <xf numFmtId="0" fontId="14" fillId="34" borderId="77" xfId="0" applyFont="1" applyFill="1" applyBorder="1" applyAlignment="1" applyProtection="1">
      <alignment horizontal="center" vertical="center"/>
      <protection hidden="1"/>
    </xf>
    <xf numFmtId="0" fontId="14" fillId="34" borderId="78" xfId="0" applyFont="1" applyFill="1" applyBorder="1" applyAlignment="1" applyProtection="1">
      <alignment horizontal="center" vertical="center"/>
      <protection hidden="1"/>
    </xf>
    <xf numFmtId="0" fontId="28" fillId="9" borderId="83" xfId="0" applyFont="1" applyFill="1" applyBorder="1" applyAlignment="1" applyProtection="1">
      <alignment horizontal="center" vertical="center"/>
      <protection hidden="1"/>
    </xf>
    <xf numFmtId="0" fontId="28" fillId="9" borderId="84" xfId="0" applyFont="1" applyFill="1" applyBorder="1" applyAlignment="1" applyProtection="1">
      <alignment horizontal="center" vertical="center"/>
      <protection hidden="1"/>
    </xf>
    <xf numFmtId="0" fontId="28" fillId="9" borderId="85" xfId="0" applyFont="1" applyFill="1" applyBorder="1" applyAlignment="1" applyProtection="1">
      <alignment horizontal="center" vertical="center"/>
      <protection hidden="1"/>
    </xf>
    <xf numFmtId="167" fontId="12" fillId="9" borderId="0" xfId="0" applyNumberFormat="1" applyFont="1" applyFill="1" applyAlignment="1" applyProtection="1">
      <alignment horizontal="left" vertical="center"/>
      <protection hidden="1"/>
    </xf>
    <xf numFmtId="167" fontId="12" fillId="9" borderId="87" xfId="0" applyNumberFormat="1" applyFont="1" applyFill="1" applyBorder="1" applyAlignment="1" applyProtection="1">
      <alignment horizontal="left" vertical="center"/>
      <protection hidden="1"/>
    </xf>
    <xf numFmtId="0" fontId="12" fillId="9" borderId="86" xfId="0" applyFont="1" applyFill="1" applyBorder="1" applyAlignment="1" applyProtection="1">
      <alignment horizontal="left" vertical="top"/>
      <protection hidden="1"/>
    </xf>
    <xf numFmtId="0" fontId="12" fillId="9" borderId="0" xfId="0" applyFont="1" applyFill="1" applyAlignment="1" applyProtection="1">
      <alignment horizontal="left" vertical="top"/>
      <protection hidden="1"/>
    </xf>
    <xf numFmtId="0" fontId="12" fillId="9" borderId="87" xfId="0" applyFont="1" applyFill="1" applyBorder="1" applyAlignment="1" applyProtection="1">
      <alignment horizontal="left" vertical="top"/>
      <protection hidden="1"/>
    </xf>
    <xf numFmtId="0" fontId="12" fillId="9" borderId="86" xfId="0" applyFont="1" applyFill="1" applyBorder="1" applyAlignment="1" applyProtection="1">
      <alignment horizontal="left" vertical="top" wrapText="1"/>
      <protection hidden="1"/>
    </xf>
    <xf numFmtId="0" fontId="12" fillId="9" borderId="0" xfId="0" applyFont="1" applyFill="1" applyAlignment="1" applyProtection="1">
      <alignment horizontal="left" vertical="top" wrapText="1"/>
      <protection hidden="1"/>
    </xf>
    <xf numFmtId="0" fontId="12" fillId="9" borderId="87" xfId="0" applyFont="1" applyFill="1" applyBorder="1" applyAlignment="1" applyProtection="1">
      <alignment horizontal="left" vertical="top" wrapText="1"/>
      <protection hidden="1"/>
    </xf>
    <xf numFmtId="0" fontId="12" fillId="9" borderId="86" xfId="0" applyFont="1" applyFill="1" applyBorder="1" applyAlignment="1" applyProtection="1">
      <alignment horizontal="left" vertical="center"/>
      <protection hidden="1"/>
    </xf>
    <xf numFmtId="0" fontId="12" fillId="9" borderId="0" xfId="0" applyFont="1" applyFill="1" applyAlignment="1" applyProtection="1">
      <alignment horizontal="left" vertical="center"/>
      <protection hidden="1"/>
    </xf>
    <xf numFmtId="0" fontId="12" fillId="9" borderId="87" xfId="0" applyFont="1" applyFill="1" applyBorder="1" applyAlignment="1" applyProtection="1">
      <alignment horizontal="left" vertical="center"/>
      <protection hidden="1"/>
    </xf>
    <xf numFmtId="0" fontId="16" fillId="9" borderId="116" xfId="0" quotePrefix="1" applyFont="1" applyFill="1" applyBorder="1" applyAlignment="1" applyProtection="1">
      <alignment horizontal="center" vertical="center" textRotation="90"/>
      <protection hidden="1"/>
    </xf>
    <xf numFmtId="0" fontId="16" fillId="9" borderId="117" xfId="0" quotePrefix="1" applyFont="1" applyFill="1" applyBorder="1" applyAlignment="1" applyProtection="1">
      <alignment horizontal="center" vertical="center" textRotation="90"/>
      <protection hidden="1"/>
    </xf>
    <xf numFmtId="0" fontId="16" fillId="9" borderId="111" xfId="0" quotePrefix="1" applyFont="1" applyFill="1" applyBorder="1" applyAlignment="1" applyProtection="1">
      <alignment horizontal="center" vertical="center" textRotation="90"/>
      <protection hidden="1"/>
    </xf>
    <xf numFmtId="0" fontId="28" fillId="17" borderId="39" xfId="0" applyFont="1" applyFill="1" applyBorder="1" applyAlignment="1" applyProtection="1">
      <alignment horizontal="left" vertical="center"/>
      <protection hidden="1"/>
    </xf>
    <xf numFmtId="0" fontId="28" fillId="17" borderId="69" xfId="0" applyFont="1" applyFill="1" applyBorder="1" applyAlignment="1" applyProtection="1">
      <alignment horizontal="left" vertical="center"/>
      <protection hidden="1"/>
    </xf>
    <xf numFmtId="0" fontId="28" fillId="17" borderId="387" xfId="0" applyFont="1" applyFill="1" applyBorder="1" applyAlignment="1" applyProtection="1">
      <alignment horizontal="left" vertical="center"/>
      <protection hidden="1"/>
    </xf>
    <xf numFmtId="0" fontId="28" fillId="17" borderId="2" xfId="0" applyFont="1" applyFill="1" applyBorder="1" applyAlignment="1" applyProtection="1">
      <alignment horizontal="left" vertical="center"/>
      <protection hidden="1"/>
    </xf>
    <xf numFmtId="0" fontId="28" fillId="17" borderId="1" xfId="0" applyFont="1" applyFill="1" applyBorder="1" applyAlignment="1" applyProtection="1">
      <alignment horizontal="left" vertical="center"/>
      <protection hidden="1"/>
    </xf>
    <xf numFmtId="0" fontId="28" fillId="17" borderId="388" xfId="0" applyFont="1" applyFill="1" applyBorder="1" applyAlignment="1" applyProtection="1">
      <alignment horizontal="left" vertical="center"/>
      <protection hidden="1"/>
    </xf>
    <xf numFmtId="0" fontId="16" fillId="9" borderId="91" xfId="0" quotePrefix="1" applyFont="1" applyFill="1" applyBorder="1" applyAlignment="1" applyProtection="1">
      <alignment horizontal="center" vertical="center" textRotation="90"/>
      <protection hidden="1"/>
    </xf>
    <xf numFmtId="0" fontId="16" fillId="9" borderId="94" xfId="0" quotePrefix="1" applyFont="1" applyFill="1" applyBorder="1" applyAlignment="1" applyProtection="1">
      <alignment horizontal="center" vertical="center" textRotation="90"/>
      <protection hidden="1"/>
    </xf>
    <xf numFmtId="0" fontId="16" fillId="9" borderId="92" xfId="0" quotePrefix="1" applyFont="1" applyFill="1" applyBorder="1" applyAlignment="1" applyProtection="1">
      <alignment horizontal="center" vertical="center" textRotation="90"/>
      <protection hidden="1"/>
    </xf>
    <xf numFmtId="14" fontId="12" fillId="3" borderId="189" xfId="0" quotePrefix="1" applyNumberFormat="1" applyFont="1" applyFill="1" applyBorder="1" applyAlignment="1" applyProtection="1">
      <alignment horizontal="right" vertical="center"/>
      <protection hidden="1"/>
    </xf>
    <xf numFmtId="0" fontId="14" fillId="9" borderId="235" xfId="0" applyFont="1" applyFill="1" applyBorder="1" applyAlignment="1" applyProtection="1">
      <alignment horizontal="center" vertical="top"/>
      <protection hidden="1"/>
    </xf>
    <xf numFmtId="0" fontId="14" fillId="9" borderId="236" xfId="0" applyFont="1" applyFill="1" applyBorder="1" applyAlignment="1" applyProtection="1">
      <alignment horizontal="center" vertical="top"/>
      <protection hidden="1"/>
    </xf>
    <xf numFmtId="0" fontId="14" fillId="0" borderId="80" xfId="2" quotePrefix="1" applyFont="1" applyBorder="1" applyAlignment="1" applyProtection="1">
      <alignment horizontal="center" vertical="center"/>
      <protection hidden="1"/>
    </xf>
    <xf numFmtId="0" fontId="14" fillId="0" borderId="0" xfId="2" quotePrefix="1" applyFont="1" applyAlignment="1" applyProtection="1">
      <alignment horizontal="center" vertical="center"/>
      <protection hidden="1"/>
    </xf>
    <xf numFmtId="0" fontId="17" fillId="0" borderId="0" xfId="0" applyFont="1" applyAlignment="1">
      <alignment horizontal="left" vertical="center"/>
    </xf>
    <xf numFmtId="0" fontId="17" fillId="0" borderId="0" xfId="0" quotePrefix="1" applyFont="1" applyAlignment="1">
      <alignment horizontal="left" vertical="center"/>
    </xf>
    <xf numFmtId="0" fontId="6" fillId="41" borderId="453" xfId="0" applyFont="1" applyFill="1" applyBorder="1" applyAlignment="1" applyProtection="1">
      <alignment horizontal="left" vertical="top"/>
      <protection locked="0"/>
    </xf>
    <xf numFmtId="0" fontId="6" fillId="41" borderId="43" xfId="0" applyFont="1" applyFill="1" applyBorder="1" applyAlignment="1" applyProtection="1">
      <alignment horizontal="left" vertical="top"/>
      <protection locked="0"/>
    </xf>
    <xf numFmtId="0" fontId="6" fillId="41" borderId="454" xfId="0" applyFont="1" applyFill="1" applyBorder="1" applyAlignment="1" applyProtection="1">
      <alignment horizontal="left" vertical="top"/>
      <protection locked="0"/>
    </xf>
    <xf numFmtId="0" fontId="6" fillId="41" borderId="86" xfId="0" applyFont="1" applyFill="1" applyBorder="1" applyAlignment="1" applyProtection="1">
      <alignment horizontal="left" vertical="top"/>
      <protection locked="0"/>
    </xf>
    <xf numFmtId="0" fontId="6" fillId="41" borderId="0" xfId="0" applyFont="1" applyFill="1" applyAlignment="1" applyProtection="1">
      <alignment horizontal="left" vertical="top"/>
      <protection locked="0"/>
    </xf>
    <xf numFmtId="0" fontId="6" fillId="41" borderId="87" xfId="0" applyFont="1" applyFill="1" applyBorder="1" applyAlignment="1" applyProtection="1">
      <alignment horizontal="left" vertical="top"/>
      <protection locked="0"/>
    </xf>
    <xf numFmtId="0" fontId="6" fillId="41" borderId="79" xfId="0" applyFont="1" applyFill="1" applyBorder="1" applyAlignment="1" applyProtection="1">
      <alignment horizontal="left" vertical="top"/>
      <protection locked="0"/>
    </xf>
    <xf numFmtId="0" fontId="6" fillId="41" borderId="80" xfId="0" applyFont="1" applyFill="1" applyBorder="1" applyAlignment="1" applyProtection="1">
      <alignment horizontal="left" vertical="top"/>
      <protection locked="0"/>
    </xf>
    <xf numFmtId="0" fontId="6" fillId="41" borderId="81" xfId="0" applyFont="1" applyFill="1" applyBorder="1" applyAlignment="1" applyProtection="1">
      <alignment horizontal="left" vertical="top"/>
      <protection locked="0"/>
    </xf>
    <xf numFmtId="0" fontId="15" fillId="0" borderId="83" xfId="0" applyFont="1" applyBorder="1" applyAlignment="1" applyProtection="1">
      <alignment horizontal="left" vertical="top" wrapText="1"/>
      <protection hidden="1"/>
    </xf>
    <xf numFmtId="0" fontId="15" fillId="0" borderId="84" xfId="0" applyFont="1" applyBorder="1" applyAlignment="1" applyProtection="1">
      <alignment horizontal="left" vertical="top" wrapText="1"/>
      <protection hidden="1"/>
    </xf>
    <xf numFmtId="0" fontId="15" fillId="0" borderId="85" xfId="0" applyFont="1" applyBorder="1" applyAlignment="1" applyProtection="1">
      <alignment horizontal="left" vertical="top" wrapText="1"/>
      <protection hidden="1"/>
    </xf>
    <xf numFmtId="0" fontId="15" fillId="0" borderId="86" xfId="0" applyFont="1" applyBorder="1" applyAlignment="1" applyProtection="1">
      <alignment horizontal="left" vertical="top" wrapText="1"/>
      <protection hidden="1"/>
    </xf>
    <xf numFmtId="0" fontId="15" fillId="0" borderId="0" xfId="0" applyFont="1" applyAlignment="1" applyProtection="1">
      <alignment horizontal="left" vertical="top" wrapText="1"/>
      <protection hidden="1"/>
    </xf>
    <xf numFmtId="0" fontId="15" fillId="0" borderId="87" xfId="0" applyFont="1" applyBorder="1" applyAlignment="1" applyProtection="1">
      <alignment horizontal="left" vertical="top" wrapText="1"/>
      <protection hidden="1"/>
    </xf>
    <xf numFmtId="0" fontId="15" fillId="0" borderId="79" xfId="0" applyFont="1" applyBorder="1" applyAlignment="1" applyProtection="1">
      <alignment horizontal="left" vertical="top" wrapText="1"/>
      <protection hidden="1"/>
    </xf>
    <xf numFmtId="0" fontId="15" fillId="0" borderId="80" xfId="0" applyFont="1" applyBorder="1" applyAlignment="1" applyProtection="1">
      <alignment horizontal="left" vertical="top" wrapText="1"/>
      <protection hidden="1"/>
    </xf>
    <xf numFmtId="0" fontId="15" fillId="0" borderId="81" xfId="0" applyFont="1" applyBorder="1" applyAlignment="1" applyProtection="1">
      <alignment horizontal="left" vertical="top" wrapText="1"/>
      <protection hidden="1"/>
    </xf>
    <xf numFmtId="0" fontId="85" fillId="3" borderId="185" xfId="0" applyFont="1" applyFill="1" applyBorder="1" applyAlignment="1" applyProtection="1">
      <alignment horizontal="center" vertical="center"/>
      <protection hidden="1"/>
    </xf>
    <xf numFmtId="0" fontId="85" fillId="3" borderId="0" xfId="0" applyFont="1" applyFill="1" applyAlignment="1" applyProtection="1">
      <alignment horizontal="center" vertical="center"/>
      <protection hidden="1"/>
    </xf>
    <xf numFmtId="0" fontId="85" fillId="3" borderId="189" xfId="0" applyFont="1" applyFill="1" applyBorder="1" applyAlignment="1" applyProtection="1">
      <alignment horizontal="center" vertical="center"/>
      <protection hidden="1"/>
    </xf>
    <xf numFmtId="0" fontId="17" fillId="18" borderId="235" xfId="0" applyFont="1" applyFill="1" applyBorder="1" applyAlignment="1" applyProtection="1">
      <alignment horizontal="center"/>
      <protection hidden="1"/>
    </xf>
    <xf numFmtId="0" fontId="17" fillId="18" borderId="381" xfId="0" applyFont="1" applyFill="1" applyBorder="1" applyAlignment="1" applyProtection="1">
      <alignment horizontal="center"/>
      <protection hidden="1"/>
    </xf>
    <xf numFmtId="0" fontId="17" fillId="18" borderId="236" xfId="0" applyFont="1" applyFill="1" applyBorder="1" applyAlignment="1" applyProtection="1">
      <alignment horizontal="center"/>
      <protection hidden="1"/>
    </xf>
    <xf numFmtId="0" fontId="51" fillId="41" borderId="76" xfId="0" quotePrefix="1" applyFont="1" applyFill="1" applyBorder="1" applyProtection="1">
      <protection locked="0"/>
    </xf>
    <xf numFmtId="0" fontId="51" fillId="41" borderId="78" xfId="0" quotePrefix="1" applyFont="1" applyFill="1" applyBorder="1" applyProtection="1">
      <protection locked="0"/>
    </xf>
    <xf numFmtId="0" fontId="50" fillId="41" borderId="201" xfId="0" quotePrefix="1" applyFont="1" applyFill="1" applyBorder="1" applyProtection="1">
      <protection locked="0"/>
    </xf>
    <xf numFmtId="0" fontId="50" fillId="41" borderId="115" xfId="0" quotePrefix="1" applyFont="1" applyFill="1" applyBorder="1" applyProtection="1">
      <protection locked="0"/>
    </xf>
    <xf numFmtId="167" fontId="12" fillId="9" borderId="86" xfId="0" applyNumberFormat="1" applyFont="1" applyFill="1" applyBorder="1" applyAlignment="1" applyProtection="1">
      <alignment horizontal="left" vertical="top" wrapText="1"/>
      <protection hidden="1"/>
    </xf>
    <xf numFmtId="167" fontId="12" fillId="9" borderId="0" xfId="0" applyNumberFormat="1" applyFont="1" applyFill="1" applyAlignment="1" applyProtection="1">
      <alignment horizontal="left" vertical="top" wrapText="1"/>
      <protection hidden="1"/>
    </xf>
    <xf numFmtId="167" fontId="12" fillId="9" borderId="87" xfId="0" applyNumberFormat="1" applyFont="1" applyFill="1" applyBorder="1" applyAlignment="1" applyProtection="1">
      <alignment horizontal="left" vertical="top" wrapText="1"/>
      <protection hidden="1"/>
    </xf>
    <xf numFmtId="0" fontId="14" fillId="0" borderId="266" xfId="2" quotePrefix="1" applyFont="1" applyBorder="1" applyAlignment="1" applyProtection="1">
      <alignment horizontal="center" vertical="center"/>
      <protection hidden="1"/>
    </xf>
    <xf numFmtId="0" fontId="14" fillId="0" borderId="106" xfId="2" applyFont="1" applyBorder="1" applyAlignment="1" applyProtection="1">
      <alignment horizontal="center" vertical="center"/>
      <protection hidden="1"/>
    </xf>
    <xf numFmtId="0" fontId="14" fillId="0" borderId="107" xfId="2" applyFont="1" applyBorder="1" applyAlignment="1" applyProtection="1">
      <alignment horizontal="center" vertical="center"/>
      <protection hidden="1"/>
    </xf>
    <xf numFmtId="0" fontId="17" fillId="34" borderId="95" xfId="0" applyFont="1" applyFill="1" applyBorder="1" applyAlignment="1" applyProtection="1">
      <alignment horizontal="center" vertical="center"/>
      <protection hidden="1"/>
    </xf>
    <xf numFmtId="0" fontId="17" fillId="34" borderId="96" xfId="0" applyFont="1" applyFill="1" applyBorder="1" applyAlignment="1" applyProtection="1">
      <alignment horizontal="center" vertical="center"/>
      <protection hidden="1"/>
    </xf>
    <xf numFmtId="0" fontId="17" fillId="34" borderId="97" xfId="0" applyFont="1" applyFill="1" applyBorder="1" applyAlignment="1" applyProtection="1">
      <alignment horizontal="center" vertical="center"/>
      <protection hidden="1"/>
    </xf>
    <xf numFmtId="0" fontId="50" fillId="41" borderId="76" xfId="0" applyFont="1" applyFill="1" applyBorder="1" applyProtection="1">
      <protection locked="0"/>
    </xf>
    <xf numFmtId="0" fontId="50" fillId="41" borderId="78" xfId="0" applyFont="1" applyFill="1" applyBorder="1" applyProtection="1">
      <protection locked="0"/>
    </xf>
    <xf numFmtId="0" fontId="6" fillId="0" borderId="235" xfId="0" applyFont="1" applyBorder="1" applyAlignment="1" applyProtection="1">
      <alignment horizontal="center"/>
      <protection hidden="1"/>
    </xf>
    <xf numFmtId="0" fontId="6" fillId="0" borderId="236" xfId="0" applyFont="1" applyBorder="1" applyAlignment="1" applyProtection="1">
      <alignment horizontal="center"/>
      <protection hidden="1"/>
    </xf>
    <xf numFmtId="0" fontId="26" fillId="0" borderId="84" xfId="0" quotePrefix="1" applyFont="1" applyBorder="1" applyAlignment="1" applyProtection="1">
      <alignment horizontal="center" vertical="center" wrapText="1"/>
      <protection hidden="1"/>
    </xf>
    <xf numFmtId="0" fontId="50" fillId="41" borderId="83" xfId="0" applyFont="1" applyFill="1" applyBorder="1" applyProtection="1">
      <protection locked="0"/>
    </xf>
    <xf numFmtId="0" fontId="50" fillId="41" borderId="85" xfId="0" applyFont="1" applyFill="1" applyBorder="1" applyProtection="1">
      <protection locked="0"/>
    </xf>
    <xf numFmtId="0" fontId="50" fillId="41" borderId="201" xfId="0" applyFont="1" applyFill="1" applyBorder="1" applyAlignment="1" applyProtection="1">
      <alignment horizontal="left"/>
      <protection locked="0"/>
    </xf>
    <xf numFmtId="0" fontId="50" fillId="41" borderId="115" xfId="0" applyFont="1" applyFill="1" applyBorder="1" applyAlignment="1" applyProtection="1">
      <alignment horizontal="left"/>
      <protection locked="0"/>
    </xf>
    <xf numFmtId="0" fontId="50" fillId="41" borderId="79" xfId="0" quotePrefix="1" applyFont="1" applyFill="1" applyBorder="1" applyAlignment="1" applyProtection="1">
      <alignment horizontal="left" vertical="center"/>
      <protection locked="0"/>
    </xf>
    <xf numFmtId="0" fontId="50" fillId="41" borderId="81" xfId="0" quotePrefix="1" applyFont="1" applyFill="1" applyBorder="1" applyAlignment="1" applyProtection="1">
      <alignment horizontal="left" vertical="center"/>
      <protection locked="0"/>
    </xf>
    <xf numFmtId="0" fontId="50" fillId="41" borderId="152" xfId="0" applyFont="1" applyFill="1" applyBorder="1" applyProtection="1">
      <protection locked="0"/>
    </xf>
    <xf numFmtId="0" fontId="50" fillId="41" borderId="114" xfId="0" applyFont="1" applyFill="1" applyBorder="1" applyProtection="1">
      <protection locked="0"/>
    </xf>
    <xf numFmtId="0" fontId="50" fillId="41" borderId="305" xfId="0" quotePrefix="1" applyFont="1" applyFill="1" applyBorder="1" applyProtection="1">
      <protection locked="0"/>
    </xf>
    <xf numFmtId="0" fontId="50" fillId="41" borderId="306" xfId="0" quotePrefix="1" applyFont="1" applyFill="1" applyBorder="1" applyProtection="1">
      <protection locked="0"/>
    </xf>
    <xf numFmtId="0" fontId="50" fillId="41" borderId="527" xfId="0" quotePrefix="1" applyFont="1" applyFill="1" applyBorder="1" applyAlignment="1" applyProtection="1">
      <alignment horizontal="left" vertical="center"/>
      <protection locked="0"/>
    </xf>
    <xf numFmtId="0" fontId="50" fillId="41" borderId="528" xfId="0" quotePrefix="1" applyFont="1" applyFill="1" applyBorder="1" applyAlignment="1" applyProtection="1">
      <alignment horizontal="left" vertical="center"/>
      <protection locked="0"/>
    </xf>
    <xf numFmtId="0" fontId="50" fillId="41" borderId="76" xfId="0" applyFont="1" applyFill="1" applyBorder="1" applyAlignment="1" applyProtection="1">
      <alignment horizontal="left" vertical="center"/>
      <protection locked="0"/>
    </xf>
    <xf numFmtId="0" fontId="50" fillId="41" borderId="78" xfId="0" applyFont="1" applyFill="1" applyBorder="1" applyAlignment="1" applyProtection="1">
      <alignment horizontal="left" vertical="center"/>
      <protection locked="0"/>
    </xf>
    <xf numFmtId="0" fontId="15" fillId="9" borderId="86" xfId="0" applyFont="1" applyFill="1" applyBorder="1" applyAlignment="1" applyProtection="1">
      <alignment horizontal="left"/>
      <protection hidden="1"/>
    </xf>
    <xf numFmtId="0" fontId="15" fillId="9" borderId="0" xfId="0" applyFont="1" applyFill="1" applyAlignment="1" applyProtection="1">
      <alignment horizontal="left"/>
      <protection hidden="1"/>
    </xf>
    <xf numFmtId="0" fontId="15" fillId="9" borderId="87" xfId="0" applyFont="1" applyFill="1" applyBorder="1" applyAlignment="1" applyProtection="1">
      <alignment horizontal="left"/>
      <protection hidden="1"/>
    </xf>
    <xf numFmtId="2" fontId="40" fillId="0" borderId="86" xfId="0" quotePrefix="1" applyNumberFormat="1" applyFont="1" applyBorder="1" applyAlignment="1" applyProtection="1">
      <alignment horizontal="left" vertical="top"/>
      <protection hidden="1"/>
    </xf>
    <xf numFmtId="2" fontId="40" fillId="0" borderId="0" xfId="0" quotePrefix="1" applyNumberFormat="1" applyFont="1" applyAlignment="1" applyProtection="1">
      <alignment horizontal="left" vertical="top"/>
      <protection hidden="1"/>
    </xf>
    <xf numFmtId="2" fontId="40" fillId="0" borderId="87" xfId="0" quotePrefix="1" applyNumberFormat="1" applyFont="1" applyBorder="1" applyAlignment="1" applyProtection="1">
      <alignment horizontal="left" vertical="top"/>
      <protection hidden="1"/>
    </xf>
    <xf numFmtId="2" fontId="40" fillId="0" borderId="83" xfId="0" applyNumberFormat="1" applyFont="1" applyBorder="1" applyAlignment="1" applyProtection="1">
      <alignment vertical="top"/>
      <protection hidden="1"/>
    </xf>
    <xf numFmtId="2" fontId="40" fillId="0" borderId="84" xfId="0" applyNumberFormat="1" applyFont="1" applyBorder="1" applyAlignment="1" applyProtection="1">
      <alignment vertical="top"/>
      <protection hidden="1"/>
    </xf>
    <xf numFmtId="2" fontId="40" fillId="0" borderId="85" xfId="0" applyNumberFormat="1" applyFont="1" applyBorder="1" applyAlignment="1" applyProtection="1">
      <alignment vertical="top"/>
      <protection hidden="1"/>
    </xf>
    <xf numFmtId="2" fontId="40" fillId="0" borderId="86" xfId="0" applyNumberFormat="1" applyFont="1" applyBorder="1" applyAlignment="1" applyProtection="1">
      <alignment vertical="top"/>
      <protection hidden="1"/>
    </xf>
    <xf numFmtId="2" fontId="40" fillId="0" borderId="0" xfId="0" applyNumberFormat="1" applyFont="1" applyAlignment="1" applyProtection="1">
      <alignment vertical="top"/>
      <protection hidden="1"/>
    </xf>
    <xf numFmtId="2" fontId="40" fillId="0" borderId="87" xfId="0" applyNumberFormat="1" applyFont="1" applyBorder="1" applyAlignment="1" applyProtection="1">
      <alignment vertical="top"/>
      <protection hidden="1"/>
    </xf>
    <xf numFmtId="2" fontId="40" fillId="0" borderId="79" xfId="0" applyNumberFormat="1" applyFont="1" applyBorder="1" applyAlignment="1" applyProtection="1">
      <alignment vertical="top"/>
      <protection hidden="1"/>
    </xf>
    <xf numFmtId="2" fontId="40" fillId="0" borderId="80" xfId="0" applyNumberFormat="1" applyFont="1" applyBorder="1" applyAlignment="1" applyProtection="1">
      <alignment vertical="top"/>
      <protection hidden="1"/>
    </xf>
    <xf numFmtId="2" fontId="40" fillId="0" borderId="81" xfId="0" applyNumberFormat="1" applyFont="1" applyBorder="1" applyAlignment="1" applyProtection="1">
      <alignment vertical="top"/>
      <protection hidden="1"/>
    </xf>
    <xf numFmtId="0" fontId="81" fillId="49" borderId="84" xfId="0" applyFont="1" applyFill="1" applyBorder="1" applyAlignment="1" applyProtection="1">
      <alignment horizontal="center" vertical="center"/>
      <protection hidden="1"/>
    </xf>
    <xf numFmtId="0" fontId="81" fillId="49" borderId="0" xfId="0" applyFont="1" applyFill="1" applyAlignment="1" applyProtection="1">
      <alignment horizontal="center" vertical="center"/>
      <protection hidden="1"/>
    </xf>
    <xf numFmtId="0" fontId="81" fillId="49" borderId="80" xfId="0" applyFont="1" applyFill="1" applyBorder="1" applyAlignment="1" applyProtection="1">
      <alignment horizontal="center" vertical="center"/>
      <protection hidden="1"/>
    </xf>
    <xf numFmtId="2" fontId="40" fillId="9" borderId="83" xfId="0" quotePrefix="1" applyNumberFormat="1" applyFont="1" applyFill="1" applyBorder="1" applyAlignment="1" applyProtection="1">
      <alignment horizontal="left" vertical="top"/>
      <protection hidden="1"/>
    </xf>
    <xf numFmtId="2" fontId="40" fillId="9" borderId="84" xfId="0" quotePrefix="1" applyNumberFormat="1" applyFont="1" applyFill="1" applyBorder="1" applyAlignment="1" applyProtection="1">
      <alignment horizontal="left" vertical="top"/>
      <protection hidden="1"/>
    </xf>
    <xf numFmtId="2" fontId="40" fillId="9" borderId="85" xfId="0" quotePrefix="1" applyNumberFormat="1" applyFont="1" applyFill="1" applyBorder="1" applyAlignment="1" applyProtection="1">
      <alignment horizontal="left" vertical="top"/>
      <protection hidden="1"/>
    </xf>
    <xf numFmtId="2" fontId="40" fillId="9" borderId="86" xfId="0" quotePrefix="1" applyNumberFormat="1" applyFont="1" applyFill="1" applyBorder="1" applyAlignment="1" applyProtection="1">
      <alignment horizontal="left" vertical="top"/>
      <protection hidden="1"/>
    </xf>
    <xf numFmtId="2" fontId="40" fillId="9" borderId="0" xfId="0" quotePrefix="1" applyNumberFormat="1" applyFont="1" applyFill="1" applyAlignment="1" applyProtection="1">
      <alignment horizontal="left" vertical="top"/>
      <protection hidden="1"/>
    </xf>
    <xf numFmtId="2" fontId="40" fillId="9" borderId="87" xfId="0" quotePrefix="1" applyNumberFormat="1" applyFont="1" applyFill="1" applyBorder="1" applyAlignment="1" applyProtection="1">
      <alignment horizontal="left" vertical="top"/>
      <protection hidden="1"/>
    </xf>
    <xf numFmtId="2" fontId="40" fillId="9" borderId="79" xfId="0" quotePrefix="1" applyNumberFormat="1" applyFont="1" applyFill="1" applyBorder="1" applyAlignment="1" applyProtection="1">
      <alignment horizontal="left" vertical="top"/>
      <protection hidden="1"/>
    </xf>
    <xf numFmtId="2" fontId="40" fillId="9" borderId="80" xfId="0" quotePrefix="1" applyNumberFormat="1" applyFont="1" applyFill="1" applyBorder="1" applyAlignment="1" applyProtection="1">
      <alignment horizontal="left" vertical="top"/>
      <protection hidden="1"/>
    </xf>
    <xf numFmtId="2" fontId="40" fillId="9" borderId="81" xfId="0" quotePrefix="1" applyNumberFormat="1" applyFont="1" applyFill="1" applyBorder="1" applyAlignment="1" applyProtection="1">
      <alignment horizontal="left" vertical="top"/>
      <protection hidden="1"/>
    </xf>
    <xf numFmtId="0" fontId="14" fillId="0" borderId="77" xfId="2" quotePrefix="1" applyFont="1" applyBorder="1" applyAlignment="1" applyProtection="1">
      <alignment horizontal="center" vertical="center"/>
      <protection hidden="1"/>
    </xf>
    <xf numFmtId="0" fontId="14" fillId="0" borderId="78" xfId="2" quotePrefix="1" applyFont="1" applyBorder="1" applyAlignment="1" applyProtection="1">
      <alignment horizontal="center" vertical="center"/>
      <protection hidden="1"/>
    </xf>
    <xf numFmtId="2" fontId="40" fillId="0" borderId="76" xfId="0" applyNumberFormat="1" applyFont="1" applyBorder="1" applyAlignment="1" applyProtection="1">
      <alignment horizontal="left" vertical="top"/>
      <protection hidden="1"/>
    </xf>
    <xf numFmtId="2" fontId="40" fillId="0" borderId="77" xfId="0" applyNumberFormat="1" applyFont="1" applyBorder="1" applyAlignment="1" applyProtection="1">
      <alignment horizontal="left" vertical="top"/>
      <protection hidden="1"/>
    </xf>
    <xf numFmtId="2" fontId="40" fillId="0" borderId="78" xfId="0" applyNumberFormat="1" applyFont="1" applyBorder="1" applyAlignment="1" applyProtection="1">
      <alignment horizontal="left" vertical="top"/>
      <protection hidden="1"/>
    </xf>
    <xf numFmtId="0" fontId="26" fillId="0" borderId="80" xfId="0" quotePrefix="1" applyFont="1" applyBorder="1" applyAlignment="1" applyProtection="1">
      <alignment horizontal="center" vertical="center" wrapText="1"/>
      <protection hidden="1"/>
    </xf>
    <xf numFmtId="0" fontId="16" fillId="9" borderId="118" xfId="0" quotePrefix="1" applyFont="1" applyFill="1" applyBorder="1" applyAlignment="1" applyProtection="1">
      <alignment horizontal="center" vertical="center" textRotation="90"/>
      <protection hidden="1"/>
    </xf>
    <xf numFmtId="2" fontId="40" fillId="0" borderId="76" xfId="0" applyNumberFormat="1" applyFont="1" applyBorder="1" applyAlignment="1" applyProtection="1">
      <alignment horizontal="left"/>
      <protection hidden="1"/>
    </xf>
    <xf numFmtId="2" fontId="40" fillId="0" borderId="77" xfId="0" applyNumberFormat="1" applyFont="1" applyBorder="1" applyAlignment="1" applyProtection="1">
      <alignment horizontal="left"/>
      <protection hidden="1"/>
    </xf>
    <xf numFmtId="2" fontId="40" fillId="0" borderId="78" xfId="0" applyNumberFormat="1" applyFont="1" applyBorder="1" applyAlignment="1" applyProtection="1">
      <alignment horizontal="left"/>
      <protection hidden="1"/>
    </xf>
    <xf numFmtId="2" fontId="40" fillId="0" borderId="76" xfId="0" quotePrefix="1" applyNumberFormat="1" applyFont="1" applyBorder="1" applyAlignment="1" applyProtection="1">
      <alignment horizontal="left" vertical="top"/>
      <protection hidden="1"/>
    </xf>
    <xf numFmtId="2" fontId="40" fillId="0" borderId="77" xfId="0" quotePrefix="1" applyNumberFormat="1" applyFont="1" applyBorder="1" applyAlignment="1" applyProtection="1">
      <alignment horizontal="left" vertical="top"/>
      <protection hidden="1"/>
    </xf>
    <xf numFmtId="2" fontId="40" fillId="0" borderId="78" xfId="0" quotePrefix="1" applyNumberFormat="1" applyFont="1" applyBorder="1" applyAlignment="1" applyProtection="1">
      <alignment horizontal="left" vertical="top"/>
      <protection hidden="1"/>
    </xf>
    <xf numFmtId="0" fontId="50" fillId="41" borderId="168" xfId="0" quotePrefix="1" applyFont="1" applyFill="1" applyBorder="1" applyAlignment="1" applyProtection="1">
      <alignment horizontal="left"/>
      <protection locked="0"/>
    </xf>
    <xf numFmtId="0" fontId="50" fillId="41" borderId="113" xfId="0" quotePrefix="1" applyFont="1" applyFill="1" applyBorder="1" applyProtection="1">
      <protection locked="0"/>
    </xf>
    <xf numFmtId="0" fontId="43" fillId="13" borderId="330" xfId="0" applyFont="1" applyFill="1" applyBorder="1" applyAlignment="1" applyProtection="1">
      <alignment horizontal="center" vertical="center"/>
      <protection hidden="1"/>
    </xf>
    <xf numFmtId="0" fontId="43" fillId="13" borderId="46" xfId="0" applyFont="1" applyFill="1" applyBorder="1" applyAlignment="1" applyProtection="1">
      <alignment horizontal="center" vertical="center"/>
      <protection hidden="1"/>
    </xf>
    <xf numFmtId="0" fontId="43" fillId="13" borderId="16" xfId="0" applyFont="1" applyFill="1" applyBorder="1" applyAlignment="1" applyProtection="1">
      <alignment horizontal="center" vertical="center"/>
      <protection hidden="1"/>
    </xf>
    <xf numFmtId="0" fontId="50" fillId="41" borderId="152" xfId="0" quotePrefix="1" applyFont="1" applyFill="1" applyBorder="1" applyAlignment="1" applyProtection="1">
      <alignment horizontal="left"/>
      <protection locked="0"/>
    </xf>
    <xf numFmtId="0" fontId="50" fillId="41" borderId="114" xfId="0" quotePrefix="1" applyFont="1" applyFill="1" applyBorder="1" applyAlignment="1" applyProtection="1">
      <alignment horizontal="left"/>
      <protection locked="0"/>
    </xf>
    <xf numFmtId="0" fontId="50" fillId="41" borderId="168" xfId="0" quotePrefix="1" applyFont="1" applyFill="1" applyBorder="1" applyProtection="1">
      <protection locked="0"/>
    </xf>
    <xf numFmtId="0" fontId="50" fillId="41" borderId="168" xfId="0" applyFont="1" applyFill="1" applyBorder="1" applyProtection="1">
      <protection locked="0"/>
    </xf>
    <xf numFmtId="0" fontId="50" fillId="41" borderId="113" xfId="0" applyFont="1" applyFill="1" applyBorder="1" applyProtection="1">
      <protection locked="0"/>
    </xf>
    <xf numFmtId="0" fontId="71" fillId="44" borderId="1" xfId="0" applyFont="1" applyFill="1" applyBorder="1" applyAlignment="1">
      <alignment horizontal="center"/>
    </xf>
    <xf numFmtId="0" fontId="71" fillId="44" borderId="268" xfId="0" applyFont="1" applyFill="1" applyBorder="1" applyAlignment="1">
      <alignment horizontal="center"/>
    </xf>
    <xf numFmtId="0" fontId="56" fillId="32" borderId="0" xfId="0" applyFont="1" applyFill="1" applyAlignment="1">
      <alignment horizontal="center" vertical="center"/>
    </xf>
    <xf numFmtId="0" fontId="67" fillId="12" borderId="50" xfId="0" applyFont="1" applyFill="1" applyBorder="1" applyAlignment="1">
      <alignment horizontal="left" vertical="top" wrapText="1"/>
    </xf>
    <xf numFmtId="0" fontId="61" fillId="15" borderId="63" xfId="0" quotePrefix="1" applyFont="1" applyFill="1" applyBorder="1" applyAlignment="1">
      <alignment horizontal="center" vertical="top" wrapText="1"/>
    </xf>
    <xf numFmtId="0" fontId="61" fillId="15" borderId="16" xfId="0" quotePrefix="1" applyFont="1" applyFill="1" applyBorder="1" applyAlignment="1">
      <alignment horizontal="center" vertical="top" wrapText="1"/>
    </xf>
    <xf numFmtId="0" fontId="65" fillId="0" borderId="1" xfId="0" applyFont="1" applyBorder="1" applyAlignment="1">
      <alignment horizontal="center"/>
    </xf>
    <xf numFmtId="0" fontId="71" fillId="32" borderId="5" xfId="0" applyFont="1" applyFill="1" applyBorder="1" applyAlignment="1">
      <alignment horizontal="center"/>
    </xf>
    <xf numFmtId="0" fontId="71" fillId="32" borderId="0" xfId="0" applyFont="1" applyFill="1" applyAlignment="1">
      <alignment horizontal="center"/>
    </xf>
    <xf numFmtId="0" fontId="61" fillId="15" borderId="5" xfId="0" quotePrefix="1" applyFont="1" applyFill="1" applyBorder="1" applyAlignment="1">
      <alignment horizontal="center" vertical="center"/>
    </xf>
    <xf numFmtId="0" fontId="61" fillId="15" borderId="0" xfId="0" quotePrefix="1" applyFont="1" applyFill="1" applyAlignment="1">
      <alignment horizontal="center" vertical="center"/>
    </xf>
    <xf numFmtId="0" fontId="56" fillId="32" borderId="5" xfId="0" quotePrefix="1" applyFont="1" applyFill="1" applyBorder="1" applyAlignment="1">
      <alignment horizontal="center" vertical="center"/>
    </xf>
    <xf numFmtId="0" fontId="56" fillId="32" borderId="0" xfId="0" quotePrefix="1" applyFont="1" applyFill="1" applyAlignment="1">
      <alignment horizontal="center" vertical="center"/>
    </xf>
    <xf numFmtId="0" fontId="56" fillId="32" borderId="5" xfId="0" applyFont="1" applyFill="1" applyBorder="1" applyAlignment="1">
      <alignment horizontal="center" vertical="center"/>
    </xf>
    <xf numFmtId="0" fontId="71" fillId="32" borderId="13" xfId="0" applyFont="1" applyFill="1" applyBorder="1" applyAlignment="1">
      <alignment horizontal="center"/>
    </xf>
    <xf numFmtId="0" fontId="71" fillId="32" borderId="46" xfId="0" applyFont="1" applyFill="1" applyBorder="1" applyAlignment="1">
      <alignment horizontal="center"/>
    </xf>
    <xf numFmtId="0" fontId="71" fillId="32" borderId="16" xfId="0" applyFont="1" applyFill="1" applyBorder="1" applyAlignment="1">
      <alignment horizontal="center"/>
    </xf>
    <xf numFmtId="0" fontId="56" fillId="32" borderId="13" xfId="0" applyFont="1" applyFill="1" applyBorder="1" applyAlignment="1">
      <alignment horizontal="center" vertical="center"/>
    </xf>
    <xf numFmtId="0" fontId="56" fillId="32" borderId="46" xfId="0" applyFont="1" applyFill="1" applyBorder="1" applyAlignment="1">
      <alignment horizontal="center" vertical="center"/>
    </xf>
    <xf numFmtId="0" fontId="59" fillId="2" borderId="2" xfId="0" applyFont="1" applyFill="1" applyBorder="1" applyAlignment="1">
      <alignment horizontal="center" vertical="top"/>
    </xf>
    <xf numFmtId="0" fontId="59" fillId="2" borderId="1" xfId="0" applyFont="1" applyFill="1" applyBorder="1" applyAlignment="1">
      <alignment horizontal="center" vertical="top"/>
    </xf>
    <xf numFmtId="0" fontId="59" fillId="33" borderId="2" xfId="0" applyFont="1" applyFill="1" applyBorder="1" applyAlignment="1">
      <alignment horizontal="center" vertical="top"/>
    </xf>
    <xf numFmtId="0" fontId="59" fillId="33" borderId="1" xfId="0" applyFont="1" applyFill="1" applyBorder="1" applyAlignment="1">
      <alignment horizontal="center" vertical="top"/>
    </xf>
    <xf numFmtId="0" fontId="59" fillId="33" borderId="4" xfId="0" applyFont="1" applyFill="1" applyBorder="1" applyAlignment="1">
      <alignment horizontal="center" vertical="top"/>
    </xf>
    <xf numFmtId="0" fontId="58" fillId="29" borderId="2" xfId="0" quotePrefix="1" applyFont="1" applyFill="1" applyBorder="1" applyAlignment="1">
      <alignment horizontal="center" vertical="top"/>
    </xf>
    <xf numFmtId="0" fontId="58" fillId="29" borderId="1" xfId="0" applyFont="1" applyFill="1" applyBorder="1" applyAlignment="1">
      <alignment horizontal="center" vertical="top"/>
    </xf>
    <xf numFmtId="0" fontId="58" fillId="29" borderId="4" xfId="0" applyFont="1" applyFill="1" applyBorder="1" applyAlignment="1">
      <alignment horizontal="center" vertical="top"/>
    </xf>
    <xf numFmtId="0" fontId="58" fillId="22" borderId="5" xfId="0" quotePrefix="1" applyFont="1" applyFill="1" applyBorder="1" applyAlignment="1">
      <alignment horizontal="center" vertical="top"/>
    </xf>
    <xf numFmtId="0" fontId="58" fillId="22" borderId="0" xfId="0" quotePrefix="1" applyFont="1" applyFill="1" applyAlignment="1">
      <alignment horizontal="center" vertical="top"/>
    </xf>
    <xf numFmtId="0" fontId="23" fillId="21" borderId="45" xfId="0" applyFont="1" applyFill="1" applyBorder="1" applyAlignment="1">
      <alignment horizontal="center"/>
    </xf>
    <xf numFmtId="0" fontId="23" fillId="21" borderId="43" xfId="0" applyFont="1" applyFill="1" applyBorder="1" applyAlignment="1">
      <alignment horizontal="center"/>
    </xf>
    <xf numFmtId="0" fontId="23" fillId="21" borderId="46" xfId="0" applyFont="1" applyFill="1" applyBorder="1" applyAlignment="1">
      <alignment horizontal="center"/>
    </xf>
    <xf numFmtId="0" fontId="23" fillId="21" borderId="16" xfId="0" applyFont="1" applyFill="1" applyBorder="1" applyAlignment="1">
      <alignment horizontal="center"/>
    </xf>
    <xf numFmtId="0" fontId="4" fillId="9" borderId="178" xfId="0" quotePrefix="1" applyFont="1" applyFill="1" applyBorder="1" applyAlignment="1">
      <alignment horizontal="center"/>
    </xf>
    <xf numFmtId="0" fontId="4" fillId="9" borderId="74" xfId="0" applyFont="1" applyFill="1" applyBorder="1" applyAlignment="1">
      <alignment horizontal="center"/>
    </xf>
    <xf numFmtId="0" fontId="4" fillId="9" borderId="179" xfId="0" applyFont="1" applyFill="1" applyBorder="1" applyAlignment="1">
      <alignment horizontal="center"/>
    </xf>
    <xf numFmtId="0" fontId="7" fillId="15" borderId="125" xfId="0" quotePrefix="1" applyFont="1" applyFill="1" applyBorder="1" applyAlignment="1">
      <alignment horizontal="center" vertical="top" wrapText="1"/>
    </xf>
    <xf numFmtId="0" fontId="7" fillId="15" borderId="126" xfId="0" quotePrefix="1" applyFont="1" applyFill="1" applyBorder="1" applyAlignment="1">
      <alignment horizontal="center" vertical="top" wrapText="1"/>
    </xf>
    <xf numFmtId="0" fontId="4" fillId="18" borderId="2" xfId="0" quotePrefix="1" applyFont="1" applyFill="1" applyBorder="1" applyAlignment="1">
      <alignment horizontal="center"/>
    </xf>
    <xf numFmtId="0" fontId="4" fillId="18" borderId="1" xfId="0" quotePrefix="1" applyFont="1" applyFill="1" applyBorder="1" applyAlignment="1">
      <alignment horizontal="center"/>
    </xf>
    <xf numFmtId="0" fontId="4" fillId="6" borderId="13" xfId="0" applyFont="1" applyFill="1" applyBorder="1" applyAlignment="1">
      <alignment horizontal="center"/>
    </xf>
    <xf numFmtId="0" fontId="4" fillId="6" borderId="46" xfId="0" applyFont="1" applyFill="1" applyBorder="1" applyAlignment="1">
      <alignment horizontal="center"/>
    </xf>
    <xf numFmtId="0" fontId="4" fillId="6" borderId="16" xfId="0" applyFont="1" applyFill="1" applyBorder="1" applyAlignment="1">
      <alignment horizontal="center"/>
    </xf>
    <xf numFmtId="0" fontId="4" fillId="13" borderId="13" xfId="0" applyFont="1" applyFill="1" applyBorder="1" applyAlignment="1">
      <alignment horizontal="center"/>
    </xf>
    <xf numFmtId="0" fontId="4" fillId="13" borderId="46" xfId="0" applyFont="1" applyFill="1" applyBorder="1" applyAlignment="1">
      <alignment horizontal="center"/>
    </xf>
    <xf numFmtId="0" fontId="4" fillId="13" borderId="16" xfId="0" applyFont="1" applyFill="1" applyBorder="1" applyAlignment="1">
      <alignment horizontal="center"/>
    </xf>
    <xf numFmtId="0" fontId="22" fillId="15" borderId="2" xfId="0" applyFont="1" applyFill="1" applyBorder="1" applyAlignment="1">
      <alignment horizontal="center"/>
    </xf>
    <xf numFmtId="0" fontId="22" fillId="15" borderId="1" xfId="0" applyFont="1" applyFill="1" applyBorder="1" applyAlignment="1">
      <alignment horizontal="center"/>
    </xf>
    <xf numFmtId="0" fontId="22" fillId="15" borderId="4" xfId="0" applyFont="1" applyFill="1" applyBorder="1" applyAlignment="1">
      <alignment horizontal="center"/>
    </xf>
    <xf numFmtId="0" fontId="71" fillId="44" borderId="1" xfId="0" quotePrefix="1" applyFont="1" applyFill="1" applyBorder="1" applyAlignment="1">
      <alignment horizontal="center"/>
    </xf>
    <xf numFmtId="0" fontId="71" fillId="44" borderId="86" xfId="0" quotePrefix="1" applyFont="1" applyFill="1" applyBorder="1" applyAlignment="1">
      <alignment horizontal="center"/>
    </xf>
    <xf numFmtId="0" fontId="71" fillId="44" borderId="0" xfId="0" quotePrefix="1" applyFont="1" applyFill="1" applyAlignment="1">
      <alignment horizontal="center"/>
    </xf>
    <xf numFmtId="0" fontId="77" fillId="21" borderId="0" xfId="0" applyFont="1" applyFill="1" applyAlignment="1">
      <alignment horizontal="center" vertical="center" wrapText="1"/>
    </xf>
    <xf numFmtId="0" fontId="27" fillId="21" borderId="0" xfId="0" applyFont="1" applyFill="1" applyAlignment="1">
      <alignment horizontal="center"/>
    </xf>
    <xf numFmtId="0" fontId="75" fillId="21" borderId="5" xfId="0" applyFont="1" applyFill="1" applyBorder="1" applyAlignment="1">
      <alignment horizontal="center" vertical="top" wrapText="1"/>
    </xf>
    <xf numFmtId="0" fontId="75" fillId="21" borderId="0" xfId="0" applyFont="1" applyFill="1" applyAlignment="1">
      <alignment horizontal="center" vertical="top" wrapText="1"/>
    </xf>
    <xf numFmtId="0" fontId="6" fillId="5" borderId="278" xfId="0" applyFont="1" applyFill="1" applyBorder="1" applyAlignment="1">
      <alignment horizontal="left" vertical="top" wrapText="1"/>
    </xf>
    <xf numFmtId="0" fontId="6" fillId="5" borderId="276" xfId="0" applyFont="1" applyFill="1" applyBorder="1" applyAlignment="1">
      <alignment horizontal="left" vertical="top" wrapText="1"/>
    </xf>
    <xf numFmtId="0" fontId="17" fillId="0" borderId="0" xfId="0" applyFont="1" applyAlignment="1">
      <alignment horizontal="center"/>
    </xf>
    <xf numFmtId="0" fontId="43" fillId="32" borderId="45" xfId="0" applyFont="1" applyFill="1" applyBorder="1" applyAlignment="1" applyProtection="1">
      <alignment horizontal="center"/>
      <protection hidden="1"/>
    </xf>
    <xf numFmtId="0" fontId="43" fillId="32" borderId="16" xfId="0" applyFont="1" applyFill="1" applyBorder="1" applyAlignment="1" applyProtection="1">
      <alignment horizontal="center"/>
      <protection hidden="1"/>
    </xf>
    <xf numFmtId="0" fontId="43" fillId="32" borderId="309" xfId="0" applyFont="1" applyFill="1" applyBorder="1" applyAlignment="1" applyProtection="1">
      <alignment horizontal="center" wrapText="1"/>
      <protection hidden="1"/>
    </xf>
    <xf numFmtId="0" fontId="43" fillId="32" borderId="350" xfId="0" applyFont="1" applyFill="1" applyBorder="1" applyAlignment="1" applyProtection="1">
      <alignment horizontal="center" wrapText="1"/>
      <protection hidden="1"/>
    </xf>
    <xf numFmtId="0" fontId="17" fillId="0" borderId="1" xfId="0" applyFont="1" applyBorder="1" applyAlignment="1">
      <alignment horizontal="left"/>
    </xf>
  </cellXfs>
  <cellStyles count="6">
    <cellStyle name="Hyperlink" xfId="4" builtinId="8"/>
    <cellStyle name="Normal" xfId="0" builtinId="0"/>
    <cellStyle name="Normal 2" xfId="3" xr:uid="{DD8DF290-121F-4B86-B09B-2C3D4A0E640E}"/>
    <cellStyle name="Normal 29 2 2 3" xfId="2" xr:uid="{B231949C-6BBD-4C1F-92EA-B6E61F1C0ABA}"/>
    <cellStyle name="Normal 29 2 2 3 3 2 3 2 3" xfId="5" xr:uid="{ACD95A1F-685D-4D20-8D68-DF0C05BDE341}"/>
    <cellStyle name="Percent" xfId="1" builtinId="5"/>
  </cellStyles>
  <dxfs count="179">
    <dxf>
      <font>
        <color rgb="FF9C0006"/>
      </font>
      <fill>
        <patternFill>
          <bgColor rgb="FFFFC7CE"/>
        </patternFill>
      </fill>
    </dxf>
    <dxf>
      <fill>
        <patternFill>
          <bgColor theme="7" tint="0.79998168889431442"/>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theme="7" tint="0.79998168889431442"/>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C00000"/>
      </font>
    </dxf>
    <dxf>
      <fill>
        <patternFill>
          <bgColor rgb="FFFFFF00"/>
        </patternFill>
      </fill>
    </dxf>
    <dxf>
      <fill>
        <patternFill>
          <bgColor theme="7" tint="0.79998168889431442"/>
        </patternFill>
      </fill>
    </dxf>
    <dxf>
      <fill>
        <patternFill>
          <bgColor theme="9" tint="0.79998168889431442"/>
        </patternFill>
      </fill>
    </dxf>
    <dxf>
      <fill>
        <patternFill>
          <bgColor theme="8" tint="0.79998168889431442"/>
        </patternFill>
      </fill>
    </dxf>
    <dxf>
      <fill>
        <patternFill>
          <bgColor theme="5" tint="0.79998168889431442"/>
        </patternFill>
      </fill>
    </dxf>
    <dxf>
      <fill>
        <patternFill>
          <bgColor rgb="FFEFE5F7"/>
        </patternFill>
      </fill>
    </dxf>
    <dxf>
      <fill>
        <patternFill>
          <bgColor theme="5" tint="0.59996337778862885"/>
        </patternFill>
      </fill>
    </dxf>
    <dxf>
      <fill>
        <patternFill>
          <bgColor rgb="FFFFB3B3"/>
        </patternFill>
      </fill>
    </dxf>
    <dxf>
      <fill>
        <patternFill>
          <bgColor rgb="FFFFFF00"/>
        </patternFill>
      </fill>
    </dxf>
    <dxf>
      <fill>
        <patternFill>
          <bgColor rgb="FFFFFF00"/>
        </patternFill>
      </fill>
    </dxf>
    <dxf>
      <font>
        <b/>
        <i val="0"/>
        <color rgb="FFC00000"/>
      </font>
    </dxf>
    <dxf>
      <font>
        <b/>
        <i val="0"/>
        <color rgb="FFC00000"/>
      </font>
    </dxf>
    <dxf>
      <fill>
        <patternFill>
          <bgColor rgb="FFFFFF00"/>
        </patternFill>
      </fill>
    </dxf>
    <dxf>
      <fill>
        <patternFill>
          <bgColor rgb="FFFFFF00"/>
        </patternFill>
      </fill>
    </dxf>
    <dxf>
      <font>
        <b/>
        <i val="0"/>
        <color rgb="FFC00000"/>
      </font>
    </dxf>
    <dxf>
      <fill>
        <patternFill>
          <bgColor rgb="FFFFFF00"/>
        </patternFill>
      </fill>
    </dxf>
    <dxf>
      <font>
        <b/>
        <i val="0"/>
        <color rgb="FFC00000"/>
      </font>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C0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FF00"/>
        </patternFill>
      </fill>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499984740745262"/>
      </font>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theme="0"/>
      </font>
      <fill>
        <patternFill>
          <bgColor theme="0"/>
        </patternFill>
      </fill>
      <border>
        <left/>
        <right/>
        <top/>
        <bottom/>
      </border>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rgb="FF9C0006"/>
      </font>
      <fill>
        <patternFill>
          <bgColor rgb="FFFFC7CE"/>
        </patternFill>
      </fill>
    </dxf>
    <dxf>
      <font>
        <color theme="0" tint="-0.499984740745262"/>
      </font>
    </dxf>
    <dxf>
      <font>
        <color rgb="FF9C0006"/>
      </font>
      <fill>
        <patternFill>
          <bgColor rgb="FFFFC7CE"/>
        </patternFill>
      </fill>
    </dxf>
    <dxf>
      <font>
        <color rgb="FF9C0006"/>
      </font>
      <fill>
        <patternFill>
          <bgColor rgb="FFFFC7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theme="0"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b/>
        <i val="0"/>
        <color rgb="FFC00000"/>
      </font>
    </dxf>
    <dxf>
      <fill>
        <patternFill>
          <bgColor rgb="FFFFFF00"/>
        </patternFill>
      </fill>
    </dxf>
    <dxf>
      <font>
        <b/>
        <i val="0"/>
        <color rgb="FFC00000"/>
      </font>
    </dxf>
    <dxf>
      <fill>
        <patternFill>
          <bgColor rgb="FFFFFF00"/>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7" tint="0.79998168889431442"/>
        </patternFill>
      </fill>
    </dxf>
    <dxf>
      <fill>
        <patternFill>
          <bgColor theme="9" tint="0.79998168889431442"/>
        </patternFill>
      </fill>
    </dxf>
    <dxf>
      <fill>
        <patternFill>
          <bgColor theme="8" tint="0.79998168889431442"/>
        </patternFill>
      </fill>
    </dxf>
    <dxf>
      <fill>
        <patternFill>
          <bgColor rgb="FFEFE5F7"/>
        </patternFill>
      </fill>
    </dxf>
    <dxf>
      <fill>
        <patternFill>
          <bgColor theme="5" tint="0.59996337778862885"/>
        </patternFill>
      </fill>
    </dxf>
    <dxf>
      <fill>
        <patternFill>
          <bgColor theme="5" tint="0.79998168889431442"/>
        </patternFill>
      </fill>
    </dxf>
    <dxf>
      <fill>
        <patternFill>
          <bgColor rgb="FFFFB3B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C3655"/>
      <color rgb="FFFF9393"/>
      <color rgb="FFFFFBAF"/>
      <color rgb="FFC5F4FF"/>
      <color rgb="FFB3FFCC"/>
      <color rgb="FFA3FFCD"/>
      <color rgb="FFFFF979"/>
      <color rgb="FFFF6565"/>
      <color rgb="FF79FFB6"/>
      <color rgb="FF89E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45720</xdr:colOff>
      <xdr:row>1</xdr:row>
      <xdr:rowOff>68580</xdr:rowOff>
    </xdr:from>
    <xdr:to>
      <xdr:col>6</xdr:col>
      <xdr:colOff>121920</xdr:colOff>
      <xdr:row>5</xdr:row>
      <xdr:rowOff>87492</xdr:rowOff>
    </xdr:to>
    <xdr:pic>
      <xdr:nvPicPr>
        <xdr:cNvPr id="2" name="Picture 1">
          <a:extLst>
            <a:ext uri="{FF2B5EF4-FFF2-40B4-BE49-F238E27FC236}">
              <a16:creationId xmlns:a16="http://schemas.microsoft.com/office/drawing/2014/main" id="{78AA352F-53DF-4708-A5D2-A4F2B5B672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6220" y="106680"/>
          <a:ext cx="1661160" cy="5370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89</xdr:col>
      <xdr:colOff>0</xdr:colOff>
      <xdr:row>562</xdr:row>
      <xdr:rowOff>0</xdr:rowOff>
    </xdr:from>
    <xdr:to>
      <xdr:col>108</xdr:col>
      <xdr:colOff>595409</xdr:colOff>
      <xdr:row>609</xdr:row>
      <xdr:rowOff>69114</xdr:rowOff>
    </xdr:to>
    <xdr:pic>
      <xdr:nvPicPr>
        <xdr:cNvPr id="8" name="Picture 7">
          <a:extLst>
            <a:ext uri="{FF2B5EF4-FFF2-40B4-BE49-F238E27FC236}">
              <a16:creationId xmlns:a16="http://schemas.microsoft.com/office/drawing/2014/main" id="{CACE0B93-4125-C037-C22D-114F054BD699}"/>
            </a:ext>
          </a:extLst>
        </xdr:cNvPr>
        <xdr:cNvPicPr>
          <a:picLocks noChangeAspect="1"/>
        </xdr:cNvPicPr>
      </xdr:nvPicPr>
      <xdr:blipFill>
        <a:blip xmlns:r="http://schemas.openxmlformats.org/officeDocument/2006/relationships" r:embed="rId1"/>
        <a:stretch>
          <a:fillRect/>
        </a:stretch>
      </xdr:blipFill>
      <xdr:spPr>
        <a:xfrm>
          <a:off x="31927800" y="64533780"/>
          <a:ext cx="12101609" cy="61574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205740</xdr:colOff>
      <xdr:row>103</xdr:row>
      <xdr:rowOff>68580</xdr:rowOff>
    </xdr:from>
    <xdr:to>
      <xdr:col>36</xdr:col>
      <xdr:colOff>275157</xdr:colOff>
      <xdr:row>124</xdr:row>
      <xdr:rowOff>106919</xdr:rowOff>
    </xdr:to>
    <xdr:pic>
      <xdr:nvPicPr>
        <xdr:cNvPr id="2" name="Picture 1">
          <a:extLst>
            <a:ext uri="{FF2B5EF4-FFF2-40B4-BE49-F238E27FC236}">
              <a16:creationId xmlns:a16="http://schemas.microsoft.com/office/drawing/2014/main" id="{63FE7F7B-DE03-776F-7DBE-4A828A85685F}"/>
            </a:ext>
          </a:extLst>
        </xdr:cNvPr>
        <xdr:cNvPicPr>
          <a:picLocks noChangeAspect="1"/>
        </xdr:cNvPicPr>
      </xdr:nvPicPr>
      <xdr:blipFill>
        <a:blip xmlns:r="http://schemas.openxmlformats.org/officeDocument/2006/relationships" r:embed="rId1"/>
        <a:stretch>
          <a:fillRect/>
        </a:stretch>
      </xdr:blipFill>
      <xdr:spPr>
        <a:xfrm>
          <a:off x="15697200" y="12748260"/>
          <a:ext cx="9655377" cy="2758679"/>
        </a:xfrm>
        <a:prstGeom prst="rect">
          <a:avLst/>
        </a:prstGeom>
      </xdr:spPr>
    </xdr:pic>
    <xdr:clientData/>
  </xdr:twoCellAnchor>
  <xdr:twoCellAnchor editAs="oneCell">
    <xdr:from>
      <xdr:col>20</xdr:col>
      <xdr:colOff>76200</xdr:colOff>
      <xdr:row>91</xdr:row>
      <xdr:rowOff>91440</xdr:rowOff>
    </xdr:from>
    <xdr:to>
      <xdr:col>36</xdr:col>
      <xdr:colOff>259927</xdr:colOff>
      <xdr:row>114</xdr:row>
      <xdr:rowOff>30733</xdr:rowOff>
    </xdr:to>
    <xdr:pic>
      <xdr:nvPicPr>
        <xdr:cNvPr id="3" name="Picture 2">
          <a:extLst>
            <a:ext uri="{FF2B5EF4-FFF2-40B4-BE49-F238E27FC236}">
              <a16:creationId xmlns:a16="http://schemas.microsoft.com/office/drawing/2014/main" id="{A38A98EC-9773-3E44-192C-A03A6CD4FAC4}"/>
            </a:ext>
          </a:extLst>
        </xdr:cNvPr>
        <xdr:cNvPicPr>
          <a:picLocks noChangeAspect="1"/>
        </xdr:cNvPicPr>
      </xdr:nvPicPr>
      <xdr:blipFill>
        <a:blip xmlns:r="http://schemas.openxmlformats.org/officeDocument/2006/relationships" r:embed="rId2"/>
        <a:stretch>
          <a:fillRect/>
        </a:stretch>
      </xdr:blipFill>
      <xdr:spPr>
        <a:xfrm>
          <a:off x="15567660" y="11216640"/>
          <a:ext cx="9769687" cy="2918713"/>
        </a:xfrm>
        <a:prstGeom prst="rect">
          <a:avLst/>
        </a:prstGeom>
      </xdr:spPr>
    </xdr:pic>
    <xdr:clientData/>
  </xdr:twoCellAnchor>
  <xdr:twoCellAnchor editAs="oneCell">
    <xdr:from>
      <xdr:col>1</xdr:col>
      <xdr:colOff>403860</xdr:colOff>
      <xdr:row>35</xdr:row>
      <xdr:rowOff>60960</xdr:rowOff>
    </xdr:from>
    <xdr:to>
      <xdr:col>13</xdr:col>
      <xdr:colOff>237059</xdr:colOff>
      <xdr:row>40</xdr:row>
      <xdr:rowOff>7672</xdr:rowOff>
    </xdr:to>
    <xdr:pic>
      <xdr:nvPicPr>
        <xdr:cNvPr id="4" name="Picture 3">
          <a:extLst>
            <a:ext uri="{FF2B5EF4-FFF2-40B4-BE49-F238E27FC236}">
              <a16:creationId xmlns:a16="http://schemas.microsoft.com/office/drawing/2014/main" id="{35CCEF9E-4365-038B-558D-10BCC74C3C08}"/>
            </a:ext>
          </a:extLst>
        </xdr:cNvPr>
        <xdr:cNvPicPr>
          <a:picLocks noChangeAspect="1"/>
        </xdr:cNvPicPr>
      </xdr:nvPicPr>
      <xdr:blipFill>
        <a:blip xmlns:r="http://schemas.openxmlformats.org/officeDocument/2006/relationships" r:embed="rId3"/>
        <a:stretch>
          <a:fillRect/>
        </a:stretch>
      </xdr:blipFill>
      <xdr:spPr>
        <a:xfrm>
          <a:off x="541020" y="4579620"/>
          <a:ext cx="9685859" cy="594412"/>
        </a:xfrm>
        <a:prstGeom prst="rect">
          <a:avLst/>
        </a:prstGeom>
      </xdr:spPr>
    </xdr:pic>
    <xdr:clientData/>
  </xdr:twoCellAnchor>
  <xdr:twoCellAnchor editAs="oneCell">
    <xdr:from>
      <xdr:col>1</xdr:col>
      <xdr:colOff>647701</xdr:colOff>
      <xdr:row>34</xdr:row>
      <xdr:rowOff>45720</xdr:rowOff>
    </xdr:from>
    <xdr:to>
      <xdr:col>14</xdr:col>
      <xdr:colOff>320041</xdr:colOff>
      <xdr:row>45</xdr:row>
      <xdr:rowOff>94385</xdr:rowOff>
    </xdr:to>
    <xdr:pic>
      <xdr:nvPicPr>
        <xdr:cNvPr id="6" name="Picture 5">
          <a:extLst>
            <a:ext uri="{FF2B5EF4-FFF2-40B4-BE49-F238E27FC236}">
              <a16:creationId xmlns:a16="http://schemas.microsoft.com/office/drawing/2014/main" id="{53732EDA-3577-77EE-98A6-C902B902064B}"/>
            </a:ext>
          </a:extLst>
        </xdr:cNvPr>
        <xdr:cNvPicPr>
          <a:picLocks noChangeAspect="1"/>
        </xdr:cNvPicPr>
      </xdr:nvPicPr>
      <xdr:blipFill>
        <a:blip xmlns:r="http://schemas.openxmlformats.org/officeDocument/2006/relationships" r:embed="rId4"/>
        <a:stretch>
          <a:fillRect/>
        </a:stretch>
      </xdr:blipFill>
      <xdr:spPr>
        <a:xfrm>
          <a:off x="784861" y="4434840"/>
          <a:ext cx="10142220" cy="14736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777710</xdr:colOff>
      <xdr:row>34</xdr:row>
      <xdr:rowOff>21452</xdr:rowOff>
    </xdr:from>
    <xdr:to>
      <xdr:col>13</xdr:col>
      <xdr:colOff>462137</xdr:colOff>
      <xdr:row>73</xdr:row>
      <xdr:rowOff>41992</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777710" y="4247803"/>
          <a:ext cx="7948592" cy="49224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CapitalMarkets\Pricing\01_Source\Pricing_Source_Output.xlsx" TargetMode="External"/><Relationship Id="rId1" Type="http://schemas.openxmlformats.org/officeDocument/2006/relationships/externalLinkPath" Target="/CapitalMarkets/Pricing/01_Source/Pricing_Source_Out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ing"/>
      <sheetName val="LoanTest"/>
      <sheetName val="Spreads"/>
      <sheetName val="State"/>
      <sheetName val="BasePricing"/>
      <sheetName val="Archive"/>
    </sheetNames>
    <definedNames>
      <definedName name="Corr_PL_Incentive_PN" refersTo="='Spreads'!$J$5"/>
      <definedName name="IN_ARM05_P01" refersTo="='Pricing'!$S$8"/>
      <definedName name="IN_ARM05_P02" refersTo="='Pricing'!$S$9"/>
      <definedName name="IN_ARM05_P03" refersTo="='Pricing'!$S$10"/>
      <definedName name="IN_ARM05_P04" refersTo="='Pricing'!$S$11"/>
      <definedName name="IN_ARM05_P05" refersTo="='Pricing'!$S$12"/>
      <definedName name="IN_ARM05_P06" refersTo="='Pricing'!$S$13"/>
      <definedName name="IN_ARM05_P07" refersTo="='Pricing'!$S$14"/>
      <definedName name="IN_ARM05_P08" refersTo="='Pricing'!$S$15"/>
      <definedName name="IN_ARM05_P09" refersTo="='Pricing'!$S$16"/>
      <definedName name="IN_ARM05_P10" refersTo="='Pricing'!$S$17"/>
      <definedName name="IN_ARM05_P11" refersTo="='Pricing'!$S$18"/>
      <definedName name="IN_ARM05_P12" refersTo="='Pricing'!$S$19"/>
      <definedName name="IN_ARM05_P13" refersTo="='Pricing'!$S$20"/>
      <definedName name="IN_ARM05_P14" refersTo="='Pricing'!$S$21"/>
      <definedName name="IN_ARM05_P15" refersTo="='Pricing'!$S$22"/>
      <definedName name="IN_ARM05_P16" refersTo="='Pricing'!$S$23"/>
      <definedName name="IN_ARM05_P17" refersTo="='Pricing'!$S$24"/>
      <definedName name="IN_ARM05_P18" refersTo="='Pricing'!$S$25"/>
      <definedName name="IN_ARM05_P19" refersTo="='Pricing'!$S$26"/>
      <definedName name="IN_ARM05_P20" refersTo="='Pricing'!$S$27"/>
      <definedName name="IN_ARM05_P21" refersTo="='Pricing'!$S$28"/>
      <definedName name="IN_ARM05_P22" refersTo="='Pricing'!$S$29"/>
      <definedName name="IN_ARM05_P23" refersTo="='Pricing'!$S$30"/>
      <definedName name="IN_ARM05_P24" refersTo="='Pricing'!$S$31"/>
      <definedName name="IN_ARM05_P25" refersTo="='Pricing'!$S$32"/>
      <definedName name="IN_ARM05_P26" refersTo="='Pricing'!$S$33"/>
      <definedName name="IN_FRM30_P01" refersTo="='Pricing'!$T$8"/>
      <definedName name="IN_FRM30_P02" refersTo="='Pricing'!$T$9"/>
      <definedName name="IN_FRM30_P03" refersTo="='Pricing'!$T$10"/>
      <definedName name="IN_FRM30_P04" refersTo="='Pricing'!$T$11"/>
      <definedName name="IN_FRM30_P05" refersTo="='Pricing'!$T$12"/>
      <definedName name="IN_FRM30_P06" refersTo="='Pricing'!$T$13"/>
      <definedName name="IN_FRM30_P07" refersTo="='Pricing'!$T$14"/>
      <definedName name="IN_FRM30_P08" refersTo="='Pricing'!$T$15"/>
      <definedName name="IN_FRM30_P09" refersTo="='Pricing'!$T$16"/>
      <definedName name="IN_FRM30_P10" refersTo="='Pricing'!$T$17"/>
      <definedName name="IN_FRM30_P11" refersTo="='Pricing'!$T$18"/>
      <definedName name="IN_FRM30_P12" refersTo="='Pricing'!$T$19"/>
      <definedName name="IN_FRM30_P13" refersTo="='Pricing'!$T$20"/>
      <definedName name="IN_FRM30_P14" refersTo="='Pricing'!$T$21"/>
      <definedName name="IN_FRM30_P15" refersTo="='Pricing'!$T$22"/>
      <definedName name="IN_FRM30_P16" refersTo="='Pricing'!$T$23"/>
      <definedName name="IN_FRM30_P17" refersTo="='Pricing'!$T$24"/>
      <definedName name="IN_FRM30_P18" refersTo="='Pricing'!$T$25"/>
      <definedName name="IN_FRM30_P19" refersTo="='Pricing'!$T$26"/>
      <definedName name="IN_FRM30_P20" refersTo="='Pricing'!$T$27"/>
      <definedName name="IN_FRM30_P21" refersTo="='Pricing'!$T$28"/>
      <definedName name="IN_FRM30_P22" refersTo="='Pricing'!$T$29"/>
      <definedName name="IN_FRM30_P23" refersTo="='Pricing'!$T$30"/>
      <definedName name="IN_FRM30_P24" refersTo="='Pricing'!$T$31"/>
      <definedName name="IN_FRM30_P25" refersTo="='Pricing'!$T$32"/>
      <definedName name="IN_FRM30_P26" refersTo="='Pricing'!$T$33"/>
      <definedName name="IN_R01" refersTo="='Pricing'!$R$8"/>
      <definedName name="IN_R02" refersTo="='Pricing'!$R$9"/>
      <definedName name="IN_R03" refersTo="='Pricing'!$R$10"/>
      <definedName name="IN_R04" refersTo="='Pricing'!$R$11"/>
      <definedName name="IN_R05" refersTo="='Pricing'!$R$12"/>
      <definedName name="IN_R06" refersTo="='Pricing'!$R$13"/>
      <definedName name="IN_R07" refersTo="='Pricing'!$R$14"/>
      <definedName name="IN_R08" refersTo="='Pricing'!$R$15"/>
      <definedName name="IN_R09" refersTo="='Pricing'!$R$16"/>
      <definedName name="IN_R10" refersTo="='Pricing'!$R$17"/>
      <definedName name="IN_R11" refersTo="='Pricing'!$R$18"/>
      <definedName name="IN_R12" refersTo="='Pricing'!$R$19"/>
      <definedName name="IN_R13" refersTo="='Pricing'!$R$20"/>
      <definedName name="IN_R14" refersTo="='Pricing'!$R$21"/>
      <definedName name="IN_R15" refersTo="='Pricing'!$R$22"/>
      <definedName name="IN_R16" refersTo="='Pricing'!$R$23"/>
      <definedName name="IN_R17" refersTo="='Pricing'!$R$24"/>
      <definedName name="IN_R18" refersTo="='Pricing'!$R$25"/>
      <definedName name="IN_R19" refersTo="='Pricing'!$R$26"/>
      <definedName name="IN_R20" refersTo="='Pricing'!$R$27"/>
      <definedName name="IN_R21" refersTo="='Pricing'!$R$28"/>
      <definedName name="IN_R22" refersTo="='Pricing'!$R$29"/>
      <definedName name="IN_R23" refersTo="='Pricing'!$R$30"/>
      <definedName name="IN_R24" refersTo="='Pricing'!$R$31"/>
      <definedName name="IN_R25" refersTo="='Pricing'!$R$32"/>
      <definedName name="IN_R26" refersTo="='Pricing'!$R$33"/>
      <definedName name="Input_Agency_Unit1_1" refersTo="='State'!$B$57"/>
      <definedName name="Input_Agency_Unit1_2" refersTo="='State'!$C$57"/>
      <definedName name="Input_Agency_Unit2_1" refersTo="='State'!$B$58"/>
      <definedName name="Input_Agency_Unit2_2" refersTo="='State'!$C$58"/>
      <definedName name="Input_Agency_Unit3_1" refersTo="='State'!$B$59"/>
      <definedName name="Input_Agency_Unit3_2" refersTo="='State'!$C$59"/>
      <definedName name="Input_Agency_Unit4_1" refersTo="='State'!$B$60"/>
      <definedName name="Input_Agency_Unit4_2" refersTo="='State'!$C$60"/>
      <definedName name="Input_Index_APOR_ARM01" refersTo="='Pricing'!$H$18"/>
      <definedName name="Input_Index_APOR_ARM02" refersTo="='Pricing'!$H$17"/>
      <definedName name="Input_Index_APOR_ARM03" refersTo="='Pricing'!$H$16"/>
      <definedName name="Input_Index_APOR_ARM05" refersTo="='Pricing'!$H$15"/>
      <definedName name="Input_Index_APOR_ARM07" refersTo="='Pricing'!$H$14"/>
      <definedName name="Input_Index_APOR_ARM10" refersTo="='Pricing'!$H$13"/>
      <definedName name="Input_Index_APOR_ARM15" refersTo="='Pricing'!$H$12"/>
      <definedName name="Input_Index_APOR_ARM20" refersTo="='Pricing'!$H$11"/>
      <definedName name="Input_Index_APOR_ARM30" refersTo="='Pricing'!$H$10"/>
      <definedName name="Input_Index_APOR_Dt" refersTo="='Pricing'!$G$7"/>
      <definedName name="Input_Index_APOR_FRM03" refersTo="='Pricing'!$G$16"/>
      <definedName name="Input_Index_APOR_FRM05" refersTo="='Pricing'!$G$15"/>
      <definedName name="Input_Index_APOR_FRM07" refersTo="='Pricing'!$G$14"/>
      <definedName name="Input_Index_APOR_FRM10" refersTo="='Pricing'!$G$13"/>
      <definedName name="Input_Index_APOR_FRM15" refersTo="='Pricing'!$G$12"/>
      <definedName name="Input_Index_APOR_FRM20" refersTo="='Pricing'!$G$11"/>
      <definedName name="Input_Index_APOR_FRM30" refersTo="='Pricing'!$G$10"/>
      <definedName name="Input_Index_APOR_FRM40" refersTo="='Pricing'!$G$9"/>
      <definedName name="Input_Index_Treasury_Dt" refersTo="='Pricing'!$G$22"/>
      <definedName name="Input_Index_Treasury01yr" refersTo="='Pricing'!$G$30"/>
      <definedName name="Input_Index_Treasury02yr" refersTo="='Pricing'!$G$29"/>
      <definedName name="Input_Index_Treasury03yr" refersTo="='Pricing'!$G$28"/>
      <definedName name="Input_Index_Treasury05yr" refersTo="='Pricing'!$G$27"/>
      <definedName name="Input_Index_Treasury07yr" refersTo="='Pricing'!$G$26"/>
      <definedName name="Input_Index_Treasury10yr" refersTo="='Pricing'!$G$25"/>
      <definedName name="Input_Index_Treasury20yr" refersTo="='Pricing'!$G$24"/>
      <definedName name="Input_Index_Treasury30yr" refersTo="='Pricing'!$G$23"/>
      <definedName name="Input_MaxPriceNet_IN_01PP" refersTo="='Pricing'!$B$12"/>
      <definedName name="Input_MaxPriceNet_IN_02PP" refersTo="='Pricing'!$B$13"/>
      <definedName name="Input_MaxPriceNet_IN_03PP" refersTo="='Pricing'!$B$14"/>
      <definedName name="Input_MaxPriceNet_IN_04PP" refersTo="='Pricing'!$B$15"/>
      <definedName name="Input_MaxPriceNet_IN_05PP" refersTo="='Pricing'!$B$16"/>
      <definedName name="Input_MaxPriceNet_IN_NoPP" refersTo="='Pricing'!$B$11"/>
      <definedName name="Input_MaxPriceNet_IR_01PP" refersTo="='Pricing'!$B$19"/>
      <definedName name="Input_MaxPriceNet_IR_02PP" refersTo="='Pricing'!$B$20"/>
      <definedName name="Input_MaxPriceNet_IR_03PP" refersTo="='Pricing'!$B$21"/>
      <definedName name="Input_MaxPriceNet_IR_04PP" refersTo="='Pricing'!$B$22"/>
      <definedName name="Input_MaxPriceNet_IR_05PP" refersTo="='Pricing'!$B$23"/>
      <definedName name="Input_MaxPriceNet_IR_NoPP" refersTo="='Pricing'!$B$18"/>
      <definedName name="Input_MaxPriceNet_PN_NoPP" refersTo="='Pricing'!$B$10"/>
      <definedName name="Input_MaxPriceNet_PR_NoPP" refersTo="='Pricing'!$B$17"/>
      <definedName name="Input_RS_Dt" refersTo="='Pricing'!$B$3"/>
      <definedName name="Input_RS_ID" refersTo="='Pricing'!$C$3"/>
      <definedName name="IR_ARM05_P01" refersTo="='Pricing'!$AE$8"/>
      <definedName name="IR_ARM05_P02" refersTo="='Pricing'!$AE$9"/>
      <definedName name="IR_ARM05_P03" refersTo="='Pricing'!$AE$10"/>
      <definedName name="IR_ARM05_P04" refersTo="='Pricing'!$AE$11"/>
      <definedName name="IR_ARM05_P05" refersTo="='Pricing'!$AE$12"/>
      <definedName name="IR_ARM05_P06" refersTo="='Pricing'!$AE$13"/>
      <definedName name="IR_ARM05_P07" refersTo="='Pricing'!$AE$14"/>
      <definedName name="IR_ARM05_P08" refersTo="='Pricing'!$AE$15"/>
      <definedName name="IR_ARM05_P09" refersTo="='Pricing'!$AE$16"/>
      <definedName name="IR_ARM05_P10" refersTo="='Pricing'!$AE$17"/>
      <definedName name="IR_ARM05_P11" refersTo="='Pricing'!$AE$18"/>
      <definedName name="IR_ARM05_P12" refersTo="='Pricing'!$AE$19"/>
      <definedName name="IR_ARM05_P13" refersTo="='Pricing'!$AE$20"/>
      <definedName name="IR_ARM05_P14" refersTo="='Pricing'!$AE$21"/>
      <definedName name="IR_ARM05_P15" refersTo="='Pricing'!$AE$22"/>
      <definedName name="IR_ARM05_P16" refersTo="='Pricing'!$AE$23"/>
      <definedName name="IR_ARM05_P17" refersTo="='Pricing'!$AE$24"/>
      <definedName name="IR_ARM05_P18" refersTo="='Pricing'!$AE$25"/>
      <definedName name="IR_ARM05_P19" refersTo="='Pricing'!$AE$26"/>
      <definedName name="IR_ARM05_P20" refersTo="='Pricing'!$AE$27"/>
      <definedName name="IR_ARM05_P21" refersTo="='Pricing'!$AE$28"/>
      <definedName name="IR_ARM05_P22" refersTo="='Pricing'!$AE$29"/>
      <definedName name="IR_ARM05_P23" refersTo="='Pricing'!$AE$30"/>
      <definedName name="IR_ARM05_P24" refersTo="='Pricing'!$AE$31"/>
      <definedName name="IR_ARM05_P25" refersTo="='Pricing'!$AE$32"/>
      <definedName name="IR_ARM05_P26" refersTo="='Pricing'!$AE$33"/>
      <definedName name="IR_ARM05_P27" refersTo="='Pricing'!$AE$34"/>
      <definedName name="IR_ARM05_P28" refersTo="='Pricing'!$AE$35"/>
      <definedName name="IR_ARM05_P29" refersTo="='Pricing'!$AE$36"/>
      <definedName name="IR_ARM05_P30" refersTo="='Pricing'!$AE$37"/>
      <definedName name="IR_ARM05_P31" refersTo="='Pricing'!$AE$38"/>
      <definedName name="IR_ARM05_P32" refersTo="='Pricing'!$AE$39"/>
      <definedName name="IR_ARM05_P33" refersTo="='Pricing'!$AE$40"/>
      <definedName name="IR_ARM05_P34" refersTo="='Pricing'!$AE$41"/>
      <definedName name="IR_ARM05_P35" refersTo="='Pricing'!$AE$42"/>
      <definedName name="IR_ARM05_P36" refersTo="='Pricing'!$AE$43"/>
      <definedName name="IR_ARM05_P37" refersTo="='Pricing'!$AE$44"/>
      <definedName name="IR_ARM05_P38" refersTo="='Pricing'!$AE$45"/>
      <definedName name="IR_ARM05_P39" refersTo="='Pricing'!$AE$46"/>
      <definedName name="IR_ARM05_P40" refersTo="='Pricing'!$AE$47"/>
      <definedName name="IR_ARM05_P41" refersTo="='Pricing'!$AE$48"/>
      <definedName name="IR_FRM30_P01" refersTo="='Pricing'!$AF$8"/>
      <definedName name="IR_FRM30_P02" refersTo="='Pricing'!$AF$9"/>
      <definedName name="IR_FRM30_P03" refersTo="='Pricing'!$AF$10"/>
      <definedName name="IR_FRM30_P04" refersTo="='Pricing'!$AF$11"/>
      <definedName name="IR_FRM30_P05" refersTo="='Pricing'!$AF$12"/>
      <definedName name="IR_FRM30_P06" refersTo="='Pricing'!$AF$13"/>
      <definedName name="IR_FRM30_P07" refersTo="='Pricing'!$AF$14"/>
      <definedName name="IR_FRM30_P08" refersTo="='Pricing'!$AF$15"/>
      <definedName name="IR_FRM30_P09" refersTo="='Pricing'!$AF$16"/>
      <definedName name="IR_FRM30_P10" refersTo="='Pricing'!$AF$17"/>
      <definedName name="IR_FRM30_P11" refersTo="='Pricing'!$AF$18"/>
      <definedName name="IR_FRM30_P12" refersTo="='Pricing'!$AF$19"/>
      <definedName name="IR_FRM30_P13" refersTo="='Pricing'!$AF$20"/>
      <definedName name="IR_FRM30_P14" refersTo="='Pricing'!$AF$21"/>
      <definedName name="IR_FRM30_P15" refersTo="='Pricing'!$AF$22"/>
      <definedName name="IR_FRM30_P16" refersTo="='Pricing'!$AF$23"/>
      <definedName name="IR_FRM30_P17" refersTo="='Pricing'!$AF$24"/>
      <definedName name="IR_FRM30_P18" refersTo="='Pricing'!$AF$25"/>
      <definedName name="IR_FRM30_P19" refersTo="='Pricing'!$AF$26"/>
      <definedName name="IR_FRM30_P20" refersTo="='Pricing'!$AF$27"/>
      <definedName name="IR_FRM30_P21" refersTo="='Pricing'!$AF$28"/>
      <definedName name="IR_FRM30_P22" refersTo="='Pricing'!$AF$29"/>
      <definedName name="IR_FRM30_P23" refersTo="='Pricing'!$AF$30"/>
      <definedName name="IR_FRM30_P24" refersTo="='Pricing'!$AF$31"/>
      <definedName name="IR_FRM30_P25" refersTo="='Pricing'!$AF$32"/>
      <definedName name="IR_FRM30_P26" refersTo="='Pricing'!$AF$33"/>
      <definedName name="IR_FRM30_P27" refersTo="='Pricing'!$AF$34"/>
      <definedName name="IR_FRM30_P28" refersTo="='Pricing'!$AF$35"/>
      <definedName name="IR_FRM30_P29" refersTo="='Pricing'!$AF$36"/>
      <definedName name="IR_FRM30_P30" refersTo="='Pricing'!$AF$37"/>
      <definedName name="IR_FRM30_P31" refersTo="='Pricing'!$AF$38"/>
      <definedName name="IR_FRM30_P32" refersTo="='Pricing'!$AF$39"/>
      <definedName name="IR_FRM30_P33" refersTo="='Pricing'!$AF$40"/>
      <definedName name="IR_FRM30_P34" refersTo="='Pricing'!$AF$41"/>
      <definedName name="IR_FRM30_P35" refersTo="='Pricing'!$AF$42"/>
      <definedName name="IR_FRM30_P36" refersTo="='Pricing'!$AF$43"/>
      <definedName name="IR_FRM30_P37" refersTo="='Pricing'!$AF$44"/>
      <definedName name="IR_FRM30_P38" refersTo="='Pricing'!$AF$45"/>
      <definedName name="IR_FRM30_P39" refersTo="='Pricing'!$AF$46"/>
      <definedName name="IR_FRM30_P40" refersTo="='Pricing'!$AF$47"/>
      <definedName name="IR_FRM30_P41" refersTo="='Pricing'!$AF$48"/>
      <definedName name="IR_R01" refersTo="='Pricing'!$AD$8"/>
      <definedName name="IR_R02" refersTo="='Pricing'!$AD$9"/>
      <definedName name="IR_R03" refersTo="='Pricing'!$AD$10"/>
      <definedName name="IR_R04" refersTo="='Pricing'!$AD$11"/>
      <definedName name="IR_R05" refersTo="='Pricing'!$AD$12"/>
      <definedName name="IR_R06" refersTo="='Pricing'!$AD$13"/>
      <definedName name="IR_R07" refersTo="='Pricing'!$AD$14"/>
      <definedName name="IR_R08" refersTo="='Pricing'!$AD$15"/>
      <definedName name="IR_R09" refersTo="='Pricing'!$AD$16"/>
      <definedName name="IR_R10" refersTo="='Pricing'!$AD$17"/>
      <definedName name="IR_R11" refersTo="='Pricing'!$AD$18"/>
      <definedName name="IR_R12" refersTo="='Pricing'!$AD$19"/>
      <definedName name="IR_R13" refersTo="='Pricing'!$AD$20"/>
      <definedName name="IR_R14" refersTo="='Pricing'!$AD$21"/>
      <definedName name="IR_R15" refersTo="='Pricing'!$AD$22"/>
      <definedName name="IR_R16" refersTo="='Pricing'!$AD$23"/>
      <definedName name="IR_R17" refersTo="='Pricing'!$AD$24"/>
      <definedName name="IR_R18" refersTo="='Pricing'!$AD$25"/>
      <definedName name="IR_R19" refersTo="='Pricing'!$AD$26"/>
      <definedName name="IR_R20" refersTo="='Pricing'!$AD$27"/>
      <definedName name="IR_R21" refersTo="='Pricing'!$AD$28"/>
      <definedName name="IR_R22" refersTo="='Pricing'!$AD$29"/>
      <definedName name="IR_R23" refersTo="='Pricing'!$AD$30"/>
      <definedName name="IR_R24" refersTo="='Pricing'!$AD$31"/>
      <definedName name="IR_R25" refersTo="='Pricing'!$AD$32"/>
      <definedName name="IR_R26" refersTo="='Pricing'!$AD$33"/>
      <definedName name="IR_R27" refersTo="='Pricing'!$AD$34"/>
      <definedName name="IR_R28" refersTo="='Pricing'!$AD$35"/>
      <definedName name="IR_R29" refersTo="='Pricing'!$AD$36"/>
      <definedName name="IR_R30" refersTo="='Pricing'!$AD$37"/>
      <definedName name="IR_R31" refersTo="='Pricing'!$AD$38"/>
      <definedName name="IR_R32" refersTo="='Pricing'!$AD$39"/>
      <definedName name="IR_R33" refersTo="='Pricing'!$AD$40"/>
      <definedName name="IR_R34" refersTo="='Pricing'!$AD$41"/>
      <definedName name="IR_R35" refersTo="='Pricing'!$AD$42"/>
      <definedName name="IR_R36" refersTo="='Pricing'!$AD$43"/>
      <definedName name="IR_R37" refersTo="='Pricing'!$AD$44"/>
      <definedName name="IR_R38" refersTo="='Pricing'!$AD$45"/>
      <definedName name="IR_R39" refersTo="='Pricing'!$AD$46"/>
      <definedName name="IR_R40" refersTo="='Pricing'!$AD$47"/>
      <definedName name="IR_R41" refersTo="='Pricing'!$AD$48"/>
      <definedName name="List_StateInput" refersTo="='State'!$A$3:$A$53"/>
      <definedName name="List_StateInputAll" refersTo="='State'!$A$3:$X$53"/>
      <definedName name="LLPA_PN_000050_30_Day" refersTo="='Spreads'!$C$41"/>
      <definedName name="LLPA_PN_000050_45_Day" refersTo="='Spreads'!$C$42"/>
      <definedName name="LLPA_PN_000050_60_Day" refersTo="='Spreads'!$C$43"/>
      <definedName name="LLPA_PN_000050_Best_Efforts" refersTo="='Spreads'!$C$45"/>
      <definedName name="LLPA_PN_000050_ExtensionPerDay" refersTo="='Spreads'!$C$47"/>
      <definedName name="LLPA_PN_000050_FundingFee" refersTo="='Spreads'!$C$49"/>
      <definedName name="LLPA_PN_000050_FundingFee2" refersTo="='Spreads'!$C$50"/>
      <definedName name="LLPA_PN_000050_Mandatory" refersTo="='Spreads'!$C$44"/>
      <definedName name="LLPA_PN_000050_Relock" refersTo="='Spreads'!$C$46"/>
      <definedName name="LoanTest_HC_Fed_APR_1st_1_APORSpread" refersTo="='LoanTest'!$F$4"/>
      <definedName name="LoanTest_HC_Fed_APR_1st_1_LnAmt_Max" refersTo="='LoanTest'!$J$4"/>
      <definedName name="LoanTest_HC_Fed_APR_1st_1_LnAmt_Min" refersTo="='LoanTest'!$I$4"/>
      <definedName name="LoanTest_HC_Fed_APR_1st_2_APORSpread" refersTo="='LoanTest'!$F$5"/>
      <definedName name="LoanTest_HC_Fed_APR_1st_2_LnAmt_Max" refersTo="='LoanTest'!$J$5"/>
      <definedName name="LoanTest_HC_Fed_APR_1st_2_LnAmt_Min" refersTo="='LoanTest'!$I$5"/>
      <definedName name="LoanTest_HC_Fed_APR_2nd_APORSpread" refersTo="='LoanTest'!$F$6"/>
      <definedName name="LoanTest_HC_Fed_APR_2nd_LnAmt_Max" refersTo="='LoanTest'!$J$6"/>
      <definedName name="LoanTest_HC_Fed_APR_2nd_LnAmt_Min" refersTo="='LoanTest'!$I$6"/>
      <definedName name="LoanTest_HC_Fed_PtsFees_1_FeeAmt" refersTo="='LoanTest'!$H$7"/>
      <definedName name="LoanTest_HC_Fed_PtsFees_1_FeePct" refersTo="='LoanTest'!$G$7"/>
      <definedName name="LoanTest_HC_Fed_PtsFees_1_LnAmt_Max" refersTo="='LoanTest'!$J$7"/>
      <definedName name="LoanTest_HC_Fed_PtsFees_1_LnAmt_Min" refersTo="='LoanTest'!$I$7"/>
      <definedName name="LoanTest_HC_Fed_PtsFees_2_FeePct" refersTo="='LoanTest'!$G$8"/>
      <definedName name="LoanTest_HC_Fed_PtsFees_2_LnAmt_Max" refersTo="='LoanTest'!$J$8"/>
      <definedName name="LoanTest_HC_Fed_PtsFees_2_LnAmt_Min" refersTo="='LoanTest'!$I$8"/>
      <definedName name="LoanTest_HP_Fed_APR_1st_APORSpread" refersTo="='LoanTest'!$F$25"/>
      <definedName name="LoanTest_HP_Fed_APR_2nd_APORSpread" refersTo="='LoanTest'!$F$26"/>
      <definedName name="LoanTest_QM_APR_1st_1_APORSpread" refersTo="='LoanTest'!$F$19"/>
      <definedName name="LoanTest_QM_APR_1st_1_LnAmt_Max" refersTo="='LoanTest'!$J$19"/>
      <definedName name="LoanTest_QM_APR_1st_1_LnAmt_Min" refersTo="='LoanTest'!$I$19"/>
      <definedName name="LoanTest_QM_APR_1st_2_APORSpread" refersTo="='LoanTest'!$F$20"/>
      <definedName name="LoanTest_QM_APR_1st_2_LnAmt_Max" refersTo="='LoanTest'!$J$20"/>
      <definedName name="LoanTest_QM_APR_1st_2_LnAmt_Min" refersTo="='LoanTest'!$I$20"/>
      <definedName name="LoanTest_QM_APR_1st_3_APORSpread" refersTo="='LoanTest'!$F$21"/>
      <definedName name="LoanTest_QM_APR_1st_3_LnAmt_Max" refersTo="='LoanTest'!$J$21"/>
      <definedName name="LoanTest_QM_APR_1st_3_LnAmt_Min" refersTo="='LoanTest'!$I$21"/>
      <definedName name="LoanTest_QM_APR_2nd_1_APORSpread" refersTo="='LoanTest'!$F$22"/>
      <definedName name="LoanTest_QM_APR_2nd_1_LnAmt_Max" refersTo="='LoanTest'!$J$22"/>
      <definedName name="LoanTest_QM_APR_2nd_1_LnAmt_Min" refersTo="='LoanTest'!$I$22"/>
      <definedName name="LoanTest_QM_APR_2nd_2_APORSpread" refersTo="='LoanTest'!$F$23"/>
      <definedName name="LoanTest_QM_APR_2nd_2_LnAmt_Max" refersTo="='LoanTest'!$J$23"/>
      <definedName name="LoanTest_QM_APR_2nd_2_LnAmt_Min" refersTo="='LoanTest'!$I$23"/>
      <definedName name="LoanTest_QM_PtsFees_1_FeePct" refersTo="='LoanTest'!$G$16"/>
      <definedName name="LoanTest_QM_PtsFees_1_LnAmt_Max" refersTo="='LoanTest'!$J$16"/>
      <definedName name="LoanTest_QM_PtsFees_1_LnAmt_Min" refersTo="='LoanTest'!$I$16"/>
      <definedName name="LoanTest_QM_PtsFees_2_FeeAmt" refersTo="='LoanTest'!$H$17"/>
      <definedName name="LoanTest_QM_PtsFees_2_LnAmt_Max" refersTo="='LoanTest'!$J$17"/>
      <definedName name="LoanTest_QM_PtsFees_2_LnAmt_Min" refersTo="='LoanTest'!$I$17"/>
      <definedName name="LoanTest_QM_PtsFees_3_FeePct" refersTo="='LoanTest'!$G$18"/>
      <definedName name="LoanTest_QM_PtsFees_3_LnAmt_Max" refersTo="='LoanTest'!$J$18"/>
      <definedName name="LoanTest_QM_PtsFees_3_LnAmt_Min" refersTo="='LoanTest'!$I$18"/>
      <definedName name="LoanTest_Test_Results_AVMLoanAmountLimit_VPM" refersTo="='LoanTest'!$I$28"/>
      <definedName name="PN_ARM05_P01" refersTo="='Pricing'!$M$8"/>
      <definedName name="PN_ARM05_P02" refersTo="='Pricing'!$M$9"/>
      <definedName name="PN_ARM05_P03" refersTo="='Pricing'!$M$10"/>
      <definedName name="PN_ARM05_P04" refersTo="='Pricing'!$M$11"/>
      <definedName name="PN_ARM05_P05" refersTo="='Pricing'!$M$12"/>
      <definedName name="PN_ARM05_P06" refersTo="='Pricing'!$M$13"/>
      <definedName name="PN_ARM05_P07" refersTo="='Pricing'!$M$14"/>
      <definedName name="PN_ARM05_P08" refersTo="='Pricing'!$M$15"/>
      <definedName name="PN_ARM05_P09" refersTo="='Pricing'!$M$16"/>
      <definedName name="PN_ARM05_P10" refersTo="='Pricing'!$M$17"/>
      <definedName name="PN_ARM05_P11" refersTo="='Pricing'!$M$18"/>
      <definedName name="PN_ARM05_P12" refersTo="='Pricing'!$M$19"/>
      <definedName name="PN_ARM05_P13" refersTo="='Pricing'!$M$20"/>
      <definedName name="PN_ARM05_P14" refersTo="='Pricing'!$M$21"/>
      <definedName name="PN_ARM05_P15" refersTo="='Pricing'!$M$22"/>
      <definedName name="PN_ARM05_P16" refersTo="='Pricing'!$M$23"/>
      <definedName name="PN_ARM05_P17" refersTo="='Pricing'!$M$24"/>
      <definedName name="PN_ARM05_P18" refersTo="='Pricing'!$M$25"/>
      <definedName name="PN_ARM05_P19" refersTo="='Pricing'!$M$26"/>
      <definedName name="PN_ARM05_P20" refersTo="='Pricing'!$M$27"/>
      <definedName name="PN_ARM05_P21" refersTo="='Pricing'!$M$28"/>
      <definedName name="PN_ARM05_P22" refersTo="='Pricing'!$M$29"/>
      <definedName name="PN_ARM05_P23" refersTo="='Pricing'!$M$30"/>
      <definedName name="PN_ARM05_P24" refersTo="='Pricing'!$M$31"/>
      <definedName name="PN_ARM05_P25" refersTo="='Pricing'!$M$32"/>
      <definedName name="PN_ARM05_P26" refersTo="='Pricing'!$M$33"/>
      <definedName name="PN_FRM30_P01" refersTo="='Pricing'!$N$8"/>
      <definedName name="PN_FRM30_P02" refersTo="='Pricing'!$N$9"/>
      <definedName name="PN_FRM30_P03" refersTo="='Pricing'!$N$10"/>
      <definedName name="PN_FRM30_P04" refersTo="='Pricing'!$N$11"/>
      <definedName name="PN_FRM30_P05" refersTo="='Pricing'!$N$12"/>
      <definedName name="PN_FRM30_P06" refersTo="='Pricing'!$N$13"/>
      <definedName name="PN_FRM30_P07" refersTo="='Pricing'!$N$14"/>
      <definedName name="PN_FRM30_P08" refersTo="='Pricing'!$N$15"/>
      <definedName name="PN_FRM30_P09" refersTo="='Pricing'!$N$16"/>
      <definedName name="PN_FRM30_P10" refersTo="='Pricing'!$N$17"/>
      <definedName name="PN_FRM30_P11" refersTo="='Pricing'!$N$18"/>
      <definedName name="PN_FRM30_P12" refersTo="='Pricing'!$N$19"/>
      <definedName name="PN_FRM30_P13" refersTo="='Pricing'!$N$20"/>
      <definedName name="PN_FRM30_P14" refersTo="='Pricing'!$N$21"/>
      <definedName name="PN_FRM30_P15" refersTo="='Pricing'!$N$22"/>
      <definedName name="PN_FRM30_P16" refersTo="='Pricing'!$N$23"/>
      <definedName name="PN_FRM30_P17" refersTo="='Pricing'!$N$24"/>
      <definedName name="PN_FRM30_P18" refersTo="='Pricing'!$N$25"/>
      <definedName name="PN_FRM30_P19" refersTo="='Pricing'!$N$26"/>
      <definedName name="PN_FRM30_P20" refersTo="='Pricing'!$N$27"/>
      <definedName name="PN_FRM30_P21" refersTo="='Pricing'!$N$28"/>
      <definedName name="PN_FRM30_P22" refersTo="='Pricing'!$N$29"/>
      <definedName name="PN_FRM30_P23" refersTo="='Pricing'!$N$30"/>
      <definedName name="PN_FRM30_P24" refersTo="='Pricing'!$N$31"/>
      <definedName name="PN_FRM30_P25" refersTo="='Pricing'!$N$32"/>
      <definedName name="PN_FRM30_P26" refersTo="='Pricing'!$N$33"/>
      <definedName name="PN_R01" refersTo="='Pricing'!$L$8"/>
      <definedName name="PN_R02" refersTo="='Pricing'!$L$9"/>
      <definedName name="PN_R03" refersTo="='Pricing'!$L$10"/>
      <definedName name="PN_R04" refersTo="='Pricing'!$L$11"/>
      <definedName name="PN_R05" refersTo="='Pricing'!$L$12"/>
      <definedName name="PN_R06" refersTo="='Pricing'!$L$13"/>
      <definedName name="PN_R07" refersTo="='Pricing'!$L$14"/>
      <definedName name="PN_R08" refersTo="='Pricing'!$L$15"/>
      <definedName name="PN_R09" refersTo="='Pricing'!$L$16"/>
      <definedName name="PN_R10" refersTo="='Pricing'!$L$17"/>
      <definedName name="PN_R11" refersTo="='Pricing'!$L$18"/>
      <definedName name="PN_R12" refersTo="='Pricing'!$L$19"/>
      <definedName name="PN_R13" refersTo="='Pricing'!$L$20"/>
      <definedName name="PN_R14" refersTo="='Pricing'!$L$21"/>
      <definedName name="PN_R15" refersTo="='Pricing'!$L$22"/>
      <definedName name="PN_R16" refersTo="='Pricing'!$L$23"/>
      <definedName name="PN_R17" refersTo="='Pricing'!$L$24"/>
      <definedName name="PN_R18" refersTo="='Pricing'!$L$25"/>
      <definedName name="PN_R19" refersTo="='Pricing'!$L$26"/>
      <definedName name="PN_R20" refersTo="='Pricing'!$L$27"/>
      <definedName name="PN_R21" refersTo="='Pricing'!$L$28"/>
      <definedName name="PN_R22" refersTo="='Pricing'!$L$29"/>
      <definedName name="PN_R23" refersTo="='Pricing'!$L$30"/>
      <definedName name="PN_R24" refersTo="='Pricing'!$L$31"/>
      <definedName name="PN_R25" refersTo="='Pricing'!$L$32"/>
      <definedName name="PN_R26" refersTo="='Pricing'!$L$33"/>
      <definedName name="PR_ARM05_P01" refersTo="='Pricing'!$Y$8"/>
      <definedName name="PR_ARM05_P03" refersTo="='Pricing'!$Y$10"/>
      <definedName name="PR_ARM05_P04" refersTo="='Pricing'!$Y$11"/>
      <definedName name="PR_ARM05_P05" refersTo="='Pricing'!$Y$12"/>
      <definedName name="PR_ARM05_P06" refersTo="='Pricing'!$Y$13"/>
      <definedName name="PR_ARM05_P07" refersTo="='Pricing'!$Y$14"/>
      <definedName name="PR_ARM05_P08" refersTo="='Pricing'!$Y$15"/>
      <definedName name="PR_ARM05_P09" refersTo="='Pricing'!$Y$16"/>
      <definedName name="PR_ARM05_P10" refersTo="='Pricing'!$Y$17"/>
      <definedName name="PR_ARM05_P11" refersTo="='Pricing'!$Y$18"/>
      <definedName name="PR_ARM05_P12" refersTo="='Pricing'!$Y$19"/>
      <definedName name="PR_ARM05_P13" refersTo="='Pricing'!$Y$20"/>
      <definedName name="PR_ARM05_P14" refersTo="='Pricing'!$Y$21"/>
      <definedName name="PR_ARM05_P15" refersTo="='Pricing'!$Y$22"/>
      <definedName name="PR_ARM05_P16" refersTo="='Pricing'!$Y$23"/>
      <definedName name="PR_ARM05_P17" refersTo="='Pricing'!$Y$24"/>
      <definedName name="PR_ARM05_P18" refersTo="='Pricing'!$Y$25"/>
      <definedName name="PR_ARM05_P19" refersTo="='Pricing'!$Y$26"/>
      <definedName name="PR_ARM05_P20" refersTo="='Pricing'!$Y$27"/>
      <definedName name="PR_ARM05_P21" refersTo="='Pricing'!$Y$28"/>
      <definedName name="PR_ARM05_P22" refersTo="='Pricing'!$Y$29"/>
      <definedName name="PR_ARM05_P23" refersTo="='Pricing'!$Y$30"/>
      <definedName name="PR_ARM05_P24" refersTo="='Pricing'!$Y$31"/>
      <definedName name="PR_ARM05_P25" refersTo="='Pricing'!$Y$32"/>
      <definedName name="PR_ARM05_P26" refersTo="='Pricing'!$Y$33"/>
      <definedName name="PR_ARM05_P27" refersTo="='Pricing'!$Y$34"/>
      <definedName name="PR_ARM05_P28" refersTo="='Pricing'!$Y$35"/>
      <definedName name="PR_ARM05_P29" refersTo="='Pricing'!$Y$36"/>
      <definedName name="PR_ARM05_P30" refersTo="='Pricing'!$Y$37"/>
      <definedName name="PR_ARM05_P31" refersTo="='Pricing'!$Y$38"/>
      <definedName name="PR_ARM05_P32" refersTo="='Pricing'!$Y$39"/>
      <definedName name="PR_ARM05_P33" refersTo="='Pricing'!$Y$40"/>
      <definedName name="PR_ARM05_P34" refersTo="='Pricing'!$Y$41"/>
      <definedName name="PR_ARM05_P35" refersTo="='Pricing'!$Y$42"/>
      <definedName name="PR_ARM05_P36" refersTo="='Pricing'!$Y$43"/>
      <definedName name="PR_ARM05_P37" refersTo="='Pricing'!$Y$44"/>
      <definedName name="PR_ARM05_P38" refersTo="='Pricing'!$Y$45"/>
      <definedName name="PR_ARM05_P39" refersTo="='Pricing'!$Y$46"/>
      <definedName name="PR_ARM05_P40" refersTo="='Pricing'!$Y$47"/>
      <definedName name="PR_ARM05_P41" refersTo="='Pricing'!$Y$48"/>
      <definedName name="PR_FRM30_P01" refersTo="='Pricing'!$Z$8"/>
      <definedName name="PR_FRM30_P02" refersTo="='Pricing'!$Z$9"/>
      <definedName name="PR_FRM30_P03" refersTo="='Pricing'!$Z$10"/>
      <definedName name="PR_FRM30_P04" refersTo="='Pricing'!$Z$11"/>
      <definedName name="PR_FRM30_P05" refersTo="='Pricing'!$Z$12"/>
      <definedName name="PR_FRM30_P06" refersTo="='Pricing'!$Z$13"/>
      <definedName name="PR_FRM30_P07" refersTo="='Pricing'!$Z$14"/>
      <definedName name="PR_FRM30_P08" refersTo="='Pricing'!$Z$15"/>
      <definedName name="PR_FRM30_P09" refersTo="='Pricing'!$Z$16"/>
      <definedName name="PR_FRM30_P10" refersTo="='Pricing'!$Z$17"/>
      <definedName name="PR_FRM30_P11" refersTo="='Pricing'!$Z$18"/>
      <definedName name="PR_FRM30_P12" refersTo="='Pricing'!$Z$19"/>
      <definedName name="PR_FRM30_P13" refersTo="='Pricing'!$Z$20"/>
      <definedName name="PR_FRM30_P14" refersTo="='Pricing'!$Z$21"/>
      <definedName name="PR_FRM30_P15" refersTo="='Pricing'!$Z$22"/>
      <definedName name="PR_FRM30_P16" refersTo="='Pricing'!$Z$23"/>
      <definedName name="PR_FRM30_P17" refersTo="='Pricing'!$Z$24"/>
      <definedName name="PR_FRM30_P18" refersTo="='Pricing'!$Z$25"/>
      <definedName name="PR_FRM30_P19" refersTo="='Pricing'!$Z$26"/>
      <definedName name="PR_FRM30_P20" refersTo="='Pricing'!$Z$27"/>
      <definedName name="PR_FRM30_P21" refersTo="='Pricing'!$Z$28"/>
      <definedName name="PR_FRM30_P22" refersTo="='Pricing'!$Z$29"/>
      <definedName name="PR_FRM30_P23" refersTo="='Pricing'!$Z$30"/>
      <definedName name="PR_FRM30_P24" refersTo="='Pricing'!$Z$31"/>
      <definedName name="PR_FRM30_P25" refersTo="='Pricing'!$Z$32"/>
      <definedName name="PR_FRM30_P26" refersTo="='Pricing'!$Z$33"/>
      <definedName name="PR_FRM30_P27" refersTo="='Pricing'!$Z$34"/>
      <definedName name="PR_FRM30_P28" refersTo="='Pricing'!$Z$35"/>
      <definedName name="PR_FRM30_P29" refersTo="='Pricing'!$Z$36"/>
      <definedName name="PR_FRM30_P30" refersTo="='Pricing'!$Z$37"/>
      <definedName name="PR_FRM30_P31" refersTo="='Pricing'!$Z$38"/>
      <definedName name="PR_FRM30_P32" refersTo="='Pricing'!$Z$39"/>
      <definedName name="PR_FRM30_P33" refersTo="='Pricing'!$Z$40"/>
      <definedName name="PR_FRM30_P34" refersTo="='Pricing'!$Z$41"/>
      <definedName name="PR_FRM30_P35" refersTo="='Pricing'!$Z$42"/>
      <definedName name="PR_FRM30_P36" refersTo="='Pricing'!$Z$43"/>
      <definedName name="PR_FRM30_P37" refersTo="='Pricing'!$Z$44"/>
      <definedName name="PR_FRM30_P38" refersTo="='Pricing'!$Z$45"/>
      <definedName name="PR_FRM30_P39" refersTo="='Pricing'!$Z$46"/>
      <definedName name="PR_FRM30_P40" refersTo="='Pricing'!$Z$47"/>
      <definedName name="PR_FRM30_P41" refersTo="='Pricing'!$Z$48"/>
      <definedName name="PR_R01" refersTo="='Pricing'!$X$8"/>
      <definedName name="PR_R02" refersTo="='Pricing'!$X$9"/>
      <definedName name="PR_R03" refersTo="='Pricing'!$X$10"/>
      <definedName name="PR_R04" refersTo="='Pricing'!$X$11"/>
      <definedName name="PR_R05" refersTo="='Pricing'!$X$12"/>
      <definedName name="PR_R06" refersTo="='Pricing'!$X$13"/>
      <definedName name="PR_R07" refersTo="='Pricing'!$X$14"/>
      <definedName name="PR_R08" refersTo="='Pricing'!$X$15"/>
      <definedName name="PR_R09" refersTo="='Pricing'!$X$16"/>
      <definedName name="PR_R10" refersTo="='Pricing'!$X$17"/>
      <definedName name="PR_R11" refersTo="='Pricing'!$X$18"/>
      <definedName name="PR_R12" refersTo="='Pricing'!$X$19"/>
      <definedName name="PR_R13" refersTo="='Pricing'!$X$20"/>
      <definedName name="PR_R14" refersTo="='Pricing'!$X$21"/>
      <definedName name="PR_R15" refersTo="='Pricing'!$X$22"/>
      <definedName name="PR_R16" refersTo="='Pricing'!$X$23"/>
      <definedName name="PR_R17" refersTo="='Pricing'!$X$24"/>
      <definedName name="PR_R18" refersTo="='Pricing'!$X$25"/>
      <definedName name="PR_R19" refersTo="='Pricing'!$X$26"/>
      <definedName name="PR_R20" refersTo="='Pricing'!$X$27"/>
      <definedName name="PR_R21" refersTo="='Pricing'!$X$28"/>
      <definedName name="PR_R22" refersTo="='Pricing'!$X$29"/>
      <definedName name="PR_R23" refersTo="='Pricing'!$X$30"/>
      <definedName name="PR_R24" refersTo="='Pricing'!$X$31"/>
      <definedName name="PR_R25" refersTo="='Pricing'!$X$32"/>
      <definedName name="PR_R26" refersTo="='Pricing'!$X$33"/>
      <definedName name="PR_R27" refersTo="='Pricing'!$X$34"/>
      <definedName name="PR_R28" refersTo="='Pricing'!$X$35"/>
      <definedName name="PR_R29" refersTo="='Pricing'!$X$36"/>
      <definedName name="PR_R30" refersTo="='Pricing'!$X$37"/>
      <definedName name="PR_R31" refersTo="='Pricing'!$X$38"/>
      <definedName name="PR_R32" refersTo="='Pricing'!$X$39"/>
      <definedName name="PR_R33" refersTo="='Pricing'!$X$40"/>
      <definedName name="PR_R34" refersTo="='Pricing'!$X$41"/>
      <definedName name="PR_R35" refersTo="='Pricing'!$X$42"/>
      <definedName name="PR_R36" refersTo="='Pricing'!$X$43"/>
      <definedName name="PR_R37" refersTo="='Pricing'!$X$44"/>
      <definedName name="PR_R38" refersTo="='Pricing'!$X$45"/>
      <definedName name="PR_R39" refersTo="='Pricing'!$X$46"/>
      <definedName name="PR_R40" refersTo="='Pricing'!$X$47"/>
      <definedName name="PR_R41" refersTo="='Pricing'!$X$48"/>
      <definedName name="Range_Incentive_MaxPriceAdj" refersTo="='Spreads'!$Q$5:$V$8"/>
      <definedName name="Range_Incentive_Name" refersTo="='Spreads'!$C$5:$H$16"/>
      <definedName name="Range_Incentive_Spread" refersTo="='Spreads'!$J$5:$O$8"/>
      <definedName name="Retl_PL_Incentive_PN" refersTo="='Spreads'!$O$5"/>
      <definedName name="Whol_PL_Incentive_PN" refersTo="='Spreads'!$N$5"/>
    </definedNames>
    <sheetDataSet>
      <sheetData sheetId="0">
        <row r="3">
          <cell r="A3" t="str">
            <v>Rate Sheet</v>
          </cell>
          <cell r="B3">
            <v>45869</v>
          </cell>
          <cell r="C3" t="str">
            <v>#1</v>
          </cell>
          <cell r="F3" t="str">
            <v>Only Change 
Yellow Cells</v>
          </cell>
          <cell r="N3" t="str">
            <v>Price</v>
          </cell>
          <cell r="S3" t="str">
            <v>Rate</v>
          </cell>
          <cell r="T3" t="str">
            <v>Price</v>
          </cell>
        </row>
        <row r="4">
          <cell r="J4" t="str">
            <v>FRM v ARM Spread</v>
          </cell>
          <cell r="N4">
            <v>-0.25</v>
          </cell>
          <cell r="T4">
            <v>0.25</v>
          </cell>
          <cell r="V4" t="str">
            <v>FRM v ARM Spread</v>
          </cell>
        </row>
        <row r="5">
          <cell r="B5" t="str">
            <v>Rate</v>
          </cell>
          <cell r="C5" t="str">
            <v>Price</v>
          </cell>
          <cell r="F5" t="str">
            <v>WSJ Prime</v>
          </cell>
          <cell r="G5">
            <v>45645</v>
          </cell>
          <cell r="H5">
            <v>7.5</v>
          </cell>
          <cell r="J5" t="str">
            <v>Base Rate/Price from Spreads Tab</v>
          </cell>
          <cell r="R5" t="str">
            <v>Spread to NQM</v>
          </cell>
          <cell r="S5">
            <v>0.125</v>
          </cell>
          <cell r="T5">
            <v>0.25</v>
          </cell>
          <cell r="V5" t="str">
            <v>Spread to NQM</v>
          </cell>
        </row>
        <row r="6">
          <cell r="A6" t="str">
            <v>Adjust Base Rate/Pricing 1st</v>
          </cell>
          <cell r="B6">
            <v>0</v>
          </cell>
          <cell r="C6">
            <v>-0.125</v>
          </cell>
          <cell r="J6" t="str">
            <v>BU</v>
          </cell>
          <cell r="L6" t="str">
            <v>NonQM OO</v>
          </cell>
          <cell r="P6" t="str">
            <v>BU</v>
          </cell>
          <cell r="R6" t="str">
            <v>NonQM NOO</v>
          </cell>
          <cell r="V6" t="str">
            <v>BU</v>
          </cell>
          <cell r="X6" t="str">
            <v>Second OO</v>
          </cell>
        </row>
        <row r="7">
          <cell r="A7" t="str">
            <v>Adjust Base Rate/Pricing 2nd</v>
          </cell>
          <cell r="B7">
            <v>0</v>
          </cell>
          <cell r="C7">
            <v>0</v>
          </cell>
          <cell r="F7" t="str">
            <v>APOR Date</v>
          </cell>
          <cell r="G7">
            <v>45824</v>
          </cell>
          <cell r="L7" t="str">
            <v>Rate</v>
          </cell>
          <cell r="M7" t="str">
            <v>5/1 ARM</v>
          </cell>
          <cell r="N7" t="str">
            <v>30yr FRM</v>
          </cell>
          <cell r="R7" t="str">
            <v>Rate</v>
          </cell>
          <cell r="S7" t="str">
            <v>5/1 ARM</v>
          </cell>
          <cell r="T7" t="str">
            <v>30yr FRM</v>
          </cell>
          <cell r="X7" t="str">
            <v>Rate</v>
          </cell>
        </row>
        <row r="8">
          <cell r="G8" t="str">
            <v>FRM</v>
          </cell>
          <cell r="H8" t="str">
            <v>ARM</v>
          </cell>
          <cell r="J8">
            <v>2</v>
          </cell>
          <cell r="K8">
            <v>2</v>
          </cell>
          <cell r="L8">
            <v>9.625</v>
          </cell>
          <cell r="M8">
            <v>109.875</v>
          </cell>
          <cell r="N8">
            <v>109.625</v>
          </cell>
          <cell r="P8">
            <v>2</v>
          </cell>
          <cell r="Q8">
            <v>2</v>
          </cell>
          <cell r="R8">
            <v>9.75</v>
          </cell>
          <cell r="S8">
            <v>111.125</v>
          </cell>
          <cell r="T8">
            <v>110.875</v>
          </cell>
          <cell r="W8">
            <v>2</v>
          </cell>
          <cell r="X8">
            <v>12.625</v>
          </cell>
          <cell r="Z8">
            <v>114</v>
          </cell>
          <cell r="AD8">
            <v>13.375</v>
          </cell>
          <cell r="AF8">
            <v>113</v>
          </cell>
        </row>
        <row r="9">
          <cell r="A9" t="str">
            <v>Max Pricing (Links to Rate Sheet)</v>
          </cell>
          <cell r="B9" t="str">
            <v>Net Max</v>
          </cell>
          <cell r="F9" t="str">
            <v>APOR ARM 40yr</v>
          </cell>
          <cell r="G9">
            <v>6.89</v>
          </cell>
          <cell r="H9" t="e">
            <v>#N/A</v>
          </cell>
          <cell r="J9">
            <v>2</v>
          </cell>
          <cell r="K9">
            <v>2</v>
          </cell>
          <cell r="L9">
            <v>9.5</v>
          </cell>
          <cell r="M9">
            <v>109.625</v>
          </cell>
          <cell r="N9">
            <v>109.375</v>
          </cell>
          <cell r="P9">
            <v>2</v>
          </cell>
          <cell r="Q9">
            <v>2</v>
          </cell>
          <cell r="R9">
            <v>9.625</v>
          </cell>
          <cell r="S9">
            <v>110.875</v>
          </cell>
          <cell r="T9">
            <v>110.625</v>
          </cell>
          <cell r="W9">
            <v>2</v>
          </cell>
          <cell r="X9">
            <v>12.5</v>
          </cell>
          <cell r="Z9">
            <v>113.75</v>
          </cell>
          <cell r="AD9">
            <v>13.25</v>
          </cell>
          <cell r="AF9">
            <v>112.875</v>
          </cell>
        </row>
        <row r="10">
          <cell r="A10" t="str">
            <v>NonQM OO No PP</v>
          </cell>
          <cell r="B10">
            <v>103</v>
          </cell>
          <cell r="F10" t="str">
            <v>APOR ARM 30yr</v>
          </cell>
          <cell r="G10">
            <v>6.89</v>
          </cell>
          <cell r="H10" t="e">
            <v>#N/A</v>
          </cell>
          <cell r="J10">
            <v>2</v>
          </cell>
          <cell r="K10">
            <v>2</v>
          </cell>
          <cell r="L10">
            <v>9.375</v>
          </cell>
          <cell r="M10">
            <v>109.375</v>
          </cell>
          <cell r="N10">
            <v>109.125</v>
          </cell>
          <cell r="P10">
            <v>2</v>
          </cell>
          <cell r="Q10">
            <v>2</v>
          </cell>
          <cell r="R10">
            <v>9.5</v>
          </cell>
          <cell r="S10">
            <v>110.625</v>
          </cell>
          <cell r="T10">
            <v>110.375</v>
          </cell>
          <cell r="W10">
            <v>2</v>
          </cell>
          <cell r="X10">
            <v>12.375</v>
          </cell>
          <cell r="Z10">
            <v>113.5</v>
          </cell>
          <cell r="AD10">
            <v>13.125</v>
          </cell>
          <cell r="AF10">
            <v>112.75</v>
          </cell>
        </row>
        <row r="11">
          <cell r="A11" t="str">
            <v>NonQM NOO No PP</v>
          </cell>
          <cell r="B11">
            <v>101.5</v>
          </cell>
          <cell r="F11" t="str">
            <v>APOR ARM 20yr</v>
          </cell>
          <cell r="G11">
            <v>6.4</v>
          </cell>
          <cell r="H11" t="e">
            <v>#N/A</v>
          </cell>
          <cell r="J11">
            <v>2</v>
          </cell>
          <cell r="K11">
            <v>2</v>
          </cell>
          <cell r="L11">
            <v>9.25</v>
          </cell>
          <cell r="M11">
            <v>109.125</v>
          </cell>
          <cell r="N11">
            <v>108.875</v>
          </cell>
          <cell r="P11">
            <v>2</v>
          </cell>
          <cell r="Q11">
            <v>2</v>
          </cell>
          <cell r="R11">
            <v>9.375</v>
          </cell>
          <cell r="S11">
            <v>110.375</v>
          </cell>
          <cell r="T11">
            <v>110.125</v>
          </cell>
          <cell r="W11">
            <v>2</v>
          </cell>
          <cell r="X11">
            <v>12.25</v>
          </cell>
          <cell r="Z11">
            <v>113.25</v>
          </cell>
          <cell r="AD11">
            <v>13</v>
          </cell>
          <cell r="AF11">
            <v>112.625</v>
          </cell>
        </row>
        <row r="12">
          <cell r="A12" t="str">
            <v>NonQM NOO 1yr PP</v>
          </cell>
          <cell r="B12">
            <v>102.5</v>
          </cell>
          <cell r="F12" t="str">
            <v>APOR ARM 15yr</v>
          </cell>
          <cell r="G12">
            <v>6.18</v>
          </cell>
          <cell r="H12" t="e">
            <v>#N/A</v>
          </cell>
          <cell r="J12">
            <v>2</v>
          </cell>
          <cell r="K12">
            <v>2</v>
          </cell>
          <cell r="L12">
            <v>9.125</v>
          </cell>
          <cell r="M12">
            <v>108.875</v>
          </cell>
          <cell r="N12">
            <v>108.625</v>
          </cell>
          <cell r="P12">
            <v>2</v>
          </cell>
          <cell r="Q12">
            <v>2</v>
          </cell>
          <cell r="R12">
            <v>9.25</v>
          </cell>
          <cell r="S12">
            <v>110.125</v>
          </cell>
          <cell r="T12">
            <v>109.875</v>
          </cell>
          <cell r="W12">
            <v>2</v>
          </cell>
          <cell r="X12">
            <v>12.125</v>
          </cell>
          <cell r="Z12">
            <v>113</v>
          </cell>
          <cell r="AD12">
            <v>12.875</v>
          </cell>
          <cell r="AF12">
            <v>112.5</v>
          </cell>
        </row>
        <row r="13">
          <cell r="A13" t="str">
            <v>NonQM NOO 2yr PP</v>
          </cell>
          <cell r="B13">
            <v>102.75</v>
          </cell>
          <cell r="F13" t="str">
            <v>APOR ARM 10yr</v>
          </cell>
          <cell r="G13">
            <v>6.23</v>
          </cell>
          <cell r="H13">
            <v>6.62</v>
          </cell>
          <cell r="J13">
            <v>2</v>
          </cell>
          <cell r="K13">
            <v>2</v>
          </cell>
          <cell r="L13">
            <v>9</v>
          </cell>
          <cell r="M13">
            <v>108.625</v>
          </cell>
          <cell r="N13">
            <v>108.375</v>
          </cell>
          <cell r="P13">
            <v>3</v>
          </cell>
          <cell r="Q13">
            <v>3</v>
          </cell>
          <cell r="R13">
            <v>9.125</v>
          </cell>
          <cell r="S13">
            <v>109.875</v>
          </cell>
          <cell r="T13">
            <v>109.625</v>
          </cell>
          <cell r="W13">
            <v>2</v>
          </cell>
          <cell r="X13">
            <v>12</v>
          </cell>
          <cell r="Z13">
            <v>112.75</v>
          </cell>
          <cell r="AD13">
            <v>12.75</v>
          </cell>
          <cell r="AF13">
            <v>112.375</v>
          </cell>
        </row>
        <row r="14">
          <cell r="A14" t="str">
            <v>NonQM NOO 3yr PP</v>
          </cell>
          <cell r="B14">
            <v>103.25</v>
          </cell>
          <cell r="F14" t="str">
            <v>APOR ARM 7yr</v>
          </cell>
          <cell r="G14" t="e">
            <v>#N/A</v>
          </cell>
          <cell r="H14">
            <v>6.55</v>
          </cell>
          <cell r="J14">
            <v>2</v>
          </cell>
          <cell r="K14">
            <v>2</v>
          </cell>
          <cell r="L14">
            <v>8.875</v>
          </cell>
          <cell r="M14">
            <v>108.375</v>
          </cell>
          <cell r="N14">
            <v>108.125</v>
          </cell>
          <cell r="P14">
            <v>3</v>
          </cell>
          <cell r="Q14">
            <v>3</v>
          </cell>
          <cell r="R14">
            <v>9</v>
          </cell>
          <cell r="S14">
            <v>109.5</v>
          </cell>
          <cell r="T14">
            <v>109.25</v>
          </cell>
          <cell r="W14">
            <v>2</v>
          </cell>
          <cell r="X14">
            <v>11.875</v>
          </cell>
          <cell r="Z14">
            <v>112.5</v>
          </cell>
          <cell r="AD14">
            <v>12.625</v>
          </cell>
          <cell r="AF14">
            <v>112.125</v>
          </cell>
        </row>
        <row r="15">
          <cell r="A15" t="str">
            <v>NonQM NOO 4yr PP</v>
          </cell>
          <cell r="B15">
            <v>103.5</v>
          </cell>
          <cell r="F15" t="str">
            <v>APOR ARM 5yr</v>
          </cell>
          <cell r="G15" t="e">
            <v>#N/A</v>
          </cell>
          <cell r="H15">
            <v>6.79</v>
          </cell>
          <cell r="J15">
            <v>2</v>
          </cell>
          <cell r="K15">
            <v>2</v>
          </cell>
          <cell r="L15">
            <v>8.75</v>
          </cell>
          <cell r="M15">
            <v>108.125</v>
          </cell>
          <cell r="N15">
            <v>107.875</v>
          </cell>
          <cell r="P15">
            <v>3</v>
          </cell>
          <cell r="Q15">
            <v>3</v>
          </cell>
          <cell r="R15">
            <v>8.875</v>
          </cell>
          <cell r="S15">
            <v>109.125</v>
          </cell>
          <cell r="T15">
            <v>108.875</v>
          </cell>
          <cell r="W15">
            <v>2</v>
          </cell>
          <cell r="X15">
            <v>11.75</v>
          </cell>
          <cell r="Z15">
            <v>112.25</v>
          </cell>
          <cell r="AD15">
            <v>12.5</v>
          </cell>
          <cell r="AF15">
            <v>111.875</v>
          </cell>
        </row>
        <row r="16">
          <cell r="A16" t="str">
            <v>NonQM NOO 5yr PP</v>
          </cell>
          <cell r="B16">
            <v>104</v>
          </cell>
          <cell r="F16" t="str">
            <v>APOR ARM 3yr</v>
          </cell>
          <cell r="G16" t="e">
            <v>#N/A</v>
          </cell>
          <cell r="H16">
            <v>7.06</v>
          </cell>
          <cell r="J16">
            <v>2</v>
          </cell>
          <cell r="K16">
            <v>2</v>
          </cell>
          <cell r="L16">
            <v>8.625</v>
          </cell>
          <cell r="M16">
            <v>107.875</v>
          </cell>
          <cell r="N16">
            <v>107.625</v>
          </cell>
          <cell r="P16">
            <v>3</v>
          </cell>
          <cell r="Q16">
            <v>3</v>
          </cell>
          <cell r="R16">
            <v>8.75</v>
          </cell>
          <cell r="S16">
            <v>108.75</v>
          </cell>
          <cell r="T16">
            <v>108.5</v>
          </cell>
          <cell r="W16">
            <v>2</v>
          </cell>
          <cell r="X16">
            <v>11.625</v>
          </cell>
          <cell r="Z16">
            <v>112</v>
          </cell>
          <cell r="AD16">
            <v>12.375</v>
          </cell>
          <cell r="AF16">
            <v>111.625</v>
          </cell>
        </row>
        <row r="17">
          <cell r="A17" t="str">
            <v>Second OO No PP</v>
          </cell>
          <cell r="B17">
            <v>105</v>
          </cell>
          <cell r="F17" t="str">
            <v>APOR ARM 2yr</v>
          </cell>
          <cell r="G17" t="e">
            <v>#N/A</v>
          </cell>
          <cell r="H17">
            <v>7.15</v>
          </cell>
          <cell r="J17">
            <v>3</v>
          </cell>
          <cell r="K17">
            <v>3</v>
          </cell>
          <cell r="L17">
            <v>8.5</v>
          </cell>
          <cell r="M17">
            <v>107.625</v>
          </cell>
          <cell r="N17">
            <v>107.375</v>
          </cell>
          <cell r="P17">
            <v>3</v>
          </cell>
          <cell r="Q17">
            <v>3</v>
          </cell>
          <cell r="R17">
            <v>8.625</v>
          </cell>
          <cell r="S17">
            <v>108.375</v>
          </cell>
          <cell r="T17">
            <v>108.125</v>
          </cell>
          <cell r="W17">
            <v>2</v>
          </cell>
          <cell r="X17">
            <v>11.5</v>
          </cell>
          <cell r="Z17">
            <v>111.75</v>
          </cell>
          <cell r="AD17">
            <v>12.25</v>
          </cell>
          <cell r="AF17">
            <v>111.375</v>
          </cell>
        </row>
        <row r="18">
          <cell r="A18" t="str">
            <v>Second NOO No PP</v>
          </cell>
          <cell r="B18">
            <v>105</v>
          </cell>
          <cell r="F18" t="str">
            <v>APOR ARM 1yr</v>
          </cell>
          <cell r="G18" t="e">
            <v>#N/A</v>
          </cell>
          <cell r="H18">
            <v>7.25</v>
          </cell>
          <cell r="J18">
            <v>3</v>
          </cell>
          <cell r="K18">
            <v>3</v>
          </cell>
          <cell r="L18">
            <v>8.375</v>
          </cell>
          <cell r="M18">
            <v>107.25</v>
          </cell>
          <cell r="N18">
            <v>107</v>
          </cell>
          <cell r="P18">
            <v>3</v>
          </cell>
          <cell r="Q18">
            <v>3</v>
          </cell>
          <cell r="R18">
            <v>8.5</v>
          </cell>
          <cell r="S18">
            <v>108</v>
          </cell>
          <cell r="T18">
            <v>107.75</v>
          </cell>
          <cell r="W18">
            <v>2</v>
          </cell>
          <cell r="X18">
            <v>11.375</v>
          </cell>
          <cell r="Z18">
            <v>111.5</v>
          </cell>
          <cell r="AD18">
            <v>12.125</v>
          </cell>
          <cell r="AF18">
            <v>111.125</v>
          </cell>
        </row>
        <row r="19">
          <cell r="A19" t="str">
            <v>Second NOO 1yr PP</v>
          </cell>
          <cell r="B19">
            <v>105</v>
          </cell>
          <cell r="F19" t="str">
            <v>https://ffiec.cfpb.gov/tools/rate-spread</v>
          </cell>
          <cell r="J19">
            <v>3</v>
          </cell>
          <cell r="K19">
            <v>3</v>
          </cell>
          <cell r="L19">
            <v>8.25</v>
          </cell>
          <cell r="M19">
            <v>106.875</v>
          </cell>
          <cell r="N19">
            <v>106.625</v>
          </cell>
          <cell r="P19">
            <v>3</v>
          </cell>
          <cell r="Q19">
            <v>3</v>
          </cell>
          <cell r="R19">
            <v>8.375</v>
          </cell>
          <cell r="S19">
            <v>107.625</v>
          </cell>
          <cell r="T19">
            <v>107.375</v>
          </cell>
          <cell r="W19">
            <v>2</v>
          </cell>
          <cell r="X19">
            <v>11.25</v>
          </cell>
          <cell r="Z19">
            <v>111.25</v>
          </cell>
          <cell r="AD19">
            <v>12</v>
          </cell>
          <cell r="AF19">
            <v>110.875</v>
          </cell>
        </row>
        <row r="20">
          <cell r="A20" t="str">
            <v>Second NOO 2yr PP</v>
          </cell>
          <cell r="B20">
            <v>105</v>
          </cell>
          <cell r="J20">
            <v>3</v>
          </cell>
          <cell r="K20">
            <v>3</v>
          </cell>
          <cell r="L20">
            <v>8.125</v>
          </cell>
          <cell r="M20">
            <v>106.5</v>
          </cell>
          <cell r="N20">
            <v>106.25</v>
          </cell>
          <cell r="P20">
            <v>3</v>
          </cell>
          <cell r="Q20">
            <v>3</v>
          </cell>
          <cell r="R20">
            <v>8.25</v>
          </cell>
          <cell r="S20">
            <v>107.25</v>
          </cell>
          <cell r="T20">
            <v>107</v>
          </cell>
          <cell r="W20">
            <v>2</v>
          </cell>
          <cell r="X20">
            <v>11.125</v>
          </cell>
          <cell r="Z20">
            <v>111</v>
          </cell>
          <cell r="AD20">
            <v>11.875</v>
          </cell>
          <cell r="AF20">
            <v>110.625</v>
          </cell>
        </row>
        <row r="21">
          <cell r="A21" t="str">
            <v>Second NOO 3yr PP</v>
          </cell>
          <cell r="B21">
            <v>105.5</v>
          </cell>
          <cell r="F21" t="str">
            <v>15th Calendar Day of Prior Mo</v>
          </cell>
          <cell r="J21">
            <v>3</v>
          </cell>
          <cell r="K21">
            <v>3</v>
          </cell>
          <cell r="L21">
            <v>8</v>
          </cell>
          <cell r="M21">
            <v>106.125</v>
          </cell>
          <cell r="N21">
            <v>105.875</v>
          </cell>
          <cell r="P21">
            <v>3</v>
          </cell>
          <cell r="Q21">
            <v>3</v>
          </cell>
          <cell r="R21">
            <v>8.125</v>
          </cell>
          <cell r="S21">
            <v>106.875</v>
          </cell>
          <cell r="T21">
            <v>106.625</v>
          </cell>
          <cell r="W21">
            <v>2</v>
          </cell>
          <cell r="X21">
            <v>11</v>
          </cell>
          <cell r="Z21">
            <v>110.75</v>
          </cell>
          <cell r="AD21">
            <v>11.75</v>
          </cell>
          <cell r="AF21">
            <v>110.375</v>
          </cell>
        </row>
        <row r="22">
          <cell r="A22" t="str">
            <v>Second NOO 4yr PP</v>
          </cell>
          <cell r="B22">
            <v>105.5</v>
          </cell>
          <cell r="F22" t="str">
            <v>Treasury Date</v>
          </cell>
          <cell r="G22">
            <v>45824</v>
          </cell>
          <cell r="J22">
            <v>3</v>
          </cell>
          <cell r="K22">
            <v>3</v>
          </cell>
          <cell r="L22">
            <v>7.875</v>
          </cell>
          <cell r="M22">
            <v>105.75</v>
          </cell>
          <cell r="N22">
            <v>105.5</v>
          </cell>
          <cell r="P22">
            <v>3</v>
          </cell>
          <cell r="Q22">
            <v>3</v>
          </cell>
          <cell r="R22">
            <v>8</v>
          </cell>
          <cell r="S22">
            <v>106.5</v>
          </cell>
          <cell r="T22">
            <v>106.25</v>
          </cell>
          <cell r="W22">
            <v>2</v>
          </cell>
          <cell r="X22">
            <v>10.875</v>
          </cell>
          <cell r="Z22">
            <v>110.5</v>
          </cell>
          <cell r="AD22">
            <v>11.625</v>
          </cell>
          <cell r="AF22">
            <v>110.125</v>
          </cell>
        </row>
        <row r="23">
          <cell r="A23" t="str">
            <v>Second NOO 5yr PP</v>
          </cell>
          <cell r="B23">
            <v>105.5</v>
          </cell>
          <cell r="F23" t="str">
            <v>Treasury 30yr</v>
          </cell>
          <cell r="G23">
            <v>4.96</v>
          </cell>
          <cell r="J23">
            <v>3</v>
          </cell>
          <cell r="K23">
            <v>3</v>
          </cell>
          <cell r="L23">
            <v>7.75</v>
          </cell>
          <cell r="M23">
            <v>105.375</v>
          </cell>
          <cell r="N23">
            <v>105.125</v>
          </cell>
          <cell r="P23">
            <v>3</v>
          </cell>
          <cell r="Q23">
            <v>3</v>
          </cell>
          <cell r="R23">
            <v>7.875</v>
          </cell>
          <cell r="S23">
            <v>106.125</v>
          </cell>
          <cell r="T23">
            <v>105.875</v>
          </cell>
          <cell r="W23">
            <v>2</v>
          </cell>
          <cell r="X23">
            <v>10.75</v>
          </cell>
          <cell r="Z23">
            <v>110.25</v>
          </cell>
          <cell r="AD23">
            <v>11.5</v>
          </cell>
          <cell r="AF23">
            <v>109.875</v>
          </cell>
        </row>
        <row r="24">
          <cell r="F24" t="str">
            <v>Treasury 20yr</v>
          </cell>
          <cell r="G24">
            <v>4.97</v>
          </cell>
          <cell r="J24">
            <v>3</v>
          </cell>
          <cell r="K24">
            <v>3</v>
          </cell>
          <cell r="L24">
            <v>7.625</v>
          </cell>
          <cell r="M24">
            <v>105</v>
          </cell>
          <cell r="N24">
            <v>104.75</v>
          </cell>
          <cell r="P24">
            <v>4</v>
          </cell>
          <cell r="Q24">
            <v>4</v>
          </cell>
          <cell r="R24">
            <v>7.75</v>
          </cell>
          <cell r="S24">
            <v>105.75</v>
          </cell>
          <cell r="T24">
            <v>105.5</v>
          </cell>
          <cell r="W24">
            <v>2</v>
          </cell>
          <cell r="X24">
            <v>10.625</v>
          </cell>
          <cell r="Z24">
            <v>110</v>
          </cell>
          <cell r="AD24">
            <v>11.375</v>
          </cell>
          <cell r="AF24">
            <v>109.625</v>
          </cell>
        </row>
        <row r="25">
          <cell r="A25" t="str">
            <v>Pricing Change Log</v>
          </cell>
          <cell r="F25" t="str">
            <v>Treasury 10yr</v>
          </cell>
          <cell r="G25">
            <v>4.46</v>
          </cell>
          <cell r="J25">
            <v>3</v>
          </cell>
          <cell r="K25">
            <v>3</v>
          </cell>
          <cell r="L25">
            <v>7.5</v>
          </cell>
          <cell r="M25">
            <v>104.625</v>
          </cell>
          <cell r="N25">
            <v>104.375</v>
          </cell>
          <cell r="P25">
            <v>4</v>
          </cell>
          <cell r="Q25">
            <v>4</v>
          </cell>
          <cell r="R25">
            <v>7.625</v>
          </cell>
          <cell r="S25">
            <v>105.25</v>
          </cell>
          <cell r="T25">
            <v>105</v>
          </cell>
          <cell r="W25">
            <v>2</v>
          </cell>
          <cell r="X25">
            <v>10.5</v>
          </cell>
          <cell r="Z25">
            <v>109.75</v>
          </cell>
          <cell r="AD25">
            <v>11.25</v>
          </cell>
          <cell r="AF25">
            <v>109.375</v>
          </cell>
        </row>
        <row r="26">
          <cell r="A26" t="str">
            <v>Effective Date</v>
          </cell>
          <cell r="B26" t="str">
            <v>Change</v>
          </cell>
          <cell r="E26" t="str">
            <v xml:space="preserve"> </v>
          </cell>
          <cell r="F26" t="str">
            <v>Treasury 7yr</v>
          </cell>
          <cell r="G26">
            <v>4.2300000000000004</v>
          </cell>
          <cell r="J26">
            <v>3</v>
          </cell>
          <cell r="K26">
            <v>3</v>
          </cell>
          <cell r="L26">
            <v>7.375</v>
          </cell>
          <cell r="M26">
            <v>104.25</v>
          </cell>
          <cell r="N26">
            <v>104</v>
          </cell>
          <cell r="P26">
            <v>4</v>
          </cell>
          <cell r="Q26">
            <v>4</v>
          </cell>
          <cell r="R26">
            <v>7.5</v>
          </cell>
          <cell r="S26">
            <v>104.75</v>
          </cell>
          <cell r="T26">
            <v>104.5</v>
          </cell>
          <cell r="W26">
            <v>2</v>
          </cell>
          <cell r="X26">
            <v>10.375</v>
          </cell>
          <cell r="Z26">
            <v>109.5</v>
          </cell>
          <cell r="AD26">
            <v>11.125</v>
          </cell>
          <cell r="AF26">
            <v>109.125</v>
          </cell>
        </row>
        <row r="27">
          <cell r="A27">
            <v>45853</v>
          </cell>
          <cell r="B27" t="str">
            <v>Roll to New Pricing</v>
          </cell>
          <cell r="E27" t="str">
            <v xml:space="preserve"> </v>
          </cell>
          <cell r="F27" t="str">
            <v>Treasury 5yr</v>
          </cell>
          <cell r="G27">
            <v>4.04</v>
          </cell>
          <cell r="J27">
            <v>4</v>
          </cell>
          <cell r="K27">
            <v>4</v>
          </cell>
          <cell r="L27">
            <v>7.25</v>
          </cell>
          <cell r="M27">
            <v>103.875</v>
          </cell>
          <cell r="N27">
            <v>103.625</v>
          </cell>
          <cell r="P27">
            <v>4</v>
          </cell>
          <cell r="Q27">
            <v>4</v>
          </cell>
          <cell r="R27">
            <v>7.375</v>
          </cell>
          <cell r="S27">
            <v>104.25</v>
          </cell>
          <cell r="T27">
            <v>104</v>
          </cell>
          <cell r="W27">
            <v>3</v>
          </cell>
          <cell r="X27">
            <v>10.25</v>
          </cell>
          <cell r="Z27">
            <v>109.25</v>
          </cell>
          <cell r="AD27">
            <v>11</v>
          </cell>
          <cell r="AF27">
            <v>108.875</v>
          </cell>
        </row>
        <row r="28">
          <cell r="A28">
            <v>45853</v>
          </cell>
          <cell r="B28" t="str">
            <v>Reduce Price .125 (NonQM 1st/2nd)</v>
          </cell>
          <cell r="E28" t="str">
            <v xml:space="preserve"> </v>
          </cell>
          <cell r="F28" t="str">
            <v>Treasury 3yr</v>
          </cell>
          <cell r="G28">
            <v>3.93</v>
          </cell>
          <cell r="J28">
            <v>4</v>
          </cell>
          <cell r="K28">
            <v>4</v>
          </cell>
          <cell r="L28">
            <v>7.125</v>
          </cell>
          <cell r="M28">
            <v>103.375</v>
          </cell>
          <cell r="N28">
            <v>103.125</v>
          </cell>
          <cell r="P28">
            <v>4</v>
          </cell>
          <cell r="Q28">
            <v>4</v>
          </cell>
          <cell r="R28">
            <v>7.25</v>
          </cell>
          <cell r="S28">
            <v>103.75</v>
          </cell>
          <cell r="T28">
            <v>103.5</v>
          </cell>
          <cell r="W28">
            <v>3</v>
          </cell>
          <cell r="X28">
            <v>10.125</v>
          </cell>
          <cell r="Z28">
            <v>108.875</v>
          </cell>
          <cell r="AD28">
            <v>10.875</v>
          </cell>
          <cell r="AF28">
            <v>108.625</v>
          </cell>
        </row>
        <row r="29">
          <cell r="A29">
            <v>45855</v>
          </cell>
          <cell r="B29" t="str">
            <v>Reduce Price .250 (NonQM 1st)</v>
          </cell>
          <cell r="E29" t="str">
            <v xml:space="preserve"> </v>
          </cell>
          <cell r="F29" t="str">
            <v>Treasury 2yr</v>
          </cell>
          <cell r="G29">
            <v>3.97</v>
          </cell>
          <cell r="J29">
            <v>4</v>
          </cell>
          <cell r="K29">
            <v>4</v>
          </cell>
          <cell r="L29">
            <v>7</v>
          </cell>
          <cell r="M29">
            <v>102.875</v>
          </cell>
          <cell r="N29">
            <v>102.625</v>
          </cell>
          <cell r="P29">
            <v>5</v>
          </cell>
          <cell r="Q29">
            <v>5</v>
          </cell>
          <cell r="R29">
            <v>7.125</v>
          </cell>
          <cell r="S29">
            <v>103.25</v>
          </cell>
          <cell r="T29">
            <v>103</v>
          </cell>
          <cell r="W29">
            <v>3</v>
          </cell>
          <cell r="X29">
            <v>10</v>
          </cell>
          <cell r="Z29">
            <v>108.5</v>
          </cell>
          <cell r="AD29">
            <v>10.75</v>
          </cell>
          <cell r="AF29">
            <v>108.375</v>
          </cell>
        </row>
        <row r="30">
          <cell r="A30">
            <v>45866</v>
          </cell>
          <cell r="B30" t="str">
            <v>Steve Wichmann - Ok for Maryland Wholesale - Flag changed from N to Y</v>
          </cell>
          <cell r="E30" t="str">
            <v xml:space="preserve"> </v>
          </cell>
          <cell r="F30" t="str">
            <v>Treasury 1yr</v>
          </cell>
          <cell r="G30">
            <v>4.0999999999999996</v>
          </cell>
          <cell r="J30">
            <v>5</v>
          </cell>
          <cell r="K30">
            <v>5</v>
          </cell>
          <cell r="L30">
            <v>6.875</v>
          </cell>
          <cell r="M30">
            <v>102.375</v>
          </cell>
          <cell r="N30">
            <v>102.125</v>
          </cell>
          <cell r="P30">
            <v>5</v>
          </cell>
          <cell r="Q30">
            <v>5</v>
          </cell>
          <cell r="R30">
            <v>7</v>
          </cell>
          <cell r="S30">
            <v>102.625</v>
          </cell>
          <cell r="T30">
            <v>102.375</v>
          </cell>
          <cell r="W30">
            <v>3</v>
          </cell>
          <cell r="X30">
            <v>9.875</v>
          </cell>
          <cell r="Z30">
            <v>108.125</v>
          </cell>
          <cell r="AD30">
            <v>10.625</v>
          </cell>
          <cell r="AF30">
            <v>108.125</v>
          </cell>
        </row>
        <row r="31">
          <cell r="A31">
            <v>45867</v>
          </cell>
          <cell r="B31" t="str">
            <v>Improve Price .125 (NonQM 1st)</v>
          </cell>
          <cell r="E31" t="str">
            <v xml:space="preserve"> </v>
          </cell>
          <cell r="F31" t="str">
            <v>Treasury 1mo</v>
          </cell>
          <cell r="G31">
            <v>4.24</v>
          </cell>
          <cell r="J31">
            <v>6</v>
          </cell>
          <cell r="K31">
            <v>6</v>
          </cell>
          <cell r="L31">
            <v>6.75</v>
          </cell>
          <cell r="M31">
            <v>101.75</v>
          </cell>
          <cell r="N31">
            <v>101.5</v>
          </cell>
          <cell r="P31">
            <v>6</v>
          </cell>
          <cell r="Q31">
            <v>6</v>
          </cell>
          <cell r="R31">
            <v>6.875</v>
          </cell>
          <cell r="S31">
            <v>102</v>
          </cell>
          <cell r="T31">
            <v>101.75</v>
          </cell>
          <cell r="W31">
            <v>3</v>
          </cell>
          <cell r="X31">
            <v>9.75</v>
          </cell>
          <cell r="Z31">
            <v>107.75</v>
          </cell>
          <cell r="AD31">
            <v>10.5</v>
          </cell>
          <cell r="AF31">
            <v>107.875</v>
          </cell>
        </row>
        <row r="32">
          <cell r="A32" t="str">
            <v>730/2025</v>
          </cell>
          <cell r="B32" t="str">
            <v>Improve Price .125 (NonQM 1st)</v>
          </cell>
          <cell r="E32" t="str">
            <v xml:space="preserve"> </v>
          </cell>
          <cell r="F32" t="str">
            <v>https://home.treasury.gov/resource-center/data-chart-center/interest-rates/TextView?type=daily_treasury_yield_curve&amp;field_tdr_date_value_month=202310</v>
          </cell>
          <cell r="J32">
            <v>6</v>
          </cell>
          <cell r="K32">
            <v>6</v>
          </cell>
          <cell r="L32">
            <v>6.625</v>
          </cell>
          <cell r="M32">
            <v>101</v>
          </cell>
          <cell r="N32">
            <v>100.75</v>
          </cell>
          <cell r="P32">
            <v>6</v>
          </cell>
          <cell r="Q32">
            <v>6</v>
          </cell>
          <cell r="R32">
            <v>6.75</v>
          </cell>
          <cell r="S32">
            <v>101.25</v>
          </cell>
          <cell r="T32">
            <v>101</v>
          </cell>
          <cell r="W32">
            <v>3</v>
          </cell>
          <cell r="X32">
            <v>9.625</v>
          </cell>
          <cell r="Z32">
            <v>107.375</v>
          </cell>
          <cell r="AD32">
            <v>10.375</v>
          </cell>
          <cell r="AF32">
            <v>107.625</v>
          </cell>
        </row>
        <row r="33">
          <cell r="E33" t="str">
            <v xml:space="preserve"> </v>
          </cell>
          <cell r="J33">
            <v>8</v>
          </cell>
          <cell r="K33">
            <v>8</v>
          </cell>
          <cell r="L33">
            <v>6.5</v>
          </cell>
          <cell r="M33">
            <v>100.25</v>
          </cell>
          <cell r="N33">
            <v>100</v>
          </cell>
          <cell r="P33">
            <v>8</v>
          </cell>
          <cell r="Q33">
            <v>8</v>
          </cell>
          <cell r="R33">
            <v>6.625</v>
          </cell>
          <cell r="S33">
            <v>100.5</v>
          </cell>
          <cell r="T33">
            <v>100.25</v>
          </cell>
          <cell r="W33">
            <v>3</v>
          </cell>
          <cell r="X33">
            <v>9.5</v>
          </cell>
          <cell r="Z33">
            <v>107</v>
          </cell>
          <cell r="AD33">
            <v>10.25</v>
          </cell>
          <cell r="AF33">
            <v>107.375</v>
          </cell>
        </row>
        <row r="34">
          <cell r="E34" t="str">
            <v xml:space="preserve"> </v>
          </cell>
          <cell r="J34">
            <v>8</v>
          </cell>
          <cell r="K34">
            <v>8</v>
          </cell>
          <cell r="P34">
            <v>8</v>
          </cell>
          <cell r="Q34">
            <v>8</v>
          </cell>
          <cell r="W34">
            <v>3</v>
          </cell>
          <cell r="X34">
            <v>9.375</v>
          </cell>
          <cell r="Z34">
            <v>106.625</v>
          </cell>
          <cell r="AD34">
            <v>10.125</v>
          </cell>
          <cell r="AF34">
            <v>107</v>
          </cell>
        </row>
        <row r="35">
          <cell r="E35" t="str">
            <v xml:space="preserve"> </v>
          </cell>
          <cell r="J35">
            <v>8</v>
          </cell>
          <cell r="K35">
            <v>8</v>
          </cell>
          <cell r="P35">
            <v>8</v>
          </cell>
          <cell r="Q35">
            <v>8</v>
          </cell>
          <cell r="W35">
            <v>3</v>
          </cell>
          <cell r="X35">
            <v>9.25</v>
          </cell>
          <cell r="Z35">
            <v>106.25</v>
          </cell>
          <cell r="AD35">
            <v>10</v>
          </cell>
          <cell r="AF35">
            <v>106.625</v>
          </cell>
        </row>
        <row r="36">
          <cell r="E36" t="str">
            <v xml:space="preserve"> </v>
          </cell>
          <cell r="J36">
            <v>8</v>
          </cell>
          <cell r="K36">
            <v>8</v>
          </cell>
          <cell r="P36">
            <v>8</v>
          </cell>
          <cell r="Q36">
            <v>8</v>
          </cell>
          <cell r="W36">
            <v>3</v>
          </cell>
          <cell r="X36">
            <v>9.125</v>
          </cell>
          <cell r="Z36">
            <v>105.875</v>
          </cell>
          <cell r="AD36">
            <v>9.875</v>
          </cell>
          <cell r="AF36">
            <v>106.25</v>
          </cell>
        </row>
        <row r="37">
          <cell r="E37" t="str">
            <v xml:space="preserve"> </v>
          </cell>
          <cell r="J37">
            <v>8</v>
          </cell>
          <cell r="K37">
            <v>8</v>
          </cell>
          <cell r="P37">
            <v>8</v>
          </cell>
          <cell r="Q37">
            <v>8</v>
          </cell>
          <cell r="W37">
            <v>3</v>
          </cell>
          <cell r="X37">
            <v>9</v>
          </cell>
          <cell r="Z37">
            <v>105.5</v>
          </cell>
          <cell r="AD37">
            <v>9.75</v>
          </cell>
          <cell r="AF37">
            <v>105.875</v>
          </cell>
        </row>
        <row r="38">
          <cell r="E38" t="str">
            <v xml:space="preserve"> </v>
          </cell>
          <cell r="J38">
            <v>8</v>
          </cell>
          <cell r="K38">
            <v>8</v>
          </cell>
          <cell r="P38">
            <v>8</v>
          </cell>
          <cell r="Q38">
            <v>8</v>
          </cell>
          <cell r="W38">
            <v>3</v>
          </cell>
          <cell r="X38">
            <v>8.875</v>
          </cell>
          <cell r="Z38">
            <v>105.125</v>
          </cell>
          <cell r="AD38">
            <v>9.625</v>
          </cell>
          <cell r="AF38">
            <v>105.5</v>
          </cell>
        </row>
        <row r="39">
          <cell r="E39" t="str">
            <v xml:space="preserve"> </v>
          </cell>
          <cell r="J39">
            <v>8</v>
          </cell>
          <cell r="K39">
            <v>8</v>
          </cell>
          <cell r="P39">
            <v>8</v>
          </cell>
          <cell r="Q39">
            <v>8</v>
          </cell>
          <cell r="W39">
            <v>4</v>
          </cell>
          <cell r="X39">
            <v>8.75</v>
          </cell>
          <cell r="Z39">
            <v>104.75</v>
          </cell>
          <cell r="AD39">
            <v>9.5</v>
          </cell>
          <cell r="AF39">
            <v>105.125</v>
          </cell>
        </row>
        <row r="40">
          <cell r="E40" t="str">
            <v xml:space="preserve"> </v>
          </cell>
          <cell r="F40" t="str">
            <v xml:space="preserve"> </v>
          </cell>
          <cell r="J40">
            <v>8</v>
          </cell>
          <cell r="K40">
            <v>8</v>
          </cell>
          <cell r="P40">
            <v>8</v>
          </cell>
          <cell r="Q40">
            <v>8</v>
          </cell>
          <cell r="W40">
            <v>4</v>
          </cell>
          <cell r="X40">
            <v>8.625</v>
          </cell>
          <cell r="Z40">
            <v>104.25</v>
          </cell>
          <cell r="AD40">
            <v>9.375</v>
          </cell>
          <cell r="AF40">
            <v>104.75</v>
          </cell>
        </row>
        <row r="41">
          <cell r="E41" t="str">
            <v xml:space="preserve"> </v>
          </cell>
          <cell r="F41" t="str">
            <v xml:space="preserve"> </v>
          </cell>
          <cell r="J41">
            <v>8</v>
          </cell>
          <cell r="K41">
            <v>8</v>
          </cell>
          <cell r="P41">
            <v>8</v>
          </cell>
          <cell r="Q41">
            <v>8</v>
          </cell>
          <cell r="W41">
            <v>4</v>
          </cell>
          <cell r="X41">
            <v>8.5</v>
          </cell>
          <cell r="Z41">
            <v>103.75</v>
          </cell>
          <cell r="AD41">
            <v>9.25</v>
          </cell>
          <cell r="AF41">
            <v>104.25</v>
          </cell>
        </row>
        <row r="42">
          <cell r="E42" t="str">
            <v xml:space="preserve"> </v>
          </cell>
          <cell r="F42" t="str">
            <v xml:space="preserve"> </v>
          </cell>
          <cell r="J42">
            <v>8</v>
          </cell>
          <cell r="K42">
            <v>8</v>
          </cell>
          <cell r="P42">
            <v>8</v>
          </cell>
          <cell r="Q42">
            <v>8</v>
          </cell>
          <cell r="W42">
            <v>4</v>
          </cell>
          <cell r="X42">
            <v>8.375</v>
          </cell>
          <cell r="Z42">
            <v>103.25</v>
          </cell>
          <cell r="AD42">
            <v>9.125</v>
          </cell>
          <cell r="AF42">
            <v>103.75</v>
          </cell>
        </row>
        <row r="43">
          <cell r="E43" t="str">
            <v xml:space="preserve"> </v>
          </cell>
          <cell r="F43" t="str">
            <v xml:space="preserve"> </v>
          </cell>
          <cell r="J43">
            <v>8</v>
          </cell>
          <cell r="K43">
            <v>8</v>
          </cell>
          <cell r="P43">
            <v>8</v>
          </cell>
          <cell r="Q43">
            <v>8</v>
          </cell>
          <cell r="W43">
            <v>4</v>
          </cell>
          <cell r="X43">
            <v>8.25</v>
          </cell>
          <cell r="Z43">
            <v>102.75</v>
          </cell>
          <cell r="AD43">
            <v>9</v>
          </cell>
          <cell r="AF43">
            <v>103.25</v>
          </cell>
        </row>
        <row r="44">
          <cell r="E44" t="str">
            <v xml:space="preserve"> </v>
          </cell>
          <cell r="F44" t="str">
            <v xml:space="preserve"> </v>
          </cell>
          <cell r="J44">
            <v>8</v>
          </cell>
          <cell r="K44">
            <v>8</v>
          </cell>
          <cell r="P44">
            <v>8</v>
          </cell>
          <cell r="Q44">
            <v>8</v>
          </cell>
          <cell r="W44">
            <v>6</v>
          </cell>
          <cell r="X44">
            <v>8.125</v>
          </cell>
          <cell r="Z44">
            <v>102.25</v>
          </cell>
          <cell r="AD44">
            <v>8.875</v>
          </cell>
          <cell r="AF44">
            <v>102.75</v>
          </cell>
        </row>
        <row r="45">
          <cell r="E45" t="str">
            <v xml:space="preserve"> </v>
          </cell>
          <cell r="F45" t="str">
            <v xml:space="preserve"> </v>
          </cell>
          <cell r="J45">
            <v>8</v>
          </cell>
          <cell r="K45">
            <v>8</v>
          </cell>
          <cell r="P45">
            <v>8</v>
          </cell>
          <cell r="Q45">
            <v>8</v>
          </cell>
          <cell r="W45">
            <v>6</v>
          </cell>
          <cell r="X45">
            <v>8</v>
          </cell>
          <cell r="Z45">
            <v>101.5</v>
          </cell>
          <cell r="AD45">
            <v>8.75</v>
          </cell>
          <cell r="AF45">
            <v>102</v>
          </cell>
        </row>
        <row r="46">
          <cell r="E46" t="str">
            <v xml:space="preserve"> </v>
          </cell>
          <cell r="F46" t="str">
            <v xml:space="preserve"> </v>
          </cell>
          <cell r="J46">
            <v>8</v>
          </cell>
          <cell r="K46">
            <v>8</v>
          </cell>
          <cell r="P46">
            <v>8</v>
          </cell>
          <cell r="Q46">
            <v>8</v>
          </cell>
          <cell r="W46">
            <v>6</v>
          </cell>
          <cell r="X46">
            <v>7.875</v>
          </cell>
          <cell r="Z46">
            <v>100.75</v>
          </cell>
          <cell r="AD46">
            <v>8.625</v>
          </cell>
          <cell r="AF46">
            <v>101.25</v>
          </cell>
        </row>
        <row r="47">
          <cell r="E47" t="str">
            <v xml:space="preserve"> </v>
          </cell>
          <cell r="F47" t="str">
            <v xml:space="preserve"> </v>
          </cell>
          <cell r="G47" t="str">
            <v xml:space="preserve">  </v>
          </cell>
          <cell r="J47">
            <v>8</v>
          </cell>
          <cell r="K47">
            <v>8</v>
          </cell>
          <cell r="P47">
            <v>8</v>
          </cell>
          <cell r="Q47">
            <v>8</v>
          </cell>
          <cell r="W47">
            <v>6</v>
          </cell>
          <cell r="X47">
            <v>7.75</v>
          </cell>
          <cell r="Z47">
            <v>100</v>
          </cell>
          <cell r="AD47">
            <v>8.5</v>
          </cell>
          <cell r="AF47">
            <v>100.5</v>
          </cell>
        </row>
        <row r="48">
          <cell r="E48" t="str">
            <v xml:space="preserve"> </v>
          </cell>
          <cell r="F48" t="str">
            <v xml:space="preserve"> </v>
          </cell>
          <cell r="G48" t="str">
            <v xml:space="preserve">  </v>
          </cell>
          <cell r="J48">
            <v>8</v>
          </cell>
          <cell r="K48">
            <v>8</v>
          </cell>
          <cell r="P48">
            <v>8</v>
          </cell>
          <cell r="Q48">
            <v>8</v>
          </cell>
          <cell r="W48">
            <v>6</v>
          </cell>
          <cell r="X48">
            <v>7.625</v>
          </cell>
          <cell r="Z48">
            <v>99.25</v>
          </cell>
          <cell r="AD48">
            <v>8.375</v>
          </cell>
          <cell r="AF48">
            <v>99.75</v>
          </cell>
        </row>
        <row r="49">
          <cell r="E49" t="str">
            <v xml:space="preserve"> </v>
          </cell>
          <cell r="F49" t="str">
            <v xml:space="preserve"> </v>
          </cell>
          <cell r="G49" t="str">
            <v xml:space="preserve">  </v>
          </cell>
        </row>
        <row r="50">
          <cell r="E50" t="str">
            <v xml:space="preserve"> </v>
          </cell>
          <cell r="F50" t="str">
            <v xml:space="preserve"> </v>
          </cell>
          <cell r="G50" t="str">
            <v xml:space="preserve">  </v>
          </cell>
          <cell r="J50" t="str">
            <v>Previous Pricing (Paste Special Values from above [red border] if you want to measure a change)</v>
          </cell>
        </row>
        <row r="51">
          <cell r="E51" t="str">
            <v xml:space="preserve"> </v>
          </cell>
          <cell r="F51" t="str">
            <v xml:space="preserve"> </v>
          </cell>
          <cell r="G51" t="str">
            <v xml:space="preserve">  </v>
          </cell>
          <cell r="J51">
            <v>2</v>
          </cell>
          <cell r="K51">
            <v>2</v>
          </cell>
          <cell r="L51">
            <v>9.75</v>
          </cell>
          <cell r="M51">
            <v>110</v>
          </cell>
          <cell r="N51">
            <v>109.75</v>
          </cell>
          <cell r="P51">
            <v>2</v>
          </cell>
          <cell r="Q51">
            <v>2</v>
          </cell>
          <cell r="R51">
            <v>9.875</v>
          </cell>
          <cell r="S51">
            <v>111.25</v>
          </cell>
          <cell r="T51">
            <v>111</v>
          </cell>
          <cell r="W51">
            <v>2</v>
          </cell>
          <cell r="X51">
            <v>12.75</v>
          </cell>
        </row>
        <row r="52">
          <cell r="E52" t="str">
            <v xml:space="preserve"> </v>
          </cell>
          <cell r="F52" t="str">
            <v xml:space="preserve"> </v>
          </cell>
          <cell r="G52" t="str">
            <v xml:space="preserve">  </v>
          </cell>
          <cell r="J52">
            <v>2</v>
          </cell>
          <cell r="K52">
            <v>2</v>
          </cell>
          <cell r="L52">
            <v>9.625</v>
          </cell>
          <cell r="M52">
            <v>109.75</v>
          </cell>
          <cell r="N52">
            <v>109.5</v>
          </cell>
          <cell r="P52">
            <v>2</v>
          </cell>
          <cell r="Q52">
            <v>2</v>
          </cell>
          <cell r="R52">
            <v>9.75</v>
          </cell>
          <cell r="S52">
            <v>111</v>
          </cell>
          <cell r="T52">
            <v>110.75</v>
          </cell>
          <cell r="W52">
            <v>2</v>
          </cell>
          <cell r="X52">
            <v>12.625</v>
          </cell>
        </row>
        <row r="53">
          <cell r="E53" t="str">
            <v xml:space="preserve"> </v>
          </cell>
          <cell r="F53" t="str">
            <v xml:space="preserve"> </v>
          </cell>
          <cell r="G53" t="str">
            <v xml:space="preserve">  </v>
          </cell>
          <cell r="J53">
            <v>2</v>
          </cell>
          <cell r="K53">
            <v>2</v>
          </cell>
          <cell r="L53">
            <v>9.5</v>
          </cell>
          <cell r="M53">
            <v>109.5</v>
          </cell>
          <cell r="N53">
            <v>109.25</v>
          </cell>
          <cell r="P53">
            <v>2</v>
          </cell>
          <cell r="Q53">
            <v>2</v>
          </cell>
          <cell r="R53">
            <v>9.625</v>
          </cell>
          <cell r="S53">
            <v>110.75</v>
          </cell>
          <cell r="T53">
            <v>110.5</v>
          </cell>
          <cell r="W53">
            <v>2</v>
          </cell>
          <cell r="X53">
            <v>12.5</v>
          </cell>
        </row>
      </sheetData>
      <sheetData sheetId="1">
        <row r="3">
          <cell r="B3" t="str">
            <v>Detail</v>
          </cell>
          <cell r="C3" t="str">
            <v>Type</v>
          </cell>
          <cell r="D3" t="str">
            <v>Type</v>
          </cell>
          <cell r="E3" t="str">
            <v>Value</v>
          </cell>
        </row>
        <row r="4">
          <cell r="B4" t="str">
            <v>HC_Fed_APR_1st_1</v>
          </cell>
          <cell r="C4" t="str">
            <v>High Cost APR Federal</v>
          </cell>
          <cell r="F4">
            <v>6.5</v>
          </cell>
          <cell r="I4">
            <v>50000</v>
          </cell>
          <cell r="J4">
            <v>9999999</v>
          </cell>
        </row>
        <row r="5">
          <cell r="B5" t="str">
            <v>HC_Fed_APR_1st_2</v>
          </cell>
          <cell r="C5" t="str">
            <v>High Cost APR Federal</v>
          </cell>
          <cell r="F5">
            <v>8.5</v>
          </cell>
          <cell r="I5">
            <v>0</v>
          </cell>
          <cell r="J5">
            <v>50000</v>
          </cell>
        </row>
        <row r="6">
          <cell r="B6" t="str">
            <v>HC_Fed_APR_2nd</v>
          </cell>
          <cell r="C6" t="str">
            <v>High Cost APR Federal</v>
          </cell>
          <cell r="F6">
            <v>8.5</v>
          </cell>
          <cell r="I6">
            <v>0</v>
          </cell>
          <cell r="J6">
            <v>9999999</v>
          </cell>
        </row>
        <row r="7">
          <cell r="B7" t="str">
            <v>HC_Fed_PtsFees_1</v>
          </cell>
          <cell r="C7" t="str">
            <v>High Cost Pts Fees Federal</v>
          </cell>
          <cell r="G7">
            <v>8</v>
          </cell>
          <cell r="H7">
            <v>1348</v>
          </cell>
          <cell r="I7">
            <v>0</v>
          </cell>
          <cell r="J7">
            <v>26968</v>
          </cell>
        </row>
        <row r="8">
          <cell r="B8" t="str">
            <v>HC_Fed_PtsFees_2</v>
          </cell>
          <cell r="C8" t="str">
            <v>High Cost Pts Fees Federal</v>
          </cell>
          <cell r="G8">
            <v>5</v>
          </cell>
          <cell r="I8">
            <v>26968</v>
          </cell>
          <cell r="J8">
            <v>9999999</v>
          </cell>
        </row>
        <row r="10">
          <cell r="B10" t="str">
            <v>HC_State_APR_1st</v>
          </cell>
          <cell r="C10" t="str">
            <v>High Cost APR State</v>
          </cell>
        </row>
        <row r="11">
          <cell r="B11" t="str">
            <v>HC_State_APR_2nd</v>
          </cell>
          <cell r="C11" t="str">
            <v>High Cost APR State</v>
          </cell>
        </row>
        <row r="12">
          <cell r="B12" t="str">
            <v>HC_State_PtsFees</v>
          </cell>
          <cell r="C12" t="str">
            <v>High Cost Pts Fees State</v>
          </cell>
        </row>
        <row r="16">
          <cell r="B16" t="str">
            <v>QM_PtsFees_1</v>
          </cell>
          <cell r="C16" t="str">
            <v>QM_PtsFees_1</v>
          </cell>
          <cell r="G16">
            <v>3</v>
          </cell>
          <cell r="I16">
            <v>134841</v>
          </cell>
          <cell r="J16">
            <v>9999999</v>
          </cell>
        </row>
        <row r="17">
          <cell r="B17" t="str">
            <v>QM_PtsFees_2</v>
          </cell>
          <cell r="C17" t="str">
            <v>QM_PtsFees_2</v>
          </cell>
          <cell r="H17">
            <v>4045</v>
          </cell>
          <cell r="I17">
            <v>80905</v>
          </cell>
          <cell r="J17">
            <v>134841</v>
          </cell>
        </row>
        <row r="18">
          <cell r="B18" t="str">
            <v>QM_PtsFees_3</v>
          </cell>
          <cell r="C18" t="str">
            <v>QM_PtsFees_3</v>
          </cell>
          <cell r="G18">
            <v>5</v>
          </cell>
          <cell r="I18">
            <v>26898</v>
          </cell>
          <cell r="J18">
            <v>80905</v>
          </cell>
        </row>
        <row r="19">
          <cell r="B19" t="str">
            <v>QM_APR_1st_1</v>
          </cell>
          <cell r="C19" t="str">
            <v>QM_APR_1st_1</v>
          </cell>
          <cell r="F19">
            <v>2.25</v>
          </cell>
          <cell r="I19">
            <v>134841</v>
          </cell>
          <cell r="J19">
            <v>9999999</v>
          </cell>
        </row>
        <row r="20">
          <cell r="B20" t="str">
            <v>QM_APR_1st_2</v>
          </cell>
          <cell r="C20" t="str">
            <v>QM_APR_1st_2</v>
          </cell>
          <cell r="F20">
            <v>3.5</v>
          </cell>
          <cell r="I20">
            <v>80905</v>
          </cell>
          <cell r="J20">
            <v>134841</v>
          </cell>
        </row>
        <row r="21">
          <cell r="B21" t="str">
            <v>QM_APR_1st_3</v>
          </cell>
          <cell r="C21" t="str">
            <v>QM_APR_1st_3</v>
          </cell>
          <cell r="F21">
            <v>6.5</v>
          </cell>
          <cell r="I21">
            <v>0</v>
          </cell>
          <cell r="J21">
            <v>80905</v>
          </cell>
        </row>
        <row r="22">
          <cell r="B22" t="str">
            <v>QM_APR_2nd_1</v>
          </cell>
          <cell r="C22" t="str">
            <v>QM_APR_2nd_1</v>
          </cell>
          <cell r="F22">
            <v>3.5</v>
          </cell>
          <cell r="I22">
            <v>80905</v>
          </cell>
          <cell r="J22">
            <v>9999999</v>
          </cell>
        </row>
        <row r="23">
          <cell r="B23" t="str">
            <v>QM_APR_2nd_2</v>
          </cell>
          <cell r="C23" t="str">
            <v>QM_APR_2nd_2</v>
          </cell>
          <cell r="F23">
            <v>6.5</v>
          </cell>
          <cell r="I23">
            <v>0</v>
          </cell>
          <cell r="J23">
            <v>80905</v>
          </cell>
        </row>
        <row r="25">
          <cell r="B25" t="str">
            <v>HP_Fed_APR_1st</v>
          </cell>
          <cell r="C25" t="str">
            <v>High Price APR Federal</v>
          </cell>
          <cell r="F25">
            <v>1.5</v>
          </cell>
        </row>
        <row r="26">
          <cell r="B26" t="str">
            <v>HP_Fed_APR_2nd</v>
          </cell>
          <cell r="C26" t="str">
            <v>High Price APR Federal</v>
          </cell>
          <cell r="F26">
            <v>3.5</v>
          </cell>
        </row>
        <row r="28">
          <cell r="B28" t="str">
            <v>VPM Loan Limit AVM</v>
          </cell>
          <cell r="I28">
            <v>400000</v>
          </cell>
        </row>
      </sheetData>
      <sheetData sheetId="2">
        <row r="3">
          <cell r="C3" t="str">
            <v>Corr1</v>
          </cell>
          <cell r="D3" t="str">
            <v>Corr2</v>
          </cell>
          <cell r="E3" t="str">
            <v>Corr3</v>
          </cell>
          <cell r="F3" t="str">
            <v>CorrND</v>
          </cell>
          <cell r="G3" t="str">
            <v>Whol</v>
          </cell>
          <cell r="H3" t="str">
            <v>Retail</v>
          </cell>
          <cell r="I3" t="str">
            <v>Model</v>
          </cell>
          <cell r="J3" t="str">
            <v>Corr1</v>
          </cell>
          <cell r="K3" t="str">
            <v>Corr2</v>
          </cell>
          <cell r="L3" t="str">
            <v>Corr3</v>
          </cell>
          <cell r="M3" t="str">
            <v>CorrND</v>
          </cell>
          <cell r="N3" t="str">
            <v>Whol</v>
          </cell>
          <cell r="O3" t="str">
            <v>Retail</v>
          </cell>
          <cell r="Q3" t="str">
            <v>Corr1</v>
          </cell>
          <cell r="R3" t="str">
            <v>Corr2</v>
          </cell>
          <cell r="S3" t="str">
            <v>Corr3</v>
          </cell>
          <cell r="T3" t="str">
            <v>CorrND</v>
          </cell>
          <cell r="U3" t="str">
            <v>Whol</v>
          </cell>
          <cell r="V3" t="str">
            <v>Retail</v>
          </cell>
        </row>
        <row r="4">
          <cell r="I4" t="str">
            <v>Spread</v>
          </cell>
          <cell r="J4" t="str">
            <v>Spread</v>
          </cell>
          <cell r="P4" t="str">
            <v>Lock Term Adjust (30to45)</v>
          </cell>
          <cell r="Q4" t="str">
            <v>Max Price Adjust</v>
          </cell>
        </row>
        <row r="5">
          <cell r="A5" t="str">
            <v>PN</v>
          </cell>
          <cell r="B5" t="str">
            <v>Product Names</v>
          </cell>
          <cell r="C5" t="str">
            <v>NonQM OO</v>
          </cell>
          <cell r="D5" t="str">
            <v>NonQM OO</v>
          </cell>
          <cell r="E5" t="str">
            <v>NonQM OO</v>
          </cell>
          <cell r="F5" t="str">
            <v>NonQM OO</v>
          </cell>
          <cell r="G5" t="str">
            <v>Infinite Non-QM OO (1st Lien)</v>
          </cell>
          <cell r="H5" t="str">
            <v>NonQM OO</v>
          </cell>
          <cell r="I5">
            <v>-0.5</v>
          </cell>
          <cell r="J5">
            <v>0.125</v>
          </cell>
          <cell r="K5">
            <v>0</v>
          </cell>
          <cell r="L5">
            <v>0</v>
          </cell>
          <cell r="M5">
            <v>0</v>
          </cell>
          <cell r="N5">
            <v>-0.5</v>
          </cell>
          <cell r="O5">
            <v>-0.5</v>
          </cell>
          <cell r="P5">
            <v>-0.15</v>
          </cell>
          <cell r="Q5">
            <v>0</v>
          </cell>
          <cell r="R5">
            <v>0</v>
          </cell>
          <cell r="S5">
            <v>0</v>
          </cell>
          <cell r="T5">
            <v>0</v>
          </cell>
          <cell r="U5">
            <v>-1</v>
          </cell>
          <cell r="V5">
            <v>0</v>
          </cell>
        </row>
        <row r="6">
          <cell r="A6" t="str">
            <v>IN</v>
          </cell>
          <cell r="C6" t="str">
            <v>NonQM NOO</v>
          </cell>
          <cell r="D6" t="str">
            <v>NonQM NOO</v>
          </cell>
          <cell r="E6" t="str">
            <v>NonQM NOO</v>
          </cell>
          <cell r="F6" t="str">
            <v>NonQM NOO</v>
          </cell>
          <cell r="G6" t="str">
            <v>Infinite Non-QM NOO (1st Lien)</v>
          </cell>
          <cell r="H6" t="str">
            <v>NonQM NOO</v>
          </cell>
          <cell r="I6">
            <v>-0.5</v>
          </cell>
          <cell r="J6">
            <v>0.375</v>
          </cell>
          <cell r="K6">
            <v>0</v>
          </cell>
          <cell r="L6">
            <v>0</v>
          </cell>
          <cell r="M6">
            <v>0</v>
          </cell>
          <cell r="N6">
            <v>-0.5</v>
          </cell>
          <cell r="O6">
            <v>-0.5</v>
          </cell>
          <cell r="P6">
            <v>-0.15</v>
          </cell>
          <cell r="Q6">
            <v>0</v>
          </cell>
          <cell r="R6">
            <v>0</v>
          </cell>
          <cell r="S6">
            <v>0</v>
          </cell>
          <cell r="T6">
            <v>0</v>
          </cell>
          <cell r="U6">
            <v>-1</v>
          </cell>
          <cell r="V6">
            <v>0</v>
          </cell>
        </row>
        <row r="7">
          <cell r="A7" t="str">
            <v>PR</v>
          </cell>
          <cell r="C7" t="str">
            <v>Second OO</v>
          </cell>
          <cell r="D7" t="str">
            <v>Second OO</v>
          </cell>
          <cell r="E7" t="str">
            <v>Second OO</v>
          </cell>
          <cell r="F7" t="str">
            <v>Second OO</v>
          </cell>
          <cell r="G7" t="str">
            <v>Infinite CES OO (2nd Lien)</v>
          </cell>
          <cell r="H7" t="str">
            <v>Second OO</v>
          </cell>
          <cell r="I7">
            <v>-2</v>
          </cell>
          <cell r="J7">
            <v>0</v>
          </cell>
          <cell r="K7">
            <v>0</v>
          </cell>
          <cell r="L7">
            <v>0</v>
          </cell>
          <cell r="M7">
            <v>0</v>
          </cell>
          <cell r="N7">
            <v>-1.25</v>
          </cell>
          <cell r="O7">
            <v>-1.25</v>
          </cell>
          <cell r="P7">
            <v>-0.15</v>
          </cell>
          <cell r="Q7">
            <v>0</v>
          </cell>
          <cell r="R7">
            <v>0</v>
          </cell>
          <cell r="S7">
            <v>0</v>
          </cell>
          <cell r="T7">
            <v>0</v>
          </cell>
          <cell r="U7">
            <v>-2.25</v>
          </cell>
          <cell r="V7">
            <v>-2.25</v>
          </cell>
        </row>
        <row r="8">
          <cell r="A8" t="str">
            <v>IR</v>
          </cell>
          <cell r="C8" t="str">
            <v>Second NOO</v>
          </cell>
          <cell r="D8" t="str">
            <v>Second NOO</v>
          </cell>
          <cell r="E8" t="str">
            <v>Second NOO</v>
          </cell>
          <cell r="F8" t="str">
            <v>Second NOO</v>
          </cell>
          <cell r="G8" t="str">
            <v>Infinite CES NOO (2nd Lien)</v>
          </cell>
          <cell r="H8" t="str">
            <v>Second NOO</v>
          </cell>
          <cell r="I8">
            <v>-2</v>
          </cell>
          <cell r="J8">
            <v>0</v>
          </cell>
          <cell r="K8">
            <v>0</v>
          </cell>
          <cell r="L8">
            <v>0</v>
          </cell>
          <cell r="M8">
            <v>0</v>
          </cell>
          <cell r="N8">
            <v>-1.25</v>
          </cell>
          <cell r="O8">
            <v>-1.25</v>
          </cell>
          <cell r="P8">
            <v>-0.15</v>
          </cell>
          <cell r="Q8">
            <v>0</v>
          </cell>
          <cell r="R8">
            <v>0</v>
          </cell>
          <cell r="S8">
            <v>0</v>
          </cell>
          <cell r="T8">
            <v>0</v>
          </cell>
          <cell r="U8">
            <v>-2.25</v>
          </cell>
          <cell r="V8">
            <v>-2.25</v>
          </cell>
          <cell r="Y8">
            <v>-3.5</v>
          </cell>
          <cell r="Z8">
            <v>-2.5</v>
          </cell>
        </row>
        <row r="9">
          <cell r="B9" t="str">
            <v>Product Class</v>
          </cell>
          <cell r="C9" t="str">
            <v>NonQM</v>
          </cell>
          <cell r="D9" t="str">
            <v>NonQM</v>
          </cell>
          <cell r="E9" t="str">
            <v>NonQM</v>
          </cell>
          <cell r="F9" t="str">
            <v>NonQM</v>
          </cell>
          <cell r="G9" t="str">
            <v>Infinite Non-QM</v>
          </cell>
          <cell r="H9" t="str">
            <v>NonQM</v>
          </cell>
        </row>
        <row r="10">
          <cell r="C10" t="str">
            <v>Second</v>
          </cell>
          <cell r="D10" t="str">
            <v>Second</v>
          </cell>
          <cell r="E10" t="str">
            <v>Second</v>
          </cell>
          <cell r="F10" t="str">
            <v>Second</v>
          </cell>
          <cell r="G10" t="str">
            <v>Infinite CES</v>
          </cell>
          <cell r="H10" t="str">
            <v>Second</v>
          </cell>
          <cell r="J10" t="str">
            <v xml:space="preserve"> </v>
          </cell>
        </row>
        <row r="11">
          <cell r="B11" t="str">
            <v>PricerName</v>
          </cell>
          <cell r="C11" t="str">
            <v>PricePoint</v>
          </cell>
          <cell r="D11" t="str">
            <v>PricePoint</v>
          </cell>
          <cell r="E11" t="str">
            <v>PricePoint</v>
          </cell>
          <cell r="F11" t="str">
            <v>PricePoint</v>
          </cell>
          <cell r="G11" t="str">
            <v>BrokersAdvantage-Pricer</v>
          </cell>
          <cell r="H11" t="str">
            <v>NextR-Pricer</v>
          </cell>
          <cell r="I11" t="str">
            <v xml:space="preserve"> </v>
          </cell>
          <cell r="J11" t="str">
            <v xml:space="preserve"> </v>
          </cell>
          <cell r="N11" t="str">
            <v xml:space="preserve"> </v>
          </cell>
        </row>
        <row r="12">
          <cell r="B12" t="str">
            <v>CalculatorName</v>
          </cell>
          <cell r="C12" t="str">
            <v>VPM-Qual</v>
          </cell>
          <cell r="D12" t="str">
            <v>VPM-Qual</v>
          </cell>
          <cell r="E12" t="str">
            <v>VPM-Qual</v>
          </cell>
          <cell r="F12" t="str">
            <v>VPM-Qual</v>
          </cell>
          <cell r="G12" t="str">
            <v>BrokersAdvantage-Qual</v>
          </cell>
          <cell r="H12" t="str">
            <v>NextR-Qual</v>
          </cell>
          <cell r="I12" t="str">
            <v xml:space="preserve"> </v>
          </cell>
          <cell r="J12" t="str">
            <v xml:space="preserve"> </v>
          </cell>
          <cell r="N12" t="str">
            <v xml:space="preserve"> </v>
          </cell>
        </row>
        <row r="13">
          <cell r="B13" t="str">
            <v>Disclaimer1</v>
          </cell>
          <cell r="C13"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D13"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E13"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F13" t="str">
            <v>Vista Point Mortgage, LLC. The information in this document is intended for use by licensed mortgage bankers and mortgage loans officers, and may not to be viewed, used, or relied upon by consumers. The information disclosed in this document is subject to change without notice. Not available in all states.</v>
          </cell>
          <cell r="G13" t="str">
            <v>Copyright Brokers Advantage Mortgage. All rights reserved. NMLS #1826528.  NMLS Consumer Access.  Rates, terms, and programs are subject to change without notice and are not available in all states.  Other restrictions may apply.  This is not a commitment to lend or purchase loans.  Meant for distribution to wholesale network only – not for distribution to the public or any consumer.</v>
          </cell>
          <cell r="H13" t="str">
            <v>Copyright Brokers Advantage Mortgage. All rights reserved. NMLS #1826528.  NMLS Consumer Access.  Rates, terms, and programs are subject to change without notice and are not available in all states.  Other restrictions may apply.  This is not a commitment to lend or purchase loans.  Meant for distribution to wholesale network only – not for distribution to the public or any consumer.</v>
          </cell>
          <cell r="I13" t="str">
            <v xml:space="preserve"> </v>
          </cell>
          <cell r="J13" t="str">
            <v xml:space="preserve"> </v>
          </cell>
          <cell r="N13">
            <v>-0.75</v>
          </cell>
          <cell r="O13">
            <v>-0.75</v>
          </cell>
          <cell r="P13">
            <v>-0.15</v>
          </cell>
          <cell r="Q13">
            <v>0</v>
          </cell>
          <cell r="R13">
            <v>0</v>
          </cell>
          <cell r="S13">
            <v>0</v>
          </cell>
          <cell r="T13">
            <v>0</v>
          </cell>
          <cell r="U13">
            <v>-0.75</v>
          </cell>
          <cell r="V13">
            <v>0</v>
          </cell>
        </row>
        <row r="14">
          <cell r="B14" t="str">
            <v>DisclaimerPricer1</v>
          </cell>
          <cell r="C14" t="str">
            <v>PricePoint will generate pricing scenarios outside of guideline restrictions.  Please confirm pricing scenarios meet VPM guidelines.</v>
          </cell>
          <cell r="D14" t="str">
            <v>PricePoint will generate pricing scenarios outside of guideline restrictions.  Please confirm pricing scenarios meet VPM guidelines.</v>
          </cell>
          <cell r="E14" t="str">
            <v>PricePoint will generate pricing scenarios outside of guideline restrictions.  Please confirm pricing scenarios meet VPM guidelines.</v>
          </cell>
          <cell r="F14" t="str">
            <v>PricePoint will generate pricing scenarios outside of guideline restrictions.  Please confirm pricing scenarios meet VPM guidelines.</v>
          </cell>
          <cell r="G14" t="str">
            <v>BrokersAdvantage-Pricer will generate pricing scenarios outside of guideline restrictions.  Please confirm that pricing scenarios meet Brokers Advantage guidelines.</v>
          </cell>
          <cell r="H14" t="str">
            <v>NextR-Pricer will generate pricing scenarios outside of guideline restrictions.  Please confirm that pricing scenarios meet EQA guidelines.</v>
          </cell>
          <cell r="I14" t="str">
            <v xml:space="preserve"> </v>
          </cell>
          <cell r="J14" t="str">
            <v xml:space="preserve"> </v>
          </cell>
          <cell r="N14">
            <v>-0.75</v>
          </cell>
          <cell r="O14">
            <v>-0.75</v>
          </cell>
          <cell r="P14">
            <v>-0.15</v>
          </cell>
          <cell r="Q14">
            <v>0</v>
          </cell>
          <cell r="R14">
            <v>0</v>
          </cell>
          <cell r="S14">
            <v>0</v>
          </cell>
          <cell r="T14">
            <v>0</v>
          </cell>
          <cell r="U14">
            <v>-0.75</v>
          </cell>
          <cell r="V14">
            <v>0</v>
          </cell>
        </row>
        <row r="15">
          <cell r="B15" t="str">
            <v>DisclaimerPricer2</v>
          </cell>
          <cell r="C15" t="str">
            <v xml:space="preserve">The Loan Estimator is for informational purposes only, should not be construed as legal advice, and should not be relied upon for any purpose in determining regulatory or legal compliance. </v>
          </cell>
          <cell r="D15" t="str">
            <v xml:space="preserve">The Loan Estimator is for informational purposes only, should not be construed as legal advice, and should not be relied upon for any purpose in determining regulatory or legal compliance. </v>
          </cell>
          <cell r="E15" t="str">
            <v xml:space="preserve">The Loan Estimator is for informational purposes only, should not be construed as legal advice, and should not be relied upon for any purpose in determining regulatory or legal compliance. </v>
          </cell>
          <cell r="F15" t="str">
            <v xml:space="preserve">The Loan Estimator is for informational purposes only, should not be construed as legal advice, and should not be relied upon for any purpose in determining regulatory or legal compliance. </v>
          </cell>
          <cell r="G15" t="str">
            <v xml:space="preserve">The Loan Estimator is for informational purposes only, should not be construed as legal advice, and should not be relied upon for any purpose in determining regulatory or legal compliance. </v>
          </cell>
          <cell r="H15" t="str">
            <v xml:space="preserve">The Loan Estimator is for informational purposes only, should not be construed as legal advice, and should not be relied upon for any purpose in determining regulatory or legal compliance. </v>
          </cell>
          <cell r="I15" t="str">
            <v xml:space="preserve"> </v>
          </cell>
          <cell r="J15" t="str">
            <v xml:space="preserve"> </v>
          </cell>
        </row>
        <row r="16">
          <cell r="B16" t="str">
            <v>Lock Term Desc</v>
          </cell>
          <cell r="C16" t="str">
            <v>30 Day Pricing</v>
          </cell>
          <cell r="D16" t="str">
            <v>30 Day Pricing</v>
          </cell>
          <cell r="E16" t="str">
            <v>30 Day Pricing</v>
          </cell>
          <cell r="F16" t="str">
            <v>30 Day Pricing</v>
          </cell>
          <cell r="G16" t="str">
            <v>45 Day Pricing</v>
          </cell>
          <cell r="H16" t="str">
            <v>45 Day Pricing</v>
          </cell>
          <cell r="I16" t="str">
            <v xml:space="preserve"> </v>
          </cell>
          <cell r="J16" t="str">
            <v xml:space="preserve"> </v>
          </cell>
        </row>
        <row r="17">
          <cell r="I17" t="str">
            <v xml:space="preserve"> </v>
          </cell>
        </row>
        <row r="18">
          <cell r="B18" t="str">
            <v>LLPAs on Ratesheets</v>
          </cell>
          <cell r="C18" t="str">
            <v>New</v>
          </cell>
        </row>
        <row r="19">
          <cell r="B19" t="str">
            <v>No Prepay</v>
          </cell>
          <cell r="C19">
            <v>-2</v>
          </cell>
        </row>
        <row r="20">
          <cell r="B20" t="str">
            <v>1yr Prepay_Standard</v>
          </cell>
          <cell r="C20">
            <v>-1.5</v>
          </cell>
        </row>
        <row r="21">
          <cell r="B21" t="str">
            <v>2yr Prepay_Standard</v>
          </cell>
          <cell r="C21">
            <v>-0.5</v>
          </cell>
        </row>
        <row r="22">
          <cell r="B22" t="str">
            <v>3yr Prepay_Standard</v>
          </cell>
          <cell r="C22">
            <v>0</v>
          </cell>
        </row>
        <row r="23">
          <cell r="B23" t="str">
            <v>4yr Prepay_Standard</v>
          </cell>
          <cell r="C23">
            <v>0.25</v>
          </cell>
        </row>
        <row r="24">
          <cell r="B24" t="str">
            <v>5yr Prepay_Standard</v>
          </cell>
          <cell r="C24">
            <v>0.5</v>
          </cell>
        </row>
        <row r="25">
          <cell r="B25" t="str">
            <v>1yr Prepay_5Pct</v>
          </cell>
          <cell r="C25">
            <v>-1.5</v>
          </cell>
        </row>
        <row r="26">
          <cell r="B26" t="str">
            <v>2yr Prepay_5Pct</v>
          </cell>
          <cell r="C26">
            <v>-0.5</v>
          </cell>
        </row>
        <row r="27">
          <cell r="B27" t="str">
            <v>3yr Prepay_5Pct</v>
          </cell>
          <cell r="C27">
            <v>0.25</v>
          </cell>
        </row>
        <row r="28">
          <cell r="B28" t="str">
            <v>4yr Prepay_5Pct</v>
          </cell>
          <cell r="C28">
            <v>0.625</v>
          </cell>
        </row>
        <row r="29">
          <cell r="B29" t="str">
            <v>5yr Prepay_5Pct</v>
          </cell>
          <cell r="C29">
            <v>0.875</v>
          </cell>
        </row>
        <row r="30">
          <cell r="B30" t="str">
            <v>1yr Prepay_3Pct</v>
          </cell>
          <cell r="C30">
            <v>-1.5</v>
          </cell>
        </row>
        <row r="31">
          <cell r="B31" t="str">
            <v>2yr Prepay_3Pct</v>
          </cell>
          <cell r="C31">
            <v>-0.5</v>
          </cell>
        </row>
        <row r="32">
          <cell r="B32" t="str">
            <v>3yr Prepay_3Pct</v>
          </cell>
          <cell r="C32">
            <v>-0.25</v>
          </cell>
        </row>
        <row r="33">
          <cell r="B33" t="str">
            <v>4yr Prepay_3Pct</v>
          </cell>
          <cell r="C33">
            <v>0.125</v>
          </cell>
        </row>
        <row r="34">
          <cell r="B34" t="str">
            <v>5yr Prepay_3Pct</v>
          </cell>
          <cell r="C34">
            <v>0.375</v>
          </cell>
        </row>
        <row r="35">
          <cell r="B35" t="str">
            <v>1yr Prepay_1</v>
          </cell>
          <cell r="C35">
            <v>-1.5</v>
          </cell>
        </row>
        <row r="36">
          <cell r="B36" t="str">
            <v>2yr Prepay_21</v>
          </cell>
          <cell r="C36">
            <v>-0.5</v>
          </cell>
        </row>
        <row r="37">
          <cell r="B37" t="str">
            <v>3yr Prepay_321</v>
          </cell>
          <cell r="C37">
            <v>-0.25</v>
          </cell>
        </row>
        <row r="38">
          <cell r="B38" t="str">
            <v>4yr Prepay_4321</v>
          </cell>
          <cell r="C38">
            <v>0.125</v>
          </cell>
        </row>
        <row r="39">
          <cell r="B39" t="str">
            <v>5yr Prepay_54321</v>
          </cell>
          <cell r="C39">
            <v>0.375</v>
          </cell>
        </row>
        <row r="40">
          <cell r="B40" t="str">
            <v>15 Day</v>
          </cell>
          <cell r="C40">
            <v>0</v>
          </cell>
        </row>
        <row r="41">
          <cell r="B41" t="str">
            <v>30 Day</v>
          </cell>
          <cell r="C41">
            <v>0</v>
          </cell>
        </row>
        <row r="42">
          <cell r="B42" t="str">
            <v>45 Day</v>
          </cell>
          <cell r="C42">
            <v>-0.25</v>
          </cell>
        </row>
        <row r="43">
          <cell r="B43" t="str">
            <v>60 Day</v>
          </cell>
          <cell r="C43">
            <v>-0.5</v>
          </cell>
        </row>
        <row r="44">
          <cell r="B44" t="str">
            <v>Mandatory</v>
          </cell>
          <cell r="C44">
            <v>0</v>
          </cell>
        </row>
        <row r="45">
          <cell r="B45" t="str">
            <v>Best Efforts</v>
          </cell>
          <cell r="C45">
            <v>0</v>
          </cell>
        </row>
        <row r="46">
          <cell r="B46" t="str">
            <v>Relock Fee:</v>
          </cell>
          <cell r="C46">
            <v>0.125</v>
          </cell>
        </row>
        <row r="47">
          <cell r="B47" t="str">
            <v>Extension Fee Per Diem:</v>
          </cell>
          <cell r="C47">
            <v>1.4999999999999999E-2</v>
          </cell>
        </row>
        <row r="48">
          <cell r="B48" t="str">
            <v>Extension Max:</v>
          </cell>
          <cell r="C48" t="str">
            <v>15 Days</v>
          </cell>
        </row>
        <row r="49">
          <cell r="B49" t="str">
            <v>Funding Fee</v>
          </cell>
          <cell r="C49" t="str">
            <v>Delegated Per File Funding Fee:  $395</v>
          </cell>
        </row>
        <row r="50">
          <cell r="B50" t="str">
            <v>Non Del Funding Fee</v>
          </cell>
          <cell r="C50" t="str">
            <v>Non-Delegated Per File UW and Funding Fee:  $1095</v>
          </cell>
        </row>
      </sheetData>
      <sheetData sheetId="3">
        <row r="3">
          <cell r="A3" t="str">
            <v>AK</v>
          </cell>
          <cell r="B3" t="str">
            <v>Non-CA</v>
          </cell>
          <cell r="C3" t="str">
            <v>Y</v>
          </cell>
          <cell r="D3" t="str">
            <v>Y</v>
          </cell>
          <cell r="E3" t="str">
            <v xml:space="preserve"> </v>
          </cell>
          <cell r="F3" t="str">
            <v>No Prepay</v>
          </cell>
          <cell r="G3" t="str">
            <v>No Prepay Allowed</v>
          </cell>
          <cell r="H3" t="str">
            <v>Alaska</v>
          </cell>
          <cell r="I3" t="str">
            <v>Y</v>
          </cell>
          <cell r="J3" t="str">
            <v>Y</v>
          </cell>
          <cell r="K3" t="str">
            <v>N</v>
          </cell>
          <cell r="L3" t="str">
            <v>Y</v>
          </cell>
          <cell r="M3" t="str">
            <v xml:space="preserve"> </v>
          </cell>
          <cell r="N3" t="str">
            <v>Dry</v>
          </cell>
          <cell r="O3">
            <v>2</v>
          </cell>
          <cell r="P3" t="str">
            <v>APOR</v>
          </cell>
          <cell r="Q3">
            <v>6.5</v>
          </cell>
          <cell r="R3">
            <v>8.5</v>
          </cell>
          <cell r="S3">
            <v>5</v>
          </cell>
          <cell r="U3" t="str">
            <v>Owner Occupied</v>
          </cell>
          <cell r="V3" t="str">
            <v>Purchase, Rate-Term, Cash-Out</v>
          </cell>
          <cell r="X3" t="str">
            <v>Y</v>
          </cell>
        </row>
        <row r="4">
          <cell r="A4" t="str">
            <v>AL</v>
          </cell>
          <cell r="B4" t="str">
            <v>AL</v>
          </cell>
          <cell r="C4" t="str">
            <v>Y</v>
          </cell>
          <cell r="D4" t="str">
            <v>Y</v>
          </cell>
          <cell r="E4" t="str">
            <v xml:space="preserve"> </v>
          </cell>
          <cell r="F4"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 t="str">
            <v>Prepay only available on Business Purpose Loans</v>
          </cell>
          <cell r="H4" t="str">
            <v>Alabama</v>
          </cell>
          <cell r="I4" t="str">
            <v>Y</v>
          </cell>
          <cell r="J4" t="str">
            <v>Y</v>
          </cell>
          <cell r="K4" t="str">
            <v>N</v>
          </cell>
          <cell r="L4" t="str">
            <v>N</v>
          </cell>
          <cell r="M4" t="str">
            <v xml:space="preserve"> </v>
          </cell>
          <cell r="N4" t="str">
            <v>Wet</v>
          </cell>
          <cell r="O4">
            <v>1</v>
          </cell>
          <cell r="P4" t="str">
            <v>APOR</v>
          </cell>
          <cell r="Q4">
            <v>6.5</v>
          </cell>
          <cell r="R4">
            <v>8.5</v>
          </cell>
          <cell r="S4">
            <v>5</v>
          </cell>
          <cell r="U4" t="str">
            <v>Owner Occupied</v>
          </cell>
          <cell r="V4" t="str">
            <v>Purchase, Rate-Term, Cash-Out</v>
          </cell>
          <cell r="X4" t="str">
            <v>Y</v>
          </cell>
        </row>
        <row r="5">
          <cell r="A5" t="str">
            <v>AR</v>
          </cell>
          <cell r="B5" t="str">
            <v>Non-CA</v>
          </cell>
          <cell r="C5" t="str">
            <v>Y</v>
          </cell>
          <cell r="D5" t="str">
            <v>Y</v>
          </cell>
          <cell r="E5" t="str">
            <v xml:space="preserve"> </v>
          </cell>
          <cell r="F5"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5" t="str">
            <v>Prepay only available on Business Purpose Loans</v>
          </cell>
          <cell r="H5" t="str">
            <v>Arkansas</v>
          </cell>
          <cell r="I5" t="str">
            <v>Y</v>
          </cell>
          <cell r="J5" t="str">
            <v>Y</v>
          </cell>
          <cell r="K5" t="str">
            <v>N</v>
          </cell>
          <cell r="L5" t="str">
            <v>Y</v>
          </cell>
          <cell r="M5" t="str">
            <v xml:space="preserve"> </v>
          </cell>
          <cell r="N5" t="str">
            <v>Wet</v>
          </cell>
          <cell r="O5">
            <v>1</v>
          </cell>
          <cell r="P5" t="str">
            <v>APOR</v>
          </cell>
          <cell r="Q5">
            <v>6.5</v>
          </cell>
          <cell r="R5">
            <v>8.5</v>
          </cell>
          <cell r="S5">
            <v>5</v>
          </cell>
          <cell r="T5">
            <v>150000</v>
          </cell>
          <cell r="U5" t="str">
            <v>Owner Occupied</v>
          </cell>
          <cell r="V5" t="str">
            <v>Purchase, Rate-Term, Cash-Out</v>
          </cell>
          <cell r="X5" t="str">
            <v>N</v>
          </cell>
        </row>
        <row r="6">
          <cell r="A6" t="str">
            <v>AZ</v>
          </cell>
          <cell r="B6" t="str">
            <v>Non-CA</v>
          </cell>
          <cell r="C6" t="str">
            <v>Y</v>
          </cell>
          <cell r="D6" t="str">
            <v>Y</v>
          </cell>
          <cell r="E6" t="str">
            <v xml:space="preserve"> </v>
          </cell>
          <cell r="F6"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6" t="str">
            <v>Prepay only available on Business Purpose Loans</v>
          </cell>
          <cell r="H6" t="str">
            <v>Arizona</v>
          </cell>
          <cell r="I6" t="str">
            <v>Y</v>
          </cell>
          <cell r="J6" t="str">
            <v>Y</v>
          </cell>
          <cell r="K6" t="str">
            <v>Y</v>
          </cell>
          <cell r="L6" t="str">
            <v>Y</v>
          </cell>
          <cell r="M6" t="str">
            <v xml:space="preserve"> </v>
          </cell>
          <cell r="N6" t="str">
            <v>Dry</v>
          </cell>
          <cell r="O6">
            <v>1</v>
          </cell>
          <cell r="P6" t="str">
            <v>APOR</v>
          </cell>
          <cell r="Q6">
            <v>6.5</v>
          </cell>
          <cell r="R6">
            <v>8.5</v>
          </cell>
          <cell r="S6">
            <v>5</v>
          </cell>
          <cell r="U6" t="str">
            <v>Owner Occupied</v>
          </cell>
          <cell r="V6" t="str">
            <v>Purchase, Rate-Term, Cash-Out</v>
          </cell>
          <cell r="X6" t="str">
            <v>Y</v>
          </cell>
        </row>
        <row r="7">
          <cell r="A7" t="str">
            <v>CA</v>
          </cell>
          <cell r="B7" t="str">
            <v>CA</v>
          </cell>
          <cell r="C7" t="str">
            <v>Y</v>
          </cell>
          <cell r="D7" t="str">
            <v>Y</v>
          </cell>
          <cell r="E7" t="str">
            <v xml:space="preserve"> </v>
          </cell>
          <cell r="F7"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7" t="str">
            <v>Prepay only available on Business Purpose Loans</v>
          </cell>
          <cell r="H7" t="str">
            <v>California</v>
          </cell>
          <cell r="I7" t="str">
            <v>Y</v>
          </cell>
          <cell r="J7" t="str">
            <v>Y</v>
          </cell>
          <cell r="K7" t="str">
            <v>Y</v>
          </cell>
          <cell r="L7" t="str">
            <v>Y</v>
          </cell>
          <cell r="M7" t="str">
            <v xml:space="preserve"> </v>
          </cell>
          <cell r="N7" t="str">
            <v>Dry</v>
          </cell>
          <cell r="O7">
            <v>1</v>
          </cell>
          <cell r="P7" t="str">
            <v>Treasury</v>
          </cell>
          <cell r="Q7">
            <v>8</v>
          </cell>
          <cell r="R7">
            <v>8</v>
          </cell>
          <cell r="S7">
            <v>6</v>
          </cell>
          <cell r="T7" t="str">
            <v>Agency</v>
          </cell>
          <cell r="U7" t="str">
            <v>Owner Occupied</v>
          </cell>
          <cell r="V7" t="str">
            <v>Purchase, Rate-Term, Cash-Out</v>
          </cell>
          <cell r="X7" t="str">
            <v>Y</v>
          </cell>
        </row>
        <row r="8">
          <cell r="A8" t="str">
            <v>CO</v>
          </cell>
          <cell r="B8" t="str">
            <v>Non-CA</v>
          </cell>
          <cell r="C8" t="str">
            <v>Y</v>
          </cell>
          <cell r="D8" t="str">
            <v>Y</v>
          </cell>
          <cell r="E8" t="str">
            <v xml:space="preserve"> </v>
          </cell>
          <cell r="F8"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8" t="str">
            <v>Prepay only available on Business Purpose Loans</v>
          </cell>
          <cell r="H8" t="str">
            <v>Colorado</v>
          </cell>
          <cell r="I8" t="str">
            <v>Y</v>
          </cell>
          <cell r="J8" t="str">
            <v>Y</v>
          </cell>
          <cell r="K8" t="str">
            <v>Y</v>
          </cell>
          <cell r="L8" t="str">
            <v>Y</v>
          </cell>
          <cell r="M8" t="str">
            <v xml:space="preserve"> </v>
          </cell>
          <cell r="N8" t="str">
            <v>Wet</v>
          </cell>
          <cell r="O8">
            <v>1</v>
          </cell>
          <cell r="P8" t="str">
            <v>APOR</v>
          </cell>
          <cell r="Q8">
            <v>6.5</v>
          </cell>
          <cell r="R8">
            <v>8.5</v>
          </cell>
          <cell r="S8">
            <v>6</v>
          </cell>
          <cell r="U8" t="str">
            <v>Owner Occupied, Second Home</v>
          </cell>
          <cell r="V8" t="str">
            <v>Purchase, Rate-Term, Cash-Out</v>
          </cell>
          <cell r="X8" t="str">
            <v>N</v>
          </cell>
          <cell r="AF8" t="str">
            <v>Yes</v>
          </cell>
        </row>
        <row r="9">
          <cell r="A9" t="str">
            <v>CT</v>
          </cell>
          <cell r="B9" t="str">
            <v>Non-CA</v>
          </cell>
          <cell r="C9" t="str">
            <v>Y</v>
          </cell>
          <cell r="D9" t="str">
            <v>Y</v>
          </cell>
          <cell r="E9" t="str">
            <v xml:space="preserve"> </v>
          </cell>
          <cell r="F9"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9" t="str">
            <v>Prepay only available on Business Purpose Loans</v>
          </cell>
          <cell r="H9" t="str">
            <v>Connecticut</v>
          </cell>
          <cell r="I9" t="str">
            <v>Y</v>
          </cell>
          <cell r="J9" t="str">
            <v>Y</v>
          </cell>
          <cell r="K9" t="str">
            <v>N</v>
          </cell>
          <cell r="L9" t="str">
            <v>Y</v>
          </cell>
          <cell r="M9" t="str">
            <v xml:space="preserve"> </v>
          </cell>
          <cell r="N9" t="str">
            <v>Wet</v>
          </cell>
          <cell r="O9">
            <v>1</v>
          </cell>
          <cell r="P9" t="str">
            <v>APOR</v>
          </cell>
          <cell r="Q9">
            <v>6.5</v>
          </cell>
          <cell r="R9">
            <v>8.5</v>
          </cell>
          <cell r="S9">
            <v>5</v>
          </cell>
          <cell r="U9" t="str">
            <v>Owner Occupied</v>
          </cell>
          <cell r="V9" t="str">
            <v>Purchase, Rate-Term, Cash-Out</v>
          </cell>
          <cell r="X9" t="str">
            <v>N</v>
          </cell>
          <cell r="AF9" t="str">
            <v>Yes</v>
          </cell>
        </row>
        <row r="10">
          <cell r="A10" t="str">
            <v>DC</v>
          </cell>
          <cell r="B10" t="str">
            <v>Non-CA</v>
          </cell>
          <cell r="C10" t="str">
            <v>Y</v>
          </cell>
          <cell r="D10" t="str">
            <v>Y</v>
          </cell>
          <cell r="E10" t="str">
            <v xml:space="preserve"> </v>
          </cell>
          <cell r="F10" t="str">
            <v>No Prepay, 1yr Prepay_Standard, 2yr Prepay_Standard, 3yr Prepay_Standard</v>
          </cell>
          <cell r="G10" t="str">
            <v>Prepay Restriction May Apply.  Prepay only available on Business Purpose Loans</v>
          </cell>
          <cell r="H10" t="str">
            <v>DistrictofColumbia</v>
          </cell>
          <cell r="I10" t="str">
            <v>Y</v>
          </cell>
          <cell r="J10" t="str">
            <v>Y</v>
          </cell>
          <cell r="K10" t="str">
            <v>N</v>
          </cell>
          <cell r="L10" t="str">
            <v>Y</v>
          </cell>
          <cell r="M10" t="str">
            <v xml:space="preserve"> </v>
          </cell>
          <cell r="N10" t="str">
            <v>Wet</v>
          </cell>
          <cell r="O10">
            <v>1</v>
          </cell>
          <cell r="P10" t="str">
            <v>Treasury</v>
          </cell>
          <cell r="Q10">
            <v>6</v>
          </cell>
          <cell r="R10">
            <v>7</v>
          </cell>
          <cell r="S10">
            <v>5</v>
          </cell>
          <cell r="U10" t="str">
            <v>Owner Occupied</v>
          </cell>
          <cell r="V10" t="str">
            <v>Purchase, Rate-Term, Cash-Out</v>
          </cell>
          <cell r="X10" t="str">
            <v>N</v>
          </cell>
          <cell r="AF10" t="str">
            <v>Yes</v>
          </cell>
        </row>
        <row r="11">
          <cell r="A11" t="str">
            <v>DE</v>
          </cell>
          <cell r="B11" t="str">
            <v>Non-CA</v>
          </cell>
          <cell r="C11" t="str">
            <v>Y</v>
          </cell>
          <cell r="D11" t="str">
            <v>Y</v>
          </cell>
          <cell r="E11" t="str">
            <v xml:space="preserve"> </v>
          </cell>
          <cell r="F11"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11" t="str">
            <v>Prepay only available on Business Purpose Loans</v>
          </cell>
          <cell r="H11" t="str">
            <v>Delaware</v>
          </cell>
          <cell r="I11" t="str">
            <v>Y</v>
          </cell>
          <cell r="J11" t="str">
            <v>Y</v>
          </cell>
          <cell r="K11" t="str">
            <v>N</v>
          </cell>
          <cell r="L11" t="str">
            <v>Y</v>
          </cell>
          <cell r="M11" t="str">
            <v xml:space="preserve"> </v>
          </cell>
          <cell r="N11" t="str">
            <v>Wet</v>
          </cell>
          <cell r="O11">
            <v>1</v>
          </cell>
          <cell r="P11" t="str">
            <v>APOR</v>
          </cell>
          <cell r="Q11">
            <v>6.5</v>
          </cell>
          <cell r="R11">
            <v>8.5</v>
          </cell>
          <cell r="S11">
            <v>5</v>
          </cell>
          <cell r="U11" t="str">
            <v>Owner Occupied</v>
          </cell>
          <cell r="V11" t="str">
            <v>Purchase, Rate-Term, Cash-Out</v>
          </cell>
          <cell r="X11" t="str">
            <v>Y</v>
          </cell>
          <cell r="AF11" t="str">
            <v>Yes</v>
          </cell>
        </row>
        <row r="12">
          <cell r="A12" t="str">
            <v>FL</v>
          </cell>
          <cell r="B12" t="str">
            <v>Non-CA</v>
          </cell>
          <cell r="C12" t="str">
            <v>Y</v>
          </cell>
          <cell r="D12" t="str">
            <v>Y</v>
          </cell>
          <cell r="E12" t="str">
            <v xml:space="preserve"> </v>
          </cell>
          <cell r="F12"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12" t="str">
            <v>Prepay only available on Business Purpose Loans</v>
          </cell>
          <cell r="H12" t="str">
            <v>Florida</v>
          </cell>
          <cell r="I12" t="str">
            <v>Y</v>
          </cell>
          <cell r="J12" t="str">
            <v>Y</v>
          </cell>
          <cell r="K12" t="str">
            <v>N</v>
          </cell>
          <cell r="L12" t="str">
            <v>Y</v>
          </cell>
          <cell r="M12" t="str">
            <v xml:space="preserve"> </v>
          </cell>
          <cell r="N12" t="str">
            <v>Wet</v>
          </cell>
          <cell r="O12">
            <v>1</v>
          </cell>
          <cell r="P12" t="str">
            <v>APOR</v>
          </cell>
          <cell r="Q12">
            <v>6.5</v>
          </cell>
          <cell r="R12">
            <v>8.5</v>
          </cell>
          <cell r="S12">
            <v>5</v>
          </cell>
          <cell r="U12" t="str">
            <v>Owner Occupied</v>
          </cell>
          <cell r="V12" t="str">
            <v>Purchase, Rate-Term, Cash-Out</v>
          </cell>
          <cell r="X12" t="str">
            <v>Y</v>
          </cell>
          <cell r="AF12" t="str">
            <v>Yes</v>
          </cell>
        </row>
        <row r="13">
          <cell r="A13" t="str">
            <v>GA</v>
          </cell>
          <cell r="B13" t="str">
            <v>GA</v>
          </cell>
          <cell r="C13" t="str">
            <v>Y</v>
          </cell>
          <cell r="D13" t="str">
            <v>Y</v>
          </cell>
          <cell r="E13" t="str">
            <v xml:space="preserve"> </v>
          </cell>
          <cell r="F13"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13" t="str">
            <v>Prepay only available on Business Purpose Loans</v>
          </cell>
          <cell r="H13" t="str">
            <v>Georgia</v>
          </cell>
          <cell r="I13" t="str">
            <v>Y</v>
          </cell>
          <cell r="J13" t="str">
            <v>Y</v>
          </cell>
          <cell r="K13" t="str">
            <v>N</v>
          </cell>
          <cell r="L13" t="str">
            <v>Y</v>
          </cell>
          <cell r="M13" t="str">
            <v xml:space="preserve"> </v>
          </cell>
          <cell r="N13" t="str">
            <v>Wet</v>
          </cell>
          <cell r="O13">
            <v>1</v>
          </cell>
          <cell r="P13" t="str">
            <v>APOR</v>
          </cell>
          <cell r="Q13">
            <v>6.5</v>
          </cell>
          <cell r="R13">
            <v>8.5</v>
          </cell>
          <cell r="S13">
            <v>5</v>
          </cell>
          <cell r="T13" t="str">
            <v>Agency</v>
          </cell>
          <cell r="U13" t="str">
            <v>Owner Occupied</v>
          </cell>
          <cell r="V13" t="str">
            <v>Purchase, Rate-Term, Cash-Out</v>
          </cell>
          <cell r="X13" t="str">
            <v>N</v>
          </cell>
          <cell r="AF13" t="str">
            <v>Yes</v>
          </cell>
        </row>
        <row r="14">
          <cell r="A14" t="str">
            <v>HI</v>
          </cell>
          <cell r="B14" t="str">
            <v>Non-CA</v>
          </cell>
          <cell r="C14" t="str">
            <v>Y</v>
          </cell>
          <cell r="D14" t="str">
            <v>Y</v>
          </cell>
          <cell r="E14" t="str">
            <v xml:space="preserve"> </v>
          </cell>
          <cell r="F14"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14" t="str">
            <v>Prepay only available on Business Purpose Loans</v>
          </cell>
          <cell r="H14" t="str">
            <v>Hawaii</v>
          </cell>
          <cell r="I14" t="str">
            <v>N</v>
          </cell>
          <cell r="J14" t="str">
            <v>Y</v>
          </cell>
          <cell r="K14" t="str">
            <v>N</v>
          </cell>
          <cell r="L14" t="str">
            <v>Y</v>
          </cell>
          <cell r="M14" t="str">
            <v xml:space="preserve"> </v>
          </cell>
          <cell r="N14" t="str">
            <v>Dry</v>
          </cell>
          <cell r="O14">
            <v>2</v>
          </cell>
          <cell r="P14" t="str">
            <v>APOR</v>
          </cell>
          <cell r="Q14">
            <v>6.5</v>
          </cell>
          <cell r="R14">
            <v>8.5</v>
          </cell>
          <cell r="S14">
            <v>5</v>
          </cell>
          <cell r="U14" t="str">
            <v>Owner Occupied</v>
          </cell>
          <cell r="V14" t="str">
            <v>Purchase, Rate-Term, Cash-Out</v>
          </cell>
          <cell r="X14" t="str">
            <v>Y</v>
          </cell>
          <cell r="AF14" t="str">
            <v>Yes</v>
          </cell>
        </row>
        <row r="15">
          <cell r="A15" t="str">
            <v>IA</v>
          </cell>
          <cell r="B15" t="str">
            <v>Non-CA</v>
          </cell>
          <cell r="C15" t="str">
            <v>Y</v>
          </cell>
          <cell r="D15" t="str">
            <v>Y</v>
          </cell>
          <cell r="E15" t="str">
            <v xml:space="preserve"> </v>
          </cell>
          <cell r="F15"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15" t="str">
            <v>Prepay only available on Business Purpose Loans</v>
          </cell>
          <cell r="H15" t="str">
            <v>Iowa</v>
          </cell>
          <cell r="I15" t="str">
            <v>Y</v>
          </cell>
          <cell r="J15" t="str">
            <v>Y</v>
          </cell>
          <cell r="K15" t="str">
            <v>N</v>
          </cell>
          <cell r="L15" t="str">
            <v>Y</v>
          </cell>
          <cell r="M15" t="str">
            <v xml:space="preserve"> </v>
          </cell>
          <cell r="N15" t="str">
            <v>Wet</v>
          </cell>
          <cell r="O15">
            <v>1</v>
          </cell>
          <cell r="P15" t="str">
            <v>APOR</v>
          </cell>
          <cell r="Q15">
            <v>6.5</v>
          </cell>
          <cell r="R15">
            <v>8.5</v>
          </cell>
          <cell r="S15">
            <v>5</v>
          </cell>
          <cell r="U15" t="str">
            <v>Owner Occupied</v>
          </cell>
          <cell r="V15" t="str">
            <v>Purchase, Rate-Term, Cash-Out</v>
          </cell>
          <cell r="X15" t="str">
            <v>Y</v>
          </cell>
          <cell r="AF15" t="str">
            <v>Yes</v>
          </cell>
        </row>
        <row r="16">
          <cell r="A16" t="str">
            <v>ID</v>
          </cell>
          <cell r="B16" t="str">
            <v>Non-CA</v>
          </cell>
          <cell r="C16" t="str">
            <v>Y</v>
          </cell>
          <cell r="D16" t="str">
            <v>Y</v>
          </cell>
          <cell r="E16" t="str">
            <v xml:space="preserve"> </v>
          </cell>
          <cell r="F16"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16" t="str">
            <v>Prepay only available on Business Purpose Loans</v>
          </cell>
          <cell r="H16" t="str">
            <v>Idaho</v>
          </cell>
          <cell r="I16" t="str">
            <v>Y</v>
          </cell>
          <cell r="J16" t="str">
            <v>Y</v>
          </cell>
          <cell r="K16" t="str">
            <v>N</v>
          </cell>
          <cell r="L16" t="str">
            <v>Y</v>
          </cell>
          <cell r="M16" t="str">
            <v xml:space="preserve"> </v>
          </cell>
          <cell r="N16" t="str">
            <v>Dry</v>
          </cell>
          <cell r="O16">
            <v>1</v>
          </cell>
          <cell r="P16" t="str">
            <v>APOR</v>
          </cell>
          <cell r="Q16">
            <v>6.5</v>
          </cell>
          <cell r="R16">
            <v>8.5</v>
          </cell>
          <cell r="S16">
            <v>5</v>
          </cell>
          <cell r="U16" t="str">
            <v>Owner Occupied</v>
          </cell>
          <cell r="V16" t="str">
            <v>Purchase, Rate-Term, Cash-Out</v>
          </cell>
          <cell r="X16" t="str">
            <v>Y</v>
          </cell>
          <cell r="AF16" t="str">
            <v>Yes</v>
          </cell>
        </row>
        <row r="17">
          <cell r="A17" t="str">
            <v>IL</v>
          </cell>
          <cell r="B17" t="str">
            <v>Non-CA</v>
          </cell>
          <cell r="C17" t="str">
            <v>Y</v>
          </cell>
          <cell r="D17" t="str">
            <v>Y</v>
          </cell>
          <cell r="E17" t="str">
            <v xml:space="preserve"> </v>
          </cell>
          <cell r="F17"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17" t="str">
            <v>Prepay Restriction May Apply: Borrower must be corporation if APR is &gt; 8%.  Prepay only available on Business Purpose Loans</v>
          </cell>
          <cell r="H17" t="str">
            <v>Illinois</v>
          </cell>
          <cell r="I17" t="str">
            <v>Y</v>
          </cell>
          <cell r="J17" t="str">
            <v>Y</v>
          </cell>
          <cell r="K17" t="str">
            <v>N</v>
          </cell>
          <cell r="L17" t="str">
            <v>Y</v>
          </cell>
          <cell r="M17" t="str">
            <v xml:space="preserve"> </v>
          </cell>
          <cell r="N17" t="str">
            <v>Wet</v>
          </cell>
          <cell r="O17">
            <v>1</v>
          </cell>
          <cell r="P17" t="str">
            <v>APOR</v>
          </cell>
          <cell r="Q17">
            <v>6</v>
          </cell>
          <cell r="R17">
            <v>8</v>
          </cell>
          <cell r="S17">
            <v>5</v>
          </cell>
          <cell r="U17" t="str">
            <v>Owner Occupied</v>
          </cell>
          <cell r="V17" t="str">
            <v>Purchase, Rate-Term, Cash-Out</v>
          </cell>
          <cell r="W17" t="str">
            <v>Additional Local High Cost Ordinances</v>
          </cell>
          <cell r="X17" t="str">
            <v>N</v>
          </cell>
          <cell r="AF17" t="str">
            <v>Yes</v>
          </cell>
        </row>
        <row r="18">
          <cell r="A18" t="str">
            <v>IN</v>
          </cell>
          <cell r="B18" t="str">
            <v>Non-CA</v>
          </cell>
          <cell r="C18" t="str">
            <v>Y</v>
          </cell>
          <cell r="D18" t="str">
            <v>Y</v>
          </cell>
          <cell r="E18" t="str">
            <v xml:space="preserve"> </v>
          </cell>
          <cell r="F18"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18" t="str">
            <v>Prepay only available on Business Purpose Loans</v>
          </cell>
          <cell r="H18" t="str">
            <v>Indiana</v>
          </cell>
          <cell r="I18" t="str">
            <v>Y</v>
          </cell>
          <cell r="J18" t="str">
            <v>Y</v>
          </cell>
          <cell r="K18" t="str">
            <v>N</v>
          </cell>
          <cell r="L18" t="str">
            <v>Y</v>
          </cell>
          <cell r="M18" t="str">
            <v xml:space="preserve"> </v>
          </cell>
          <cell r="N18" t="str">
            <v>Wet</v>
          </cell>
          <cell r="O18">
            <v>1</v>
          </cell>
          <cell r="P18" t="str">
            <v>APOR</v>
          </cell>
          <cell r="Q18">
            <v>6.5</v>
          </cell>
          <cell r="R18">
            <v>8.5</v>
          </cell>
          <cell r="S18">
            <v>5</v>
          </cell>
          <cell r="U18" t="str">
            <v>Owner Occupied</v>
          </cell>
          <cell r="V18" t="str">
            <v>Purchase, Rate-Term, Cash-Out</v>
          </cell>
          <cell r="X18" t="str">
            <v>Y</v>
          </cell>
          <cell r="AF18" t="str">
            <v>Yes</v>
          </cell>
        </row>
        <row r="19">
          <cell r="A19" t="str">
            <v>KS</v>
          </cell>
          <cell r="B19" t="str">
            <v>Non-CA</v>
          </cell>
          <cell r="C19" t="str">
            <v>Y</v>
          </cell>
          <cell r="D19" t="str">
            <v>Y</v>
          </cell>
          <cell r="E19" t="str">
            <v xml:space="preserve"> </v>
          </cell>
          <cell r="F19" t="str">
            <v>No Prepay</v>
          </cell>
          <cell r="G19" t="str">
            <v>Prepay Restriction May Apply.  Prepay only available on Business Purpose Loans</v>
          </cell>
          <cell r="H19" t="str">
            <v>Kansas</v>
          </cell>
          <cell r="I19" t="str">
            <v>Y</v>
          </cell>
          <cell r="J19" t="str">
            <v>Y</v>
          </cell>
          <cell r="K19" t="str">
            <v>N</v>
          </cell>
          <cell r="L19" t="str">
            <v>Y</v>
          </cell>
          <cell r="M19" t="str">
            <v xml:space="preserve"> </v>
          </cell>
          <cell r="N19" t="str">
            <v>Wet</v>
          </cell>
          <cell r="O19">
            <v>1</v>
          </cell>
          <cell r="P19" t="str">
            <v>APOR</v>
          </cell>
          <cell r="Q19">
            <v>6.5</v>
          </cell>
          <cell r="R19">
            <v>8.5</v>
          </cell>
          <cell r="S19">
            <v>5</v>
          </cell>
          <cell r="U19" t="str">
            <v>Owner Occupied</v>
          </cell>
          <cell r="V19" t="str">
            <v>Purchase, Rate-Term, Cash-Out</v>
          </cell>
          <cell r="X19" t="str">
            <v>Y</v>
          </cell>
          <cell r="AF19" t="str">
            <v>Yes</v>
          </cell>
        </row>
        <row r="20">
          <cell r="A20" t="str">
            <v>KY</v>
          </cell>
          <cell r="B20" t="str">
            <v>Non-CA</v>
          </cell>
          <cell r="C20" t="str">
            <v>Y</v>
          </cell>
          <cell r="D20" t="str">
            <v>Y</v>
          </cell>
          <cell r="E20" t="str">
            <v xml:space="preserve"> </v>
          </cell>
          <cell r="F20"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20" t="str">
            <v>Prepay only available on Business Purpose Loans</v>
          </cell>
          <cell r="H20" t="str">
            <v>Kentucky</v>
          </cell>
          <cell r="I20" t="str">
            <v>Y</v>
          </cell>
          <cell r="J20" t="str">
            <v>Y</v>
          </cell>
          <cell r="K20" t="str">
            <v>N</v>
          </cell>
          <cell r="L20" t="str">
            <v>Y</v>
          </cell>
          <cell r="M20" t="str">
            <v xml:space="preserve"> </v>
          </cell>
          <cell r="N20" t="str">
            <v>Wet</v>
          </cell>
          <cell r="O20">
            <v>1</v>
          </cell>
          <cell r="P20" t="str">
            <v>APOR</v>
          </cell>
          <cell r="Q20">
            <v>6.5</v>
          </cell>
          <cell r="R20">
            <v>8.5</v>
          </cell>
          <cell r="S20">
            <v>6</v>
          </cell>
          <cell r="T20">
            <v>200001</v>
          </cell>
          <cell r="U20" t="str">
            <v>Owner Occupied</v>
          </cell>
          <cell r="V20" t="str">
            <v>Purchase, Rate-Term, Cash-Out</v>
          </cell>
          <cell r="X20" t="str">
            <v>Y</v>
          </cell>
          <cell r="AF20" t="str">
            <v>Yes</v>
          </cell>
        </row>
        <row r="21">
          <cell r="A21" t="str">
            <v>LA</v>
          </cell>
          <cell r="B21" t="str">
            <v>Non-CA</v>
          </cell>
          <cell r="C21" t="str">
            <v>Y</v>
          </cell>
          <cell r="D21" t="str">
            <v>Y</v>
          </cell>
          <cell r="E21" t="str">
            <v xml:space="preserve"> </v>
          </cell>
          <cell r="F21"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21" t="str">
            <v>Prepay only available on Business Purpose Loans</v>
          </cell>
          <cell r="H21" t="str">
            <v>Louisiana</v>
          </cell>
          <cell r="I21" t="str">
            <v>Y</v>
          </cell>
          <cell r="J21" t="str">
            <v>Y</v>
          </cell>
          <cell r="K21" t="str">
            <v>N</v>
          </cell>
          <cell r="L21" t="str">
            <v>Y</v>
          </cell>
          <cell r="M21" t="str">
            <v xml:space="preserve"> </v>
          </cell>
          <cell r="N21" t="str">
            <v>Wet</v>
          </cell>
          <cell r="O21">
            <v>1</v>
          </cell>
          <cell r="P21" t="str">
            <v>APOR</v>
          </cell>
          <cell r="Q21">
            <v>6.5</v>
          </cell>
          <cell r="R21">
            <v>8.5</v>
          </cell>
          <cell r="S21">
            <v>5</v>
          </cell>
          <cell r="U21" t="str">
            <v>Owner Occupied</v>
          </cell>
          <cell r="V21" t="str">
            <v>Purchase, Rate-Term, Cash-Out</v>
          </cell>
          <cell r="X21" t="str">
            <v>Y</v>
          </cell>
          <cell r="AF21" t="str">
            <v>Yes</v>
          </cell>
        </row>
        <row r="22">
          <cell r="A22" t="str">
            <v>MA</v>
          </cell>
          <cell r="B22" t="str">
            <v>Non-CA</v>
          </cell>
          <cell r="C22" t="str">
            <v>Y</v>
          </cell>
          <cell r="D22" t="str">
            <v>Y</v>
          </cell>
          <cell r="E22" t="str">
            <v xml:space="preserve"> </v>
          </cell>
          <cell r="F22"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22" t="str">
            <v>Prepay only available on Business Purpose Loans</v>
          </cell>
          <cell r="H22" t="str">
            <v>Massachusetts</v>
          </cell>
          <cell r="I22" t="str">
            <v>N</v>
          </cell>
          <cell r="J22" t="str">
            <v>Y</v>
          </cell>
          <cell r="K22" t="str">
            <v>N</v>
          </cell>
          <cell r="L22" t="str">
            <v>Y</v>
          </cell>
          <cell r="M22" t="str">
            <v xml:space="preserve"> </v>
          </cell>
          <cell r="N22" t="str">
            <v>Wet</v>
          </cell>
          <cell r="O22">
            <v>1</v>
          </cell>
          <cell r="P22" t="str">
            <v>Treasury</v>
          </cell>
          <cell r="Q22">
            <v>8</v>
          </cell>
          <cell r="R22">
            <v>9</v>
          </cell>
          <cell r="S22">
            <v>5</v>
          </cell>
          <cell r="U22" t="str">
            <v>Owner Occupied</v>
          </cell>
          <cell r="V22" t="str">
            <v>Purchase, Rate-Term, Cash-Out</v>
          </cell>
          <cell r="X22" t="str">
            <v>N</v>
          </cell>
          <cell r="AF22" t="str">
            <v>Yes</v>
          </cell>
        </row>
        <row r="23">
          <cell r="A23" t="str">
            <v>MD</v>
          </cell>
          <cell r="B23" t="str">
            <v>Non-CA</v>
          </cell>
          <cell r="C23" t="str">
            <v>Y</v>
          </cell>
          <cell r="D23" t="str">
            <v>Y</v>
          </cell>
          <cell r="E23" t="str">
            <v xml:space="preserve"> </v>
          </cell>
          <cell r="F23" t="str">
            <v>No Prepay, 1yr Prepay_Standard, 2yr Prepay_Standard, 3yr Prepay_Standard, 1yr Prepay_5Pct, 2yr Prepay_5Pct, 3yr Prepay_5Pct, 1yr Prepay_3Pct, 2yr Prepay_3Pct, 3yr Prepay_3Pct, 1yr Prepay_1, 2yr Prepay_21, 3yr Prepay_321</v>
          </cell>
          <cell r="G23" t="str">
            <v>Prepay Restriction May Apply.  Prepay only available on Business Purpose Loans</v>
          </cell>
          <cell r="H23" t="str">
            <v>Maryland</v>
          </cell>
          <cell r="I23" t="str">
            <v>Y</v>
          </cell>
          <cell r="J23" t="str">
            <v>Y</v>
          </cell>
          <cell r="K23" t="str">
            <v>N</v>
          </cell>
          <cell r="L23" t="str">
            <v>Y</v>
          </cell>
          <cell r="M23" t="str">
            <v xml:space="preserve"> </v>
          </cell>
          <cell r="N23" t="str">
            <v>Wet</v>
          </cell>
          <cell r="O23">
            <v>1</v>
          </cell>
          <cell r="P23" t="str">
            <v>APOR</v>
          </cell>
          <cell r="Q23">
            <v>6.5</v>
          </cell>
          <cell r="R23">
            <v>7.5</v>
          </cell>
          <cell r="S23">
            <v>4</v>
          </cell>
          <cell r="U23" t="str">
            <v>Owner Occupied, Second Home</v>
          </cell>
          <cell r="V23" t="str">
            <v>Purchase, Rate-Term, Cash-Out</v>
          </cell>
          <cell r="X23" t="str">
            <v>N</v>
          </cell>
          <cell r="AF23" t="str">
            <v>Yes</v>
          </cell>
        </row>
        <row r="24">
          <cell r="A24" t="str">
            <v>ME</v>
          </cell>
          <cell r="B24" t="str">
            <v>Non-CA</v>
          </cell>
          <cell r="C24" t="str">
            <v>Y</v>
          </cell>
          <cell r="D24" t="str">
            <v>Y</v>
          </cell>
          <cell r="E24" t="str">
            <v xml:space="preserve"> </v>
          </cell>
          <cell r="F24"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24" t="str">
            <v>Prepay only available on Business Purpose Loans</v>
          </cell>
          <cell r="H24" t="str">
            <v>Maine</v>
          </cell>
          <cell r="I24" t="str">
            <v>Y</v>
          </cell>
          <cell r="J24" t="str">
            <v>Y</v>
          </cell>
          <cell r="K24" t="str">
            <v>N</v>
          </cell>
          <cell r="L24" t="str">
            <v>Y</v>
          </cell>
          <cell r="M24" t="str">
            <v xml:space="preserve"> </v>
          </cell>
          <cell r="N24" t="str">
            <v>Wet</v>
          </cell>
          <cell r="O24">
            <v>1</v>
          </cell>
          <cell r="P24" t="str">
            <v>APOR</v>
          </cell>
          <cell r="Q24">
            <v>6.5</v>
          </cell>
          <cell r="R24">
            <v>8.5</v>
          </cell>
          <cell r="S24">
            <v>5</v>
          </cell>
          <cell r="T24" t="str">
            <v>Agency</v>
          </cell>
          <cell r="U24" t="str">
            <v>Owner Occupied</v>
          </cell>
          <cell r="V24" t="str">
            <v>Purchase, Rate-Term, Cash-Out</v>
          </cell>
          <cell r="X24" t="str">
            <v>N</v>
          </cell>
          <cell r="AF24" t="str">
            <v>Yes</v>
          </cell>
        </row>
        <row r="25">
          <cell r="A25" t="str">
            <v>MI</v>
          </cell>
          <cell r="B25" t="str">
            <v>Non-CA</v>
          </cell>
          <cell r="C25" t="str">
            <v>Y</v>
          </cell>
          <cell r="D25" t="str">
            <v>Y</v>
          </cell>
          <cell r="E25" t="str">
            <v xml:space="preserve"> </v>
          </cell>
          <cell r="F25" t="str">
            <v>No Prepay, 1yr Prepay_Standard, 2yr Prepay_Standard, 3yr Prepay_Standard, 1yr Prepay_1</v>
          </cell>
          <cell r="G25" t="str">
            <v>Prepay Restriction May Apply.  Prepay only available on Business Purpose Loans</v>
          </cell>
          <cell r="H25" t="str">
            <v>Michigan</v>
          </cell>
          <cell r="I25" t="str">
            <v>Y</v>
          </cell>
          <cell r="J25" t="str">
            <v>Y</v>
          </cell>
          <cell r="K25" t="str">
            <v>N</v>
          </cell>
          <cell r="L25" t="str">
            <v>Y</v>
          </cell>
          <cell r="M25" t="str">
            <v xml:space="preserve"> </v>
          </cell>
          <cell r="N25" t="str">
            <v>Wet</v>
          </cell>
          <cell r="O25">
            <v>1</v>
          </cell>
          <cell r="P25" t="str">
            <v>APOR</v>
          </cell>
          <cell r="Q25">
            <v>6.5</v>
          </cell>
          <cell r="R25">
            <v>8.5</v>
          </cell>
          <cell r="S25">
            <v>5</v>
          </cell>
          <cell r="U25" t="str">
            <v>Owner Occupied</v>
          </cell>
          <cell r="V25" t="str">
            <v>Purchase, Rate-Term, Cash-Out</v>
          </cell>
          <cell r="X25" t="str">
            <v>Y</v>
          </cell>
          <cell r="AF25" t="str">
            <v>Yes</v>
          </cell>
        </row>
        <row r="26">
          <cell r="A26" t="str">
            <v>MN</v>
          </cell>
          <cell r="B26" t="str">
            <v>Non-CA</v>
          </cell>
          <cell r="C26" t="str">
            <v>Y</v>
          </cell>
          <cell r="D26" t="str">
            <v>Y</v>
          </cell>
          <cell r="E26" t="str">
            <v xml:space="preserve"> </v>
          </cell>
          <cell r="F26" t="str">
            <v>No Prepay, 1yr Prepay_Standard, 2yr Prepay_Standard, 3yr Prepay_Standard, 1yr Prepay_1, 2yr Prepay_21, 3yr Prepay_321</v>
          </cell>
          <cell r="G26" t="str">
            <v>Prepay Restriction May Apply: PPP restrictions only apply to loans within conforming limits.  Prepay only available on Business Purpose Loans</v>
          </cell>
          <cell r="H26" t="str">
            <v>Minnesota</v>
          </cell>
          <cell r="I26" t="str">
            <v>Y</v>
          </cell>
          <cell r="J26" t="str">
            <v>Y</v>
          </cell>
          <cell r="K26" t="str">
            <v>N</v>
          </cell>
          <cell r="L26" t="str">
            <v>N</v>
          </cell>
          <cell r="M26" t="str">
            <v xml:space="preserve"> </v>
          </cell>
          <cell r="N26" t="str">
            <v>Wet</v>
          </cell>
          <cell r="O26">
            <v>1</v>
          </cell>
          <cell r="P26" t="str">
            <v>APOR</v>
          </cell>
          <cell r="Q26">
            <v>6.5</v>
          </cell>
          <cell r="R26">
            <v>8.5</v>
          </cell>
          <cell r="S26">
            <v>5</v>
          </cell>
          <cell r="U26" t="str">
            <v>Owner Occupied</v>
          </cell>
          <cell r="V26" t="str">
            <v>Purchase, Rate-Term, Cash-Out</v>
          </cell>
          <cell r="X26" t="str">
            <v>Y</v>
          </cell>
          <cell r="AF26" t="str">
            <v>Yes</v>
          </cell>
        </row>
        <row r="27">
          <cell r="A27" t="str">
            <v>MO</v>
          </cell>
          <cell r="B27" t="str">
            <v>Non-CA</v>
          </cell>
          <cell r="C27" t="str">
            <v>Y</v>
          </cell>
          <cell r="D27" t="str">
            <v>Y</v>
          </cell>
          <cell r="E27" t="str">
            <v xml:space="preserve"> </v>
          </cell>
          <cell r="F27"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27" t="str">
            <v>Prepay only available on Business Purpose Loans</v>
          </cell>
          <cell r="H27" t="str">
            <v>Missouri</v>
          </cell>
          <cell r="I27" t="str">
            <v>N</v>
          </cell>
          <cell r="J27" t="str">
            <v>Y</v>
          </cell>
          <cell r="K27" t="str">
            <v>N</v>
          </cell>
          <cell r="L27" t="str">
            <v>Y</v>
          </cell>
          <cell r="M27" t="str">
            <v xml:space="preserve"> </v>
          </cell>
          <cell r="N27" t="str">
            <v>Wet</v>
          </cell>
          <cell r="O27">
            <v>1</v>
          </cell>
          <cell r="P27" t="str">
            <v>APOR</v>
          </cell>
          <cell r="Q27">
            <v>6.5</v>
          </cell>
          <cell r="R27">
            <v>8.5</v>
          </cell>
          <cell r="S27">
            <v>5</v>
          </cell>
          <cell r="U27" t="str">
            <v>Owner Occupied</v>
          </cell>
          <cell r="V27" t="str">
            <v>Purchase, Rate-Term, Cash-Out</v>
          </cell>
          <cell r="X27" t="str">
            <v>Y</v>
          </cell>
          <cell r="AF27" t="str">
            <v>Yes</v>
          </cell>
        </row>
        <row r="28">
          <cell r="A28" t="str">
            <v>MS</v>
          </cell>
          <cell r="B28" t="str">
            <v>Non-CA</v>
          </cell>
          <cell r="C28" t="str">
            <v>Y</v>
          </cell>
          <cell r="D28" t="str">
            <v>Y</v>
          </cell>
          <cell r="E28" t="str">
            <v xml:space="preserve"> </v>
          </cell>
          <cell r="F28" t="str">
            <v>No Prepay, 1yr Prepay_Standard, 2yr Prepay_Standard, 3yr Prepay_Standard, 4yr Prepay_Standard, 5yr Prepay_Standard, 1yr Prepay_1, 2yr Prepay_21, 3yr Prepay_321, 4yr Prepay_4321, 5yr Prepay_54321</v>
          </cell>
          <cell r="G28" t="str">
            <v>Prepay Restriction May Apply.  Prepay only available on Business Purpose Loans</v>
          </cell>
          <cell r="H28" t="str">
            <v>Mississippi</v>
          </cell>
          <cell r="I28" t="str">
            <v>Y</v>
          </cell>
          <cell r="J28" t="str">
            <v>Y</v>
          </cell>
          <cell r="K28" t="str">
            <v>N</v>
          </cell>
          <cell r="L28" t="str">
            <v>Y</v>
          </cell>
          <cell r="M28" t="str">
            <v xml:space="preserve"> </v>
          </cell>
          <cell r="N28" t="str">
            <v>Wet</v>
          </cell>
          <cell r="O28">
            <v>1</v>
          </cell>
          <cell r="P28" t="str">
            <v>APOR</v>
          </cell>
          <cell r="Q28">
            <v>6.5</v>
          </cell>
          <cell r="R28">
            <v>8.5</v>
          </cell>
          <cell r="S28">
            <v>5</v>
          </cell>
          <cell r="U28" t="str">
            <v>Owner Occupied</v>
          </cell>
          <cell r="V28" t="str">
            <v>Purchase, Rate-Term, Cash-Out</v>
          </cell>
          <cell r="X28" t="str">
            <v>Y</v>
          </cell>
          <cell r="AF28" t="str">
            <v>Yes</v>
          </cell>
        </row>
        <row r="29">
          <cell r="A29" t="str">
            <v>MT</v>
          </cell>
          <cell r="B29" t="str">
            <v>Non-CA</v>
          </cell>
          <cell r="C29" t="str">
            <v>Y</v>
          </cell>
          <cell r="D29" t="str">
            <v>Y</v>
          </cell>
          <cell r="E29" t="str">
            <v xml:space="preserve"> </v>
          </cell>
          <cell r="F29"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29" t="str">
            <v>Prepay only available on Business Purpose Loans</v>
          </cell>
          <cell r="H29" t="str">
            <v>Montana</v>
          </cell>
          <cell r="I29" t="str">
            <v>Y</v>
          </cell>
          <cell r="J29" t="str">
            <v>Y</v>
          </cell>
          <cell r="K29" t="str">
            <v>N</v>
          </cell>
          <cell r="L29" t="str">
            <v>Y</v>
          </cell>
          <cell r="M29" t="str">
            <v xml:space="preserve"> </v>
          </cell>
          <cell r="N29" t="str">
            <v>Wet</v>
          </cell>
          <cell r="O29">
            <v>1</v>
          </cell>
          <cell r="P29" t="str">
            <v>APOR</v>
          </cell>
          <cell r="Q29">
            <v>6.5</v>
          </cell>
          <cell r="R29">
            <v>8.5</v>
          </cell>
          <cell r="S29">
            <v>5</v>
          </cell>
          <cell r="U29" t="str">
            <v>Owner Occupied</v>
          </cell>
          <cell r="V29" t="str">
            <v>Purchase, Rate-Term, Cash-Out</v>
          </cell>
          <cell r="X29" t="str">
            <v>Y</v>
          </cell>
          <cell r="AF29" t="str">
            <v>Yes</v>
          </cell>
        </row>
        <row r="30">
          <cell r="A30" t="str">
            <v>NC</v>
          </cell>
          <cell r="B30" t="str">
            <v>Non-CA</v>
          </cell>
          <cell r="C30" t="str">
            <v>Y</v>
          </cell>
          <cell r="D30" t="str">
            <v>Y</v>
          </cell>
          <cell r="E30" t="str">
            <v xml:space="preserve"> </v>
          </cell>
          <cell r="F30"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30" t="str">
            <v>Prepay only available on Business Purpose Loans</v>
          </cell>
          <cell r="H30" t="str">
            <v>NorthCarolina</v>
          </cell>
          <cell r="I30" t="str">
            <v>Y</v>
          </cell>
          <cell r="J30" t="str">
            <v>Y</v>
          </cell>
          <cell r="K30" t="str">
            <v>Y</v>
          </cell>
          <cell r="L30" t="str">
            <v>Y</v>
          </cell>
          <cell r="M30" t="str">
            <v xml:space="preserve"> </v>
          </cell>
          <cell r="N30" t="str">
            <v>Wet</v>
          </cell>
          <cell r="O30">
            <v>1</v>
          </cell>
          <cell r="P30" t="str">
            <v>APOR</v>
          </cell>
          <cell r="Q30">
            <v>6.5</v>
          </cell>
          <cell r="R30">
            <v>8.5</v>
          </cell>
          <cell r="S30">
            <v>5</v>
          </cell>
          <cell r="T30">
            <v>300000</v>
          </cell>
          <cell r="U30" t="str">
            <v>Owner Occupied</v>
          </cell>
          <cell r="V30" t="str">
            <v>Purchase, Rate-Term, Cash-Out</v>
          </cell>
          <cell r="X30" t="str">
            <v>N</v>
          </cell>
          <cell r="AF30" t="str">
            <v>Yes</v>
          </cell>
        </row>
        <row r="31">
          <cell r="A31" t="str">
            <v>ND</v>
          </cell>
          <cell r="B31" t="str">
            <v>Non-CA</v>
          </cell>
          <cell r="C31" t="str">
            <v>Y</v>
          </cell>
          <cell r="D31" t="str">
            <v>Y</v>
          </cell>
          <cell r="E31" t="str">
            <v xml:space="preserve"> </v>
          </cell>
          <cell r="F31"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31" t="str">
            <v>Prepay only available on Business Purpose Loans</v>
          </cell>
          <cell r="H31" t="str">
            <v>NorthDakota</v>
          </cell>
          <cell r="I31" t="str">
            <v>Y</v>
          </cell>
          <cell r="J31" t="str">
            <v>Y</v>
          </cell>
          <cell r="K31" t="str">
            <v>N</v>
          </cell>
          <cell r="L31" t="str">
            <v>N</v>
          </cell>
          <cell r="M31" t="str">
            <v xml:space="preserve"> </v>
          </cell>
          <cell r="N31" t="str">
            <v>Wet</v>
          </cell>
          <cell r="O31">
            <v>1</v>
          </cell>
          <cell r="P31" t="str">
            <v>APOR</v>
          </cell>
          <cell r="Q31">
            <v>6.5</v>
          </cell>
          <cell r="R31">
            <v>8.5</v>
          </cell>
          <cell r="S31">
            <v>5</v>
          </cell>
          <cell r="U31" t="str">
            <v>Owner Occupied</v>
          </cell>
          <cell r="V31" t="str">
            <v>Purchase, Rate-Term, Cash-Out</v>
          </cell>
          <cell r="X31" t="str">
            <v>Y</v>
          </cell>
          <cell r="AF31" t="str">
            <v>Yes</v>
          </cell>
        </row>
        <row r="32">
          <cell r="A32" t="str">
            <v>NE</v>
          </cell>
          <cell r="B32" t="str">
            <v>Non-CA</v>
          </cell>
          <cell r="C32" t="str">
            <v>Y</v>
          </cell>
          <cell r="D32" t="str">
            <v>Y</v>
          </cell>
          <cell r="E32" t="str">
            <v xml:space="preserve"> </v>
          </cell>
          <cell r="F32"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32" t="str">
            <v>Prepay only available on Business Purpose Loans</v>
          </cell>
          <cell r="H32" t="str">
            <v>Nebraska</v>
          </cell>
          <cell r="I32" t="str">
            <v>Y</v>
          </cell>
          <cell r="J32" t="str">
            <v>Y</v>
          </cell>
          <cell r="K32" t="str">
            <v>N</v>
          </cell>
          <cell r="L32" t="str">
            <v>Y</v>
          </cell>
          <cell r="M32" t="str">
            <v xml:space="preserve"> </v>
          </cell>
          <cell r="N32" t="str">
            <v>Wet</v>
          </cell>
          <cell r="O32">
            <v>1</v>
          </cell>
          <cell r="P32" t="str">
            <v>APOR</v>
          </cell>
          <cell r="Q32">
            <v>6.5</v>
          </cell>
          <cell r="R32">
            <v>8.5</v>
          </cell>
          <cell r="S32">
            <v>5</v>
          </cell>
          <cell r="U32" t="str">
            <v>Owner Occupied</v>
          </cell>
          <cell r="V32" t="str">
            <v>Purchase, Rate-Term, Cash-Out</v>
          </cell>
          <cell r="X32" t="str">
            <v>Y</v>
          </cell>
          <cell r="AF32" t="str">
            <v>Yes</v>
          </cell>
        </row>
        <row r="33">
          <cell r="A33" t="str">
            <v>NH</v>
          </cell>
          <cell r="B33" t="str">
            <v>Non-CA</v>
          </cell>
          <cell r="C33" t="str">
            <v>Y</v>
          </cell>
          <cell r="D33" t="str">
            <v>Y</v>
          </cell>
          <cell r="E33" t="str">
            <v xml:space="preserve"> </v>
          </cell>
          <cell r="F33"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33" t="str">
            <v>Prepay only available on Business Purpose Loans</v>
          </cell>
          <cell r="H33" t="str">
            <v>NewHampshire</v>
          </cell>
          <cell r="I33" t="str">
            <v>Y</v>
          </cell>
          <cell r="J33" t="str">
            <v>Y</v>
          </cell>
          <cell r="K33" t="str">
            <v>N</v>
          </cell>
          <cell r="L33" t="str">
            <v>Y</v>
          </cell>
          <cell r="M33" t="str">
            <v xml:space="preserve"> </v>
          </cell>
          <cell r="N33" t="str">
            <v>Wet</v>
          </cell>
          <cell r="O33">
            <v>1</v>
          </cell>
          <cell r="P33" t="str">
            <v>APOR</v>
          </cell>
          <cell r="Q33">
            <v>6.5</v>
          </cell>
          <cell r="R33">
            <v>8.5</v>
          </cell>
          <cell r="S33">
            <v>5</v>
          </cell>
          <cell r="U33" t="str">
            <v>Owner Occupied</v>
          </cell>
          <cell r="V33" t="str">
            <v>Purchase, Rate-Term, Cash-Out</v>
          </cell>
          <cell r="X33" t="str">
            <v>Y</v>
          </cell>
          <cell r="AF33" t="str">
            <v>Yes</v>
          </cell>
        </row>
        <row r="34">
          <cell r="A34" t="str">
            <v>NJ</v>
          </cell>
          <cell r="B34" t="str">
            <v>Non-CA</v>
          </cell>
          <cell r="C34" t="str">
            <v>Y</v>
          </cell>
          <cell r="D34" t="str">
            <v>Y</v>
          </cell>
          <cell r="E34" t="str">
            <v xml:space="preserve"> </v>
          </cell>
          <cell r="F34"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34" t="str">
            <v>Prepay Restriction May Apply: Borrower must be corporation if interest rate is &gt; 6%.  Prepay only available on Business Purpose Loans</v>
          </cell>
          <cell r="H34" t="str">
            <v>NewJersey</v>
          </cell>
          <cell r="I34" t="str">
            <v>Y</v>
          </cell>
          <cell r="J34" t="str">
            <v>Y</v>
          </cell>
          <cell r="K34" t="str">
            <v>N</v>
          </cell>
          <cell r="L34" t="str">
            <v>Y</v>
          </cell>
          <cell r="M34" t="str">
            <v xml:space="preserve"> </v>
          </cell>
          <cell r="N34" t="str">
            <v>Wet</v>
          </cell>
          <cell r="O34">
            <v>1</v>
          </cell>
          <cell r="P34" t="str">
            <v>APOR</v>
          </cell>
          <cell r="Q34">
            <v>6.5</v>
          </cell>
          <cell r="R34">
            <v>8.5</v>
          </cell>
          <cell r="S34">
            <v>4.5</v>
          </cell>
          <cell r="T34">
            <v>513000</v>
          </cell>
          <cell r="U34" t="str">
            <v>Owner Occupied</v>
          </cell>
          <cell r="V34" t="str">
            <v>Purchase, Rate-Term, Cash-Out</v>
          </cell>
          <cell r="X34" t="str">
            <v>N</v>
          </cell>
          <cell r="AF34" t="str">
            <v>Yes</v>
          </cell>
        </row>
        <row r="35">
          <cell r="A35" t="str">
            <v>NM</v>
          </cell>
          <cell r="B35" t="str">
            <v>Non-CA</v>
          </cell>
          <cell r="C35" t="str">
            <v>Y</v>
          </cell>
          <cell r="D35" t="str">
            <v>Y</v>
          </cell>
          <cell r="E35" t="str">
            <v xml:space="preserve"> </v>
          </cell>
          <cell r="F35" t="str">
            <v>No Prepay</v>
          </cell>
          <cell r="G35" t="str">
            <v>No Prepay Allowed</v>
          </cell>
          <cell r="H35" t="str">
            <v>NewMexico</v>
          </cell>
          <cell r="I35" t="str">
            <v>Y</v>
          </cell>
          <cell r="J35" t="str">
            <v>Y</v>
          </cell>
          <cell r="K35" t="str">
            <v>N</v>
          </cell>
          <cell r="L35" t="str">
            <v>Y</v>
          </cell>
          <cell r="M35" t="str">
            <v xml:space="preserve"> </v>
          </cell>
          <cell r="N35" t="str">
            <v>Dry</v>
          </cell>
          <cell r="O35">
            <v>1</v>
          </cell>
          <cell r="P35" t="str">
            <v>Treasury</v>
          </cell>
          <cell r="Q35">
            <v>7</v>
          </cell>
          <cell r="R35">
            <v>9</v>
          </cell>
          <cell r="S35">
            <v>5</v>
          </cell>
          <cell r="T35" t="str">
            <v>Agency</v>
          </cell>
          <cell r="U35" t="str">
            <v>Owner Occupied</v>
          </cell>
          <cell r="V35" t="str">
            <v>Purchase, Rate-Term, Cash-Out</v>
          </cell>
          <cell r="X35" t="str">
            <v>N</v>
          </cell>
          <cell r="AF35" t="str">
            <v>No</v>
          </cell>
        </row>
        <row r="36">
          <cell r="A36" t="str">
            <v>NV</v>
          </cell>
          <cell r="B36" t="str">
            <v>Non-CA</v>
          </cell>
          <cell r="C36" t="str">
            <v>Y</v>
          </cell>
          <cell r="D36" t="str">
            <v>Y</v>
          </cell>
          <cell r="E36" t="str">
            <v xml:space="preserve"> </v>
          </cell>
          <cell r="F36"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36" t="str">
            <v>Prepay only available on Business Purpose Loans</v>
          </cell>
          <cell r="H36" t="str">
            <v>Nevada</v>
          </cell>
          <cell r="I36" t="str">
            <v>Y</v>
          </cell>
          <cell r="J36" t="str">
            <v>Y</v>
          </cell>
          <cell r="K36" t="str">
            <v>N</v>
          </cell>
          <cell r="L36" t="str">
            <v>N</v>
          </cell>
          <cell r="M36" t="str">
            <v xml:space="preserve"> </v>
          </cell>
          <cell r="N36" t="str">
            <v>Dry</v>
          </cell>
          <cell r="O36">
            <v>1</v>
          </cell>
          <cell r="P36" t="str">
            <v>APOR</v>
          </cell>
          <cell r="Q36">
            <v>6.5</v>
          </cell>
          <cell r="R36">
            <v>8.5</v>
          </cell>
          <cell r="S36">
            <v>5</v>
          </cell>
          <cell r="U36" t="str">
            <v>Owner Occupied</v>
          </cell>
          <cell r="V36" t="str">
            <v>Purchase, Rate-Term, Cash-Out</v>
          </cell>
          <cell r="X36" t="str">
            <v>N</v>
          </cell>
          <cell r="AF36" t="str">
            <v>Yes</v>
          </cell>
        </row>
        <row r="37">
          <cell r="A37" t="str">
            <v>NY</v>
          </cell>
          <cell r="B37" t="str">
            <v>Non-CA</v>
          </cell>
          <cell r="C37" t="str">
            <v>Y</v>
          </cell>
          <cell r="D37" t="str">
            <v>Y</v>
          </cell>
          <cell r="E37" t="str">
            <v>No IO when using CEMA</v>
          </cell>
          <cell r="F37"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37" t="str">
            <v>Prepay only available on Business Purpose Loans</v>
          </cell>
          <cell r="H37" t="str">
            <v>NewYork</v>
          </cell>
          <cell r="I37" t="str">
            <v>N</v>
          </cell>
          <cell r="J37" t="str">
            <v>N</v>
          </cell>
          <cell r="K37" t="str">
            <v>N</v>
          </cell>
          <cell r="L37" t="str">
            <v>N</v>
          </cell>
          <cell r="M37" t="str">
            <v xml:space="preserve"> </v>
          </cell>
          <cell r="N37" t="str">
            <v>Wet</v>
          </cell>
          <cell r="O37">
            <v>1</v>
          </cell>
          <cell r="P37" t="str">
            <v>Treasury</v>
          </cell>
          <cell r="Q37">
            <v>8</v>
          </cell>
          <cell r="R37">
            <v>9</v>
          </cell>
          <cell r="S37">
            <v>5</v>
          </cell>
          <cell r="T37" t="str">
            <v>Agency</v>
          </cell>
          <cell r="U37" t="str">
            <v>Owner Occupied</v>
          </cell>
          <cell r="V37" t="str">
            <v>Purchase, Rate-Term, Cash-Out</v>
          </cell>
          <cell r="W37" t="str">
            <v>New York City (Treas + 6, 8) 4% Pts/Fees</v>
          </cell>
          <cell r="X37" t="str">
            <v>N</v>
          </cell>
          <cell r="AF37" t="str">
            <v>Yes</v>
          </cell>
        </row>
        <row r="38">
          <cell r="A38" t="str">
            <v>OH</v>
          </cell>
          <cell r="B38" t="str">
            <v>Non-CA</v>
          </cell>
          <cell r="C38" t="str">
            <v>Y</v>
          </cell>
          <cell r="D38" t="str">
            <v>Y</v>
          </cell>
          <cell r="E38" t="str">
            <v xml:space="preserve"> </v>
          </cell>
          <cell r="F38" t="str">
            <v>No Prepay, 1yr Prepay_Standard, 2yr Prepay_Standard, 3yr Prepay_Standard, 4yr Prepay_Standard, 5yr Prepay_Standard, 1yr Prepay_1</v>
          </cell>
          <cell r="G38" t="str">
            <v>Prepay Restriction May Apply: Max prepay of 1%; Prepay not permitted for loans less than $110,223 in 2024.  Prepay only available on Business Purpose Loans</v>
          </cell>
          <cell r="H38" t="str">
            <v>Ohio</v>
          </cell>
          <cell r="I38" t="str">
            <v>Y</v>
          </cell>
          <cell r="J38" t="str">
            <v>Y</v>
          </cell>
          <cell r="K38" t="str">
            <v>N</v>
          </cell>
          <cell r="L38" t="str">
            <v>Y</v>
          </cell>
          <cell r="M38" t="str">
            <v xml:space="preserve"> </v>
          </cell>
          <cell r="N38" t="str">
            <v>Wet</v>
          </cell>
          <cell r="O38">
            <v>1</v>
          </cell>
          <cell r="P38" t="str">
            <v>APOR</v>
          </cell>
          <cell r="Q38">
            <v>6.5</v>
          </cell>
          <cell r="R38">
            <v>8.5</v>
          </cell>
          <cell r="S38">
            <v>5</v>
          </cell>
          <cell r="U38" t="str">
            <v>Owner Occupied</v>
          </cell>
          <cell r="V38" t="str">
            <v>Refi</v>
          </cell>
          <cell r="X38" t="str">
            <v>N</v>
          </cell>
          <cell r="AF38" t="str">
            <v>Yes</v>
          </cell>
        </row>
        <row r="39">
          <cell r="A39" t="str">
            <v>OK</v>
          </cell>
          <cell r="B39" t="str">
            <v>Non-CA</v>
          </cell>
          <cell r="C39" t="str">
            <v>Y</v>
          </cell>
          <cell r="D39" t="str">
            <v>Y</v>
          </cell>
          <cell r="E39" t="str">
            <v xml:space="preserve"> </v>
          </cell>
          <cell r="F39"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39" t="str">
            <v>Prepay only available on Business Purpose Loans</v>
          </cell>
          <cell r="H39" t="str">
            <v>Oklahoma</v>
          </cell>
          <cell r="I39" t="str">
            <v>Y</v>
          </cell>
          <cell r="J39" t="str">
            <v>Y</v>
          </cell>
          <cell r="K39" t="str">
            <v>N</v>
          </cell>
          <cell r="L39" t="str">
            <v>Y</v>
          </cell>
          <cell r="M39" t="str">
            <v xml:space="preserve"> </v>
          </cell>
          <cell r="N39" t="str">
            <v>Wet</v>
          </cell>
          <cell r="O39">
            <v>1</v>
          </cell>
          <cell r="P39" t="str">
            <v>Treasury</v>
          </cell>
          <cell r="Q39">
            <v>9</v>
          </cell>
          <cell r="R39">
            <v>10</v>
          </cell>
          <cell r="S39">
            <v>8</v>
          </cell>
          <cell r="U39" t="str">
            <v>Owner Occupied</v>
          </cell>
          <cell r="V39" t="str">
            <v>Refi</v>
          </cell>
          <cell r="X39" t="str">
            <v>Y</v>
          </cell>
          <cell r="AF39" t="str">
            <v>Yes</v>
          </cell>
        </row>
        <row r="40">
          <cell r="A40" t="str">
            <v>OR</v>
          </cell>
          <cell r="B40" t="str">
            <v>Non-CA</v>
          </cell>
          <cell r="C40" t="str">
            <v>Y</v>
          </cell>
          <cell r="D40" t="str">
            <v>Y</v>
          </cell>
          <cell r="E40" t="str">
            <v xml:space="preserve"> </v>
          </cell>
          <cell r="F40"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0" t="str">
            <v>Prepay only available on Business Purpose Loans</v>
          </cell>
          <cell r="H40" t="str">
            <v>Oregon</v>
          </cell>
          <cell r="I40" t="str">
            <v>Y</v>
          </cell>
          <cell r="J40" t="str">
            <v>Y</v>
          </cell>
          <cell r="K40" t="str">
            <v>N</v>
          </cell>
          <cell r="L40" t="str">
            <v>Y</v>
          </cell>
          <cell r="M40" t="str">
            <v>NonQM OO, NonQM NOO, Second OO, Second NOO</v>
          </cell>
          <cell r="N40" t="str">
            <v>Dry</v>
          </cell>
          <cell r="O40">
            <v>1</v>
          </cell>
          <cell r="P40" t="str">
            <v>APOR</v>
          </cell>
          <cell r="Q40">
            <v>6.5</v>
          </cell>
          <cell r="R40">
            <v>8.5</v>
          </cell>
          <cell r="S40">
            <v>5</v>
          </cell>
          <cell r="U40" t="str">
            <v>Owner Occupied</v>
          </cell>
          <cell r="V40" t="str">
            <v>Purchase, Rate-Term, Cash-Out</v>
          </cell>
          <cell r="X40" t="str">
            <v>Y</v>
          </cell>
          <cell r="AF40" t="str">
            <v>Yes</v>
          </cell>
        </row>
        <row r="41">
          <cell r="A41" t="str">
            <v>PA</v>
          </cell>
          <cell r="B41" t="str">
            <v>Non-CA</v>
          </cell>
          <cell r="C41" t="str">
            <v>Y</v>
          </cell>
          <cell r="D41" t="str">
            <v>Y</v>
          </cell>
          <cell r="E41" t="str">
            <v xml:space="preserve"> </v>
          </cell>
          <cell r="F41"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1" t="str">
            <v>Prepay Restriction May Apply: Prepay not permitted for loans less than $312,159 in 2024.  Prepay only available on Business Purpose Loans</v>
          </cell>
          <cell r="H41" t="str">
            <v>Pennsylvania</v>
          </cell>
          <cell r="I41" t="str">
            <v>Y</v>
          </cell>
          <cell r="J41" t="str">
            <v>Y</v>
          </cell>
          <cell r="K41" t="str">
            <v>N</v>
          </cell>
          <cell r="L41" t="str">
            <v>Y</v>
          </cell>
          <cell r="M41" t="str">
            <v xml:space="preserve"> </v>
          </cell>
          <cell r="N41" t="str">
            <v>Wet</v>
          </cell>
          <cell r="O41">
            <v>1</v>
          </cell>
          <cell r="P41" t="str">
            <v>APOR</v>
          </cell>
          <cell r="Q41">
            <v>6.5</v>
          </cell>
          <cell r="R41">
            <v>8.5</v>
          </cell>
          <cell r="S41">
            <v>5</v>
          </cell>
          <cell r="T41">
            <v>100000</v>
          </cell>
          <cell r="U41" t="str">
            <v>Owner Occupied</v>
          </cell>
          <cell r="V41" t="str">
            <v>Purchase, Rate-Term, Cash-Out</v>
          </cell>
          <cell r="X41" t="str">
            <v>N</v>
          </cell>
          <cell r="AF41" t="str">
            <v>Yes</v>
          </cell>
        </row>
        <row r="42">
          <cell r="A42" t="str">
            <v>RI</v>
          </cell>
          <cell r="B42" t="str">
            <v>Non-CA</v>
          </cell>
          <cell r="C42" t="str">
            <v>Y</v>
          </cell>
          <cell r="D42" t="str">
            <v>Y</v>
          </cell>
          <cell r="E42" t="str">
            <v xml:space="preserve"> </v>
          </cell>
          <cell r="F42"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2" t="str">
            <v>Prepay Restriction May Apply.  Prepay only available on Business Purpose Loans</v>
          </cell>
          <cell r="H42" t="str">
            <v>RhodeIsland</v>
          </cell>
          <cell r="I42" t="str">
            <v>Y</v>
          </cell>
          <cell r="J42" t="str">
            <v>Y</v>
          </cell>
          <cell r="K42" t="str">
            <v>N</v>
          </cell>
          <cell r="L42" t="str">
            <v>Y</v>
          </cell>
          <cell r="M42" t="str">
            <v xml:space="preserve"> </v>
          </cell>
          <cell r="N42" t="str">
            <v>Wet</v>
          </cell>
          <cell r="O42">
            <v>1</v>
          </cell>
          <cell r="P42" t="str">
            <v>Treasury</v>
          </cell>
          <cell r="Q42">
            <v>8</v>
          </cell>
          <cell r="R42">
            <v>9</v>
          </cell>
          <cell r="S42">
            <v>5</v>
          </cell>
          <cell r="U42" t="str">
            <v>Owner Occupied</v>
          </cell>
          <cell r="V42" t="str">
            <v>Purchase, Rate-Term, Cash-Out</v>
          </cell>
          <cell r="W42" t="str">
            <v>Additional Local High Cost Ordinances</v>
          </cell>
          <cell r="X42" t="str">
            <v>N</v>
          </cell>
          <cell r="AF42" t="str">
            <v>Yes</v>
          </cell>
        </row>
        <row r="43">
          <cell r="A43" t="str">
            <v>SC</v>
          </cell>
          <cell r="B43" t="str">
            <v>Non-CA</v>
          </cell>
          <cell r="C43" t="str">
            <v>Y</v>
          </cell>
          <cell r="D43" t="str">
            <v>Y</v>
          </cell>
          <cell r="E43" t="str">
            <v xml:space="preserve"> </v>
          </cell>
          <cell r="F43"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3" t="str">
            <v>Prepay only available on Business Purpose Loans</v>
          </cell>
          <cell r="H43" t="str">
            <v>SouthCarolina</v>
          </cell>
          <cell r="I43" t="str">
            <v>Y</v>
          </cell>
          <cell r="J43" t="str">
            <v>Y</v>
          </cell>
          <cell r="K43" t="str">
            <v>N</v>
          </cell>
          <cell r="L43" t="str">
            <v>Y</v>
          </cell>
          <cell r="M43" t="str">
            <v xml:space="preserve"> </v>
          </cell>
          <cell r="N43" t="str">
            <v>Wet</v>
          </cell>
          <cell r="O43">
            <v>1</v>
          </cell>
          <cell r="P43" t="str">
            <v>APOR</v>
          </cell>
          <cell r="Q43">
            <v>6.5</v>
          </cell>
          <cell r="R43">
            <v>8.5</v>
          </cell>
          <cell r="S43">
            <v>5</v>
          </cell>
          <cell r="T43" t="str">
            <v>Agency</v>
          </cell>
          <cell r="U43" t="str">
            <v>Owner Occupied</v>
          </cell>
          <cell r="V43" t="str">
            <v>Purchase, Rate-Term, Cash-Out</v>
          </cell>
          <cell r="X43" t="str">
            <v>Y</v>
          </cell>
          <cell r="AF43" t="str">
            <v>Yes</v>
          </cell>
        </row>
        <row r="44">
          <cell r="A44" t="str">
            <v>SD</v>
          </cell>
          <cell r="B44" t="str">
            <v>Non-CA</v>
          </cell>
          <cell r="C44" t="str">
            <v>Y</v>
          </cell>
          <cell r="D44" t="str">
            <v>Y</v>
          </cell>
          <cell r="E44" t="str">
            <v xml:space="preserve"> </v>
          </cell>
          <cell r="F44"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4" t="str">
            <v>Prepay only available on Business Purpose Loans</v>
          </cell>
          <cell r="H44" t="str">
            <v>SouthDakota</v>
          </cell>
          <cell r="I44" t="str">
            <v>Y</v>
          </cell>
          <cell r="J44" t="str">
            <v>Y</v>
          </cell>
          <cell r="K44" t="str">
            <v>N</v>
          </cell>
          <cell r="L44" t="str">
            <v>N</v>
          </cell>
          <cell r="M44" t="str">
            <v xml:space="preserve"> </v>
          </cell>
          <cell r="N44" t="str">
            <v>Wet</v>
          </cell>
          <cell r="O44">
            <v>1</v>
          </cell>
          <cell r="P44" t="str">
            <v>APOR</v>
          </cell>
          <cell r="Q44">
            <v>6.5</v>
          </cell>
          <cell r="R44">
            <v>8.5</v>
          </cell>
          <cell r="S44">
            <v>5</v>
          </cell>
          <cell r="U44" t="str">
            <v>Owner Occupied</v>
          </cell>
          <cell r="V44" t="str">
            <v>Purchase, Rate-Term, Cash-Out</v>
          </cell>
          <cell r="X44" t="str">
            <v>Y</v>
          </cell>
          <cell r="AF44" t="str">
            <v>Yes</v>
          </cell>
        </row>
        <row r="45">
          <cell r="A45" t="str">
            <v>TN</v>
          </cell>
          <cell r="B45" t="str">
            <v>Non-CA</v>
          </cell>
          <cell r="C45" t="str">
            <v>Y</v>
          </cell>
          <cell r="D45" t="str">
            <v>Y</v>
          </cell>
          <cell r="E45" t="str">
            <v xml:space="preserve"> </v>
          </cell>
          <cell r="F45"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5" t="str">
            <v>Prepay only available on Business Purpose Loans</v>
          </cell>
          <cell r="H45" t="str">
            <v>Tennessee</v>
          </cell>
          <cell r="I45" t="str">
            <v>Y</v>
          </cell>
          <cell r="J45" t="str">
            <v>Y</v>
          </cell>
          <cell r="K45" t="str">
            <v>N</v>
          </cell>
          <cell r="L45" t="str">
            <v>N</v>
          </cell>
          <cell r="M45" t="str">
            <v xml:space="preserve"> </v>
          </cell>
          <cell r="N45" t="str">
            <v>Wet</v>
          </cell>
          <cell r="O45">
            <v>1</v>
          </cell>
          <cell r="P45" t="str">
            <v>APOR</v>
          </cell>
          <cell r="Q45">
            <v>6.5</v>
          </cell>
          <cell r="R45">
            <v>8.5</v>
          </cell>
          <cell r="S45">
            <v>5</v>
          </cell>
          <cell r="T45" t="str">
            <v>lesser of FNMA limit and $350k</v>
          </cell>
          <cell r="U45" t="str">
            <v>Owner Occupied</v>
          </cell>
          <cell r="V45" t="str">
            <v>Purchase, Rate-Term, Cash-Out</v>
          </cell>
          <cell r="X45" t="str">
            <v>Y</v>
          </cell>
          <cell r="AF45" t="str">
            <v>Yes</v>
          </cell>
        </row>
        <row r="46">
          <cell r="A46" t="str">
            <v>TX</v>
          </cell>
          <cell r="B46" t="str">
            <v>Non-CA</v>
          </cell>
          <cell r="C46" t="str">
            <v>Y</v>
          </cell>
          <cell r="D46" t="str">
            <v>Y</v>
          </cell>
          <cell r="E46" t="str">
            <v>No IO when using TX 50(a)(6) Cashout</v>
          </cell>
          <cell r="F46"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6" t="str">
            <v>Prepay only available on Business Purpose Loans</v>
          </cell>
          <cell r="H46" t="str">
            <v>Texas</v>
          </cell>
          <cell r="I46" t="str">
            <v>Y</v>
          </cell>
          <cell r="J46" t="str">
            <v>Y</v>
          </cell>
          <cell r="K46" t="str">
            <v>Y</v>
          </cell>
          <cell r="L46" t="str">
            <v>Y</v>
          </cell>
          <cell r="M46" t="str">
            <v xml:space="preserve"> </v>
          </cell>
          <cell r="N46" t="str">
            <v>Wet</v>
          </cell>
          <cell r="O46">
            <v>1</v>
          </cell>
          <cell r="P46" t="str">
            <v>Treasury</v>
          </cell>
          <cell r="Q46">
            <v>8</v>
          </cell>
          <cell r="R46">
            <v>10</v>
          </cell>
          <cell r="S46">
            <v>8</v>
          </cell>
          <cell r="T46" t="str">
            <v>Agency / 2</v>
          </cell>
          <cell r="U46" t="str">
            <v>Owner Occupied</v>
          </cell>
          <cell r="V46" t="str">
            <v>Purchase, Rate-Term, Cash-Out</v>
          </cell>
          <cell r="X46" t="str">
            <v>Y</v>
          </cell>
          <cell r="AF46" t="str">
            <v>Yes</v>
          </cell>
        </row>
        <row r="47">
          <cell r="A47" t="str">
            <v>UT</v>
          </cell>
          <cell r="B47" t="str">
            <v>Non-CA</v>
          </cell>
          <cell r="C47" t="str">
            <v>Y</v>
          </cell>
          <cell r="D47" t="str">
            <v>Y</v>
          </cell>
          <cell r="E47" t="str">
            <v xml:space="preserve"> </v>
          </cell>
          <cell r="F47"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7" t="str">
            <v>Prepay only available on Business Purpose Loans</v>
          </cell>
          <cell r="H47" t="str">
            <v>Utah</v>
          </cell>
          <cell r="I47" t="str">
            <v>Y</v>
          </cell>
          <cell r="J47" t="str">
            <v>Y</v>
          </cell>
          <cell r="K47" t="str">
            <v>N</v>
          </cell>
          <cell r="L47" t="str">
            <v>Y</v>
          </cell>
          <cell r="M47" t="str">
            <v>NonQM OO, NonQM NOO, Second OO, Second NOO</v>
          </cell>
          <cell r="N47" t="str">
            <v>Wet</v>
          </cell>
          <cell r="O47">
            <v>1</v>
          </cell>
          <cell r="P47" t="str">
            <v>Treasury</v>
          </cell>
          <cell r="Q47">
            <v>8</v>
          </cell>
          <cell r="R47">
            <v>10</v>
          </cell>
          <cell r="S47">
            <v>8</v>
          </cell>
          <cell r="U47" t="str">
            <v>Owner Occupied</v>
          </cell>
          <cell r="V47" t="str">
            <v>Purchase, Rate-Term, Cash-Out</v>
          </cell>
          <cell r="X47" t="str">
            <v>N</v>
          </cell>
          <cell r="AF47" t="str">
            <v>Yes</v>
          </cell>
        </row>
        <row r="48">
          <cell r="A48" t="str">
            <v>VA</v>
          </cell>
          <cell r="B48" t="str">
            <v>Non-CA</v>
          </cell>
          <cell r="C48" t="str">
            <v>Y</v>
          </cell>
          <cell r="D48" t="str">
            <v>Y</v>
          </cell>
          <cell r="E48" t="str">
            <v xml:space="preserve"> </v>
          </cell>
          <cell r="F48"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48" t="str">
            <v>Prepay only available on Business Purpose Loans</v>
          </cell>
          <cell r="H48" t="str">
            <v>Virginia</v>
          </cell>
          <cell r="I48" t="str">
            <v>N</v>
          </cell>
          <cell r="J48" t="str">
            <v>Y</v>
          </cell>
          <cell r="K48" t="str">
            <v>N</v>
          </cell>
          <cell r="L48" t="str">
            <v>Y</v>
          </cell>
          <cell r="M48" t="str">
            <v xml:space="preserve"> </v>
          </cell>
          <cell r="N48" t="str">
            <v>Wet</v>
          </cell>
          <cell r="O48">
            <v>1</v>
          </cell>
          <cell r="P48" t="str">
            <v>APOR</v>
          </cell>
          <cell r="Q48">
            <v>6.5</v>
          </cell>
          <cell r="R48">
            <v>8.5</v>
          </cell>
          <cell r="S48">
            <v>5</v>
          </cell>
          <cell r="U48" t="str">
            <v>Owner Occupied</v>
          </cell>
          <cell r="V48" t="str">
            <v>Purchase, Rate-Term, Cash-Out</v>
          </cell>
          <cell r="X48" t="str">
            <v>Y</v>
          </cell>
          <cell r="AF48" t="str">
            <v>Yes</v>
          </cell>
        </row>
        <row r="49">
          <cell r="A49" t="str">
            <v>VT</v>
          </cell>
          <cell r="B49" t="str">
            <v>Non-CA</v>
          </cell>
          <cell r="C49" t="str">
            <v>Y</v>
          </cell>
          <cell r="D49" t="str">
            <v>Y</v>
          </cell>
          <cell r="E49" t="str">
            <v xml:space="preserve"> </v>
          </cell>
          <cell r="F49" t="str">
            <v>No Prepay</v>
          </cell>
          <cell r="G49" t="str">
            <v>No Prepay Allowed</v>
          </cell>
          <cell r="H49" t="str">
            <v>Vermont</v>
          </cell>
          <cell r="I49" t="str">
            <v>Y</v>
          </cell>
          <cell r="J49" t="str">
            <v>Y</v>
          </cell>
          <cell r="K49" t="str">
            <v>N</v>
          </cell>
          <cell r="L49" t="str">
            <v>N</v>
          </cell>
          <cell r="M49" t="str">
            <v xml:space="preserve"> </v>
          </cell>
          <cell r="N49" t="str">
            <v>Wet</v>
          </cell>
          <cell r="O49">
            <v>1</v>
          </cell>
          <cell r="P49" t="str">
            <v>Rate</v>
          </cell>
          <cell r="Q49">
            <v>6.25</v>
          </cell>
          <cell r="R49">
            <v>8.5</v>
          </cell>
          <cell r="S49">
            <v>4</v>
          </cell>
          <cell r="U49" t="str">
            <v>Owner Occupied, Second Home, Non Owner Occupied</v>
          </cell>
          <cell r="V49" t="str">
            <v>Purchase, Rate-Term, Cash-Out</v>
          </cell>
          <cell r="X49" t="str">
            <v>Y</v>
          </cell>
        </row>
        <row r="50">
          <cell r="A50" t="str">
            <v>WA</v>
          </cell>
          <cell r="B50" t="str">
            <v>Non-CA</v>
          </cell>
          <cell r="C50" t="str">
            <v>Y</v>
          </cell>
          <cell r="D50" t="str">
            <v>Y</v>
          </cell>
          <cell r="E50" t="str">
            <v xml:space="preserve"> </v>
          </cell>
          <cell r="F50"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50" t="str">
            <v>Prepay Restriction May Apply.  Prepay only available on Business Purpose Loans</v>
          </cell>
          <cell r="H50" t="str">
            <v>Washington</v>
          </cell>
          <cell r="I50" t="str">
            <v>Y</v>
          </cell>
          <cell r="J50" t="str">
            <v>Y</v>
          </cell>
          <cell r="K50" t="str">
            <v>N</v>
          </cell>
          <cell r="L50" t="str">
            <v>Y</v>
          </cell>
          <cell r="M50" t="str">
            <v xml:space="preserve"> </v>
          </cell>
          <cell r="N50" t="str">
            <v>Dry</v>
          </cell>
          <cell r="O50">
            <v>1</v>
          </cell>
          <cell r="P50" t="str">
            <v>APOR</v>
          </cell>
          <cell r="Q50">
            <v>6.5</v>
          </cell>
          <cell r="R50">
            <v>8.5</v>
          </cell>
          <cell r="S50">
            <v>5</v>
          </cell>
          <cell r="U50" t="str">
            <v>Owner Occupied</v>
          </cell>
          <cell r="V50" t="str">
            <v>Purchase, Rate-Term, Cash-Out</v>
          </cell>
          <cell r="X50" t="str">
            <v>Y</v>
          </cell>
        </row>
        <row r="51">
          <cell r="A51" t="str">
            <v>WI</v>
          </cell>
          <cell r="B51" t="str">
            <v>Non-CA</v>
          </cell>
          <cell r="C51" t="str">
            <v>Y</v>
          </cell>
          <cell r="D51" t="str">
            <v>Y</v>
          </cell>
          <cell r="E51" t="str">
            <v xml:space="preserve"> </v>
          </cell>
          <cell r="F51"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51" t="str">
            <v>Prepay Restriction May Apply: No PPP permitted on ARMS.  Prepay only available on Business Purpose Loans</v>
          </cell>
          <cell r="H51" t="str">
            <v>Wisconsin</v>
          </cell>
          <cell r="I51" t="str">
            <v>Y</v>
          </cell>
          <cell r="J51" t="str">
            <v>Y</v>
          </cell>
          <cell r="K51" t="str">
            <v>N</v>
          </cell>
          <cell r="L51" t="str">
            <v>Y</v>
          </cell>
          <cell r="M51" t="str">
            <v xml:space="preserve"> </v>
          </cell>
          <cell r="N51" t="str">
            <v>Wet</v>
          </cell>
          <cell r="O51">
            <v>1</v>
          </cell>
          <cell r="P51" t="str">
            <v>APOR</v>
          </cell>
          <cell r="Q51">
            <v>6.5</v>
          </cell>
          <cell r="R51">
            <v>8.5</v>
          </cell>
          <cell r="S51">
            <v>6</v>
          </cell>
          <cell r="U51" t="str">
            <v>Owner Occupied</v>
          </cell>
          <cell r="V51" t="str">
            <v>Purchase, Rate-Term, Cash-Out</v>
          </cell>
          <cell r="X51" t="str">
            <v>Y</v>
          </cell>
        </row>
        <row r="52">
          <cell r="A52" t="str">
            <v>WV</v>
          </cell>
          <cell r="B52" t="str">
            <v>Non-CA</v>
          </cell>
          <cell r="C52" t="str">
            <v>Y</v>
          </cell>
          <cell r="D52" t="str">
            <v>Y</v>
          </cell>
          <cell r="E52" t="str">
            <v xml:space="preserve"> </v>
          </cell>
          <cell r="F52"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52" t="str">
            <v>Prepay only available on Business Purpose Loans</v>
          </cell>
          <cell r="H52" t="str">
            <v>WestVirginia</v>
          </cell>
          <cell r="I52" t="str">
            <v>Y</v>
          </cell>
          <cell r="J52" t="str">
            <v>Y</v>
          </cell>
          <cell r="K52" t="str">
            <v>N</v>
          </cell>
          <cell r="L52" t="str">
            <v>Y</v>
          </cell>
          <cell r="M52" t="str">
            <v xml:space="preserve"> </v>
          </cell>
          <cell r="N52" t="str">
            <v>Wet</v>
          </cell>
          <cell r="O52">
            <v>1</v>
          </cell>
          <cell r="P52" t="str">
            <v>APOR</v>
          </cell>
          <cell r="Q52">
            <v>6.5</v>
          </cell>
          <cell r="R52">
            <v>8.5</v>
          </cell>
          <cell r="S52">
            <v>5</v>
          </cell>
          <cell r="U52" t="str">
            <v>Owner Occupied</v>
          </cell>
          <cell r="V52" t="str">
            <v>Purchase, Rate-Term, Cash-Out</v>
          </cell>
          <cell r="X52" t="str">
            <v>Y</v>
          </cell>
        </row>
        <row r="53">
          <cell r="A53" t="str">
            <v>WY</v>
          </cell>
          <cell r="B53" t="str">
            <v>Non-CA</v>
          </cell>
          <cell r="C53" t="str">
            <v>Y</v>
          </cell>
          <cell r="D53" t="str">
            <v>Y</v>
          </cell>
          <cell r="E53" t="str">
            <v xml:space="preserve"> </v>
          </cell>
          <cell r="F53" t="str">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ell>
          <cell r="G53" t="str">
            <v>Prepay only available on Business Purpose Loans</v>
          </cell>
          <cell r="H53" t="str">
            <v>Wyoming</v>
          </cell>
          <cell r="I53" t="str">
            <v>Y</v>
          </cell>
          <cell r="J53" t="str">
            <v>Y</v>
          </cell>
          <cell r="K53" t="str">
            <v>N</v>
          </cell>
          <cell r="L53" t="str">
            <v>Y</v>
          </cell>
          <cell r="M53" t="str">
            <v xml:space="preserve"> </v>
          </cell>
          <cell r="N53" t="str">
            <v>Dry</v>
          </cell>
          <cell r="O53">
            <v>1</v>
          </cell>
          <cell r="P53" t="str">
            <v>APOR</v>
          </cell>
          <cell r="Q53">
            <v>6.5</v>
          </cell>
          <cell r="R53">
            <v>8.5</v>
          </cell>
          <cell r="S53">
            <v>5</v>
          </cell>
          <cell r="U53" t="str">
            <v>Owner Occupied</v>
          </cell>
          <cell r="V53" t="str">
            <v>Purchase, Rate-Term, Cash-Out</v>
          </cell>
          <cell r="X53" t="str">
            <v>Y</v>
          </cell>
        </row>
        <row r="57">
          <cell r="B57">
            <v>806500</v>
          </cell>
          <cell r="C57">
            <v>1209750</v>
          </cell>
        </row>
        <row r="58">
          <cell r="B58">
            <v>1032650</v>
          </cell>
          <cell r="C58">
            <v>1548975</v>
          </cell>
        </row>
        <row r="59">
          <cell r="B59">
            <v>1248150</v>
          </cell>
          <cell r="C59">
            <v>1872225</v>
          </cell>
        </row>
        <row r="60">
          <cell r="B60">
            <v>1551250</v>
          </cell>
          <cell r="C60">
            <v>2326875</v>
          </cell>
        </row>
      </sheetData>
      <sheetData sheetId="4">
        <row r="3">
          <cell r="C3" t="str">
            <v>Rate</v>
          </cell>
          <cell r="D3" t="str">
            <v>Price + Base LLPA + Adj</v>
          </cell>
        </row>
        <row r="4">
          <cell r="B4" t="str">
            <v>1st</v>
          </cell>
          <cell r="C4">
            <v>6.5</v>
          </cell>
          <cell r="D4">
            <v>100.375</v>
          </cell>
        </row>
        <row r="5">
          <cell r="B5" t="str">
            <v>2nd</v>
          </cell>
          <cell r="C5">
            <v>7.625</v>
          </cell>
          <cell r="D5">
            <v>99.25</v>
          </cell>
        </row>
      </sheetData>
      <sheetData sheetId="5">
        <row r="3">
          <cell r="I3" t="str">
            <v>Spread</v>
          </cell>
          <cell r="J3" t="str">
            <v>Spread</v>
          </cell>
          <cell r="K3" t="str">
            <v>Spread</v>
          </cell>
          <cell r="L3" t="str">
            <v>Lock Term Adjust (30to45)</v>
          </cell>
          <cell r="M3" t="str">
            <v>Max Price Adjust</v>
          </cell>
          <cell r="Q3" t="str">
            <v>Spread</v>
          </cell>
          <cell r="R3" t="str">
            <v>Spread</v>
          </cell>
          <cell r="S3" t="str">
            <v>Spread</v>
          </cell>
          <cell r="T3" t="str">
            <v>Lock Term Adjust (30to45)</v>
          </cell>
          <cell r="U3" t="str">
            <v>Max Price Adjust</v>
          </cell>
        </row>
        <row r="4">
          <cell r="F4" t="str">
            <v>NonQM OO</v>
          </cell>
          <cell r="I4">
            <v>0</v>
          </cell>
          <cell r="J4">
            <v>-1</v>
          </cell>
          <cell r="K4">
            <v>-1</v>
          </cell>
          <cell r="L4">
            <v>-0.15</v>
          </cell>
          <cell r="M4">
            <v>0</v>
          </cell>
          <cell r="N4">
            <v>-1</v>
          </cell>
          <cell r="O4">
            <v>0</v>
          </cell>
          <cell r="Q4">
            <v>0</v>
          </cell>
          <cell r="R4">
            <v>-0.875</v>
          </cell>
          <cell r="S4">
            <v>-0.875</v>
          </cell>
          <cell r="T4">
            <v>-0.15</v>
          </cell>
          <cell r="U4">
            <v>0</v>
          </cell>
          <cell r="V4">
            <v>-1.125</v>
          </cell>
          <cell r="W4">
            <v>0</v>
          </cell>
        </row>
        <row r="5">
          <cell r="F5" t="str">
            <v>NonQM NOO</v>
          </cell>
          <cell r="I5">
            <v>0</v>
          </cell>
          <cell r="J5">
            <v>-1</v>
          </cell>
          <cell r="K5">
            <v>-1</v>
          </cell>
          <cell r="L5">
            <v>-0.15</v>
          </cell>
          <cell r="M5">
            <v>0</v>
          </cell>
          <cell r="N5">
            <v>-1.5</v>
          </cell>
          <cell r="O5">
            <v>0</v>
          </cell>
          <cell r="Q5">
            <v>0</v>
          </cell>
          <cell r="R5">
            <v>-0.875</v>
          </cell>
          <cell r="S5">
            <v>-0.875</v>
          </cell>
          <cell r="T5">
            <v>-0.15</v>
          </cell>
          <cell r="U5">
            <v>0</v>
          </cell>
          <cell r="V5">
            <v>-1.625</v>
          </cell>
          <cell r="W5">
            <v>0</v>
          </cell>
        </row>
        <row r="6">
          <cell r="F6" t="str">
            <v>Second OO</v>
          </cell>
          <cell r="I6">
            <v>0</v>
          </cell>
          <cell r="J6">
            <v>-0.625</v>
          </cell>
          <cell r="K6">
            <v>-0.625</v>
          </cell>
          <cell r="L6">
            <v>-0.15</v>
          </cell>
          <cell r="M6">
            <v>0</v>
          </cell>
          <cell r="N6">
            <v>-1.875</v>
          </cell>
          <cell r="O6">
            <v>0</v>
          </cell>
          <cell r="Q6">
            <v>0</v>
          </cell>
          <cell r="R6">
            <v>-0.625</v>
          </cell>
          <cell r="S6">
            <v>-0.625</v>
          </cell>
          <cell r="T6">
            <v>-0.15</v>
          </cell>
          <cell r="U6">
            <v>0</v>
          </cell>
          <cell r="V6">
            <v>-1.875</v>
          </cell>
          <cell r="W6">
            <v>0</v>
          </cell>
        </row>
        <row r="7">
          <cell r="F7" t="str">
            <v>Second NOO</v>
          </cell>
          <cell r="I7">
            <v>0</v>
          </cell>
          <cell r="J7">
            <v>-0.625</v>
          </cell>
          <cell r="K7">
            <v>-0.625</v>
          </cell>
          <cell r="L7">
            <v>-0.15</v>
          </cell>
          <cell r="M7">
            <v>0</v>
          </cell>
          <cell r="N7">
            <v>-1.875</v>
          </cell>
          <cell r="O7">
            <v>0</v>
          </cell>
          <cell r="Q7">
            <v>0</v>
          </cell>
          <cell r="R7">
            <v>-0.625</v>
          </cell>
          <cell r="S7">
            <v>-0.625</v>
          </cell>
          <cell r="T7">
            <v>-0.15</v>
          </cell>
          <cell r="U7">
            <v>0</v>
          </cell>
          <cell r="V7">
            <v>-1.875</v>
          </cell>
          <cell r="W7">
            <v>0</v>
          </cell>
        </row>
        <row r="8">
          <cell r="B8" t="str">
            <v>Pricing Change Log</v>
          </cell>
        </row>
        <row r="9">
          <cell r="B9" t="str">
            <v>Effective Date</v>
          </cell>
          <cell r="C9" t="str">
            <v>Change</v>
          </cell>
        </row>
        <row r="10">
          <cell r="B10">
            <v>44596</v>
          </cell>
          <cell r="C10" t="str">
            <v>.250 Price Worse</v>
          </cell>
        </row>
        <row r="11">
          <cell r="B11">
            <v>44600</v>
          </cell>
          <cell r="C11" t="str">
            <v>.125 Price Worse</v>
          </cell>
        </row>
        <row r="12">
          <cell r="B12">
            <v>44601</v>
          </cell>
          <cell r="C12" t="str">
            <v>.125 Price Worse</v>
          </cell>
        </row>
        <row r="13">
          <cell r="B13">
            <v>44601</v>
          </cell>
          <cell r="C13" t="str">
            <v>.250 Price Worse (Additional)</v>
          </cell>
        </row>
        <row r="14">
          <cell r="B14">
            <v>44602</v>
          </cell>
          <cell r="C14" t="str">
            <v>Max Pricing reduced by .500</v>
          </cell>
        </row>
        <row r="15">
          <cell r="B15">
            <v>44602</v>
          </cell>
          <cell r="C15" t="str">
            <v>Buydowns Steepened below 5.00 NQMOO</v>
          </cell>
        </row>
        <row r="16">
          <cell r="B16">
            <v>44609</v>
          </cell>
          <cell r="C16" t="str">
            <v>Move Min Rates to 4.50/4.75/5.50</v>
          </cell>
        </row>
        <row r="17">
          <cell r="B17">
            <v>44609</v>
          </cell>
          <cell r="C17" t="str">
            <v>Change Buydowns</v>
          </cell>
        </row>
        <row r="18">
          <cell r="B18">
            <v>44615</v>
          </cell>
          <cell r="C18" t="str">
            <v>.250 Price Worse</v>
          </cell>
        </row>
        <row r="19">
          <cell r="B19">
            <v>44616</v>
          </cell>
          <cell r="C19" t="str">
            <v>Min Rates: Increase .375</v>
          </cell>
        </row>
        <row r="20">
          <cell r="B20">
            <v>44616</v>
          </cell>
          <cell r="C20" t="str">
            <v>Max Pricing: Reduce .750</v>
          </cell>
        </row>
        <row r="21">
          <cell r="B21">
            <v>44616</v>
          </cell>
          <cell r="C21" t="str">
            <v>Base Pricing: Reduce .250</v>
          </cell>
        </row>
        <row r="22">
          <cell r="B22">
            <v>44616</v>
          </cell>
          <cell r="C22" t="str">
            <v>Whsl Spread: Reduce .250</v>
          </cell>
        </row>
        <row r="23">
          <cell r="B23">
            <v>44617</v>
          </cell>
          <cell r="C23" t="str">
            <v>Base Pricing: Reduce .250</v>
          </cell>
        </row>
        <row r="24">
          <cell r="B24">
            <v>44621</v>
          </cell>
          <cell r="C24" t="str">
            <v>Base Pricing: Reduce .125</v>
          </cell>
        </row>
        <row r="25">
          <cell r="B25">
            <v>44623</v>
          </cell>
          <cell r="C25" t="str">
            <v>Base Pricing: Reduce .250</v>
          </cell>
        </row>
        <row r="26">
          <cell r="B26">
            <v>44623</v>
          </cell>
          <cell r="C26" t="str">
            <v>Min Rates: Increase .125/.250/.375 (OO 5.000 / NOO 5.375 / Multi 6.250)</v>
          </cell>
        </row>
        <row r="27">
          <cell r="B27">
            <v>44629</v>
          </cell>
          <cell r="C27" t="str">
            <v>Max Pricing: Increase .375</v>
          </cell>
        </row>
        <row r="28">
          <cell r="B28">
            <v>44629</v>
          </cell>
          <cell r="C28" t="str">
            <v>Buyups changed 2:1 (3 on OO, 6 on NOO)</v>
          </cell>
        </row>
        <row r="29">
          <cell r="B29">
            <v>44631</v>
          </cell>
          <cell r="C29" t="str">
            <v>Base Pricing: Reduce .125</v>
          </cell>
        </row>
        <row r="30">
          <cell r="B30">
            <v>44631</v>
          </cell>
          <cell r="C30" t="str">
            <v>Rate Spread Multi - Add .25 Rate</v>
          </cell>
        </row>
        <row r="31">
          <cell r="B31">
            <v>44634</v>
          </cell>
          <cell r="C31" t="str">
            <v>Remove FNat, 3mo, MFamLLPA .50-1.0</v>
          </cell>
        </row>
        <row r="32">
          <cell r="B32">
            <v>44635</v>
          </cell>
          <cell r="C32" t="str">
            <v>Change Buydowns</v>
          </cell>
        </row>
        <row r="33">
          <cell r="B33">
            <v>44635</v>
          </cell>
          <cell r="C33" t="str">
            <v>Reduce Price .250</v>
          </cell>
        </row>
        <row r="34">
          <cell r="B34">
            <v>44638</v>
          </cell>
          <cell r="C34" t="str">
            <v>Reduce Price .250</v>
          </cell>
        </row>
        <row r="35">
          <cell r="B35">
            <v>44639</v>
          </cell>
          <cell r="C35" t="str">
            <v>Move .5:1 buyups to 1:1</v>
          </cell>
        </row>
        <row r="36">
          <cell r="B36">
            <v>44641</v>
          </cell>
          <cell r="C36" t="str">
            <v>Reduce Price .125</v>
          </cell>
        </row>
        <row r="37">
          <cell r="B37">
            <v>44641</v>
          </cell>
          <cell r="C37" t="str">
            <v>Reduce Price .250 (Midday)</v>
          </cell>
        </row>
        <row r="38">
          <cell r="B38">
            <v>44642</v>
          </cell>
          <cell r="C38" t="str">
            <v>Reduce Price .125</v>
          </cell>
        </row>
        <row r="39">
          <cell r="B39">
            <v>44642</v>
          </cell>
          <cell r="C39" t="str">
            <v>Increase BD 1 mult on lowest 2 rates</v>
          </cell>
        </row>
        <row r="40">
          <cell r="B40">
            <v>44644</v>
          </cell>
          <cell r="C40" t="str">
            <v>Reduce Price .250</v>
          </cell>
        </row>
        <row r="41">
          <cell r="B41">
            <v>44645</v>
          </cell>
          <cell r="C41" t="str">
            <v>Rate Spread Multi - Add .25 Rate</v>
          </cell>
        </row>
        <row r="42">
          <cell r="B42">
            <v>44645</v>
          </cell>
          <cell r="C42" t="str">
            <v>Reduce Price .125</v>
          </cell>
        </row>
        <row r="43">
          <cell r="B43">
            <v>44645</v>
          </cell>
          <cell r="C43" t="str">
            <v>Rate Shift up .250</v>
          </cell>
        </row>
        <row r="44">
          <cell r="B44">
            <v>44649</v>
          </cell>
          <cell r="C44" t="str">
            <v>Increase BD 1 mult on 4 rates</v>
          </cell>
        </row>
        <row r="45">
          <cell r="B45">
            <v>44651</v>
          </cell>
          <cell r="C45" t="str">
            <v>Remove Lowest 2 Note Rates</v>
          </cell>
        </row>
        <row r="46">
          <cell r="B46">
            <v>44652</v>
          </cell>
          <cell r="C46" t="str">
            <v>Increase BD 1 mult on 2 of 4 lowest rates</v>
          </cell>
        </row>
        <row r="47">
          <cell r="B47">
            <v>44672</v>
          </cell>
          <cell r="C47" t="str">
            <v>Midday .25 Rate Increase</v>
          </cell>
        </row>
        <row r="48">
          <cell r="B48">
            <v>44673</v>
          </cell>
          <cell r="C48" t="str">
            <v>.125 Rate Increase</v>
          </cell>
        </row>
        <row r="49">
          <cell r="B49">
            <v>44686</v>
          </cell>
          <cell r="C49" t="str">
            <v>Reduce Price .250</v>
          </cell>
        </row>
        <row r="50">
          <cell r="B50">
            <v>44692</v>
          </cell>
          <cell r="C50" t="str">
            <v>Increase Price .250</v>
          </cell>
        </row>
        <row r="51">
          <cell r="B51">
            <v>44693</v>
          </cell>
          <cell r="C51" t="str">
            <v>Reduce Rate .250</v>
          </cell>
        </row>
        <row r="52">
          <cell r="B52">
            <v>44694</v>
          </cell>
          <cell r="C52" t="str">
            <v>Increase Price .125</v>
          </cell>
        </row>
        <row r="53">
          <cell r="B53">
            <v>44697</v>
          </cell>
          <cell r="C53" t="str">
            <v>Increase Price .125</v>
          </cell>
        </row>
        <row r="57">
          <cell r="B57">
            <v>44713</v>
          </cell>
          <cell r="C57" t="str">
            <v>Change 2 Note Rate BU/BD</v>
          </cell>
        </row>
        <row r="58">
          <cell r="B58">
            <v>44713</v>
          </cell>
          <cell r="C58" t="str">
            <v>Change LLPAs</v>
          </cell>
        </row>
        <row r="59">
          <cell r="B59">
            <v>44714</v>
          </cell>
          <cell r="C59" t="str">
            <v>Decrease Price .125</v>
          </cell>
        </row>
        <row r="60">
          <cell r="B60">
            <v>44722</v>
          </cell>
          <cell r="C60" t="str">
            <v>Increase Rate .250</v>
          </cell>
        </row>
      </sheetData>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6">
  <rv s="0">
    <v>1</v>
    <v>8</v>
    <v>6</v>
    <v>6</v>
  </rv>
  <rv s="0">
    <v>29</v>
    <v>8</v>
    <v>776</v>
    <v>6</v>
  </rv>
  <rv s="0">
    <v>0</v>
    <v>8</v>
    <v>777</v>
    <v>1</v>
  </rv>
  <rv s="0">
    <v>51</v>
    <v>8</v>
    <v>776</v>
    <v>1</v>
  </rv>
  <rv s="0">
    <v>0</v>
    <v>8</v>
    <v>776</v>
    <v>1</v>
  </rv>
  <rv s="0">
    <v>0</v>
    <v>8</v>
    <v>776</v>
    <v>6</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Lockdesk@BrokersAdvantageMtg.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ACAF3-67A7-4219-A847-8A56D62D7B73}">
  <sheetPr codeName="Sheet1">
    <pageSetUpPr fitToPage="1"/>
  </sheetPr>
  <dimension ref="A1:AJ721"/>
  <sheetViews>
    <sheetView showGridLines="0" showRowColHeaders="0" tabSelected="1" zoomScaleNormal="100" workbookViewId="0">
      <pane xSplit="1" ySplit="7" topLeftCell="B8" activePane="bottomRight" state="frozen"/>
      <selection pane="topRight" activeCell="B1" sqref="B1"/>
      <selection pane="bottomLeft" activeCell="A8" sqref="A8"/>
      <selection pane="bottomRight" activeCell="I14" sqref="I14:L14"/>
    </sheetView>
  </sheetViews>
  <sheetFormatPr defaultColWidth="8.5703125" defaultRowHeight="16.899999999999999" customHeight="1" x14ac:dyDescent="0.25"/>
  <cols>
    <col min="1" max="1" width="5.5703125" style="10" hidden="1" customWidth="1"/>
    <col min="2" max="2" width="2.7109375" style="10" customWidth="1"/>
    <col min="3" max="3" width="1.140625" style="10" customWidth="1"/>
    <col min="4" max="5" width="7" style="10" customWidth="1"/>
    <col min="6" max="6" width="8" style="10" customWidth="1"/>
    <col min="7" max="7" width="8.7109375" style="10" customWidth="1"/>
    <col min="8" max="8" width="8.28515625" style="10" customWidth="1"/>
    <col min="9" max="9" width="2.140625" style="10" customWidth="1"/>
    <col min="10" max="10" width="2.7109375" style="10" customWidth="1"/>
    <col min="11" max="11" width="10.5703125" style="10" customWidth="1"/>
    <col min="12" max="12" width="34.42578125" style="10" customWidth="1"/>
    <col min="13" max="13" width="2.28515625" style="10" customWidth="1"/>
    <col min="14" max="17" width="6.85546875" style="10" customWidth="1"/>
    <col min="18" max="18" width="1.140625" style="10" customWidth="1"/>
    <col min="19" max="19" width="15.42578125" style="10" hidden="1" customWidth="1"/>
    <col min="20" max="28" width="7.140625" style="10" customWidth="1"/>
    <col min="29" max="29" width="1.140625" style="10" customWidth="1"/>
    <col min="30" max="30" width="0.85546875" style="10" customWidth="1"/>
    <col min="31" max="31" width="8.140625" style="10" customWidth="1"/>
    <col min="32" max="33" width="6.140625" style="10" customWidth="1"/>
    <col min="34" max="34" width="10.28515625" style="10" customWidth="1"/>
    <col min="35" max="36" width="10.28515625" customWidth="1"/>
    <col min="37" max="16384" width="8.5703125" style="10"/>
  </cols>
  <sheetData>
    <row r="1" spans="1:36" ht="3" customHeight="1" x14ac:dyDescent="0.25">
      <c r="A1" s="10" t="s">
        <v>460</v>
      </c>
    </row>
    <row r="2" spans="1:36" ht="10.15" customHeight="1" x14ac:dyDescent="0.2">
      <c r="A2" s="10" t="s">
        <v>459</v>
      </c>
      <c r="C2" s="1996"/>
      <c r="D2" s="1997"/>
      <c r="E2" s="1997"/>
      <c r="F2" s="1997"/>
      <c r="G2" s="1997"/>
      <c r="H2" s="1997"/>
      <c r="I2" s="1997"/>
      <c r="J2" s="2104" t="str">
        <f>Input_Name_Pricer</f>
        <v>LEAD PLUS Seconds Calculator</v>
      </c>
      <c r="K2" s="2104"/>
      <c r="L2" s="2104"/>
      <c r="M2" s="2104"/>
      <c r="N2" s="2104"/>
      <c r="O2" s="2104"/>
      <c r="P2" s="2104"/>
      <c r="Q2" s="2104"/>
      <c r="R2" s="2104"/>
      <c r="S2" s="2104"/>
      <c r="T2" s="1998"/>
      <c r="U2" s="1998"/>
      <c r="V2" s="1998"/>
      <c r="W2" s="1999" t="s">
        <v>76</v>
      </c>
      <c r="X2" s="2000"/>
      <c r="Y2" s="2000"/>
      <c r="Z2" s="2000" t="s">
        <v>76</v>
      </c>
      <c r="AA2" s="2000"/>
      <c r="AB2" s="2000"/>
      <c r="AC2" s="2001"/>
      <c r="AE2" s="1987" t="str">
        <f>J57</f>
        <v>Second OO</v>
      </c>
      <c r="AH2" s="5"/>
      <c r="AI2" s="5"/>
      <c r="AJ2" s="5"/>
    </row>
    <row r="3" spans="1:36" ht="10.15" customHeight="1" x14ac:dyDescent="0.2">
      <c r="A3" s="10" t="s">
        <v>459</v>
      </c>
      <c r="C3" s="2002"/>
      <c r="D3" s="2003"/>
      <c r="E3" s="2003"/>
      <c r="F3" s="2003"/>
      <c r="G3" s="2003"/>
      <c r="H3" s="2003"/>
      <c r="I3" s="2003"/>
      <c r="J3" s="2105"/>
      <c r="K3" s="2105"/>
      <c r="L3" s="2105"/>
      <c r="M3" s="2105"/>
      <c r="N3" s="2105"/>
      <c r="O3" s="2105"/>
      <c r="P3" s="2105"/>
      <c r="Q3" s="2105"/>
      <c r="R3" s="2105"/>
      <c r="S3" s="2105"/>
      <c r="T3" s="2004"/>
      <c r="U3" s="2004"/>
      <c r="V3" s="2004"/>
      <c r="W3" s="2005" t="s">
        <v>76</v>
      </c>
      <c r="X3" s="2006"/>
      <c r="Y3" s="2006"/>
      <c r="Z3" s="2006" t="s">
        <v>76</v>
      </c>
      <c r="AA3" s="2006"/>
      <c r="AB3" s="2006"/>
      <c r="AC3" s="2007"/>
      <c r="AE3" s="1987" t="str">
        <f>J202</f>
        <v>Second NOO</v>
      </c>
      <c r="AH3" s="5"/>
      <c r="AI3" s="5"/>
      <c r="AJ3" s="5"/>
    </row>
    <row r="4" spans="1:36" ht="10.15" customHeight="1" x14ac:dyDescent="0.2">
      <c r="A4" s="10" t="s">
        <v>459</v>
      </c>
      <c r="C4" s="2002"/>
      <c r="D4" s="2003"/>
      <c r="E4" s="2003"/>
      <c r="F4" s="2003"/>
      <c r="G4" s="2003"/>
      <c r="H4" s="2003"/>
      <c r="I4" s="2003"/>
      <c r="J4" s="2105"/>
      <c r="K4" s="2105"/>
      <c r="L4" s="2105"/>
      <c r="M4" s="2105"/>
      <c r="N4" s="2105"/>
      <c r="O4" s="2105"/>
      <c r="P4" s="2105"/>
      <c r="Q4" s="2105"/>
      <c r="R4" s="2105"/>
      <c r="S4" s="2105"/>
      <c r="T4" s="2004"/>
      <c r="U4" s="2004"/>
      <c r="V4" s="2004"/>
      <c r="W4" s="2005" t="s">
        <v>76</v>
      </c>
      <c r="X4" s="2006"/>
      <c r="Y4" s="2006"/>
      <c r="Z4" s="2006"/>
      <c r="AA4" s="2008"/>
      <c r="AB4" s="2008" t="s">
        <v>76</v>
      </c>
      <c r="AC4" s="2007"/>
      <c r="AE4" s="1987" t="str">
        <f>J382</f>
        <v>NonQM OO</v>
      </c>
      <c r="AH4" s="5"/>
      <c r="AI4" s="5"/>
      <c r="AJ4" s="5"/>
    </row>
    <row r="5" spans="1:36" ht="10.15" customHeight="1" x14ac:dyDescent="0.2">
      <c r="A5" s="10" t="s">
        <v>459</v>
      </c>
      <c r="C5" s="2002"/>
      <c r="D5" s="2003"/>
      <c r="E5" s="2003"/>
      <c r="F5" s="2003"/>
      <c r="G5" s="2003"/>
      <c r="H5" s="2003"/>
      <c r="I5" s="2003"/>
      <c r="J5" s="2105"/>
      <c r="K5" s="2105"/>
      <c r="L5" s="2105"/>
      <c r="M5" s="2105"/>
      <c r="N5" s="2105"/>
      <c r="O5" s="2105"/>
      <c r="P5" s="2105"/>
      <c r="Q5" s="2105"/>
      <c r="R5" s="2105"/>
      <c r="S5" s="2105"/>
      <c r="T5" s="2004"/>
      <c r="U5" s="2004"/>
      <c r="V5" s="2004"/>
      <c r="W5" s="2009" t="s">
        <v>76</v>
      </c>
      <c r="X5" s="2010"/>
      <c r="Y5" s="2006"/>
      <c r="Z5" s="2006"/>
      <c r="AA5" s="2008"/>
      <c r="AB5" s="2011" t="str" cm="1">
        <f t="array" ref="AB5">[1]!Input_RS_ID</f>
        <v>#1</v>
      </c>
      <c r="AC5" s="2007"/>
      <c r="AE5" s="1987" t="str">
        <f>J537</f>
        <v>NonQM NOO</v>
      </c>
      <c r="AH5" s="5"/>
      <c r="AI5" s="5"/>
      <c r="AJ5" s="5"/>
    </row>
    <row r="6" spans="1:36" ht="10.15" customHeight="1" x14ac:dyDescent="0.25">
      <c r="A6" s="10" t="s">
        <v>459</v>
      </c>
      <c r="C6" s="2012"/>
      <c r="D6" s="2013"/>
      <c r="E6" s="2013"/>
      <c r="F6" s="2013"/>
      <c r="G6" s="2013"/>
      <c r="H6" s="2013"/>
      <c r="I6" s="2013"/>
      <c r="J6" s="2106"/>
      <c r="K6" s="2106"/>
      <c r="L6" s="2106"/>
      <c r="M6" s="2106"/>
      <c r="N6" s="2106"/>
      <c r="O6" s="2106"/>
      <c r="P6" s="2106"/>
      <c r="Q6" s="2106"/>
      <c r="R6" s="2106"/>
      <c r="S6" s="2106"/>
      <c r="T6" s="2014"/>
      <c r="U6" s="2014"/>
      <c r="V6" s="2014"/>
      <c r="W6" s="2015" t="s">
        <v>76</v>
      </c>
      <c r="X6" s="2016"/>
      <c r="Y6" s="2016"/>
      <c r="Z6" s="2016"/>
      <c r="AA6" s="2079" cm="1">
        <f t="array" aca="1" ref="AA6" ca="1">[1]!Input_RS_Dt</f>
        <v>45869</v>
      </c>
      <c r="AB6" s="2079"/>
      <c r="AC6" s="2017"/>
      <c r="AE6"/>
      <c r="AH6" s="5"/>
      <c r="AI6" s="5"/>
      <c r="AJ6" s="5"/>
    </row>
    <row r="7" spans="1:36" ht="10.15" customHeight="1" x14ac:dyDescent="0.25">
      <c r="A7" s="10" t="s">
        <v>459</v>
      </c>
      <c r="B7" s="5"/>
      <c r="C7" s="1859"/>
      <c r="D7" s="1860"/>
      <c r="E7" s="1860"/>
      <c r="F7" s="1860"/>
      <c r="G7" s="1860"/>
      <c r="H7" s="1860"/>
      <c r="I7" s="1860"/>
      <c r="J7" s="1860"/>
      <c r="K7" s="1860"/>
      <c r="L7" s="1860"/>
      <c r="M7" s="1860"/>
      <c r="N7" s="1860"/>
      <c r="O7" s="1860"/>
      <c r="P7" s="1860"/>
      <c r="Q7" s="1860"/>
      <c r="R7" s="1860"/>
      <c r="S7" s="1860"/>
      <c r="T7" s="1862" t="s">
        <v>248</v>
      </c>
      <c r="U7" s="1863" t="s">
        <v>15</v>
      </c>
      <c r="V7" s="1864" t="s">
        <v>84</v>
      </c>
      <c r="W7" s="1864" t="s">
        <v>31</v>
      </c>
      <c r="X7" s="1864" t="s">
        <v>30</v>
      </c>
      <c r="Y7" s="1864" t="s">
        <v>29</v>
      </c>
      <c r="Z7" s="1864" t="s">
        <v>28</v>
      </c>
      <c r="AA7" s="1864" t="s">
        <v>27</v>
      </c>
      <c r="AB7" s="1864" t="s">
        <v>26</v>
      </c>
      <c r="AC7" s="1861"/>
      <c r="AE7"/>
      <c r="AF7"/>
    </row>
    <row r="8" spans="1:36" ht="3" customHeight="1" x14ac:dyDescent="0.25">
      <c r="A8" s="10" t="s">
        <v>460</v>
      </c>
      <c r="B8" s="5"/>
      <c r="C8" s="1859"/>
      <c r="M8" s="1794"/>
      <c r="N8" s="1794"/>
      <c r="O8" s="1794"/>
      <c r="P8" s="1794"/>
      <c r="Q8" s="1794"/>
      <c r="R8" s="1794"/>
      <c r="S8" s="1794"/>
      <c r="T8" s="1794"/>
      <c r="U8" s="1794"/>
      <c r="V8" s="1794"/>
      <c r="W8" s="1794"/>
      <c r="X8" s="1794"/>
      <c r="Y8" s="1794"/>
      <c r="Z8" s="1794"/>
      <c r="AA8" s="1794"/>
      <c r="AB8" s="1794"/>
      <c r="AC8" s="1907"/>
      <c r="AE8"/>
      <c r="AF8"/>
      <c r="AG8"/>
      <c r="AH8"/>
    </row>
    <row r="9" spans="1:36" ht="10.15" customHeight="1" x14ac:dyDescent="0.25">
      <c r="A9" s="10" t="s">
        <v>459</v>
      </c>
      <c r="B9" s="5"/>
      <c r="C9" s="195"/>
      <c r="D9" s="197" t="s">
        <v>2</v>
      </c>
      <c r="E9" s="198" t="str">
        <f>Elig_FindMatrixMatch_All</f>
        <v>NSN0041</v>
      </c>
      <c r="F9" s="2123" t="s">
        <v>2519</v>
      </c>
      <c r="G9" s="2124"/>
      <c r="H9" s="428" t="str">
        <f>Output_ProductCode</f>
        <v>IT30F</v>
      </c>
      <c r="I9" s="2053" t="str">
        <f>Output_Msg_Eligibility</f>
        <v xml:space="preserve"> </v>
      </c>
      <c r="J9" s="2054"/>
      <c r="K9" s="2054"/>
      <c r="L9" s="2055"/>
      <c r="M9" s="219"/>
      <c r="N9" s="2184" t="s">
        <v>1702</v>
      </c>
      <c r="O9" s="2185"/>
      <c r="P9" s="2185"/>
      <c r="Q9" s="2186"/>
      <c r="R9" s="244"/>
      <c r="S9" s="220"/>
      <c r="T9" s="220"/>
      <c r="U9" s="110"/>
      <c r="V9" s="110"/>
      <c r="W9" s="110"/>
      <c r="X9" s="110"/>
      <c r="Y9" s="110"/>
      <c r="Z9" s="110"/>
      <c r="AA9" s="110"/>
      <c r="AB9" s="275" t="s">
        <v>76</v>
      </c>
      <c r="AC9" s="111"/>
      <c r="AG9"/>
      <c r="AH9"/>
    </row>
    <row r="10" spans="1:36" ht="10.15" customHeight="1" x14ac:dyDescent="0.25">
      <c r="A10" s="10" t="s">
        <v>459</v>
      </c>
      <c r="B10" s="5"/>
      <c r="C10" s="41"/>
      <c r="D10" s="27" t="s">
        <v>92</v>
      </c>
      <c r="E10" s="19"/>
      <c r="F10" s="1233">
        <v>9</v>
      </c>
      <c r="G10" s="408"/>
      <c r="H10" s="1206">
        <f>IF(Input_Pricing_Type="Points",100-Output_PriceNoteRate,Output_PriceNoteRate)</f>
        <v>101.25</v>
      </c>
      <c r="I10" s="2043" t="str">
        <f>Output_Msg_PriceNoteRate</f>
        <v/>
      </c>
      <c r="J10" s="2044"/>
      <c r="K10" s="2044"/>
      <c r="L10" s="2045"/>
      <c r="M10" s="221"/>
      <c r="N10" s="1062" t="s">
        <v>125</v>
      </c>
      <c r="O10" s="1062" t="s">
        <v>257</v>
      </c>
      <c r="P10" s="1062" t="s">
        <v>101</v>
      </c>
      <c r="Q10" s="1062" t="s">
        <v>476</v>
      </c>
      <c r="R10" s="243"/>
      <c r="S10" s="222"/>
      <c r="T10" s="865" t="s">
        <v>1140</v>
      </c>
      <c r="U10" s="866"/>
      <c r="V10" s="866"/>
      <c r="W10" s="866"/>
      <c r="X10" s="866"/>
      <c r="Y10" s="866"/>
      <c r="Z10" s="866"/>
      <c r="AA10" s="866"/>
      <c r="AB10" s="867"/>
      <c r="AC10" s="43"/>
      <c r="AG10"/>
      <c r="AH10"/>
    </row>
    <row r="11" spans="1:36" ht="10.15" customHeight="1" x14ac:dyDescent="0.25">
      <c r="A11" s="10" t="s">
        <v>459</v>
      </c>
      <c r="B11" s="5"/>
      <c r="C11" s="41"/>
      <c r="D11" s="27" t="s">
        <v>39</v>
      </c>
      <c r="E11" s="19"/>
      <c r="F11" s="2110" t="s">
        <v>38</v>
      </c>
      <c r="G11" s="2111"/>
      <c r="H11" s="1207">
        <f>Input_Pricing_TypeMult*Output_LLPA_Occupancy</f>
        <v>0</v>
      </c>
      <c r="I11" s="2043" t="str">
        <f>Output_Msg_LLPA_Occupancy</f>
        <v/>
      </c>
      <c r="J11" s="2044"/>
      <c r="K11" s="2044"/>
      <c r="L11" s="2045"/>
      <c r="M11" s="221"/>
      <c r="N11" s="1049">
        <f>IF(Structure!E52="na","",Structure!E52)</f>
        <v>13.375</v>
      </c>
      <c r="O11" s="1205">
        <f>IF(Structure!F52="na","",Structure!F52)</f>
        <v>111</v>
      </c>
      <c r="P11" s="1205">
        <f>IF(Structure!G52="na","",Structure!G52)</f>
        <v>-0.125</v>
      </c>
      <c r="Q11" s="1205">
        <f>IF(Structure!H52="na","",Structure!H52)</f>
        <v>102.5</v>
      </c>
      <c r="R11" s="427"/>
      <c r="S11" s="222"/>
      <c r="T11" s="872"/>
      <c r="U11" s="873"/>
      <c r="V11" s="874" t="s">
        <v>1137</v>
      </c>
      <c r="W11" s="875" t="s">
        <v>1138</v>
      </c>
      <c r="X11" s="905" t="s">
        <v>1529</v>
      </c>
      <c r="Y11" s="873"/>
      <c r="Z11" s="873"/>
      <c r="AA11" s="873"/>
      <c r="AB11" s="876"/>
      <c r="AC11" s="43"/>
      <c r="AG11"/>
      <c r="AH11"/>
    </row>
    <row r="12" spans="1:36" ht="10.15" customHeight="1" x14ac:dyDescent="0.25">
      <c r="A12" s="10" t="s">
        <v>459</v>
      </c>
      <c r="B12" s="5"/>
      <c r="C12" s="41"/>
      <c r="D12" s="27" t="s">
        <v>25</v>
      </c>
      <c r="E12" s="19"/>
      <c r="F12" s="409">
        <v>800</v>
      </c>
      <c r="G12" s="410"/>
      <c r="H12" s="429"/>
      <c r="I12" s="2056" t="str">
        <f>Output_Msg_LLPA_CreditScore</f>
        <v/>
      </c>
      <c r="J12" s="2056"/>
      <c r="K12" s="2056"/>
      <c r="L12" s="2057"/>
      <c r="M12" s="221"/>
      <c r="N12" s="1049">
        <f>IF(Structure!E53="na","",Structure!E53)</f>
        <v>13.25</v>
      </c>
      <c r="O12" s="1205">
        <f>IF(Structure!F53="na","",Structure!F53)</f>
        <v>110.875</v>
      </c>
      <c r="P12" s="1205">
        <f>IF(Structure!G53="na","",Structure!G53)</f>
        <v>-0.125</v>
      </c>
      <c r="Q12" s="1205">
        <f>IF(Structure!H53="na","",Structure!H53)</f>
        <v>102.5</v>
      </c>
      <c r="R12" s="243"/>
      <c r="S12" s="222"/>
      <c r="T12" s="432" t="s">
        <v>1139</v>
      </c>
      <c r="U12" s="423"/>
      <c r="V12" s="877">
        <v>500000</v>
      </c>
      <c r="W12" s="899">
        <f>Input_LoanAmt</f>
        <v>150000</v>
      </c>
      <c r="X12" s="5"/>
      <c r="Y12" s="5"/>
      <c r="Z12" s="5"/>
      <c r="AA12" s="5"/>
      <c r="AB12" s="265"/>
      <c r="AC12" s="43"/>
      <c r="AG12"/>
    </row>
    <row r="13" spans="1:36" ht="10.15" customHeight="1" x14ac:dyDescent="0.25">
      <c r="A13" s="10" t="s">
        <v>459</v>
      </c>
      <c r="B13" s="5"/>
      <c r="C13" s="41"/>
      <c r="D13" s="27" t="s">
        <v>1120</v>
      </c>
      <c r="E13" s="19"/>
      <c r="F13" s="411">
        <v>70</v>
      </c>
      <c r="G13" s="410"/>
      <c r="H13" s="430"/>
      <c r="I13" s="2065" t="str">
        <f>Output_Msg_LLPA_LTV</f>
        <v/>
      </c>
      <c r="J13" s="2065"/>
      <c r="K13" s="2065"/>
      <c r="L13" s="2066"/>
      <c r="M13" s="221"/>
      <c r="N13" s="1049">
        <f>IF(Structure!E54="na","",Structure!E54)</f>
        <v>13.125</v>
      </c>
      <c r="O13" s="1205">
        <f>IF(Structure!F54="na","",Structure!F54)</f>
        <v>110.75</v>
      </c>
      <c r="P13" s="1205">
        <f>IF(Structure!G54="na","",Structure!G54)</f>
        <v>-0.125</v>
      </c>
      <c r="Q13" s="1205">
        <f>IF(Structure!H54="na","",Structure!H54)</f>
        <v>102.5</v>
      </c>
      <c r="S13" s="222"/>
      <c r="T13" s="900" t="s">
        <v>125</v>
      </c>
      <c r="U13" s="901"/>
      <c r="V13" s="902">
        <v>4</v>
      </c>
      <c r="W13" s="903">
        <f>Input_NoteRate</f>
        <v>9</v>
      </c>
      <c r="X13" s="904">
        <f>SUMPRODUCT($V$12:$W$12,$V$13:$W$13)/SUM($V$12:$W$12)</f>
        <v>5.1538461538461542</v>
      </c>
      <c r="Y13" s="5"/>
      <c r="Z13" s="5"/>
      <c r="AA13" s="5"/>
      <c r="AB13" s="265"/>
      <c r="AC13" s="43"/>
      <c r="AF13"/>
      <c r="AG13"/>
    </row>
    <row r="14" spans="1:36" ht="10.15" customHeight="1" x14ac:dyDescent="0.25">
      <c r="A14" s="10" t="s">
        <v>459</v>
      </c>
      <c r="B14" s="5"/>
      <c r="C14" s="41"/>
      <c r="D14" s="28" t="s">
        <v>8</v>
      </c>
      <c r="E14" s="19"/>
      <c r="F14" s="412">
        <v>150000</v>
      </c>
      <c r="G14" s="410"/>
      <c r="H14" s="1208">
        <f>Input_Pricing_TypeMult*Output_LLPA_LoanAmt</f>
        <v>0</v>
      </c>
      <c r="I14" s="2064" t="str">
        <f>Output_Msg_LLPA_LoanAmt</f>
        <v xml:space="preserve"> </v>
      </c>
      <c r="J14" s="2065"/>
      <c r="K14" s="2065"/>
      <c r="L14" s="2066"/>
      <c r="M14" s="221"/>
      <c r="N14" s="1049">
        <f>IF(Structure!E55="na","",Structure!E55)</f>
        <v>13</v>
      </c>
      <c r="O14" s="1205">
        <f>IF(Structure!F55="na","",Structure!F55)</f>
        <v>110.625</v>
      </c>
      <c r="P14" s="1205">
        <f>IF(Structure!G55="na","",Structure!G55)</f>
        <v>-0.125</v>
      </c>
      <c r="Q14" s="1205">
        <f>IF(Structure!H55="na","",Structure!H55)</f>
        <v>102.5</v>
      </c>
      <c r="S14" s="222"/>
      <c r="T14" s="269"/>
      <c r="U14" s="268"/>
      <c r="V14" s="268"/>
      <c r="W14" s="268"/>
      <c r="X14" s="268"/>
      <c r="Y14" s="268"/>
      <c r="Z14" s="268"/>
      <c r="AA14" s="268"/>
      <c r="AB14" s="270"/>
      <c r="AC14" s="43"/>
      <c r="AE14"/>
      <c r="AF14"/>
    </row>
    <row r="15" spans="1:36" ht="10.15" customHeight="1" x14ac:dyDescent="0.25">
      <c r="A15" s="10" t="s">
        <v>459</v>
      </c>
      <c r="B15" s="5"/>
      <c r="C15" s="41"/>
      <c r="D15" s="29" t="s">
        <v>42</v>
      </c>
      <c r="E15" s="19"/>
      <c r="F15" s="2182" t="s">
        <v>1</v>
      </c>
      <c r="G15" s="2183"/>
      <c r="H15" s="1209">
        <f>Input_Pricing_TypeMult*Output_LLPA_AmortTerm</f>
        <v>0</v>
      </c>
      <c r="I15" s="2043" t="str">
        <f>Output_Msg_LLPA_AmortTerm</f>
        <v/>
      </c>
      <c r="J15" s="2044"/>
      <c r="K15" s="2044"/>
      <c r="L15" s="2045"/>
      <c r="M15" s="221"/>
      <c r="N15" s="1049">
        <f>IF(Structure!E56="na","",Structure!E56)</f>
        <v>12.875</v>
      </c>
      <c r="O15" s="1205">
        <f>IF(Structure!F56="na","",Structure!F56)</f>
        <v>110.5</v>
      </c>
      <c r="P15" s="1205">
        <f>IF(Structure!G56="na","",Structure!G56)</f>
        <v>-0.125</v>
      </c>
      <c r="Q15" s="1205">
        <f>IF(Structure!H56="na","",Structure!H56)</f>
        <v>102.5</v>
      </c>
      <c r="S15" s="222"/>
      <c r="T15" s="5"/>
      <c r="U15" s="5"/>
      <c r="V15" s="5"/>
      <c r="W15" s="5"/>
      <c r="X15" s="5"/>
      <c r="Y15" s="5"/>
      <c r="Z15" s="5"/>
      <c r="AA15" s="5"/>
      <c r="AB15" s="5"/>
      <c r="AC15" s="43"/>
      <c r="AE15"/>
      <c r="AF15"/>
    </row>
    <row r="16" spans="1:36" ht="10.15" customHeight="1" x14ac:dyDescent="0.25">
      <c r="A16" s="10" t="s">
        <v>459</v>
      </c>
      <c r="B16" s="5"/>
      <c r="C16" s="41"/>
      <c r="D16" s="29" t="s">
        <v>167</v>
      </c>
      <c r="E16" s="19"/>
      <c r="F16" s="2112" t="s">
        <v>98</v>
      </c>
      <c r="G16" s="2113"/>
      <c r="H16" s="1207">
        <f>Input_Pricing_TypeMult*Output_LLPA_AmortType</f>
        <v>0</v>
      </c>
      <c r="I16" s="2058" t="str">
        <f>Output_Msg_LLPA_AmortType</f>
        <v/>
      </c>
      <c r="J16" s="2059"/>
      <c r="K16" s="2059"/>
      <c r="L16" s="2060"/>
      <c r="M16" s="221"/>
      <c r="N16" s="1049">
        <f>IF(Structure!E57="na","",Structure!E57)</f>
        <v>12.75</v>
      </c>
      <c r="O16" s="1205">
        <f>IF(Structure!F57="na","",Structure!F57)</f>
        <v>110.375</v>
      </c>
      <c r="P16" s="1205">
        <f>IF(Structure!G57="na","",Structure!G57)</f>
        <v>-0.125</v>
      </c>
      <c r="Q16" s="1205">
        <f>IF(Structure!H57="na","",Structure!H57)</f>
        <v>102.5</v>
      </c>
      <c r="S16" s="222"/>
      <c r="T16" s="868" t="s">
        <v>1845</v>
      </c>
      <c r="U16" s="869"/>
      <c r="V16" s="869"/>
      <c r="W16" s="869"/>
      <c r="X16" s="869"/>
      <c r="Y16" s="869"/>
      <c r="Z16" s="869"/>
      <c r="AA16" s="869"/>
      <c r="AB16" s="870"/>
      <c r="AC16" s="43"/>
      <c r="AE16"/>
    </row>
    <row r="17" spans="1:34" ht="10.15" customHeight="1" x14ac:dyDescent="0.25">
      <c r="A17" s="10" t="s">
        <v>459</v>
      </c>
      <c r="B17" s="5"/>
      <c r="C17" s="41"/>
      <c r="D17" s="27" t="s">
        <v>72</v>
      </c>
      <c r="E17" s="30" t="str">
        <f>LEFT(Input_DocType,2)</f>
        <v>09</v>
      </c>
      <c r="F17" s="2189" t="s">
        <v>189</v>
      </c>
      <c r="G17" s="2183"/>
      <c r="H17" s="1209">
        <f>Input_Pricing_TypeMult*Output_LLPA_DocType</f>
        <v>-2.125</v>
      </c>
      <c r="I17" s="2061" t="str">
        <f>Output_Msg_LLPA_DocType</f>
        <v>Investor DSCR</v>
      </c>
      <c r="J17" s="2062"/>
      <c r="K17" s="2062"/>
      <c r="L17" s="2063"/>
      <c r="M17" s="221"/>
      <c r="N17" s="1049">
        <f>IF(Structure!E58="na","",Structure!E58)</f>
        <v>12.625</v>
      </c>
      <c r="O17" s="1205">
        <f>IF(Structure!F58="na","",Structure!F58)</f>
        <v>110.125</v>
      </c>
      <c r="P17" s="1205">
        <f>IF(Structure!G58="na","",Structure!G58)</f>
        <v>-0.125</v>
      </c>
      <c r="Q17" s="1205">
        <f>IF(Structure!H58="na","",Structure!H58)</f>
        <v>102.5</v>
      </c>
      <c r="S17" s="222"/>
      <c r="T17" s="2107" t="s">
        <v>1547</v>
      </c>
      <c r="U17" s="2108"/>
      <c r="V17" s="2108"/>
      <c r="W17" s="2109"/>
      <c r="X17" s="2107" t="s">
        <v>1548</v>
      </c>
      <c r="Y17" s="2108"/>
      <c r="Z17" s="2108"/>
      <c r="AA17" s="2108"/>
      <c r="AB17" s="2109"/>
      <c r="AC17" s="43"/>
      <c r="AE17"/>
      <c r="AH17"/>
    </row>
    <row r="18" spans="1:34" ht="10.15" customHeight="1" x14ac:dyDescent="0.25">
      <c r="A18" s="10" t="s">
        <v>459</v>
      </c>
      <c r="B18" s="5"/>
      <c r="C18" s="41"/>
      <c r="D18" s="27" t="s">
        <v>81</v>
      </c>
      <c r="E18" s="19"/>
      <c r="F18" s="2112" t="s">
        <v>135</v>
      </c>
      <c r="G18" s="2113"/>
      <c r="H18" s="1210">
        <f>Input_Pricing_TypeMult*Output_LLPA_BankStmt</f>
        <v>0</v>
      </c>
      <c r="I18" s="2061"/>
      <c r="J18" s="2062"/>
      <c r="K18" s="2062"/>
      <c r="L18" s="2063"/>
      <c r="M18" s="221"/>
      <c r="N18" s="1049">
        <f>IF(Structure!E59="na","",Structure!E59)</f>
        <v>12.5</v>
      </c>
      <c r="O18" s="1205">
        <f>IF(Structure!F59="na","",Structure!F59)</f>
        <v>109.875</v>
      </c>
      <c r="P18" s="1205">
        <f>IF(Structure!G59="na","",Structure!G59)</f>
        <v>-0.125</v>
      </c>
      <c r="Q18" s="1205">
        <f>IF(Structure!H59="na","",Structure!H59)</f>
        <v>102.5</v>
      </c>
      <c r="S18" s="222"/>
      <c r="T18" s="2125"/>
      <c r="U18" s="2126"/>
      <c r="V18" s="929" t="s">
        <v>1549</v>
      </c>
      <c r="W18" s="930" t="s">
        <v>1335</v>
      </c>
      <c r="X18" s="2080" t="s">
        <v>1552</v>
      </c>
      <c r="Y18" s="2081"/>
      <c r="Z18" s="932" t="s">
        <v>1440</v>
      </c>
      <c r="AA18" s="932" t="s">
        <v>1518</v>
      </c>
      <c r="AB18" s="932" t="s">
        <v>1496</v>
      </c>
      <c r="AC18" s="43"/>
      <c r="AE18"/>
      <c r="AH18"/>
    </row>
    <row r="19" spans="1:34" ht="10.15" customHeight="1" x14ac:dyDescent="0.25">
      <c r="A19" s="10" t="s">
        <v>459</v>
      </c>
      <c r="B19" s="5"/>
      <c r="C19" s="41"/>
      <c r="D19" s="27" t="s">
        <v>249</v>
      </c>
      <c r="E19" s="19"/>
      <c r="F19" s="413">
        <v>12</v>
      </c>
      <c r="G19" s="414"/>
      <c r="H19" s="1207">
        <f>Input_Pricing_TypeMult*Output_LLPA_ReservesMonths</f>
        <v>0</v>
      </c>
      <c r="I19" s="2043" t="str">
        <f>Output_Msg_LLPA_ReservesMonths</f>
        <v/>
      </c>
      <c r="J19" s="2044"/>
      <c r="K19" s="2044"/>
      <c r="L19" s="2045"/>
      <c r="M19" s="221"/>
      <c r="N19" s="1049">
        <f>IF(Structure!E60="na","",Structure!E60)</f>
        <v>12.375</v>
      </c>
      <c r="O19" s="1205">
        <f>IF(Structure!F60="na","",Structure!F60)</f>
        <v>109.625</v>
      </c>
      <c r="P19" s="1205">
        <f>IF(Structure!G60="na","",Structure!G60)</f>
        <v>-0.125</v>
      </c>
      <c r="Q19" s="1205">
        <f>IF(Structure!H60="na","",Structure!H60)</f>
        <v>102.5</v>
      </c>
      <c r="S19" s="222"/>
      <c r="T19" s="879" t="s">
        <v>1503</v>
      </c>
      <c r="U19" s="922"/>
      <c r="V19" s="1234">
        <f>Input_Fees_Points*Input_LoanAmt</f>
        <v>-2250</v>
      </c>
      <c r="W19" s="898">
        <v>-1.4999999999999999E-2</v>
      </c>
      <c r="X19" s="934" t="s">
        <v>1550</v>
      </c>
      <c r="Y19" s="935"/>
      <c r="Z19" s="936">
        <f>Lookup_APR_Federal</f>
        <v>9.3095055330460568</v>
      </c>
      <c r="AA19" s="937">
        <f>Input_Calc_APRTotalFeesPct</f>
        <v>2.7800000000000002E-2</v>
      </c>
      <c r="AB19" s="931"/>
      <c r="AC19" s="43"/>
      <c r="AE19"/>
      <c r="AH19"/>
    </row>
    <row r="20" spans="1:34" ht="10.15" customHeight="1" x14ac:dyDescent="0.25">
      <c r="A20" s="10" t="s">
        <v>459</v>
      </c>
      <c r="B20" s="5"/>
      <c r="C20" s="41"/>
      <c r="D20" s="27" t="s">
        <v>14</v>
      </c>
      <c r="E20" s="19"/>
      <c r="F20" s="415">
        <v>0</v>
      </c>
      <c r="G20" s="414"/>
      <c r="H20" s="1211">
        <f>Input_Pricing_TypeMult*Output_LLPA_DTI</f>
        <v>0</v>
      </c>
      <c r="I20" s="2064" t="str">
        <f>Output_Msg_LLPA_DTI</f>
        <v/>
      </c>
      <c r="J20" s="2065"/>
      <c r="K20" s="2065"/>
      <c r="L20" s="2066"/>
      <c r="M20" s="221"/>
      <c r="N20" s="1049">
        <f>IF(Structure!E61="na","",Structure!E61)</f>
        <v>12.25</v>
      </c>
      <c r="O20" s="1205">
        <f>IF(Structure!F61="na","",Structure!F61)</f>
        <v>109.375</v>
      </c>
      <c r="P20" s="1205">
        <f>IF(Structure!G61="na","",Structure!G61)</f>
        <v>-0.125</v>
      </c>
      <c r="Q20" s="1205">
        <f>IF(Structure!H61="na","",Structure!H61)</f>
        <v>102.5</v>
      </c>
      <c r="S20" s="222"/>
      <c r="T20" s="880" t="s">
        <v>1504</v>
      </c>
      <c r="U20" s="424"/>
      <c r="V20" s="1556">
        <f>Output_Display_Required_UWFee</f>
        <v>1195</v>
      </c>
      <c r="W20" s="921">
        <f>Input_Fees_UpfrontLender/Input_LoanAmt</f>
        <v>7.966666666666667E-3</v>
      </c>
      <c r="X20" s="879" t="s">
        <v>1546</v>
      </c>
      <c r="Y20" s="926"/>
      <c r="Z20" s="918">
        <f>HC_Fed_APR_Threshold</f>
        <v>15.39</v>
      </c>
      <c r="AA20" s="915">
        <f>IFERROR(HC_Fed_PtsFees_Threshold/100,HC_Fed_PtsFees_Threshold)</f>
        <v>0.05</v>
      </c>
      <c r="AB20" s="939" t="str">
        <f>Test_HighCost_Federal_Msg3</f>
        <v>Pass</v>
      </c>
      <c r="AC20" s="43"/>
      <c r="AE20"/>
      <c r="AH20"/>
    </row>
    <row r="21" spans="1:34" ht="10.15" customHeight="1" x14ac:dyDescent="0.25">
      <c r="A21" s="10" t="s">
        <v>459</v>
      </c>
      <c r="B21" s="5"/>
      <c r="C21" s="41"/>
      <c r="D21" s="27" t="s">
        <v>62</v>
      </c>
      <c r="E21" s="19"/>
      <c r="F21" s="416">
        <v>1.25</v>
      </c>
      <c r="G21" s="414"/>
      <c r="H21" s="1212">
        <f>Input_Pricing_TypeMult*Output_LLPA_DSCR</f>
        <v>0</v>
      </c>
      <c r="I21" s="2064" t="str">
        <f>Output_Msg_LLPA_DSCR</f>
        <v/>
      </c>
      <c r="J21" s="2065"/>
      <c r="K21" s="2065"/>
      <c r="L21" s="2066"/>
      <c r="M21" s="221"/>
      <c r="N21" s="1049">
        <f>IF(Structure!E62="na","",Structure!E62)</f>
        <v>12.125</v>
      </c>
      <c r="O21" s="1205">
        <f>IF(Structure!F62="na","",Structure!F62)</f>
        <v>109.125</v>
      </c>
      <c r="P21" s="1205">
        <f>IF(Structure!G62="na","",Structure!G62)</f>
        <v>-0.125</v>
      </c>
      <c r="Q21" s="1205">
        <f>IF(Structure!H62="na","",Structure!H62)</f>
        <v>102.5</v>
      </c>
      <c r="S21" s="222"/>
      <c r="T21" s="880" t="s">
        <v>1505</v>
      </c>
      <c r="U21" s="424"/>
      <c r="V21" s="425">
        <v>1000</v>
      </c>
      <c r="W21" s="911">
        <f>Input_Fees_UpfrontBroker/Input_LoanAmt</f>
        <v>6.6666666666666671E-3</v>
      </c>
      <c r="X21" s="883" t="s">
        <v>1486</v>
      </c>
      <c r="Y21" s="927"/>
      <c r="Z21" s="919">
        <f>HC_State_APR_Threshold</f>
        <v>12.96</v>
      </c>
      <c r="AA21" s="916">
        <f>HC_State_PtsFees_Threshold/100</f>
        <v>0.06</v>
      </c>
      <c r="AB21" s="940" t="str">
        <f>Test_HighCost_State_Msg3</f>
        <v>Pass</v>
      </c>
      <c r="AC21" s="43"/>
      <c r="AE21"/>
      <c r="AH21"/>
    </row>
    <row r="22" spans="1:34" ht="10.15" customHeight="1" x14ac:dyDescent="0.25">
      <c r="A22" s="10" t="s">
        <v>459</v>
      </c>
      <c r="B22" s="5"/>
      <c r="C22" s="41"/>
      <c r="D22" s="27" t="s">
        <v>33</v>
      </c>
      <c r="E22" s="19"/>
      <c r="F22" s="2123" t="s">
        <v>34</v>
      </c>
      <c r="G22" s="2124"/>
      <c r="H22" s="1209">
        <f>Input_Pricing_TypeMult*Output_LLPA_Purpose</f>
        <v>0</v>
      </c>
      <c r="I22" s="2043" t="str">
        <f>Output_Msg_LLPA_Purpose</f>
        <v xml:space="preserve"> </v>
      </c>
      <c r="J22" s="2044"/>
      <c r="K22" s="2044"/>
      <c r="L22" s="2045"/>
      <c r="M22" s="221"/>
      <c r="N22" s="1049">
        <f>IF(Structure!E63="na","",Structure!E63)</f>
        <v>12</v>
      </c>
      <c r="O22" s="1205">
        <f>IF(Structure!F63="na","",Structure!F63)</f>
        <v>108.875</v>
      </c>
      <c r="P22" s="1205">
        <f>IF(Structure!G63="na","",Structure!G63)</f>
        <v>-0.125</v>
      </c>
      <c r="Q22" s="1205">
        <f>IF(Structure!H63="na","",Structure!H63)</f>
        <v>102.5</v>
      </c>
      <c r="S22" s="222"/>
      <c r="T22" s="880" t="s">
        <v>1507</v>
      </c>
      <c r="U22" s="424"/>
      <c r="V22" s="425">
        <v>0</v>
      </c>
      <c r="W22" s="911">
        <f>Input_Fees_Upfront3rdParty/Input_LoanAmt</f>
        <v>0</v>
      </c>
      <c r="X22" s="883" t="s">
        <v>1487</v>
      </c>
      <c r="Y22" s="927"/>
      <c r="Z22" s="919">
        <f>QM_APR_Threshold</f>
        <v>9.14</v>
      </c>
      <c r="AA22" s="917">
        <f>QM_PtsFees_Threshold/100</f>
        <v>0.03</v>
      </c>
      <c r="AB22" s="940" t="str">
        <f>Test_QM_Msg3</f>
        <v>Exempt</v>
      </c>
      <c r="AC22" s="43"/>
      <c r="AE22"/>
      <c r="AF22"/>
      <c r="AG22"/>
      <c r="AH22"/>
    </row>
    <row r="23" spans="1:34" ht="10.15" customHeight="1" x14ac:dyDescent="0.25">
      <c r="A23" s="10" t="s">
        <v>459</v>
      </c>
      <c r="B23" s="5"/>
      <c r="C23" s="41"/>
      <c r="D23" s="28" t="s">
        <v>255</v>
      </c>
      <c r="E23" s="19"/>
      <c r="F23" s="417">
        <v>0</v>
      </c>
      <c r="G23" s="414"/>
      <c r="H23" s="1213">
        <f>Input_Pricing_TypeMult*Output_LLPA_CashoutAmt</f>
        <v>0</v>
      </c>
      <c r="I23" s="2064" t="str">
        <f>Output_Msg_LLPA_CashoutAmt</f>
        <v/>
      </c>
      <c r="J23" s="2065"/>
      <c r="K23" s="2065"/>
      <c r="L23" s="2066"/>
      <c r="M23" s="221"/>
      <c r="N23" s="1049">
        <f>IF(Structure!E64="na","",Structure!E64)</f>
        <v>11.875</v>
      </c>
      <c r="O23" s="1205">
        <f>IF(Structure!F64="na","",Structure!F64)</f>
        <v>108.625</v>
      </c>
      <c r="P23" s="1205">
        <f>IF(Structure!G64="na","",Structure!G64)</f>
        <v>-0.125</v>
      </c>
      <c r="Q23" s="1205">
        <f>IF(Structure!H64="na","",Structure!H64)</f>
        <v>102.5</v>
      </c>
      <c r="S23" s="222"/>
      <c r="T23" s="880" t="s">
        <v>1506</v>
      </c>
      <c r="U23" s="878"/>
      <c r="V23" s="425">
        <v>850</v>
      </c>
      <c r="W23" s="911">
        <f>Input_Fees_UpfrontOther/Input_LoanAmt</f>
        <v>5.6666666666666671E-3</v>
      </c>
      <c r="X23" s="881" t="s">
        <v>1499</v>
      </c>
      <c r="Y23" s="928"/>
      <c r="Z23" s="920">
        <f>HP_Fed_APR_Threshold</f>
        <v>10.39</v>
      </c>
      <c r="AA23" s="884"/>
      <c r="AB23" s="941" t="str">
        <f>Test_HPML_Msg3</f>
        <v>Pass</v>
      </c>
      <c r="AC23" s="43"/>
      <c r="AE23"/>
      <c r="AF23"/>
      <c r="AG23"/>
      <c r="AH23"/>
    </row>
    <row r="24" spans="1:34" ht="10.15" customHeight="1" x14ac:dyDescent="0.25">
      <c r="A24" s="10" t="s">
        <v>459</v>
      </c>
      <c r="B24" s="5"/>
      <c r="C24" s="41"/>
      <c r="D24" s="27" t="s">
        <v>36</v>
      </c>
      <c r="E24" s="19"/>
      <c r="F24" s="2190" t="s">
        <v>83</v>
      </c>
      <c r="G24" s="2191"/>
      <c r="H24" s="1211">
        <f>Input_Pricing_TypeMult*Output_LLPA_PropertyType</f>
        <v>0</v>
      </c>
      <c r="I24" s="2043" t="str">
        <f>Output_Msg_LLPA_PropertyType</f>
        <v xml:space="preserve"> </v>
      </c>
      <c r="J24" s="2044"/>
      <c r="K24" s="2044"/>
      <c r="L24" s="2045"/>
      <c r="M24" s="221"/>
      <c r="N24" s="1049">
        <f>IF(Structure!E65="na","",Structure!E65)</f>
        <v>11.75</v>
      </c>
      <c r="O24" s="1205">
        <f>IF(Structure!F65="na","",Structure!F65)</f>
        <v>108.375</v>
      </c>
      <c r="P24" s="1205">
        <f>IF(Structure!G65="na","",Structure!G65)</f>
        <v>-0.125</v>
      </c>
      <c r="Q24" s="1205">
        <f>IF(Structure!H65="na","",Structure!H65)</f>
        <v>102.5</v>
      </c>
      <c r="S24" s="222"/>
      <c r="T24" s="881" t="s">
        <v>1523</v>
      </c>
      <c r="U24" s="882">
        <v>30</v>
      </c>
      <c r="V24" s="933">
        <f>(Input_NoteRate/36000)*Input_Fees_UpfrontPrepaidInterestDays*Input_LoanAmt</f>
        <v>1125</v>
      </c>
      <c r="W24" s="912">
        <f>Input_Fees_UpfrontPrepaidInterest/Input_LoanAmt</f>
        <v>7.4999999999999997E-3</v>
      </c>
      <c r="X24" s="913" t="s">
        <v>1463</v>
      </c>
      <c r="Y24" s="914"/>
      <c r="Z24" s="2070" t="str">
        <f>Test_Results_LoanType</f>
        <v>NonQM</v>
      </c>
      <c r="AA24" s="2071"/>
      <c r="AB24" s="2072"/>
      <c r="AC24" s="43"/>
      <c r="AE24"/>
      <c r="AF24"/>
      <c r="AG24"/>
      <c r="AH24"/>
    </row>
    <row r="25" spans="1:34" ht="10.15" customHeight="1" x14ac:dyDescent="0.25">
      <c r="A25" s="10" t="s">
        <v>459</v>
      </c>
      <c r="B25" s="5"/>
      <c r="C25" s="41"/>
      <c r="D25" s="27" t="s">
        <v>427</v>
      </c>
      <c r="E25" s="19"/>
      <c r="F25" s="2187" t="s">
        <v>425</v>
      </c>
      <c r="G25" s="2188"/>
      <c r="H25" s="1210" cm="1">
        <f t="array" ref="H25">Input_Pricing_TypeMult*Output_LLPA_ValuationType</f>
        <v>0</v>
      </c>
      <c r="I25" s="2043" t="str">
        <f>Output_Msg_LLPA_ValuationType</f>
        <v xml:space="preserve"> </v>
      </c>
      <c r="J25" s="2044"/>
      <c r="K25" s="2044"/>
      <c r="L25" s="2045"/>
      <c r="M25" s="221"/>
      <c r="N25" s="1049">
        <f>IF(Structure!E66="na","",Structure!E66)</f>
        <v>11.625</v>
      </c>
      <c r="O25" s="1205">
        <f>IF(Structure!F66="na","",Structure!F66)</f>
        <v>108.125</v>
      </c>
      <c r="P25" s="1205">
        <f>IF(Structure!G66="na","",Structure!G66)</f>
        <v>-0.125</v>
      </c>
      <c r="Q25" s="1205">
        <f>IF(Structure!H66="na","",Structure!H66)</f>
        <v>102.5</v>
      </c>
      <c r="S25" s="222"/>
      <c r="T25" s="923"/>
      <c r="U25" s="925"/>
      <c r="V25" s="925"/>
      <c r="W25" s="924"/>
      <c r="X25" s="885" t="s">
        <v>427</v>
      </c>
      <c r="Y25" s="886"/>
      <c r="Z25" s="2073" t="str">
        <f>Test_Results_Valuation</f>
        <v>AVM</v>
      </c>
      <c r="AA25" s="2074"/>
      <c r="AB25" s="2075"/>
      <c r="AC25" s="43"/>
      <c r="AE25"/>
      <c r="AF25"/>
      <c r="AG25"/>
      <c r="AH25"/>
    </row>
    <row r="26" spans="1:34" ht="10.15" customHeight="1" x14ac:dyDescent="0.25">
      <c r="A26" s="10" t="s">
        <v>459</v>
      </c>
      <c r="B26" s="5"/>
      <c r="C26" s="41"/>
      <c r="D26" s="27" t="s">
        <v>40</v>
      </c>
      <c r="E26" s="19"/>
      <c r="F26" s="2134" t="s">
        <v>41</v>
      </c>
      <c r="G26" s="2135"/>
      <c r="H26" s="1212">
        <f>Input_Pricing_TypeMult*Output_LLPA_State</f>
        <v>0</v>
      </c>
      <c r="I26" s="2043" t="str">
        <f>Output_Msg_LLPA_State</f>
        <v xml:space="preserve"> </v>
      </c>
      <c r="J26" s="2044"/>
      <c r="K26" s="2044"/>
      <c r="L26" s="2045"/>
      <c r="M26" s="221"/>
      <c r="N26" s="1049">
        <f>IF(Structure!E67="na","",Structure!E67)</f>
        <v>11.5</v>
      </c>
      <c r="O26" s="1205">
        <f>IF(Structure!F67="na","",Structure!F67)</f>
        <v>107.875</v>
      </c>
      <c r="P26" s="1205">
        <f>IF(Structure!G67="na","",Structure!G67)</f>
        <v>-0.125</v>
      </c>
      <c r="Q26" s="1205">
        <f>IF(Structure!H67="na","",Structure!H67)</f>
        <v>102.5</v>
      </c>
      <c r="S26" s="222"/>
      <c r="T26" s="5"/>
      <c r="U26" s="5"/>
      <c r="V26" s="5"/>
      <c r="W26" s="5"/>
      <c r="X26" s="5"/>
      <c r="Y26" s="5"/>
      <c r="Z26" s="5"/>
      <c r="AA26" s="5"/>
      <c r="AB26" s="5"/>
      <c r="AC26" s="43"/>
      <c r="AE26"/>
      <c r="AF26"/>
      <c r="AG26"/>
      <c r="AH26"/>
    </row>
    <row r="27" spans="1:34" ht="10.15" customHeight="1" x14ac:dyDescent="0.25">
      <c r="A27" s="10" t="s">
        <v>459</v>
      </c>
      <c r="B27" s="5"/>
      <c r="C27" s="41"/>
      <c r="D27" s="27" t="s">
        <v>43</v>
      </c>
      <c r="E27" s="19"/>
      <c r="F27" s="2134" t="s">
        <v>124</v>
      </c>
      <c r="G27" s="2135"/>
      <c r="H27" s="1209">
        <f>Input_Pricing_TypeMult*Output_LLPA_CreditHistory</f>
        <v>0</v>
      </c>
      <c r="I27" s="2061" t="str">
        <f>Output_Msg_LLPA_CreditHistory</f>
        <v xml:space="preserve"> </v>
      </c>
      <c r="J27" s="2062"/>
      <c r="K27" s="2062"/>
      <c r="L27" s="2063"/>
      <c r="M27" s="221"/>
      <c r="N27" s="1049">
        <f>IF(Structure!E68="na","",Structure!E68)</f>
        <v>11.375</v>
      </c>
      <c r="O27" s="1205">
        <f>IF(Structure!F68="na","",Structure!F68)</f>
        <v>107.625</v>
      </c>
      <c r="P27" s="1205">
        <f>IF(Structure!G68="na","",Structure!G68)</f>
        <v>-0.125</v>
      </c>
      <c r="Q27" s="1205">
        <f>IF(Structure!H68="na","",Structure!H68)</f>
        <v>102.5</v>
      </c>
      <c r="S27" s="222"/>
      <c r="T27" s="868" t="s">
        <v>150</v>
      </c>
      <c r="U27" s="869"/>
      <c r="V27" s="869"/>
      <c r="W27" s="869"/>
      <c r="X27" s="869"/>
      <c r="Y27" s="869"/>
      <c r="Z27" s="869"/>
      <c r="AA27" s="869"/>
      <c r="AB27" s="870"/>
      <c r="AC27" s="43"/>
      <c r="AE27"/>
      <c r="AF27"/>
      <c r="AG27"/>
      <c r="AH27"/>
    </row>
    <row r="28" spans="1:34" ht="10.15" customHeight="1" x14ac:dyDescent="0.25">
      <c r="A28" s="10" t="s">
        <v>459</v>
      </c>
      <c r="B28" s="5"/>
      <c r="C28" s="41"/>
      <c r="D28" s="27" t="s">
        <v>44</v>
      </c>
      <c r="E28" s="19"/>
      <c r="F28" s="2134" t="s">
        <v>1835</v>
      </c>
      <c r="G28" s="2135"/>
      <c r="H28" s="1207">
        <f>Input_Pricing_TypeMult*Output_LLPA_HousingHistory</f>
        <v>0</v>
      </c>
      <c r="I28" s="2061" t="str">
        <f>Output_Msg_LLPA_HousingHistory</f>
        <v xml:space="preserve"> </v>
      </c>
      <c r="J28" s="2062"/>
      <c r="K28" s="2062"/>
      <c r="L28" s="2063"/>
      <c r="M28" s="221"/>
      <c r="N28" s="1049">
        <f>IF(Structure!E69="na","",Structure!E69)</f>
        <v>11.25</v>
      </c>
      <c r="O28" s="1205">
        <f>IF(Structure!F69="na","",Structure!F69)</f>
        <v>107.375</v>
      </c>
      <c r="P28" s="1205">
        <f>IF(Structure!G69="na","",Structure!G69)</f>
        <v>-0.125</v>
      </c>
      <c r="Q28" s="1205">
        <f>IF(Structure!H69="na","",Structure!H69)</f>
        <v>102.5</v>
      </c>
      <c r="S28" s="222"/>
      <c r="T28" s="850" t="s">
        <v>363</v>
      </c>
      <c r="U28" s="851"/>
      <c r="V28" s="852" t="s">
        <v>76</v>
      </c>
      <c r="W28" s="853"/>
      <c r="X28" s="853"/>
      <c r="Y28" s="853"/>
      <c r="Z28" s="853"/>
      <c r="AA28" s="853"/>
      <c r="AB28" s="854"/>
      <c r="AC28" s="43"/>
      <c r="AE28"/>
      <c r="AF28"/>
      <c r="AG28"/>
      <c r="AH28"/>
    </row>
    <row r="29" spans="1:34" ht="10.15" customHeight="1" x14ac:dyDescent="0.25">
      <c r="A29" s="10" t="s">
        <v>459</v>
      </c>
      <c r="B29" s="5"/>
      <c r="C29" s="41"/>
      <c r="D29" s="28" t="s">
        <v>46</v>
      </c>
      <c r="E29" s="19"/>
      <c r="F29" s="2136" t="s">
        <v>216</v>
      </c>
      <c r="G29" s="2137"/>
      <c r="H29" s="1211">
        <f>Input_Pricing_TypeMult*Output_LLPA_Citizenship</f>
        <v>0</v>
      </c>
      <c r="I29" s="2061" t="str">
        <f>Output_Msg_LLPA_Citizenship</f>
        <v/>
      </c>
      <c r="J29" s="2062"/>
      <c r="K29" s="2062"/>
      <c r="L29" s="2063"/>
      <c r="M29" s="221"/>
      <c r="N29" s="1049">
        <f>IF(Structure!E70="na","",Structure!E70)</f>
        <v>11.125</v>
      </c>
      <c r="O29" s="1205">
        <f>IF(Structure!F70="na","",Structure!F70)</f>
        <v>107.125</v>
      </c>
      <c r="P29" s="1205">
        <f>IF(Structure!G70="na","",Structure!G70)</f>
        <v>-0.125</v>
      </c>
      <c r="Q29" s="1205">
        <f>IF(Structure!H70="na","",Structure!H70)</f>
        <v>102.5</v>
      </c>
      <c r="S29" s="222"/>
      <c r="T29" s="855" t="s">
        <v>364</v>
      </c>
      <c r="U29" s="848"/>
      <c r="V29" s="849" t="s">
        <v>76</v>
      </c>
      <c r="W29" s="426"/>
      <c r="X29" s="426"/>
      <c r="Y29" s="426"/>
      <c r="Z29" s="426"/>
      <c r="AA29" s="426"/>
      <c r="AB29" s="856"/>
      <c r="AC29" s="43"/>
      <c r="AE29"/>
      <c r="AF29"/>
      <c r="AG29"/>
      <c r="AH29"/>
    </row>
    <row r="30" spans="1:34" ht="10.15" customHeight="1" x14ac:dyDescent="0.25">
      <c r="A30" s="10" t="s">
        <v>459</v>
      </c>
      <c r="B30" s="5"/>
      <c r="C30" s="41"/>
      <c r="D30" s="28" t="s">
        <v>2416</v>
      </c>
      <c r="E30" s="19"/>
      <c r="F30" s="2138" t="s">
        <v>1811</v>
      </c>
      <c r="G30" s="2139"/>
      <c r="H30" s="1211" cm="1">
        <f t="array" ref="H30">Input_Pricing_TypeMult*Output_LLPA_Employment</f>
        <v>0</v>
      </c>
      <c r="I30" s="2061" t="str">
        <f>Output_Msg_LLPA_Employment</f>
        <v/>
      </c>
      <c r="J30" s="2062"/>
      <c r="K30" s="2062"/>
      <c r="L30" s="2063"/>
      <c r="M30" s="221"/>
      <c r="N30" s="1049">
        <f>IF(Structure!E71="na","",Structure!E71)</f>
        <v>11</v>
      </c>
      <c r="O30" s="1205">
        <f>IF(Structure!F71="na","",Structure!F71)</f>
        <v>106.875</v>
      </c>
      <c r="P30" s="1205">
        <f>IF(Structure!G71="na","",Structure!G71)</f>
        <v>-0.125</v>
      </c>
      <c r="Q30" s="1205">
        <f>IF(Structure!H71="na","",Structure!H71)</f>
        <v>102.5</v>
      </c>
      <c r="S30" s="222"/>
      <c r="T30" s="855" t="s">
        <v>160</v>
      </c>
      <c r="U30" s="848"/>
      <c r="V30" s="849" t="s">
        <v>76</v>
      </c>
      <c r="W30" s="426"/>
      <c r="X30" s="426"/>
      <c r="Y30" s="426"/>
      <c r="Z30" s="426"/>
      <c r="AA30" s="426"/>
      <c r="AB30" s="856"/>
      <c r="AC30" s="43"/>
      <c r="AE30"/>
      <c r="AF30"/>
      <c r="AG30"/>
      <c r="AH30"/>
    </row>
    <row r="31" spans="1:34" ht="10.15" customHeight="1" x14ac:dyDescent="0.25">
      <c r="A31" s="10" t="s">
        <v>459</v>
      </c>
      <c r="B31" s="5"/>
      <c r="C31" s="41"/>
      <c r="D31" s="28" t="s">
        <v>2432</v>
      </c>
      <c r="E31" s="19"/>
      <c r="F31" s="2132" t="s">
        <v>2422</v>
      </c>
      <c r="G31" s="2133"/>
      <c r="H31" s="1211">
        <f>Input_Pricing_TypeMult*Output_LLPA_FirstTimeHomeBuyer</f>
        <v>0</v>
      </c>
      <c r="I31" s="2061" t="str">
        <f>Output_Msg_LLPA_FirstTimeHomeBuyer</f>
        <v>Not First Time Homebuyer OR First Time Investor</v>
      </c>
      <c r="J31" s="2062"/>
      <c r="K31" s="2062"/>
      <c r="L31" s="2063"/>
      <c r="M31" s="221"/>
      <c r="N31" s="1049">
        <f>IF(Structure!E72="na","",Structure!E72)</f>
        <v>10.875</v>
      </c>
      <c r="O31" s="1205">
        <f>IF(Structure!F72="na","",Structure!F72)</f>
        <v>106.625</v>
      </c>
      <c r="P31" s="1205">
        <f>IF(Structure!G72="na","",Structure!G72)</f>
        <v>-0.125</v>
      </c>
      <c r="Q31" s="1205">
        <f>IF(Structure!H72="na","",Structure!H72)</f>
        <v>102.5</v>
      </c>
      <c r="S31" s="222"/>
      <c r="T31" s="855" t="s">
        <v>161</v>
      </c>
      <c r="U31" s="848"/>
      <c r="V31" s="849" t="s">
        <v>76</v>
      </c>
      <c r="W31" s="426"/>
      <c r="X31" s="426"/>
      <c r="Y31" s="426"/>
      <c r="Z31" s="426"/>
      <c r="AA31" s="426"/>
      <c r="AB31" s="856"/>
      <c r="AC31" s="43"/>
      <c r="AE31"/>
      <c r="AF31"/>
      <c r="AG31"/>
      <c r="AH31"/>
    </row>
    <row r="32" spans="1:34" ht="10.15" customHeight="1" x14ac:dyDescent="0.25">
      <c r="A32" s="10" t="s">
        <v>459</v>
      </c>
      <c r="B32" s="5"/>
      <c r="C32" s="41"/>
      <c r="D32" s="27" t="s">
        <v>51</v>
      </c>
      <c r="E32" s="19"/>
      <c r="F32" s="418" t="s">
        <v>20</v>
      </c>
      <c r="G32" s="414"/>
      <c r="H32" s="1210">
        <f>Input_Pricing_TypeMult*Output_LLPA_Payment</f>
        <v>0.125</v>
      </c>
      <c r="I32" s="2061" t="str">
        <f>Output_Msg_LLPA_Payment</f>
        <v xml:space="preserve"> </v>
      </c>
      <c r="J32" s="2062"/>
      <c r="K32" s="2062"/>
      <c r="L32" s="2063"/>
      <c r="M32" s="221"/>
      <c r="N32" s="1049">
        <f>IF(Structure!E73="na","",Structure!E73)</f>
        <v>10.75</v>
      </c>
      <c r="O32" s="1205">
        <f>IF(Structure!F73="na","",Structure!F73)</f>
        <v>106.375</v>
      </c>
      <c r="P32" s="1205">
        <f>IF(Structure!G73="na","",Structure!G73)</f>
        <v>-0.125</v>
      </c>
      <c r="Q32" s="1205">
        <f>IF(Structure!H73="na","",Structure!H73)</f>
        <v>102.5</v>
      </c>
      <c r="S32" s="222"/>
      <c r="T32" s="857" t="s">
        <v>162</v>
      </c>
      <c r="U32" s="858"/>
      <c r="V32" s="859" t="s">
        <v>76</v>
      </c>
      <c r="W32" s="871"/>
      <c r="X32" s="860"/>
      <c r="Y32" s="861" t="s">
        <v>40</v>
      </c>
      <c r="Z32" s="862" t="str">
        <f>Input_State</f>
        <v>CA</v>
      </c>
      <c r="AA32" s="863" t="s">
        <v>1522</v>
      </c>
      <c r="AB32" s="864" t="s">
        <v>76</v>
      </c>
      <c r="AC32" s="43"/>
      <c r="AE32"/>
      <c r="AF32"/>
      <c r="AG32"/>
      <c r="AH32"/>
    </row>
    <row r="33" spans="1:34" ht="10.15" customHeight="1" x14ac:dyDescent="0.25">
      <c r="A33" s="10" t="s">
        <v>459</v>
      </c>
      <c r="B33" s="5"/>
      <c r="C33" s="41"/>
      <c r="D33" s="27" t="s">
        <v>48</v>
      </c>
      <c r="E33" s="19"/>
      <c r="F33" s="419" t="s">
        <v>47</v>
      </c>
      <c r="G33" s="414"/>
      <c r="H33" s="1210">
        <f>Input_Pricing_TypeMult*Output_LLPA_Servicing</f>
        <v>0</v>
      </c>
      <c r="I33" s="2061" t="str">
        <f>Output_Msg_LLPA_Servicing</f>
        <v xml:space="preserve"> </v>
      </c>
      <c r="J33" s="2062"/>
      <c r="K33" s="2062"/>
      <c r="L33" s="2063"/>
      <c r="M33" s="221"/>
      <c r="N33" s="1049">
        <f>IF(Structure!E74="na","",Structure!E74)</f>
        <v>10.625</v>
      </c>
      <c r="O33" s="1205">
        <f>IF(Structure!F74="na","",Structure!F74)</f>
        <v>106.125</v>
      </c>
      <c r="P33" s="1205">
        <f>IF(Structure!G74="na","",Structure!G74)</f>
        <v>-0.125</v>
      </c>
      <c r="Q33" s="1205">
        <f>IF(Structure!H74="na","",Structure!H74)</f>
        <v>102.5</v>
      </c>
      <c r="S33" s="222"/>
      <c r="T33" s="5"/>
      <c r="U33" s="5"/>
      <c r="V33" s="5"/>
      <c r="W33" s="5"/>
      <c r="X33" s="5"/>
      <c r="Y33" s="5"/>
      <c r="Z33" s="5"/>
      <c r="AA33" s="5"/>
      <c r="AB33" s="5"/>
      <c r="AC33" s="43"/>
      <c r="AF33"/>
      <c r="AG33"/>
      <c r="AH33"/>
    </row>
    <row r="34" spans="1:34" ht="10.15" customHeight="1" x14ac:dyDescent="0.25">
      <c r="A34" s="10" t="s">
        <v>459</v>
      </c>
      <c r="B34" s="5"/>
      <c r="C34" s="41"/>
      <c r="D34" s="27" t="s">
        <v>65</v>
      </c>
      <c r="E34" s="19"/>
      <c r="F34" s="2123" t="s">
        <v>1821</v>
      </c>
      <c r="G34" s="2124"/>
      <c r="H34" s="1210">
        <f>Input_Pricing_TypeMult*Output_LLPA_PrepayPenalty</f>
        <v>1.875</v>
      </c>
      <c r="I34" s="2061" t="str">
        <f>Output_Msg_LLPA_PrepayPenalty</f>
        <v>Prepay only available on Business Purpose Loans</v>
      </c>
      <c r="J34" s="2062"/>
      <c r="K34" s="2062"/>
      <c r="L34" s="2063"/>
      <c r="M34" s="221"/>
      <c r="N34" s="1049">
        <f>IF(Structure!E75="na","",Structure!E75)</f>
        <v>10.5</v>
      </c>
      <c r="O34" s="1205">
        <f>IF(Structure!F75="na","",Structure!F75)</f>
        <v>105.875</v>
      </c>
      <c r="P34" s="1205">
        <f>IF(Structure!G75="na","",Structure!G75)</f>
        <v>-0.125</v>
      </c>
      <c r="Q34" s="1205">
        <f>IF(Structure!H75="na","",Structure!H75)</f>
        <v>102.5</v>
      </c>
      <c r="S34" s="222"/>
      <c r="T34" s="865" t="s">
        <v>365</v>
      </c>
      <c r="U34" s="866"/>
      <c r="V34" s="866"/>
      <c r="W34" s="866"/>
      <c r="X34" s="866"/>
      <c r="Y34" s="866"/>
      <c r="Z34" s="866"/>
      <c r="AA34" s="866"/>
      <c r="AB34" s="867"/>
      <c r="AC34" s="43"/>
      <c r="AE34"/>
      <c r="AF34"/>
      <c r="AG34"/>
      <c r="AH34"/>
    </row>
    <row r="35" spans="1:34" ht="10.15" customHeight="1" x14ac:dyDescent="0.25">
      <c r="A35" s="10" t="s">
        <v>459</v>
      </c>
      <c r="B35" s="5"/>
      <c r="C35" s="41"/>
      <c r="D35" s="27" t="s">
        <v>23</v>
      </c>
      <c r="E35" s="19"/>
      <c r="F35" s="420" t="s">
        <v>73</v>
      </c>
      <c r="G35" s="414"/>
      <c r="H35" s="1210">
        <f>Input_Pricing_TypeMult*Output_LLPA_LockTerm</f>
        <v>0</v>
      </c>
      <c r="I35" s="2114" t="str">
        <f>Output_Msg_LLPA_LockTerm</f>
        <v/>
      </c>
      <c r="J35" s="2115"/>
      <c r="K35" s="2115"/>
      <c r="L35" s="2116"/>
      <c r="M35" s="221"/>
      <c r="N35" s="1049">
        <f>IF(Structure!E76="na","",Structure!E76)</f>
        <v>10.375</v>
      </c>
      <c r="O35" s="1205">
        <f>IF(Structure!F76="na","",Structure!F76)</f>
        <v>105.625</v>
      </c>
      <c r="P35" s="1205">
        <f>IF(Structure!G76="na","",Structure!G76)</f>
        <v>-0.125</v>
      </c>
      <c r="Q35" s="1205">
        <f>IF(Structure!H76="na","",Structure!H76)</f>
        <v>102.5</v>
      </c>
      <c r="S35" s="222"/>
      <c r="T35" s="2086"/>
      <c r="U35" s="2087"/>
      <c r="V35" s="2087"/>
      <c r="W35" s="2087"/>
      <c r="X35" s="2087"/>
      <c r="Y35" s="2087"/>
      <c r="Z35" s="2087"/>
      <c r="AA35" s="2087"/>
      <c r="AB35" s="2088"/>
      <c r="AC35" s="43"/>
      <c r="AE35"/>
      <c r="AF35"/>
      <c r="AG35"/>
      <c r="AH35"/>
    </row>
    <row r="36" spans="1:34" ht="10.15" customHeight="1" x14ac:dyDescent="0.25">
      <c r="A36" s="10" t="s">
        <v>459</v>
      </c>
      <c r="B36" s="5"/>
      <c r="C36" s="41"/>
      <c r="D36" s="27" t="s">
        <v>359</v>
      </c>
      <c r="E36" s="19"/>
      <c r="F36" s="2128" t="s">
        <v>361</v>
      </c>
      <c r="G36" s="2129"/>
      <c r="H36" s="1207" cm="1">
        <f t="array" ref="H36">Input_Pricing_TypeMult*Output_LLPA_LockType</f>
        <v>0</v>
      </c>
      <c r="I36" s="2114" t="str">
        <f>Output_Msg_LLPA_LockType</f>
        <v>P&amp;I Pmt:  1,206.93</v>
      </c>
      <c r="J36" s="2115"/>
      <c r="K36" s="2115"/>
      <c r="L36" s="2116"/>
      <c r="M36" s="221"/>
      <c r="N36" s="1049">
        <f>IF(Structure!E77="na","",Structure!E77)</f>
        <v>10.25</v>
      </c>
      <c r="O36" s="1205">
        <f>IF(Structure!F77="na","",Structure!F77)</f>
        <v>105.375</v>
      </c>
      <c r="P36" s="1205">
        <f>IF(Structure!G77="na","",Structure!G77)</f>
        <v>-0.125</v>
      </c>
      <c r="Q36" s="1205">
        <f>IF(Structure!H77="na","",Structure!H77)</f>
        <v>102.5</v>
      </c>
      <c r="S36" s="222"/>
      <c r="T36" s="2089"/>
      <c r="U36" s="2090"/>
      <c r="V36" s="2090"/>
      <c r="W36" s="2090"/>
      <c r="X36" s="2090"/>
      <c r="Y36" s="2090"/>
      <c r="Z36" s="2090"/>
      <c r="AA36" s="2090"/>
      <c r="AB36" s="2091"/>
      <c r="AC36" s="43"/>
      <c r="AE36"/>
      <c r="AF36"/>
      <c r="AG36"/>
      <c r="AH36"/>
    </row>
    <row r="37" spans="1:34" ht="10.15" customHeight="1" x14ac:dyDescent="0.25">
      <c r="A37" s="10" t="s">
        <v>459</v>
      </c>
      <c r="B37" s="5"/>
      <c r="C37" s="41"/>
      <c r="D37" s="27" t="s">
        <v>1525</v>
      </c>
      <c r="E37" s="19"/>
      <c r="F37" s="2130" t="s">
        <v>1528</v>
      </c>
      <c r="G37" s="2131"/>
      <c r="H37" s="1214">
        <v>0</v>
      </c>
      <c r="I37" s="2114" t="str" cm="1">
        <f t="array" ref="I37">Output_Msg_LLPA_CompensationType</f>
        <v/>
      </c>
      <c r="J37" s="2115"/>
      <c r="K37" s="2115"/>
      <c r="L37" s="2116"/>
      <c r="M37" s="221"/>
      <c r="N37" s="1049">
        <f>IF(Structure!E78="na","",Structure!E78)</f>
        <v>10.125</v>
      </c>
      <c r="O37" s="1205">
        <f>IF(Structure!F78="na","",Structure!F78)</f>
        <v>105</v>
      </c>
      <c r="P37" s="1205">
        <f>IF(Structure!G78="na","",Structure!G78)</f>
        <v>-0.125</v>
      </c>
      <c r="Q37" s="1205">
        <f>IF(Structure!H78="na","",Structure!H78)</f>
        <v>102.5</v>
      </c>
      <c r="S37" s="222"/>
      <c r="T37" s="2089"/>
      <c r="U37" s="2090"/>
      <c r="V37" s="2090"/>
      <c r="W37" s="2090"/>
      <c r="X37" s="2090"/>
      <c r="Y37" s="2090"/>
      <c r="Z37" s="2090"/>
      <c r="AA37" s="2090"/>
      <c r="AB37" s="2091"/>
      <c r="AC37" s="43"/>
      <c r="AE37"/>
      <c r="AF37"/>
      <c r="AG37"/>
      <c r="AH37"/>
    </row>
    <row r="38" spans="1:34" ht="10.15" customHeight="1" x14ac:dyDescent="0.25">
      <c r="A38" s="10" t="s">
        <v>459</v>
      </c>
      <c r="B38" s="5"/>
      <c r="C38" s="41"/>
      <c r="D38" s="27" t="s">
        <v>191</v>
      </c>
      <c r="E38" s="19"/>
      <c r="F38" s="44"/>
      <c r="G38" s="414"/>
      <c r="H38" s="1215">
        <f>Input_Pricing_TypeMult*Output_LLPA_Total</f>
        <v>-0.125</v>
      </c>
      <c r="I38" s="2043" t="str">
        <f>Output_Msg_LLPA_Total</f>
        <v xml:space="preserve"> </v>
      </c>
      <c r="J38" s="2044"/>
      <c r="K38" s="2044"/>
      <c r="L38" s="2045"/>
      <c r="M38" s="221"/>
      <c r="N38" s="1049">
        <f>IF(Structure!E79="na","",Structure!E79)</f>
        <v>10</v>
      </c>
      <c r="O38" s="1205">
        <f>IF(Structure!F79="na","",Structure!F79)</f>
        <v>104.625</v>
      </c>
      <c r="P38" s="1205">
        <f>IF(Structure!G79="na","",Structure!G79)</f>
        <v>-0.125</v>
      </c>
      <c r="Q38" s="1205">
        <f>IF(Structure!H79="na","",Structure!H79)</f>
        <v>102.5</v>
      </c>
      <c r="S38" s="222"/>
      <c r="T38" s="2089"/>
      <c r="U38" s="2090"/>
      <c r="V38" s="2090"/>
      <c r="W38" s="2090"/>
      <c r="X38" s="2090"/>
      <c r="Y38" s="2090"/>
      <c r="Z38" s="2090"/>
      <c r="AA38" s="2090"/>
      <c r="AB38" s="2091"/>
      <c r="AC38" s="43"/>
      <c r="AE38"/>
      <c r="AF38"/>
      <c r="AG38"/>
      <c r="AH38"/>
    </row>
    <row r="39" spans="1:34" ht="10.15" customHeight="1" x14ac:dyDescent="0.25">
      <c r="A39" s="10" t="s">
        <v>459</v>
      </c>
      <c r="B39" s="5"/>
      <c r="C39" s="41"/>
      <c r="D39" s="27"/>
      <c r="E39" s="19"/>
      <c r="F39" s="2140" t="s">
        <v>76</v>
      </c>
      <c r="G39" s="2141"/>
      <c r="H39" s="1214">
        <v>0</v>
      </c>
      <c r="I39" s="2142" t="str">
        <f>Output_Msg_PriceNegotiated</f>
        <v xml:space="preserve"> </v>
      </c>
      <c r="J39" s="2143"/>
      <c r="K39" s="2143"/>
      <c r="L39" s="2144"/>
      <c r="M39" s="221"/>
      <c r="N39" s="1049">
        <f>IF(Structure!E80="na","",Structure!E80)</f>
        <v>9.875</v>
      </c>
      <c r="O39" s="1205">
        <f>IF(Structure!F80="na","",Structure!F80)</f>
        <v>104.25</v>
      </c>
      <c r="P39" s="1205">
        <f>IF(Structure!G80="na","",Structure!G80)</f>
        <v>-0.125</v>
      </c>
      <c r="Q39" s="1205">
        <f>IF(Structure!H80="na","",Structure!H80)</f>
        <v>102.5</v>
      </c>
      <c r="S39" s="222"/>
      <c r="T39" s="2092"/>
      <c r="U39" s="2093"/>
      <c r="V39" s="2093"/>
      <c r="W39" s="2093"/>
      <c r="X39" s="2093"/>
      <c r="Y39" s="2093"/>
      <c r="Z39" s="2093"/>
      <c r="AA39" s="2093"/>
      <c r="AB39" s="2094"/>
      <c r="AC39" s="43"/>
      <c r="AE39"/>
      <c r="AF39"/>
      <c r="AG39"/>
      <c r="AH39"/>
    </row>
    <row r="40" spans="1:34" ht="10.15" customHeight="1" x14ac:dyDescent="0.25">
      <c r="A40" s="10" t="s">
        <v>459</v>
      </c>
      <c r="B40" s="5"/>
      <c r="C40" s="41"/>
      <c r="D40" s="27" t="s">
        <v>105</v>
      </c>
      <c r="E40" s="19"/>
      <c r="F40" s="200"/>
      <c r="G40" s="3"/>
      <c r="H40" s="1209">
        <f>IF(Input_Pricing_Type="Points",100-Output_PriceNet,Output_PriceNet)</f>
        <v>101.125</v>
      </c>
      <c r="I40" s="2142" t="str">
        <f>Output_Msg_PriceNet</f>
        <v xml:space="preserve"> </v>
      </c>
      <c r="J40" s="2143"/>
      <c r="K40" s="2143"/>
      <c r="L40" s="2144"/>
      <c r="M40" s="221"/>
      <c r="N40" s="1049">
        <f>IF(Structure!E81="na","",Structure!E81)</f>
        <v>9.75</v>
      </c>
      <c r="O40" s="1205">
        <f>IF(Structure!F81="na","",Structure!F81)</f>
        <v>103.875</v>
      </c>
      <c r="P40" s="1205">
        <f>IF(Structure!G81="na","",Structure!G81)</f>
        <v>-0.125</v>
      </c>
      <c r="Q40" s="1205">
        <f>IF(Structure!H81="na","",Structure!H81)</f>
        <v>102.5</v>
      </c>
      <c r="S40" s="222"/>
      <c r="AC40" s="43"/>
    </row>
    <row r="41" spans="1:34" ht="10.15" customHeight="1" x14ac:dyDescent="0.25">
      <c r="A41" s="10" t="s">
        <v>459</v>
      </c>
      <c r="B41" s="5"/>
      <c r="C41" s="41"/>
      <c r="D41" s="27" t="s">
        <v>104</v>
      </c>
      <c r="E41" s="19"/>
      <c r="F41" s="200"/>
      <c r="G41" s="3"/>
      <c r="H41" s="1216">
        <f>IF(Input_Pricing_Type="Points",100-Output_PriceMax,Output_PriceMax)</f>
        <v>102.5</v>
      </c>
      <c r="I41" s="2142" t="str">
        <f>Output_Msg_PriceMax</f>
        <v xml:space="preserve"> </v>
      </c>
      <c r="J41" s="2143"/>
      <c r="K41" s="2143"/>
      <c r="L41" s="2144"/>
      <c r="M41" s="221"/>
      <c r="N41" s="1049">
        <f>IF(Structure!E82="na","",Structure!E82)</f>
        <v>9.625</v>
      </c>
      <c r="O41" s="1205">
        <f>IF(Structure!F82="na","",Structure!F82)</f>
        <v>103.5</v>
      </c>
      <c r="P41" s="1205">
        <f>IF(Structure!G82="na","",Structure!G82)</f>
        <v>-0.125</v>
      </c>
      <c r="Q41" s="1205">
        <f>IF(Structure!H82="na","",Structure!H82)</f>
        <v>102.5</v>
      </c>
      <c r="S41" s="222"/>
      <c r="T41" s="2095" t="s">
        <v>1846</v>
      </c>
      <c r="U41" s="2096"/>
      <c r="V41" s="2096"/>
      <c r="W41" s="2096"/>
      <c r="X41" s="2096"/>
      <c r="Y41" s="2096"/>
      <c r="Z41" s="2096"/>
      <c r="AA41" s="2096"/>
      <c r="AB41" s="2097"/>
      <c r="AC41" s="43"/>
    </row>
    <row r="42" spans="1:34" ht="10.15" customHeight="1" x14ac:dyDescent="0.25">
      <c r="A42" s="10" t="s">
        <v>459</v>
      </c>
      <c r="B42" s="5"/>
      <c r="C42" s="41"/>
      <c r="D42" s="29" t="s">
        <v>183</v>
      </c>
      <c r="E42" s="19"/>
      <c r="F42" s="200"/>
      <c r="G42" s="3"/>
      <c r="H42" s="1217">
        <f>IF(Input_Pricing_Type="Points",100-Output_PriceFinal,Output_PriceFinal)</f>
        <v>101.125</v>
      </c>
      <c r="I42" s="2043" t="str">
        <f>Output_Msg_PriceFinal</f>
        <v/>
      </c>
      <c r="J42" s="2044"/>
      <c r="K42" s="2044"/>
      <c r="L42" s="2045"/>
      <c r="M42" s="221"/>
      <c r="N42" s="1049">
        <f>IF(Structure!E83="na","",Structure!E83)</f>
        <v>9.5</v>
      </c>
      <c r="O42" s="1205">
        <f>IF(Structure!F83="na","",Structure!F83)</f>
        <v>103.125</v>
      </c>
      <c r="P42" s="1205">
        <f>IF(Structure!G83="na","",Structure!G83)</f>
        <v>-0.125</v>
      </c>
      <c r="Q42" s="1205">
        <f>IF(Structure!H83="na","",Structure!H83)</f>
        <v>102.5</v>
      </c>
      <c r="S42" s="222"/>
      <c r="T42" s="2098"/>
      <c r="U42" s="2099"/>
      <c r="V42" s="2099"/>
      <c r="W42" s="2099"/>
      <c r="X42" s="2099"/>
      <c r="Y42" s="2099"/>
      <c r="Z42" s="2099"/>
      <c r="AA42" s="2099"/>
      <c r="AB42" s="2100"/>
      <c r="AC42" s="43"/>
    </row>
    <row r="43" spans="1:34" ht="10.15" customHeight="1" x14ac:dyDescent="0.25">
      <c r="A43" s="10" t="s">
        <v>459</v>
      </c>
      <c r="B43" s="5"/>
      <c r="C43" s="41"/>
      <c r="D43" s="1137"/>
      <c r="E43" s="1138"/>
      <c r="F43" s="1139"/>
      <c r="G43" s="1138"/>
      <c r="H43" s="1139"/>
      <c r="I43" s="1140"/>
      <c r="J43" s="1141"/>
      <c r="K43" s="1141"/>
      <c r="L43" s="1142"/>
      <c r="M43" s="221"/>
      <c r="N43" s="1049">
        <f>IF(Structure!E84="na","",Structure!E84)</f>
        <v>9.375</v>
      </c>
      <c r="O43" s="1205">
        <f>IF(Structure!F84="na","",Structure!F84)</f>
        <v>102.75</v>
      </c>
      <c r="P43" s="1205">
        <f>IF(Structure!G84="na","",Structure!G84)</f>
        <v>-0.125</v>
      </c>
      <c r="Q43" s="1205">
        <f>IF(Structure!H84="na","",Structure!H84)</f>
        <v>102.5</v>
      </c>
      <c r="R43" s="223"/>
      <c r="S43" s="223"/>
      <c r="T43" s="2098"/>
      <c r="U43" s="2099"/>
      <c r="V43" s="2099"/>
      <c r="W43" s="2099"/>
      <c r="X43" s="2099"/>
      <c r="Y43" s="2099"/>
      <c r="Z43" s="2099"/>
      <c r="AA43" s="2099"/>
      <c r="AB43" s="2100"/>
      <c r="AC43" s="43"/>
    </row>
    <row r="44" spans="1:34" ht="10.15" customHeight="1" x14ac:dyDescent="0.25">
      <c r="A44" s="10" t="s">
        <v>459</v>
      </c>
      <c r="B44" s="5"/>
      <c r="C44" s="41"/>
      <c r="D44" s="223"/>
      <c r="E44" s="223"/>
      <c r="F44" s="223"/>
      <c r="G44" s="223"/>
      <c r="H44" s="223"/>
      <c r="I44" s="223"/>
      <c r="J44" s="223"/>
      <c r="K44" s="223"/>
      <c r="L44" s="223"/>
      <c r="M44" s="223"/>
      <c r="N44" s="1049">
        <f>IF(Structure!E85="na","",Structure!E85)</f>
        <v>9.25</v>
      </c>
      <c r="O44" s="1205">
        <f>IF(Structure!F85="na","",Structure!F85)</f>
        <v>102.25</v>
      </c>
      <c r="P44" s="1205">
        <f>IF(Structure!G85="na","",Structure!G85)</f>
        <v>-0.125</v>
      </c>
      <c r="Q44" s="1205">
        <f>IF(Structure!H85="na","",Structure!H85)</f>
        <v>102.125</v>
      </c>
      <c r="R44" s="223"/>
      <c r="S44" s="223"/>
      <c r="T44" s="2098"/>
      <c r="U44" s="2099"/>
      <c r="V44" s="2099"/>
      <c r="W44" s="2099"/>
      <c r="X44" s="2099"/>
      <c r="Y44" s="2099"/>
      <c r="Z44" s="2099"/>
      <c r="AA44" s="2099"/>
      <c r="AB44" s="2100"/>
      <c r="AC44" s="43"/>
    </row>
    <row r="45" spans="1:34" ht="10.15" customHeight="1" x14ac:dyDescent="0.25">
      <c r="A45" s="10" t="s">
        <v>459</v>
      </c>
      <c r="B45" s="5"/>
      <c r="C45" s="41"/>
      <c r="E45" s="2084" t="s">
        <v>277</v>
      </c>
      <c r="F45" s="2084"/>
      <c r="G45" s="2084"/>
      <c r="H45" s="2084"/>
      <c r="I45" s="2084"/>
      <c r="J45" s="223"/>
      <c r="K45" s="223"/>
      <c r="L45" s="223"/>
      <c r="M45" s="223"/>
      <c r="N45" s="1049">
        <f>IF(Structure!E86="na","",Structure!E86)</f>
        <v>9.125</v>
      </c>
      <c r="O45" s="1205">
        <f>IF(Structure!F86="na","",Structure!F86)</f>
        <v>101.75</v>
      </c>
      <c r="P45" s="1205">
        <f>IF(Structure!G86="na","",Structure!G86)</f>
        <v>-0.125</v>
      </c>
      <c r="Q45" s="1205">
        <f>IF(Structure!H86="na","",Structure!H86)</f>
        <v>101.625</v>
      </c>
      <c r="R45" s="223"/>
      <c r="S45" s="223"/>
      <c r="T45" s="2098"/>
      <c r="U45" s="2099"/>
      <c r="V45" s="2099"/>
      <c r="W45" s="2099"/>
      <c r="X45" s="2099"/>
      <c r="Y45" s="2099"/>
      <c r="Z45" s="2099"/>
      <c r="AA45" s="2099"/>
      <c r="AB45" s="2100"/>
      <c r="AC45" s="43"/>
    </row>
    <row r="46" spans="1:34" ht="10.15" customHeight="1" x14ac:dyDescent="0.25">
      <c r="A46" s="10" t="s">
        <v>459</v>
      </c>
      <c r="B46" s="5"/>
      <c r="C46" s="41"/>
      <c r="E46" s="17" t="s">
        <v>1838</v>
      </c>
      <c r="G46" s="1222" cm="1">
        <f t="array" ref="G46">[1]!LLPA_PN_000050_Relock</f>
        <v>0.125</v>
      </c>
      <c r="J46" s="223"/>
      <c r="K46" s="223"/>
      <c r="L46" s="223"/>
      <c r="M46" s="223"/>
      <c r="N46" s="1049">
        <f>IF(Structure!E87="na","",Structure!E87)</f>
        <v>9</v>
      </c>
      <c r="O46" s="1205">
        <f>IF(Structure!F87="na","",Structure!F87)</f>
        <v>101.25</v>
      </c>
      <c r="P46" s="1205">
        <f>IF(Structure!G87="na","",Structure!G87)</f>
        <v>-0.125</v>
      </c>
      <c r="Q46" s="1205">
        <f>IF(Structure!H87="na","",Structure!H87)</f>
        <v>101.125</v>
      </c>
      <c r="R46" s="223"/>
      <c r="S46" s="223"/>
      <c r="T46" s="2098"/>
      <c r="U46" s="2099"/>
      <c r="V46" s="2099"/>
      <c r="W46" s="2099"/>
      <c r="X46" s="2099"/>
      <c r="Y46" s="2099"/>
      <c r="Z46" s="2099"/>
      <c r="AA46" s="2099"/>
      <c r="AB46" s="2100"/>
      <c r="AC46" s="43"/>
    </row>
    <row r="47" spans="1:34" ht="10.15" customHeight="1" x14ac:dyDescent="0.25">
      <c r="A47" s="10" t="s">
        <v>459</v>
      </c>
      <c r="B47" s="5"/>
      <c r="C47" s="41"/>
      <c r="E47" s="17" t="s">
        <v>1839</v>
      </c>
      <c r="G47" s="1222" cm="1">
        <f t="array" ref="G47">[1]!LLPA_PN_000050_ExtensionPerDay</f>
        <v>1.4999999999999999E-2</v>
      </c>
      <c r="M47" s="223"/>
      <c r="N47" s="1049">
        <f>IF(Structure!E88="na","",Structure!E88)</f>
        <v>8.875</v>
      </c>
      <c r="O47" s="1205">
        <f>IF(Structure!F88="na","",Structure!F88)</f>
        <v>100.75</v>
      </c>
      <c r="P47" s="1205">
        <f>IF(Structure!G88="na","",Structure!G88)</f>
        <v>-0.125</v>
      </c>
      <c r="Q47" s="1205">
        <f>IF(Structure!H88="na","",Structure!H88)</f>
        <v>100.625</v>
      </c>
      <c r="R47" s="223"/>
      <c r="S47" s="223"/>
      <c r="T47" s="2098"/>
      <c r="U47" s="2099"/>
      <c r="V47" s="2099"/>
      <c r="W47" s="2099"/>
      <c r="X47" s="2099"/>
      <c r="Y47" s="2099"/>
      <c r="Z47" s="2099"/>
      <c r="AA47" s="2099"/>
      <c r="AB47" s="2100"/>
      <c r="AC47" s="43"/>
    </row>
    <row r="48" spans="1:34" ht="10.15" customHeight="1" x14ac:dyDescent="0.25">
      <c r="A48" s="10" t="s">
        <v>459</v>
      </c>
      <c r="B48" s="5"/>
      <c r="C48" s="41"/>
      <c r="D48" s="223"/>
      <c r="E48" s="223"/>
      <c r="F48" s="223"/>
      <c r="G48" s="223"/>
      <c r="M48" s="223"/>
      <c r="N48" s="1049">
        <f>IF(Structure!E89="na","",Structure!E89)</f>
        <v>8.75</v>
      </c>
      <c r="O48" s="1205">
        <f>IF(Structure!F89="na","",Structure!F89)</f>
        <v>100</v>
      </c>
      <c r="P48" s="1205">
        <f>IF(Structure!G89="na","",Structure!G89)</f>
        <v>-0.125</v>
      </c>
      <c r="Q48" s="1205">
        <f>IF(Structure!H89="na","",Structure!H89)</f>
        <v>99.875</v>
      </c>
      <c r="R48" s="223"/>
      <c r="S48" s="223"/>
      <c r="T48" s="2098"/>
      <c r="U48" s="2099"/>
      <c r="V48" s="2099"/>
      <c r="W48" s="2099"/>
      <c r="X48" s="2099"/>
      <c r="Y48" s="2099"/>
      <c r="Z48" s="2099"/>
      <c r="AA48" s="2099"/>
      <c r="AB48" s="2100"/>
      <c r="AC48" s="43"/>
    </row>
    <row r="49" spans="1:34" ht="10.15" customHeight="1" x14ac:dyDescent="0.25">
      <c r="A49" s="10" t="s">
        <v>459</v>
      </c>
      <c r="B49" s="5"/>
      <c r="C49" s="41"/>
      <c r="E49" s="2085" t="str" cm="1">
        <f t="array" ref="E49">[1]!LLPA_PN_000050_FundingFee</f>
        <v>Delegated Per File Funding Fee:  $395</v>
      </c>
      <c r="F49" s="2084"/>
      <c r="G49" s="2084"/>
      <c r="H49" s="2084"/>
      <c r="I49" s="2084"/>
      <c r="J49" s="223"/>
      <c r="K49" s="223"/>
      <c r="L49" s="223"/>
      <c r="M49" s="223"/>
      <c r="N49" s="1049">
        <f>IF(Structure!E90="na","",Structure!E90)</f>
        <v>8.625</v>
      </c>
      <c r="O49" s="1205">
        <f>IF(Structure!F90="na","",Structure!F90)</f>
        <v>99.25</v>
      </c>
      <c r="P49" s="1205">
        <f>IF(Structure!G90="na","",Structure!G90)</f>
        <v>-0.125</v>
      </c>
      <c r="Q49" s="1205">
        <f>IF(Structure!H90="na","",Structure!H90)</f>
        <v>99.125</v>
      </c>
      <c r="R49" s="223"/>
      <c r="S49" s="223"/>
      <c r="T49" s="2098"/>
      <c r="U49" s="2099"/>
      <c r="V49" s="2099"/>
      <c r="W49" s="2099"/>
      <c r="X49" s="2099"/>
      <c r="Y49" s="2099"/>
      <c r="Z49" s="2099"/>
      <c r="AA49" s="2099"/>
      <c r="AB49" s="2100"/>
      <c r="AC49" s="43"/>
    </row>
    <row r="50" spans="1:34" ht="10.15" customHeight="1" x14ac:dyDescent="0.25">
      <c r="A50" s="10" t="s">
        <v>459</v>
      </c>
      <c r="B50" s="5"/>
      <c r="C50" s="41"/>
      <c r="E50" s="2085" t="str" cm="1">
        <f t="array" ref="E50">[1]!LLPA_PN_000050_FundingFee2</f>
        <v>Non-Delegated Per File UW and Funding Fee:  $1095</v>
      </c>
      <c r="F50" s="2084"/>
      <c r="G50" s="2084"/>
      <c r="H50" s="2084"/>
      <c r="I50" s="2084"/>
      <c r="J50" s="223"/>
      <c r="K50" s="223"/>
      <c r="L50" s="223"/>
      <c r="M50" s="223"/>
      <c r="N50" s="1049">
        <f>IF(Structure!E91="na","",Structure!E91)</f>
        <v>8.5</v>
      </c>
      <c r="O50" s="1205">
        <f>IF(Structure!F91="na","",Structure!F91)</f>
        <v>98.5</v>
      </c>
      <c r="P50" s="1205">
        <f>IF(Structure!G91="na","",Structure!G91)</f>
        <v>-0.125</v>
      </c>
      <c r="Q50" s="1205">
        <f>IF(Structure!H91="na","",Structure!H91)</f>
        <v>98.375</v>
      </c>
      <c r="R50" s="223"/>
      <c r="S50" s="223"/>
      <c r="T50" s="2098"/>
      <c r="U50" s="2099"/>
      <c r="V50" s="2099"/>
      <c r="W50" s="2099"/>
      <c r="X50" s="2099"/>
      <c r="Y50" s="2099"/>
      <c r="Z50" s="2099"/>
      <c r="AA50" s="2099"/>
      <c r="AB50" s="2100"/>
      <c r="AC50" s="43"/>
      <c r="AE50"/>
      <c r="AF50"/>
      <c r="AG50"/>
    </row>
    <row r="51" spans="1:34" ht="10.15" customHeight="1" x14ac:dyDescent="0.25">
      <c r="A51" s="10" t="s">
        <v>459</v>
      </c>
      <c r="B51" s="5"/>
      <c r="C51" s="41"/>
      <c r="D51" s="223"/>
      <c r="J51" s="223"/>
      <c r="K51" s="223"/>
      <c r="L51" s="223"/>
      <c r="M51" s="223"/>
      <c r="N51" s="1049">
        <f>IF(Structure!E92="na","",Structure!E92)</f>
        <v>8.375</v>
      </c>
      <c r="O51" s="1205">
        <f>IF(Structure!F92="na","",Structure!F92)</f>
        <v>97.75</v>
      </c>
      <c r="P51" s="1205">
        <f>IF(Structure!G92="na","",Structure!G92)</f>
        <v>-0.125</v>
      </c>
      <c r="Q51" s="1205">
        <f>IF(Structure!H92="na","",Structure!H92)</f>
        <v>97.625</v>
      </c>
      <c r="R51" s="223"/>
      <c r="S51" s="223"/>
      <c r="T51" s="2098"/>
      <c r="U51" s="2099"/>
      <c r="V51" s="2099"/>
      <c r="W51" s="2099"/>
      <c r="X51" s="2099"/>
      <c r="Y51" s="2099"/>
      <c r="Z51" s="2099"/>
      <c r="AA51" s="2099"/>
      <c r="AB51" s="2100"/>
      <c r="AC51" s="43"/>
      <c r="AE51"/>
      <c r="AF51"/>
      <c r="AG51"/>
    </row>
    <row r="52" spans="1:34" ht="10.15" customHeight="1" x14ac:dyDescent="0.25">
      <c r="A52" s="10" t="s">
        <v>459</v>
      </c>
      <c r="B52" s="5"/>
      <c r="C52" s="41"/>
      <c r="D52" s="223"/>
      <c r="E52" s="223"/>
      <c r="F52" s="223"/>
      <c r="G52" s="223"/>
      <c r="H52" s="223"/>
      <c r="I52" s="223"/>
      <c r="J52" s="223"/>
      <c r="K52" s="223"/>
      <c r="L52" s="223"/>
      <c r="M52" s="223"/>
      <c r="N52" s="223"/>
      <c r="O52" s="223"/>
      <c r="P52" s="223"/>
      <c r="Q52" s="223"/>
      <c r="R52" s="223"/>
      <c r="S52" s="223"/>
      <c r="T52" s="2101"/>
      <c r="U52" s="2102"/>
      <c r="V52" s="2102"/>
      <c r="W52" s="2102"/>
      <c r="X52" s="2102"/>
      <c r="Y52" s="2102"/>
      <c r="Z52" s="2102"/>
      <c r="AA52" s="2102"/>
      <c r="AB52" s="2103"/>
      <c r="AC52" s="43"/>
      <c r="AE52"/>
      <c r="AF52"/>
      <c r="AG52"/>
      <c r="AH52"/>
    </row>
    <row r="53" spans="1:34" ht="3" customHeight="1" x14ac:dyDescent="0.25">
      <c r="A53" s="10" t="s">
        <v>460</v>
      </c>
      <c r="B53" s="5"/>
      <c r="C53" s="1221"/>
      <c r="D53" s="223"/>
      <c r="E53" s="223"/>
      <c r="F53" s="223"/>
      <c r="G53" s="223"/>
      <c r="H53" s="223"/>
      <c r="I53" s="223"/>
      <c r="J53" s="223"/>
      <c r="K53" s="223"/>
      <c r="L53" s="223"/>
      <c r="M53" s="223"/>
      <c r="N53" s="223"/>
      <c r="O53" s="223"/>
      <c r="P53" s="223"/>
      <c r="Q53" s="223"/>
      <c r="R53" s="223"/>
      <c r="S53" s="223"/>
      <c r="T53" s="223"/>
      <c r="AC53" s="43"/>
      <c r="AE53"/>
      <c r="AF53"/>
      <c r="AG53"/>
      <c r="AH53"/>
    </row>
    <row r="54" spans="1:34" ht="10.15" customHeight="1" x14ac:dyDescent="0.25">
      <c r="A54" s="10" t="s">
        <v>459</v>
      </c>
      <c r="B54" s="5"/>
      <c r="C54" s="195"/>
      <c r="D54" s="2127" t="str">
        <f>Input_Disclaimer_Pricer_01</f>
        <v>LEAD PLUS Seconds Calculator will generate pricing scenarios outside of guideline restrictions. Compliance is a general guideline, and must be verified with Lead Plus</v>
      </c>
      <c r="E54" s="2127"/>
      <c r="F54" s="2127"/>
      <c r="G54" s="2127"/>
      <c r="H54" s="2127"/>
      <c r="I54" s="2127"/>
      <c r="J54" s="2127"/>
      <c r="K54" s="2127"/>
      <c r="L54" s="2127"/>
      <c r="M54" s="2127"/>
      <c r="N54" s="2127"/>
      <c r="O54" s="2127"/>
      <c r="P54" s="2127"/>
      <c r="Q54" s="2127"/>
      <c r="R54" s="2127"/>
      <c r="S54" s="2127"/>
      <c r="T54" s="2127"/>
      <c r="U54" s="2127"/>
      <c r="V54" s="2127"/>
      <c r="W54" s="2127"/>
      <c r="X54" s="2127"/>
      <c r="Y54" s="2127"/>
      <c r="Z54" s="2127"/>
      <c r="AA54" s="2127"/>
      <c r="AB54" s="2127"/>
      <c r="AC54" s="111"/>
      <c r="AE54"/>
      <c r="AF54"/>
      <c r="AG54"/>
      <c r="AH54"/>
    </row>
    <row r="55" spans="1:34" ht="10.15" customHeight="1" x14ac:dyDescent="0.25">
      <c r="A55" s="10" t="s">
        <v>459</v>
      </c>
      <c r="B55" s="5"/>
      <c r="C55" s="196"/>
      <c r="D55" s="2174" t="str">
        <f>Input_Disclaimer_Pricer_02</f>
        <v>Please confirm pricing scenarios meet Lead Plus Wholesale guidelines.</v>
      </c>
      <c r="E55" s="2174"/>
      <c r="F55" s="2174"/>
      <c r="G55" s="2174"/>
      <c r="H55" s="2174"/>
      <c r="I55" s="2174"/>
      <c r="J55" s="2174"/>
      <c r="K55" s="2174"/>
      <c r="L55" s="2174"/>
      <c r="M55" s="2174"/>
      <c r="N55" s="2174"/>
      <c r="O55" s="2174"/>
      <c r="P55" s="2174"/>
      <c r="Q55" s="2174"/>
      <c r="R55" s="2174"/>
      <c r="S55" s="2174"/>
      <c r="T55" s="2174"/>
      <c r="U55" s="2174"/>
      <c r="V55" s="2174"/>
      <c r="W55" s="2174"/>
      <c r="X55" s="2174"/>
      <c r="Y55" s="2174"/>
      <c r="Z55" s="2174"/>
      <c r="AA55" s="2174"/>
      <c r="AB55" s="2174"/>
      <c r="AC55" s="45"/>
      <c r="AE55"/>
      <c r="AF55"/>
      <c r="AG55"/>
      <c r="AH55"/>
    </row>
    <row r="56" spans="1:34" ht="14.45" hidden="1" customHeight="1" x14ac:dyDescent="0.25">
      <c r="A56" s="10" t="s">
        <v>460</v>
      </c>
      <c r="B56" s="5"/>
      <c r="AE56"/>
      <c r="AF56"/>
      <c r="AG56"/>
      <c r="AH56"/>
    </row>
    <row r="57" spans="1:34" ht="14.45" hidden="1" customHeight="1" x14ac:dyDescent="0.25">
      <c r="A57" s="10" t="s">
        <v>459</v>
      </c>
      <c r="C57" s="1830"/>
      <c r="D57" s="1831"/>
      <c r="E57" s="1831"/>
      <c r="F57" s="1831"/>
      <c r="G57" s="1832"/>
      <c r="H57" s="1832"/>
      <c r="I57" s="1832"/>
      <c r="J57" s="2046" t="str">
        <f>Input_Name_Product4</f>
        <v>Second OO</v>
      </c>
      <c r="K57" s="2046"/>
      <c r="L57" s="2046"/>
      <c r="M57" s="2046"/>
      <c r="N57" s="2046"/>
      <c r="O57" s="2046"/>
      <c r="P57" s="2046"/>
      <c r="Q57" s="2046"/>
      <c r="R57" s="2046"/>
      <c r="S57" s="2046"/>
      <c r="T57" s="1832"/>
      <c r="U57" s="1832"/>
      <c r="V57" s="1832"/>
      <c r="W57" s="1833" t="str">
        <f>Input_Header01</f>
        <v xml:space="preserve"> </v>
      </c>
      <c r="X57" s="1834"/>
      <c r="Y57" s="1834"/>
      <c r="Z57" s="1834" t="str">
        <f>$Z$2</f>
        <v xml:space="preserve"> </v>
      </c>
      <c r="AA57" s="1834"/>
      <c r="AB57" s="1834"/>
      <c r="AC57" s="1835"/>
      <c r="AF57" s="218"/>
    </row>
    <row r="58" spans="1:34" ht="14.45" hidden="1" customHeight="1" x14ac:dyDescent="0.25">
      <c r="A58" s="10" t="s">
        <v>459</v>
      </c>
      <c r="C58" s="1836"/>
      <c r="D58" s="1837"/>
      <c r="E58" s="1837"/>
      <c r="F58" s="1837"/>
      <c r="G58" s="1837"/>
      <c r="H58" s="1837"/>
      <c r="I58" s="1837"/>
      <c r="J58" s="2047"/>
      <c r="K58" s="2047"/>
      <c r="L58" s="2047"/>
      <c r="M58" s="2047"/>
      <c r="N58" s="2047"/>
      <c r="O58" s="2047"/>
      <c r="P58" s="2047"/>
      <c r="Q58" s="2047"/>
      <c r="R58" s="2047"/>
      <c r="S58" s="2047"/>
      <c r="T58" s="1837"/>
      <c r="U58" s="1837"/>
      <c r="V58" s="1837"/>
      <c r="W58" s="1841" t="str">
        <f>Input_Header02</f>
        <v xml:space="preserve"> </v>
      </c>
      <c r="X58" s="1838"/>
      <c r="Y58" s="1838"/>
      <c r="Z58" s="1838" t="str">
        <f>$Z$3</f>
        <v xml:space="preserve"> </v>
      </c>
      <c r="AA58" s="1838"/>
      <c r="AB58" s="1838"/>
      <c r="AC58" s="1840"/>
      <c r="AF58" s="218"/>
    </row>
    <row r="59" spans="1:34" ht="14.45" hidden="1" customHeight="1" x14ac:dyDescent="0.25">
      <c r="A59" s="10" t="s">
        <v>459</v>
      </c>
      <c r="C59" s="1836"/>
      <c r="D59" s="1837"/>
      <c r="E59" s="1837"/>
      <c r="F59" s="1837"/>
      <c r="G59" s="1837"/>
      <c r="H59" s="1837"/>
      <c r="I59" s="1837"/>
      <c r="J59" s="2047"/>
      <c r="K59" s="2047"/>
      <c r="L59" s="2047"/>
      <c r="M59" s="2047"/>
      <c r="N59" s="2047"/>
      <c r="O59" s="2047"/>
      <c r="P59" s="2047"/>
      <c r="Q59" s="2047"/>
      <c r="R59" s="2047"/>
      <c r="S59" s="2047"/>
      <c r="T59" s="1837"/>
      <c r="U59" s="1837"/>
      <c r="V59" s="1837"/>
      <c r="W59" s="1841" t="str">
        <f>Input_Header03</f>
        <v xml:space="preserve"> </v>
      </c>
      <c r="X59" s="1838"/>
      <c r="Y59" s="1838"/>
      <c r="Z59" s="1838"/>
      <c r="AA59" s="1839"/>
      <c r="AB59" s="1839"/>
      <c r="AC59" s="1840"/>
      <c r="AF59" s="218"/>
    </row>
    <row r="60" spans="1:34" ht="14.45" hidden="1" customHeight="1" x14ac:dyDescent="0.25">
      <c r="A60" s="10" t="s">
        <v>459</v>
      </c>
      <c r="C60" s="1836"/>
      <c r="D60" s="1837"/>
      <c r="E60" s="1837"/>
      <c r="F60" s="1837"/>
      <c r="G60" s="1837"/>
      <c r="H60" s="1837"/>
      <c r="I60" s="1837"/>
      <c r="J60" s="2047"/>
      <c r="K60" s="2047"/>
      <c r="L60" s="2047"/>
      <c r="M60" s="2047"/>
      <c r="N60" s="2047"/>
      <c r="O60" s="2047"/>
      <c r="P60" s="2047"/>
      <c r="Q60" s="2047"/>
      <c r="R60" s="2047"/>
      <c r="S60" s="2047"/>
      <c r="T60" s="1837"/>
      <c r="U60" s="1837"/>
      <c r="V60" s="1837"/>
      <c r="W60" s="1842" t="str">
        <f>Input_Header04</f>
        <v xml:space="preserve"> </v>
      </c>
      <c r="X60" s="1837"/>
      <c r="Y60" s="1838"/>
      <c r="Z60" s="1838"/>
      <c r="AA60" s="1986"/>
      <c r="AB60" s="1986" t="str">
        <f>Input_Version</f>
        <v>#1</v>
      </c>
      <c r="AC60" s="1840"/>
      <c r="AF60" s="218"/>
    </row>
    <row r="61" spans="1:34" ht="14.45" hidden="1" customHeight="1" x14ac:dyDescent="0.25">
      <c r="A61" s="10" t="s">
        <v>459</v>
      </c>
      <c r="C61" s="1843"/>
      <c r="D61" s="1844"/>
      <c r="E61" s="1844"/>
      <c r="F61" s="1844"/>
      <c r="G61" s="1845"/>
      <c r="H61" s="1845"/>
      <c r="I61" s="1845"/>
      <c r="J61" s="2048"/>
      <c r="K61" s="2048"/>
      <c r="L61" s="2048"/>
      <c r="M61" s="2048"/>
      <c r="N61" s="2048"/>
      <c r="O61" s="2048"/>
      <c r="P61" s="2048"/>
      <c r="Q61" s="2048"/>
      <c r="R61" s="2048"/>
      <c r="S61" s="2048"/>
      <c r="T61" s="1845"/>
      <c r="U61" s="1845"/>
      <c r="V61" s="1845"/>
      <c r="W61" s="1846" t="str">
        <f>Input_Header05</f>
        <v xml:space="preserve"> </v>
      </c>
      <c r="X61" s="1847"/>
      <c r="Y61" s="1847"/>
      <c r="Z61" s="1847"/>
      <c r="AA61" s="2049">
        <f ca="1">Input_Date</f>
        <v>45869</v>
      </c>
      <c r="AB61" s="2049"/>
      <c r="AC61" s="1848"/>
      <c r="AF61" s="218"/>
    </row>
    <row r="62" spans="1:34" s="5" customFormat="1" ht="10.15" hidden="1" customHeight="1" x14ac:dyDescent="0.2">
      <c r="A62" s="10" t="s">
        <v>460</v>
      </c>
      <c r="B62" s="10"/>
      <c r="C62" s="41"/>
      <c r="T62" s="46"/>
      <c r="U62" s="46"/>
      <c r="V62" s="46"/>
      <c r="W62" s="46"/>
      <c r="X62" s="46"/>
      <c r="Y62" s="46"/>
      <c r="Z62" s="46"/>
      <c r="AA62" s="46"/>
      <c r="AC62" s="47"/>
      <c r="AE62" s="10"/>
      <c r="AF62" s="218"/>
      <c r="AG62" s="10"/>
    </row>
    <row r="63" spans="1:34" s="5" customFormat="1" ht="10.15" hidden="1" customHeight="1" x14ac:dyDescent="0.2">
      <c r="A63" s="10" t="s">
        <v>459</v>
      </c>
      <c r="B63" s="10"/>
      <c r="C63" s="41"/>
      <c r="D63" s="2120" t="s">
        <v>0</v>
      </c>
      <c r="E63" s="2121"/>
      <c r="F63" s="2122"/>
      <c r="G63" s="48"/>
      <c r="H63" s="48"/>
      <c r="I63" s="49"/>
      <c r="J63" s="2050" t="s">
        <v>103</v>
      </c>
      <c r="K63" s="2051"/>
      <c r="L63" s="2051"/>
      <c r="M63" s="2051"/>
      <c r="N63" s="2051"/>
      <c r="O63" s="2051"/>
      <c r="P63" s="2051"/>
      <c r="Q63" s="2051"/>
      <c r="R63" s="2051"/>
      <c r="S63" s="2051"/>
      <c r="T63" s="2051"/>
      <c r="U63" s="2051"/>
      <c r="V63" s="2051"/>
      <c r="W63" s="2051"/>
      <c r="X63" s="2051"/>
      <c r="Y63" s="2051"/>
      <c r="Z63" s="2051"/>
      <c r="AA63" s="2051"/>
      <c r="AB63" s="2052"/>
      <c r="AC63" s="50"/>
      <c r="AE63" s="10"/>
      <c r="AF63" s="218"/>
      <c r="AG63" s="10"/>
    </row>
    <row r="64" spans="1:34" s="5" customFormat="1" ht="10.15" hidden="1" customHeight="1" x14ac:dyDescent="0.2">
      <c r="A64" s="10" t="s">
        <v>459</v>
      </c>
      <c r="B64" s="10"/>
      <c r="C64" s="41"/>
      <c r="D64" s="18" t="s">
        <v>125</v>
      </c>
      <c r="E64" s="9"/>
      <c r="F64" s="9" t="s">
        <v>1334</v>
      </c>
      <c r="G64" s="48"/>
      <c r="H64" s="48"/>
      <c r="J64" s="51"/>
      <c r="K64" s="52"/>
      <c r="L64" s="52"/>
      <c r="M64" s="52"/>
      <c r="N64" s="1039"/>
      <c r="O64" s="1039"/>
      <c r="P64" s="1039"/>
      <c r="Q64" s="1039"/>
      <c r="R64" s="1039"/>
      <c r="S64" s="1359" t="s">
        <v>88</v>
      </c>
      <c r="T64" s="2117" t="s">
        <v>1120</v>
      </c>
      <c r="U64" s="2118"/>
      <c r="V64" s="2118"/>
      <c r="W64" s="2118"/>
      <c r="X64" s="2118"/>
      <c r="Y64" s="2118"/>
      <c r="Z64" s="2118"/>
      <c r="AA64" s="2118"/>
      <c r="AB64" s="2119"/>
      <c r="AC64" s="50"/>
      <c r="AE64" s="10"/>
      <c r="AF64" s="218"/>
      <c r="AG64" s="10"/>
    </row>
    <row r="65" spans="1:34" s="5" customFormat="1" ht="10.15" hidden="1" customHeight="1" x14ac:dyDescent="0.2">
      <c r="A65" s="10" t="s">
        <v>459</v>
      </c>
      <c r="B65" s="10"/>
      <c r="C65" s="41"/>
      <c r="D65" s="53">
        <f>Structure!AY5</f>
        <v>12.625</v>
      </c>
      <c r="E65" s="54"/>
      <c r="F65" s="55">
        <f t="shared" ref="F65:F73" si="0">INDEX(Lookup_NoteRateAll,MATCH("PT_"&amp;RIGHT("000"&amp;TRUNC(D65),3)&amp;TEXT(D65-TRUNC(D65),".0000000000"),Lookup_NoteRateText,0),4)</f>
        <v>112</v>
      </c>
      <c r="G65" s="48"/>
      <c r="H65" s="48"/>
      <c r="J65" s="224"/>
      <c r="K65" s="225" t="s">
        <v>210</v>
      </c>
      <c r="L65" s="226"/>
      <c r="M65" s="227" t="s">
        <v>71</v>
      </c>
      <c r="N65" s="1060" t="s">
        <v>25</v>
      </c>
      <c r="O65" s="1041"/>
      <c r="P65" s="1041"/>
      <c r="Q65" s="1041"/>
      <c r="R65" s="1022"/>
      <c r="S65" s="228"/>
      <c r="T65" s="1229" t="s">
        <v>248</v>
      </c>
      <c r="U65" s="1230" t="s">
        <v>15</v>
      </c>
      <c r="V65" s="1231" t="s">
        <v>84</v>
      </c>
      <c r="W65" s="1231" t="s">
        <v>31</v>
      </c>
      <c r="X65" s="1231" t="s">
        <v>30</v>
      </c>
      <c r="Y65" s="1231" t="s">
        <v>29</v>
      </c>
      <c r="Z65" s="1231" t="s">
        <v>28</v>
      </c>
      <c r="AA65" s="1231" t="s">
        <v>27</v>
      </c>
      <c r="AB65" s="1232" t="s">
        <v>26</v>
      </c>
      <c r="AC65" s="47"/>
      <c r="AE65" s="10"/>
      <c r="AF65" s="218"/>
      <c r="AG65" s="10"/>
    </row>
    <row r="66" spans="1:34" s="5" customFormat="1" ht="10.15" hidden="1" customHeight="1" x14ac:dyDescent="0.2">
      <c r="A66" s="10" t="s">
        <v>459</v>
      </c>
      <c r="B66" s="10"/>
      <c r="C66" s="41"/>
      <c r="D66" s="53">
        <f>Structure!AY6</f>
        <v>12.5</v>
      </c>
      <c r="E66" s="54"/>
      <c r="F66" s="55">
        <f t="shared" si="0"/>
        <v>111.75</v>
      </c>
      <c r="G66" s="48"/>
      <c r="H66" s="48"/>
      <c r="J66" s="2076" t="s">
        <v>205</v>
      </c>
      <c r="K66" s="58"/>
      <c r="L66" s="59"/>
      <c r="M66" s="60"/>
      <c r="N66" s="998" t="s">
        <v>1101</v>
      </c>
      <c r="O66" s="1042"/>
      <c r="P66" s="1042"/>
      <c r="Q66" s="1042"/>
      <c r="R66" s="1042"/>
      <c r="S66" s="1360" t="s">
        <v>1144</v>
      </c>
      <c r="T66" s="1604">
        <v>1.625</v>
      </c>
      <c r="U66" s="1605">
        <v>1.625</v>
      </c>
      <c r="V66" s="1605">
        <v>1.375</v>
      </c>
      <c r="W66" s="1605">
        <v>1.125</v>
      </c>
      <c r="X66" s="1605">
        <v>0.875</v>
      </c>
      <c r="Y66" s="1605">
        <v>0</v>
      </c>
      <c r="Z66" s="1605">
        <v>-0.75</v>
      </c>
      <c r="AA66" s="1605">
        <v>-4.5</v>
      </c>
      <c r="AB66" s="1606">
        <v>-6.125</v>
      </c>
      <c r="AC66" s="47"/>
      <c r="AE66" s="10"/>
      <c r="AF66" s="218"/>
      <c r="AG66" s="10"/>
    </row>
    <row r="67" spans="1:34" s="5" customFormat="1" ht="10.15" hidden="1" customHeight="1" x14ac:dyDescent="0.2">
      <c r="A67" s="10" t="s">
        <v>459</v>
      </c>
      <c r="B67" s="10"/>
      <c r="C67" s="41"/>
      <c r="D67" s="53">
        <f>Structure!AY7</f>
        <v>12.375</v>
      </c>
      <c r="E67" s="54"/>
      <c r="F67" s="55">
        <f t="shared" si="0"/>
        <v>111.5</v>
      </c>
      <c r="G67" s="48"/>
      <c r="H67" s="48"/>
      <c r="J67" s="2077"/>
      <c r="K67" s="206"/>
      <c r="L67" s="207"/>
      <c r="M67" s="208"/>
      <c r="N67" s="999" t="s">
        <v>1100</v>
      </c>
      <c r="O67" s="977"/>
      <c r="P67" s="977"/>
      <c r="Q67" s="977"/>
      <c r="R67" s="977"/>
      <c r="S67" s="1361" t="s">
        <v>1145</v>
      </c>
      <c r="T67" s="1607">
        <v>1.625</v>
      </c>
      <c r="U67" s="1608">
        <v>1.625</v>
      </c>
      <c r="V67" s="1608">
        <v>1.375</v>
      </c>
      <c r="W67" s="1608">
        <v>1.125</v>
      </c>
      <c r="X67" s="1608">
        <v>0.875</v>
      </c>
      <c r="Y67" s="1608">
        <v>-0.125</v>
      </c>
      <c r="Z67" s="1608">
        <v>-0.875</v>
      </c>
      <c r="AA67" s="1608">
        <v>-4.75</v>
      </c>
      <c r="AB67" s="1609">
        <v>-6.375</v>
      </c>
      <c r="AC67" s="47"/>
      <c r="AE67" s="10"/>
      <c r="AF67" s="218"/>
      <c r="AG67" s="10"/>
    </row>
    <row r="68" spans="1:34" s="5" customFormat="1" ht="10.15" hidden="1" customHeight="1" x14ac:dyDescent="0.2">
      <c r="A68" s="10" t="s">
        <v>459</v>
      </c>
      <c r="B68" s="10"/>
      <c r="C68" s="41"/>
      <c r="D68" s="53">
        <f>Structure!AY8</f>
        <v>12.25</v>
      </c>
      <c r="E68" s="54"/>
      <c r="F68" s="55">
        <f t="shared" si="0"/>
        <v>111.25</v>
      </c>
      <c r="G68" s="48"/>
      <c r="H68" s="48"/>
      <c r="J68" s="2078"/>
      <c r="K68" s="61" t="s">
        <v>1410</v>
      </c>
      <c r="L68" s="62"/>
      <c r="M68" s="63">
        <v>1</v>
      </c>
      <c r="N68" s="999" t="s">
        <v>254</v>
      </c>
      <c r="O68" s="977"/>
      <c r="P68" s="977"/>
      <c r="Q68" s="977"/>
      <c r="R68" s="977"/>
      <c r="S68" s="1361" t="s">
        <v>1146</v>
      </c>
      <c r="T68" s="1607">
        <v>1.125</v>
      </c>
      <c r="U68" s="1608">
        <v>1.125</v>
      </c>
      <c r="V68" s="1608">
        <v>0.875</v>
      </c>
      <c r="W68" s="1608">
        <v>0.625</v>
      </c>
      <c r="X68" s="1608">
        <v>0.375</v>
      </c>
      <c r="Y68" s="1608">
        <v>-0.75</v>
      </c>
      <c r="Z68" s="1608">
        <v>-1.625</v>
      </c>
      <c r="AA68" s="1608">
        <v>-5.375</v>
      </c>
      <c r="AB68" s="1609">
        <v>-7.375</v>
      </c>
      <c r="AC68" s="47"/>
      <c r="AE68" s="10"/>
      <c r="AF68" s="218"/>
      <c r="AG68" s="10"/>
    </row>
    <row r="69" spans="1:34" s="5" customFormat="1" ht="10.15" hidden="1" customHeight="1" x14ac:dyDescent="0.2">
      <c r="A69" s="10" t="s">
        <v>459</v>
      </c>
      <c r="B69" s="10"/>
      <c r="C69" s="41"/>
      <c r="D69" s="53">
        <f>Structure!AY9</f>
        <v>12.125</v>
      </c>
      <c r="E69" s="54"/>
      <c r="F69" s="55">
        <f t="shared" si="0"/>
        <v>111</v>
      </c>
      <c r="G69" s="48"/>
      <c r="H69" s="48"/>
      <c r="J69" s="2078"/>
      <c r="K69" s="61" t="s">
        <v>1409</v>
      </c>
      <c r="L69" s="65"/>
      <c r="M69" s="63">
        <v>2</v>
      </c>
      <c r="N69" s="999" t="s">
        <v>253</v>
      </c>
      <c r="O69" s="977"/>
      <c r="P69" s="977"/>
      <c r="Q69" s="977"/>
      <c r="R69" s="977"/>
      <c r="S69" s="1361" t="s">
        <v>1147</v>
      </c>
      <c r="T69" s="1607">
        <v>0.75</v>
      </c>
      <c r="U69" s="1608">
        <v>0.75</v>
      </c>
      <c r="V69" s="1608">
        <v>0.375</v>
      </c>
      <c r="W69" s="1608">
        <v>0.125</v>
      </c>
      <c r="X69" s="1608">
        <v>-0.125</v>
      </c>
      <c r="Y69" s="1608">
        <v>-1.375</v>
      </c>
      <c r="Z69" s="1608">
        <v>-2.875</v>
      </c>
      <c r="AA69" s="1608">
        <v>-6.75</v>
      </c>
      <c r="AB69" s="1609">
        <v>-9</v>
      </c>
      <c r="AC69" s="47"/>
      <c r="AE69" s="10"/>
      <c r="AF69" s="218"/>
      <c r="AG69" s="10"/>
    </row>
    <row r="70" spans="1:34" s="5" customFormat="1" ht="10.15" hidden="1" customHeight="1" x14ac:dyDescent="0.2">
      <c r="A70" s="10" t="s">
        <v>459</v>
      </c>
      <c r="B70" s="10"/>
      <c r="C70" s="41"/>
      <c r="D70" s="53">
        <f>Structure!AY10</f>
        <v>12</v>
      </c>
      <c r="E70" s="54"/>
      <c r="F70" s="55">
        <f t="shared" si="0"/>
        <v>110.75</v>
      </c>
      <c r="G70" s="48"/>
      <c r="H70" s="48"/>
      <c r="J70" s="2078"/>
      <c r="K70" s="66"/>
      <c r="L70" s="44"/>
      <c r="M70" s="63"/>
      <c r="N70" s="999" t="s">
        <v>3</v>
      </c>
      <c r="O70" s="977"/>
      <c r="P70" s="977"/>
      <c r="Q70" s="977"/>
      <c r="R70" s="977"/>
      <c r="S70" s="1362" t="s">
        <v>1148</v>
      </c>
      <c r="T70" s="1607">
        <v>0.125</v>
      </c>
      <c r="U70" s="1608">
        <v>0.125</v>
      </c>
      <c r="V70" s="1608">
        <v>-0.375</v>
      </c>
      <c r="W70" s="1608">
        <v>-0.75</v>
      </c>
      <c r="X70" s="1608">
        <v>-1</v>
      </c>
      <c r="Y70" s="1608">
        <v>-2</v>
      </c>
      <c r="Z70" s="1608">
        <v>-4</v>
      </c>
      <c r="AA70" s="1608">
        <v>-8.125</v>
      </c>
      <c r="AB70" s="1609">
        <v>-10</v>
      </c>
      <c r="AC70" s="47"/>
      <c r="AE70" s="10"/>
      <c r="AF70" s="218"/>
      <c r="AG70" s="10"/>
      <c r="AH70" s="10"/>
    </row>
    <row r="71" spans="1:34" s="5" customFormat="1" ht="10.15" hidden="1" customHeight="1" x14ac:dyDescent="0.2">
      <c r="A71" s="10" t="s">
        <v>459</v>
      </c>
      <c r="B71" s="10"/>
      <c r="C71" s="41"/>
      <c r="D71" s="53">
        <f>Structure!AY11</f>
        <v>11.875</v>
      </c>
      <c r="E71" s="54"/>
      <c r="F71" s="55">
        <f t="shared" si="0"/>
        <v>110.5</v>
      </c>
      <c r="G71" s="48"/>
      <c r="H71" s="48"/>
      <c r="J71" s="2078"/>
      <c r="K71" s="66"/>
      <c r="L71" s="44"/>
      <c r="M71" s="63"/>
      <c r="N71" s="999" t="s">
        <v>5</v>
      </c>
      <c r="O71" s="977"/>
      <c r="P71" s="977"/>
      <c r="Q71" s="977"/>
      <c r="R71" s="977"/>
      <c r="S71" s="1362" t="s">
        <v>1149</v>
      </c>
      <c r="T71" s="1607">
        <v>-0.75</v>
      </c>
      <c r="U71" s="1608">
        <v>-0.75</v>
      </c>
      <c r="V71" s="1608">
        <v>-1.375</v>
      </c>
      <c r="W71" s="1608">
        <v>-1.875</v>
      </c>
      <c r="X71" s="1608">
        <v>-2.375</v>
      </c>
      <c r="Y71" s="1608">
        <v>-3.125</v>
      </c>
      <c r="Z71" s="1608">
        <v>-5.5</v>
      </c>
      <c r="AA71" s="1608">
        <v>-9.375</v>
      </c>
      <c r="AB71" s="1609">
        <v>-11.5</v>
      </c>
      <c r="AC71" s="47"/>
      <c r="AE71" s="10"/>
      <c r="AF71" s="218"/>
      <c r="AG71" s="10"/>
      <c r="AH71" s="10"/>
    </row>
    <row r="72" spans="1:34" s="5" customFormat="1" ht="10.15" hidden="1" customHeight="1" x14ac:dyDescent="0.2">
      <c r="A72" s="10" t="s">
        <v>459</v>
      </c>
      <c r="B72" s="10"/>
      <c r="C72" s="41"/>
      <c r="D72" s="53">
        <f>Structure!AY12</f>
        <v>11.75</v>
      </c>
      <c r="E72" s="54"/>
      <c r="F72" s="55">
        <f t="shared" si="0"/>
        <v>110.25</v>
      </c>
      <c r="G72" s="48"/>
      <c r="H72" s="48"/>
      <c r="J72" s="2078"/>
      <c r="K72" s="66"/>
      <c r="L72" s="44"/>
      <c r="M72" s="63"/>
      <c r="N72" s="1000" t="s">
        <v>6</v>
      </c>
      <c r="O72" s="978"/>
      <c r="P72" s="978"/>
      <c r="Q72" s="978"/>
      <c r="R72" s="978"/>
      <c r="S72" s="1362" t="s">
        <v>1150</v>
      </c>
      <c r="T72" s="1607">
        <v>-3</v>
      </c>
      <c r="U72" s="1608">
        <v>-3</v>
      </c>
      <c r="V72" s="1608">
        <v>-3.75</v>
      </c>
      <c r="W72" s="1608">
        <v>-4.125</v>
      </c>
      <c r="X72" s="1608">
        <v>-4.75</v>
      </c>
      <c r="Y72" s="1608">
        <v>-5.75</v>
      </c>
      <c r="Z72" s="1608">
        <v>-8.375</v>
      </c>
      <c r="AA72" s="1608">
        <v>-11.125</v>
      </c>
      <c r="AB72" s="1742" t="e">
        <v>#N/A</v>
      </c>
      <c r="AC72" s="47"/>
      <c r="AE72" s="10"/>
      <c r="AF72" s="218"/>
      <c r="AG72" s="10"/>
      <c r="AH72" s="10"/>
    </row>
    <row r="73" spans="1:34" s="5" customFormat="1" ht="10.15" hidden="1" customHeight="1" x14ac:dyDescent="0.2">
      <c r="A73" s="10" t="s">
        <v>459</v>
      </c>
      <c r="B73" s="10"/>
      <c r="C73" s="41"/>
      <c r="D73" s="53">
        <f>Structure!AY13</f>
        <v>11.625</v>
      </c>
      <c r="E73" s="54"/>
      <c r="F73" s="55">
        <f t="shared" si="0"/>
        <v>110</v>
      </c>
      <c r="G73" s="48"/>
      <c r="H73" s="48"/>
      <c r="J73" s="2078"/>
      <c r="K73" s="66"/>
      <c r="L73" s="44"/>
      <c r="M73" s="63"/>
      <c r="N73" s="1000" t="s">
        <v>7</v>
      </c>
      <c r="O73" s="978"/>
      <c r="P73" s="978"/>
      <c r="Q73" s="978"/>
      <c r="R73" s="978"/>
      <c r="S73" s="1362" t="s">
        <v>1151</v>
      </c>
      <c r="T73" s="1610">
        <v>-4.25</v>
      </c>
      <c r="U73" s="1611">
        <v>-4.375</v>
      </c>
      <c r="V73" s="1611">
        <v>-4.875</v>
      </c>
      <c r="W73" s="1611">
        <v>-5.5</v>
      </c>
      <c r="X73" s="1611">
        <v>-6</v>
      </c>
      <c r="Y73" s="1611">
        <v>-7.25</v>
      </c>
      <c r="Z73" s="1611">
        <v>-10.25</v>
      </c>
      <c r="AA73" s="1743" t="e">
        <v>#N/A</v>
      </c>
      <c r="AB73" s="1744" t="e">
        <v>#N/A</v>
      </c>
      <c r="AC73" s="47"/>
      <c r="AE73" s="10"/>
      <c r="AF73" s="218"/>
      <c r="AG73" s="10"/>
      <c r="AH73" s="10"/>
    </row>
    <row r="74" spans="1:34" s="5" customFormat="1" ht="10.15" hidden="1" customHeight="1" x14ac:dyDescent="0.2">
      <c r="A74" s="10" t="s">
        <v>461</v>
      </c>
      <c r="B74" s="10"/>
      <c r="C74" s="41"/>
      <c r="G74" s="48"/>
      <c r="H74" s="48"/>
      <c r="J74" s="2078"/>
      <c r="K74" s="66"/>
      <c r="L74" s="44"/>
      <c r="M74" s="63"/>
      <c r="N74" s="1000" t="s">
        <v>9</v>
      </c>
      <c r="O74" s="978"/>
      <c r="P74" s="978"/>
      <c r="Q74" s="978"/>
      <c r="R74" s="978"/>
      <c r="S74" s="1362" t="s">
        <v>1152</v>
      </c>
      <c r="T74" s="1494" t="e">
        <v>#N/A</v>
      </c>
      <c r="U74" s="1203" t="e">
        <v>#N/A</v>
      </c>
      <c r="V74" s="1203" t="e">
        <v>#N/A</v>
      </c>
      <c r="W74" s="1203" t="e">
        <v>#N/A</v>
      </c>
      <c r="X74" s="1203" t="e">
        <v>#N/A</v>
      </c>
      <c r="Y74" s="1203" t="e">
        <v>#N/A</v>
      </c>
      <c r="Z74" s="1203" t="e">
        <v>#N/A</v>
      </c>
      <c r="AA74" s="1203" t="e">
        <v>#N/A</v>
      </c>
      <c r="AB74" s="1493" t="e">
        <v>#N/A</v>
      </c>
      <c r="AC74" s="47"/>
      <c r="AE74" s="10"/>
      <c r="AF74" s="218"/>
      <c r="AG74" s="10"/>
      <c r="AH74" s="10"/>
    </row>
    <row r="75" spans="1:34" s="5" customFormat="1" ht="10.15" hidden="1" customHeight="1" x14ac:dyDescent="0.2">
      <c r="A75" s="10" t="s">
        <v>461</v>
      </c>
      <c r="B75" s="10"/>
      <c r="C75" s="41"/>
      <c r="G75" s="48"/>
      <c r="H75" s="48"/>
      <c r="J75" s="2078"/>
      <c r="K75" s="66"/>
      <c r="L75" s="44"/>
      <c r="M75" s="63"/>
      <c r="N75" s="999" t="s">
        <v>10</v>
      </c>
      <c r="O75" s="977"/>
      <c r="P75" s="977"/>
      <c r="Q75" s="977"/>
      <c r="R75" s="977"/>
      <c r="S75" s="1361" t="s">
        <v>1153</v>
      </c>
      <c r="T75" s="1494" t="e">
        <v>#N/A</v>
      </c>
      <c r="U75" s="1203" t="e">
        <v>#N/A</v>
      </c>
      <c r="V75" s="1203" t="e">
        <v>#N/A</v>
      </c>
      <c r="W75" s="1203" t="e">
        <v>#N/A</v>
      </c>
      <c r="X75" s="1203" t="e">
        <v>#N/A</v>
      </c>
      <c r="Y75" s="1203" t="e">
        <v>#N/A</v>
      </c>
      <c r="Z75" s="1203" t="e">
        <v>#N/A</v>
      </c>
      <c r="AA75" s="1203" t="e">
        <v>#N/A</v>
      </c>
      <c r="AB75" s="1493" t="e">
        <v>#N/A</v>
      </c>
      <c r="AC75" s="47"/>
      <c r="AE75" s="10"/>
      <c r="AF75" s="218"/>
      <c r="AG75" s="10"/>
      <c r="AH75" s="10"/>
    </row>
    <row r="76" spans="1:34" s="5" customFormat="1" ht="10.15" hidden="1" customHeight="1" x14ac:dyDescent="0.2">
      <c r="A76" s="10" t="s">
        <v>459</v>
      </c>
      <c r="B76" s="10"/>
      <c r="C76" s="41"/>
      <c r="D76" s="53">
        <f>Structure!AY14</f>
        <v>11.5</v>
      </c>
      <c r="E76" s="54"/>
      <c r="F76" s="55">
        <f t="shared" ref="F76:F83" si="1">INDEX(Lookup_NoteRateAll,MATCH("PT_"&amp;RIGHT("000"&amp;TRUNC(D76),3)&amp;TEXT(D76-TRUNC(D76),".0000000000"),Lookup_NoteRateText,0),4)</f>
        <v>109.75</v>
      </c>
      <c r="G76" s="48"/>
      <c r="H76" s="48"/>
      <c r="J76" s="2076" t="s">
        <v>206</v>
      </c>
      <c r="K76" s="58"/>
      <c r="L76" s="59"/>
      <c r="M76" s="67"/>
      <c r="N76" s="998" t="s">
        <v>1101</v>
      </c>
      <c r="O76" s="1042"/>
      <c r="P76" s="1042"/>
      <c r="Q76" s="1042"/>
      <c r="R76" s="1042"/>
      <c r="S76" s="1392" t="s">
        <v>1154</v>
      </c>
      <c r="T76" s="1604">
        <v>0.875</v>
      </c>
      <c r="U76" s="1605">
        <v>0.875</v>
      </c>
      <c r="V76" s="1605">
        <v>0.625</v>
      </c>
      <c r="W76" s="1605">
        <v>0.25</v>
      </c>
      <c r="X76" s="1605">
        <v>0</v>
      </c>
      <c r="Y76" s="1605">
        <v>-1</v>
      </c>
      <c r="Z76" s="1605">
        <v>-1.875</v>
      </c>
      <c r="AA76" s="1605">
        <v>-5.875</v>
      </c>
      <c r="AB76" s="1606">
        <v>-7.625</v>
      </c>
      <c r="AC76" s="47"/>
      <c r="AE76" s="10"/>
      <c r="AF76" s="218"/>
      <c r="AG76" s="10"/>
      <c r="AH76" s="10"/>
    </row>
    <row r="77" spans="1:34" s="5" customFormat="1" ht="10.15" hidden="1" customHeight="1" x14ac:dyDescent="0.2">
      <c r="A77" s="10" t="s">
        <v>459</v>
      </c>
      <c r="B77" s="10"/>
      <c r="C77" s="41"/>
      <c r="D77" s="53">
        <f>Structure!AY15</f>
        <v>11.375</v>
      </c>
      <c r="E77" s="54"/>
      <c r="F77" s="55">
        <f t="shared" si="1"/>
        <v>109.5</v>
      </c>
      <c r="G77" s="48"/>
      <c r="H77" s="48"/>
      <c r="J77" s="2077"/>
      <c r="K77" s="206"/>
      <c r="L77" s="207"/>
      <c r="M77" s="209"/>
      <c r="N77" s="999" t="s">
        <v>1100</v>
      </c>
      <c r="O77" s="977"/>
      <c r="P77" s="977"/>
      <c r="Q77" s="977"/>
      <c r="R77" s="977"/>
      <c r="S77" s="1361" t="s">
        <v>1155</v>
      </c>
      <c r="T77" s="1607">
        <v>0.875</v>
      </c>
      <c r="U77" s="1608">
        <v>0.875</v>
      </c>
      <c r="V77" s="1608">
        <v>0.625</v>
      </c>
      <c r="W77" s="1608">
        <v>0.25</v>
      </c>
      <c r="X77" s="1608">
        <v>0</v>
      </c>
      <c r="Y77" s="1608">
        <v>-1.125</v>
      </c>
      <c r="Z77" s="1608">
        <v>-2</v>
      </c>
      <c r="AA77" s="1608">
        <v>-6.125</v>
      </c>
      <c r="AB77" s="1609">
        <v>-7.875</v>
      </c>
      <c r="AC77" s="47"/>
      <c r="AE77" s="10"/>
      <c r="AF77" s="218"/>
      <c r="AG77" s="10"/>
      <c r="AH77" s="10"/>
    </row>
    <row r="78" spans="1:34" s="5" customFormat="1" ht="10.15" hidden="1" customHeight="1" x14ac:dyDescent="0.2">
      <c r="A78" s="10" t="s">
        <v>459</v>
      </c>
      <c r="B78" s="10"/>
      <c r="C78" s="41"/>
      <c r="D78" s="53">
        <f>Structure!AY16</f>
        <v>11.25</v>
      </c>
      <c r="E78" s="54"/>
      <c r="F78" s="55">
        <f t="shared" si="1"/>
        <v>109.25</v>
      </c>
      <c r="G78" s="48"/>
      <c r="H78" s="48"/>
      <c r="J78" s="2078"/>
      <c r="K78" s="64" t="s">
        <v>80</v>
      </c>
      <c r="L78" s="68" t="s">
        <v>424</v>
      </c>
      <c r="M78" s="63">
        <v>3</v>
      </c>
      <c r="N78" s="999" t="s">
        <v>254</v>
      </c>
      <c r="O78" s="977"/>
      <c r="P78" s="977"/>
      <c r="Q78" s="977"/>
      <c r="R78" s="977"/>
      <c r="S78" s="1361" t="s">
        <v>1156</v>
      </c>
      <c r="T78" s="1607">
        <v>0.375</v>
      </c>
      <c r="U78" s="1608">
        <v>0.375</v>
      </c>
      <c r="V78" s="1608">
        <v>0.125</v>
      </c>
      <c r="W78" s="1608">
        <v>-0.25</v>
      </c>
      <c r="X78" s="1608">
        <v>-0.5</v>
      </c>
      <c r="Y78" s="1608">
        <v>-1.75</v>
      </c>
      <c r="Z78" s="1608">
        <v>-2.75</v>
      </c>
      <c r="AA78" s="1608">
        <v>-6.75</v>
      </c>
      <c r="AB78" s="1609">
        <v>-8.875</v>
      </c>
      <c r="AC78" s="47"/>
      <c r="AE78" s="10"/>
      <c r="AF78" s="218"/>
      <c r="AG78" s="10"/>
      <c r="AH78" s="10"/>
    </row>
    <row r="79" spans="1:34" s="5" customFormat="1" ht="10.15" hidden="1" customHeight="1" x14ac:dyDescent="0.2">
      <c r="A79" s="10" t="s">
        <v>459</v>
      </c>
      <c r="B79" s="10"/>
      <c r="C79" s="41"/>
      <c r="D79" s="53">
        <f>Structure!AY17</f>
        <v>11.125</v>
      </c>
      <c r="E79" s="54"/>
      <c r="F79" s="55">
        <f t="shared" si="1"/>
        <v>109</v>
      </c>
      <c r="G79" s="48"/>
      <c r="H79" s="48"/>
      <c r="J79" s="2078"/>
      <c r="K79" s="61">
        <v>1099</v>
      </c>
      <c r="L79" s="62"/>
      <c r="M79" s="63">
        <v>14</v>
      </c>
      <c r="N79" s="999" t="s">
        <v>253</v>
      </c>
      <c r="O79" s="977"/>
      <c r="P79" s="977"/>
      <c r="Q79" s="977"/>
      <c r="R79" s="977"/>
      <c r="S79" s="1362" t="s">
        <v>1157</v>
      </c>
      <c r="T79" s="1607">
        <v>0</v>
      </c>
      <c r="U79" s="1608">
        <v>0</v>
      </c>
      <c r="V79" s="1608">
        <v>-0.375</v>
      </c>
      <c r="W79" s="1608">
        <v>-0.75</v>
      </c>
      <c r="X79" s="1608">
        <v>-1</v>
      </c>
      <c r="Y79" s="1608">
        <v>-2.375</v>
      </c>
      <c r="Z79" s="1608">
        <v>-4</v>
      </c>
      <c r="AA79" s="1608">
        <v>-8.25</v>
      </c>
      <c r="AB79" s="1609">
        <v>-10.75</v>
      </c>
      <c r="AC79" s="47"/>
      <c r="AE79" s="10"/>
      <c r="AF79" s="218"/>
      <c r="AG79" s="10"/>
      <c r="AH79" s="10"/>
    </row>
    <row r="80" spans="1:34" s="5" customFormat="1" ht="10.15" hidden="1" customHeight="1" x14ac:dyDescent="0.2">
      <c r="A80" s="10" t="s">
        <v>459</v>
      </c>
      <c r="C80" s="41"/>
      <c r="D80" s="53">
        <f>Structure!AY18</f>
        <v>11</v>
      </c>
      <c r="E80" s="54"/>
      <c r="F80" s="55">
        <f t="shared" si="1"/>
        <v>108.75</v>
      </c>
      <c r="G80" s="48"/>
      <c r="H80" s="48"/>
      <c r="J80" s="2078"/>
      <c r="K80" s="64"/>
      <c r="L80" s="65"/>
      <c r="M80" s="63"/>
      <c r="N80" s="999" t="s">
        <v>3</v>
      </c>
      <c r="O80" s="977"/>
      <c r="P80" s="977"/>
      <c r="Q80" s="977"/>
      <c r="R80" s="977"/>
      <c r="S80" s="1362" t="s">
        <v>1158</v>
      </c>
      <c r="T80" s="1607">
        <v>-0.625</v>
      </c>
      <c r="U80" s="1608">
        <v>-0.625</v>
      </c>
      <c r="V80" s="1608">
        <v>-1.125</v>
      </c>
      <c r="W80" s="1608">
        <v>-1.625</v>
      </c>
      <c r="X80" s="1608">
        <v>-1.875</v>
      </c>
      <c r="Y80" s="1608">
        <v>-3</v>
      </c>
      <c r="Z80" s="1608">
        <v>-5.125</v>
      </c>
      <c r="AA80" s="1608">
        <v>-9.625</v>
      </c>
      <c r="AB80" s="1609">
        <v>-11.75</v>
      </c>
      <c r="AC80" s="47"/>
      <c r="AE80" s="10"/>
      <c r="AF80" s="218"/>
      <c r="AG80" s="10"/>
      <c r="AH80" s="10"/>
    </row>
    <row r="81" spans="1:34" s="5" customFormat="1" ht="10.15" hidden="1" customHeight="1" x14ac:dyDescent="0.2">
      <c r="A81" s="10" t="s">
        <v>459</v>
      </c>
      <c r="C81" s="41"/>
      <c r="D81" s="53">
        <f>Structure!AY19</f>
        <v>10.875</v>
      </c>
      <c r="E81" s="54"/>
      <c r="F81" s="55">
        <f t="shared" si="1"/>
        <v>108.5</v>
      </c>
      <c r="G81" s="48"/>
      <c r="H81" s="48"/>
      <c r="J81" s="2078"/>
      <c r="K81" s="64"/>
      <c r="L81" s="65"/>
      <c r="M81" s="63"/>
      <c r="N81" s="999" t="s">
        <v>5</v>
      </c>
      <c r="O81" s="977"/>
      <c r="P81" s="977"/>
      <c r="Q81" s="977"/>
      <c r="R81" s="977"/>
      <c r="S81" s="1362" t="s">
        <v>1159</v>
      </c>
      <c r="T81" s="1607">
        <v>-1.625</v>
      </c>
      <c r="U81" s="1608">
        <v>-1.625</v>
      </c>
      <c r="V81" s="1608">
        <v>-2.25</v>
      </c>
      <c r="W81" s="1608">
        <v>-2.875</v>
      </c>
      <c r="X81" s="1608">
        <v>-3.375</v>
      </c>
      <c r="Y81" s="1608">
        <v>-4.25</v>
      </c>
      <c r="Z81" s="1608">
        <v>-6.75</v>
      </c>
      <c r="AA81" s="1608">
        <v>-11.25</v>
      </c>
      <c r="AB81" s="1742" t="e">
        <v>#N/A</v>
      </c>
      <c r="AC81" s="47"/>
      <c r="AE81" s="10"/>
      <c r="AF81" s="218"/>
      <c r="AG81" s="10"/>
      <c r="AH81" s="10"/>
    </row>
    <row r="82" spans="1:34" s="5" customFormat="1" ht="10.15" hidden="1" customHeight="1" x14ac:dyDescent="0.2">
      <c r="A82" s="10" t="s">
        <v>459</v>
      </c>
      <c r="C82" s="41"/>
      <c r="D82" s="53">
        <f>Structure!AY20</f>
        <v>10.75</v>
      </c>
      <c r="E82" s="54"/>
      <c r="F82" s="55">
        <f t="shared" si="1"/>
        <v>108.25</v>
      </c>
      <c r="G82" s="48"/>
      <c r="H82" s="48"/>
      <c r="J82" s="2078"/>
      <c r="K82" s="64"/>
      <c r="L82" s="65"/>
      <c r="M82" s="63"/>
      <c r="N82" s="1000" t="s">
        <v>6</v>
      </c>
      <c r="O82" s="978"/>
      <c r="P82" s="978"/>
      <c r="Q82" s="978"/>
      <c r="R82" s="978"/>
      <c r="S82" s="1362" t="s">
        <v>1160</v>
      </c>
      <c r="T82" s="1607">
        <v>-4</v>
      </c>
      <c r="U82" s="1608">
        <v>-4</v>
      </c>
      <c r="V82" s="1608">
        <v>-4.75</v>
      </c>
      <c r="W82" s="1608">
        <v>-5.25</v>
      </c>
      <c r="X82" s="1608">
        <v>-5.875</v>
      </c>
      <c r="Y82" s="1608">
        <v>-7</v>
      </c>
      <c r="Z82" s="1608">
        <v>-9.75</v>
      </c>
      <c r="AA82" s="1745" t="e">
        <v>#N/A</v>
      </c>
      <c r="AB82" s="1742" t="e">
        <v>#N/A</v>
      </c>
      <c r="AC82" s="47"/>
      <c r="AE82" s="10"/>
      <c r="AF82" s="218"/>
      <c r="AG82" s="10"/>
      <c r="AH82" s="10"/>
    </row>
    <row r="83" spans="1:34" s="5" customFormat="1" ht="10.15" hidden="1" customHeight="1" x14ac:dyDescent="0.2">
      <c r="A83" s="10" t="s">
        <v>459</v>
      </c>
      <c r="C83" s="41"/>
      <c r="D83" s="53">
        <f>Structure!AY21</f>
        <v>10.625</v>
      </c>
      <c r="E83" s="54"/>
      <c r="F83" s="55">
        <f t="shared" si="1"/>
        <v>108</v>
      </c>
      <c r="G83" s="48"/>
      <c r="H83" s="48"/>
      <c r="J83" s="2078"/>
      <c r="K83" s="64"/>
      <c r="L83" s="65"/>
      <c r="M83" s="63"/>
      <c r="N83" s="1000" t="s">
        <v>7</v>
      </c>
      <c r="O83" s="978"/>
      <c r="P83" s="978"/>
      <c r="Q83" s="978"/>
      <c r="R83" s="978"/>
      <c r="S83" s="1362" t="s">
        <v>1161</v>
      </c>
      <c r="T83" s="1610">
        <v>-5.75</v>
      </c>
      <c r="U83" s="1611">
        <v>-5.875</v>
      </c>
      <c r="V83" s="1611">
        <v>-6.375</v>
      </c>
      <c r="W83" s="1611">
        <v>-7.125</v>
      </c>
      <c r="X83" s="1611">
        <v>-7.625</v>
      </c>
      <c r="Y83" s="1611">
        <v>-9</v>
      </c>
      <c r="Z83" s="1743" t="e">
        <v>#N/A</v>
      </c>
      <c r="AA83" s="1743" t="e">
        <v>#N/A</v>
      </c>
      <c r="AB83" s="1744" t="e">
        <v>#N/A</v>
      </c>
      <c r="AC83" s="47"/>
      <c r="AE83" s="10"/>
      <c r="AF83" s="218"/>
      <c r="AG83" s="10"/>
      <c r="AH83" s="10"/>
    </row>
    <row r="84" spans="1:34" s="5" customFormat="1" ht="10.15" hidden="1" customHeight="1" x14ac:dyDescent="0.2">
      <c r="A84" s="10" t="s">
        <v>461</v>
      </c>
      <c r="C84" s="41"/>
      <c r="G84" s="48"/>
      <c r="H84" s="48"/>
      <c r="J84" s="2078"/>
      <c r="K84" s="64"/>
      <c r="L84" s="65"/>
      <c r="M84" s="63"/>
      <c r="N84" s="1000" t="s">
        <v>9</v>
      </c>
      <c r="O84" s="978"/>
      <c r="P84" s="978"/>
      <c r="Q84" s="978"/>
      <c r="R84" s="978"/>
      <c r="S84" s="1362" t="s">
        <v>1162</v>
      </c>
      <c r="T84" s="1494" t="e">
        <v>#N/A</v>
      </c>
      <c r="U84" s="1203" t="e">
        <v>#N/A</v>
      </c>
      <c r="V84" s="1203" t="e">
        <v>#N/A</v>
      </c>
      <c r="W84" s="1203" t="e">
        <v>#N/A</v>
      </c>
      <c r="X84" s="1203" t="e">
        <v>#N/A</v>
      </c>
      <c r="Y84" s="1203" t="e">
        <v>#N/A</v>
      </c>
      <c r="Z84" s="1203" t="e">
        <v>#N/A</v>
      </c>
      <c r="AA84" s="1203" t="e">
        <v>#N/A</v>
      </c>
      <c r="AB84" s="1493" t="e">
        <v>#N/A</v>
      </c>
      <c r="AC84" s="47"/>
      <c r="AE84" s="10"/>
      <c r="AF84" s="218"/>
      <c r="AG84" s="10"/>
      <c r="AH84" s="10"/>
    </row>
    <row r="85" spans="1:34" s="5" customFormat="1" ht="10.15" hidden="1" customHeight="1" x14ac:dyDescent="0.2">
      <c r="A85" s="10" t="s">
        <v>461</v>
      </c>
      <c r="C85" s="41"/>
      <c r="G85" s="48"/>
      <c r="H85" s="48"/>
      <c r="J85" s="2175"/>
      <c r="K85" s="64"/>
      <c r="L85" s="65"/>
      <c r="M85" s="63"/>
      <c r="N85" s="1460" t="s">
        <v>10</v>
      </c>
      <c r="O85" s="1461"/>
      <c r="P85" s="1461"/>
      <c r="Q85" s="1461"/>
      <c r="R85" s="1461"/>
      <c r="S85" s="1393" t="s">
        <v>1163</v>
      </c>
      <c r="T85" s="1495" t="e">
        <v>#N/A</v>
      </c>
      <c r="U85" s="1496" t="e">
        <v>#N/A</v>
      </c>
      <c r="V85" s="1496" t="e">
        <v>#N/A</v>
      </c>
      <c r="W85" s="1496" t="e">
        <v>#N/A</v>
      </c>
      <c r="X85" s="1496" t="e">
        <v>#N/A</v>
      </c>
      <c r="Y85" s="1496" t="e">
        <v>#N/A</v>
      </c>
      <c r="Z85" s="1496" t="e">
        <v>#N/A</v>
      </c>
      <c r="AA85" s="1496" t="e">
        <v>#N/A</v>
      </c>
      <c r="AB85" s="1497" t="e">
        <v>#N/A</v>
      </c>
      <c r="AC85" s="47"/>
      <c r="AE85" s="10"/>
      <c r="AF85" s="218"/>
      <c r="AG85" s="10"/>
      <c r="AH85" s="10"/>
    </row>
    <row r="86" spans="1:34" s="5" customFormat="1" ht="10.15" hidden="1" customHeight="1" x14ac:dyDescent="0.2">
      <c r="A86" s="10" t="s">
        <v>459</v>
      </c>
      <c r="C86" s="41"/>
      <c r="D86" s="53">
        <f>Structure!AY22</f>
        <v>10.5</v>
      </c>
      <c r="E86" s="54"/>
      <c r="F86" s="55">
        <f t="shared" ref="F86:F93" si="2">INDEX(Lookup_NoteRateAll,MATCH("PT_"&amp;RIGHT("000"&amp;TRUNC(D86),3)&amp;TEXT(D86-TRUNC(D86),".0000000000"),Lookup_NoteRateText,0),4)</f>
        <v>107.75</v>
      </c>
      <c r="G86" s="48"/>
      <c r="H86" s="48"/>
      <c r="J86" s="2067" t="s">
        <v>349</v>
      </c>
      <c r="K86" s="59"/>
      <c r="L86" s="59"/>
      <c r="M86" s="67"/>
      <c r="N86" s="998" t="s">
        <v>1101</v>
      </c>
      <c r="O86" s="1042"/>
      <c r="P86" s="1042"/>
      <c r="Q86" s="1042"/>
      <c r="R86" s="1042"/>
      <c r="S86" s="1462" t="s">
        <v>1914</v>
      </c>
      <c r="T86" s="1604">
        <v>-0.5</v>
      </c>
      <c r="U86" s="1605">
        <v>-0.5</v>
      </c>
      <c r="V86" s="1605">
        <v>-0.75</v>
      </c>
      <c r="W86" s="1605">
        <v>-1.375</v>
      </c>
      <c r="X86" s="1605">
        <v>-1.625</v>
      </c>
      <c r="Y86" s="1605">
        <v>-2.75</v>
      </c>
      <c r="Z86" s="1605">
        <v>-3.75</v>
      </c>
      <c r="AA86" s="1605">
        <v>-7.875</v>
      </c>
      <c r="AB86" s="1746" t="e">
        <v>#N/A</v>
      </c>
      <c r="AC86" s="47"/>
      <c r="AE86" s="10"/>
      <c r="AF86" s="218"/>
      <c r="AG86" s="10"/>
      <c r="AH86" s="10"/>
    </row>
    <row r="87" spans="1:34" s="5" customFormat="1" ht="10.15" hidden="1" customHeight="1" x14ac:dyDescent="0.2">
      <c r="A87" s="10" t="s">
        <v>459</v>
      </c>
      <c r="C87" s="41"/>
      <c r="D87" s="53">
        <f>Structure!AY23</f>
        <v>10.375</v>
      </c>
      <c r="E87" s="54"/>
      <c r="F87" s="55">
        <f t="shared" si="2"/>
        <v>107.5</v>
      </c>
      <c r="G87" s="48"/>
      <c r="H87" s="48"/>
      <c r="J87" s="2068"/>
      <c r="K87" s="207"/>
      <c r="L87" s="207"/>
      <c r="M87" s="209"/>
      <c r="N87" s="999" t="s">
        <v>1100</v>
      </c>
      <c r="O87" s="977"/>
      <c r="P87" s="977"/>
      <c r="Q87" s="977"/>
      <c r="R87" s="977"/>
      <c r="S87" s="1361" t="s">
        <v>1915</v>
      </c>
      <c r="T87" s="1607">
        <v>-0.5</v>
      </c>
      <c r="U87" s="1608">
        <v>-0.5</v>
      </c>
      <c r="V87" s="1608">
        <v>-0.75</v>
      </c>
      <c r="W87" s="1608">
        <v>-1.375</v>
      </c>
      <c r="X87" s="1608">
        <v>-1.625</v>
      </c>
      <c r="Y87" s="1608">
        <v>-2.875</v>
      </c>
      <c r="Z87" s="1608">
        <v>-4</v>
      </c>
      <c r="AA87" s="1608">
        <v>-8.125</v>
      </c>
      <c r="AB87" s="1742" t="e">
        <v>#N/A</v>
      </c>
      <c r="AC87" s="47"/>
      <c r="AE87" s="10"/>
      <c r="AF87" s="218"/>
      <c r="AG87" s="10"/>
      <c r="AH87" s="10"/>
    </row>
    <row r="88" spans="1:34" s="5" customFormat="1" ht="10.15" hidden="1" customHeight="1" x14ac:dyDescent="0.2">
      <c r="A88" s="10" t="s">
        <v>459</v>
      </c>
      <c r="C88" s="41"/>
      <c r="D88" s="53">
        <f>Structure!AY24</f>
        <v>10.25</v>
      </c>
      <c r="E88" s="54"/>
      <c r="F88" s="55">
        <f t="shared" si="2"/>
        <v>107.25</v>
      </c>
      <c r="G88" s="48"/>
      <c r="H88" s="48"/>
      <c r="J88" s="2068"/>
      <c r="K88" s="65" t="s">
        <v>348</v>
      </c>
      <c r="L88" s="62"/>
      <c r="M88" s="63">
        <v>7</v>
      </c>
      <c r="N88" s="999" t="s">
        <v>254</v>
      </c>
      <c r="O88" s="977"/>
      <c r="P88" s="977"/>
      <c r="Q88" s="977"/>
      <c r="R88" s="977"/>
      <c r="S88" s="1362" t="s">
        <v>1916</v>
      </c>
      <c r="T88" s="1607">
        <v>-1</v>
      </c>
      <c r="U88" s="1608">
        <v>-1</v>
      </c>
      <c r="V88" s="1608">
        <v>-1.25</v>
      </c>
      <c r="W88" s="1608">
        <v>-1.875</v>
      </c>
      <c r="X88" s="1608">
        <v>-2.125</v>
      </c>
      <c r="Y88" s="1608">
        <v>-3.5</v>
      </c>
      <c r="Z88" s="1608">
        <v>-4.75</v>
      </c>
      <c r="AA88" s="1608">
        <v>-8.75</v>
      </c>
      <c r="AB88" s="1742" t="e">
        <v>#N/A</v>
      </c>
      <c r="AC88" s="47"/>
      <c r="AE88" s="10"/>
      <c r="AF88" s="218"/>
      <c r="AG88" s="10"/>
      <c r="AH88" s="10"/>
    </row>
    <row r="89" spans="1:34" s="5" customFormat="1" ht="10.15" hidden="1" customHeight="1" x14ac:dyDescent="0.2">
      <c r="A89" s="10" t="s">
        <v>459</v>
      </c>
      <c r="C89" s="41"/>
      <c r="D89" s="53">
        <f>Structure!AY25</f>
        <v>10.125</v>
      </c>
      <c r="E89" s="54"/>
      <c r="F89" s="55">
        <f t="shared" si="2"/>
        <v>106.875</v>
      </c>
      <c r="G89" s="48"/>
      <c r="H89" s="48"/>
      <c r="J89" s="2068"/>
      <c r="K89" s="62" t="s">
        <v>468</v>
      </c>
      <c r="L89" s="91"/>
      <c r="M89" s="63">
        <v>15</v>
      </c>
      <c r="N89" s="999" t="s">
        <v>253</v>
      </c>
      <c r="O89" s="977"/>
      <c r="P89" s="977"/>
      <c r="Q89" s="977"/>
      <c r="R89" s="977"/>
      <c r="S89" s="1362" t="s">
        <v>1917</v>
      </c>
      <c r="T89" s="1607">
        <v>-1.375</v>
      </c>
      <c r="U89" s="1608">
        <v>-1.375</v>
      </c>
      <c r="V89" s="1608">
        <v>-1.75</v>
      </c>
      <c r="W89" s="1608">
        <v>-2.375</v>
      </c>
      <c r="X89" s="1608">
        <v>-2.625</v>
      </c>
      <c r="Y89" s="1608">
        <v>-4.125</v>
      </c>
      <c r="Z89" s="1608">
        <v>-6</v>
      </c>
      <c r="AA89" s="1608">
        <v>-10.25</v>
      </c>
      <c r="AB89" s="1742" t="e">
        <v>#N/A</v>
      </c>
      <c r="AC89" s="47"/>
      <c r="AE89" s="10"/>
      <c r="AF89" s="218"/>
      <c r="AG89" s="10"/>
      <c r="AH89" s="10"/>
    </row>
    <row r="90" spans="1:34" s="5" customFormat="1" ht="10.15" hidden="1" customHeight="1" x14ac:dyDescent="0.2">
      <c r="A90" s="10" t="s">
        <v>459</v>
      </c>
      <c r="C90" s="41"/>
      <c r="D90" s="53">
        <f>Structure!AY26</f>
        <v>10</v>
      </c>
      <c r="E90" s="54"/>
      <c r="F90" s="55">
        <f t="shared" si="2"/>
        <v>106.5</v>
      </c>
      <c r="G90" s="48"/>
      <c r="H90" s="48"/>
      <c r="J90" s="2068"/>
      <c r="K90" s="91"/>
      <c r="L90" s="91"/>
      <c r="M90" s="63"/>
      <c r="N90" s="999" t="s">
        <v>3</v>
      </c>
      <c r="O90" s="977"/>
      <c r="P90" s="977"/>
      <c r="Q90" s="977"/>
      <c r="R90" s="977"/>
      <c r="S90" s="1362" t="s">
        <v>1918</v>
      </c>
      <c r="T90" s="1607">
        <v>-2.125</v>
      </c>
      <c r="U90" s="1608">
        <v>-2.125</v>
      </c>
      <c r="V90" s="1608">
        <v>-2.625</v>
      </c>
      <c r="W90" s="1608">
        <v>-3.375</v>
      </c>
      <c r="X90" s="1608">
        <v>-3.625</v>
      </c>
      <c r="Y90" s="1608">
        <v>-4.875</v>
      </c>
      <c r="Z90" s="1608">
        <v>-7.25</v>
      </c>
      <c r="AA90" s="1608">
        <v>-11.875</v>
      </c>
      <c r="AB90" s="1742" t="e">
        <v>#N/A</v>
      </c>
      <c r="AC90" s="47"/>
      <c r="AE90" s="10"/>
      <c r="AF90" s="218"/>
      <c r="AG90" s="10"/>
      <c r="AH90" s="10"/>
    </row>
    <row r="91" spans="1:34" s="5" customFormat="1" ht="10.15" hidden="1" customHeight="1" x14ac:dyDescent="0.2">
      <c r="A91" s="10" t="s">
        <v>459</v>
      </c>
      <c r="C91" s="41"/>
      <c r="D91" s="53">
        <f>Structure!AY27</f>
        <v>9.875</v>
      </c>
      <c r="E91" s="54"/>
      <c r="F91" s="55">
        <f t="shared" si="2"/>
        <v>106.125</v>
      </c>
      <c r="G91" s="48"/>
      <c r="H91" s="48"/>
      <c r="J91" s="2068"/>
      <c r="K91" s="91"/>
      <c r="L91" s="91"/>
      <c r="M91" s="63"/>
      <c r="N91" s="999" t="s">
        <v>5</v>
      </c>
      <c r="O91" s="977"/>
      <c r="P91" s="977"/>
      <c r="Q91" s="977"/>
      <c r="R91" s="977"/>
      <c r="S91" s="1362" t="s">
        <v>1919</v>
      </c>
      <c r="T91" s="1607">
        <v>-3.375</v>
      </c>
      <c r="U91" s="1608">
        <v>-3.375</v>
      </c>
      <c r="V91" s="1608">
        <v>-4</v>
      </c>
      <c r="W91" s="1608">
        <v>-4.75</v>
      </c>
      <c r="X91" s="1608">
        <v>-5.25</v>
      </c>
      <c r="Y91" s="1608">
        <v>-6.25</v>
      </c>
      <c r="Z91" s="1608">
        <v>-9</v>
      </c>
      <c r="AA91" s="1745" t="e">
        <v>#N/A</v>
      </c>
      <c r="AB91" s="1742" t="e">
        <v>#N/A</v>
      </c>
      <c r="AC91" s="47"/>
      <c r="AE91" s="10"/>
      <c r="AF91" s="218"/>
      <c r="AG91" s="10"/>
      <c r="AH91" s="10"/>
    </row>
    <row r="92" spans="1:34" s="5" customFormat="1" ht="10.15" hidden="1" customHeight="1" x14ac:dyDescent="0.2">
      <c r="A92" s="10" t="s">
        <v>459</v>
      </c>
      <c r="C92" s="41"/>
      <c r="D92" s="53">
        <f>Structure!AY28</f>
        <v>9.75</v>
      </c>
      <c r="E92" s="54"/>
      <c r="F92" s="55">
        <f t="shared" si="2"/>
        <v>105.75</v>
      </c>
      <c r="G92" s="48"/>
      <c r="H92" s="48"/>
      <c r="J92" s="2068"/>
      <c r="K92" s="44"/>
      <c r="L92" s="44"/>
      <c r="M92" s="63"/>
      <c r="N92" s="1000" t="s">
        <v>6</v>
      </c>
      <c r="O92" s="978"/>
      <c r="P92" s="978"/>
      <c r="Q92" s="978"/>
      <c r="R92" s="978"/>
      <c r="S92" s="1362" t="s">
        <v>1920</v>
      </c>
      <c r="T92" s="1607">
        <v>-5.75</v>
      </c>
      <c r="U92" s="1608">
        <v>-5.75</v>
      </c>
      <c r="V92" s="1608">
        <v>-6.5</v>
      </c>
      <c r="W92" s="1608">
        <v>-7.125</v>
      </c>
      <c r="X92" s="1608">
        <v>-7.75</v>
      </c>
      <c r="Y92" s="1608">
        <v>-9</v>
      </c>
      <c r="Z92" s="1745" t="e">
        <v>#N/A</v>
      </c>
      <c r="AA92" s="1745" t="e">
        <v>#N/A</v>
      </c>
      <c r="AB92" s="1742" t="e">
        <v>#N/A</v>
      </c>
      <c r="AC92" s="47"/>
      <c r="AE92" s="10"/>
      <c r="AF92" s="218"/>
      <c r="AG92" s="10"/>
      <c r="AH92" s="10"/>
    </row>
    <row r="93" spans="1:34" s="5" customFormat="1" ht="10.15" hidden="1" customHeight="1" x14ac:dyDescent="0.2">
      <c r="A93" s="10" t="s">
        <v>459</v>
      </c>
      <c r="C93" s="41"/>
      <c r="D93" s="53">
        <f>Structure!AY29</f>
        <v>9.625</v>
      </c>
      <c r="E93" s="54"/>
      <c r="F93" s="55">
        <f t="shared" si="2"/>
        <v>105.375</v>
      </c>
      <c r="G93" s="48"/>
      <c r="H93" s="48"/>
      <c r="J93" s="2068"/>
      <c r="K93" s="91"/>
      <c r="L93" s="91"/>
      <c r="M93" s="63"/>
      <c r="N93" s="1000" t="s">
        <v>7</v>
      </c>
      <c r="O93" s="978"/>
      <c r="P93" s="978"/>
      <c r="Q93" s="978"/>
      <c r="R93" s="978"/>
      <c r="S93" s="1362" t="s">
        <v>1921</v>
      </c>
      <c r="T93" s="1610">
        <v>-7.75</v>
      </c>
      <c r="U93" s="1611">
        <v>-7.875</v>
      </c>
      <c r="V93" s="1611">
        <v>-8.375</v>
      </c>
      <c r="W93" s="1611">
        <v>-9.375</v>
      </c>
      <c r="X93" s="1611">
        <v>-9.875</v>
      </c>
      <c r="Y93" s="1743" t="e">
        <v>#N/A</v>
      </c>
      <c r="Z93" s="1743" t="e">
        <v>#N/A</v>
      </c>
      <c r="AA93" s="1743" t="e">
        <v>#N/A</v>
      </c>
      <c r="AB93" s="1744" t="e">
        <v>#N/A</v>
      </c>
      <c r="AC93" s="47"/>
      <c r="AE93" s="10"/>
      <c r="AF93" s="218"/>
      <c r="AG93" s="10"/>
      <c r="AH93" s="10"/>
    </row>
    <row r="94" spans="1:34" s="5" customFormat="1" ht="10.15" hidden="1" customHeight="1" x14ac:dyDescent="0.2">
      <c r="A94" s="10" t="s">
        <v>461</v>
      </c>
      <c r="C94" s="41"/>
      <c r="G94" s="48"/>
      <c r="H94" s="48"/>
      <c r="J94" s="2068"/>
      <c r="K94" s="44"/>
      <c r="L94" s="44"/>
      <c r="M94" s="63"/>
      <c r="N94" s="1000" t="s">
        <v>9</v>
      </c>
      <c r="O94" s="978"/>
      <c r="P94" s="978"/>
      <c r="Q94" s="978"/>
      <c r="R94" s="978"/>
      <c r="S94" s="1362" t="s">
        <v>1930</v>
      </c>
      <c r="T94" s="1494" t="e">
        <v>#N/A</v>
      </c>
      <c r="U94" s="1203" t="e">
        <v>#N/A</v>
      </c>
      <c r="V94" s="1203" t="e">
        <v>#N/A</v>
      </c>
      <c r="W94" s="1203" t="e">
        <v>#N/A</v>
      </c>
      <c r="X94" s="1203" t="e">
        <v>#N/A</v>
      </c>
      <c r="Y94" s="1203" t="e">
        <v>#N/A</v>
      </c>
      <c r="Z94" s="1203" t="e">
        <v>#N/A</v>
      </c>
      <c r="AA94" s="1203" t="e">
        <v>#N/A</v>
      </c>
      <c r="AB94" s="1498" t="e">
        <v>#N/A</v>
      </c>
      <c r="AC94" s="47"/>
      <c r="AE94" s="10"/>
      <c r="AF94" s="218"/>
      <c r="AG94" s="10"/>
      <c r="AH94" s="10"/>
    </row>
    <row r="95" spans="1:34" s="5" customFormat="1" ht="10.15" hidden="1" customHeight="1" x14ac:dyDescent="0.2">
      <c r="A95" s="10" t="s">
        <v>461</v>
      </c>
      <c r="C95" s="41"/>
      <c r="G95" s="48"/>
      <c r="H95" s="48"/>
      <c r="J95" s="2069"/>
      <c r="K95" s="267"/>
      <c r="L95" s="267"/>
      <c r="M95" s="89"/>
      <c r="N95" s="1460" t="s">
        <v>10</v>
      </c>
      <c r="O95" s="1461"/>
      <c r="P95" s="1461"/>
      <c r="Q95" s="1461"/>
      <c r="R95" s="1459"/>
      <c r="S95" s="1393" t="s">
        <v>1931</v>
      </c>
      <c r="T95" s="1495" t="e">
        <v>#N/A</v>
      </c>
      <c r="U95" s="1496" t="e">
        <v>#N/A</v>
      </c>
      <c r="V95" s="1496" t="e">
        <v>#N/A</v>
      </c>
      <c r="W95" s="1496" t="e">
        <v>#N/A</v>
      </c>
      <c r="X95" s="1496" t="e">
        <v>#N/A</v>
      </c>
      <c r="Y95" s="1496" t="e">
        <v>#N/A</v>
      </c>
      <c r="Z95" s="1496" t="e">
        <v>#N/A</v>
      </c>
      <c r="AA95" s="1496" t="e">
        <v>#N/A</v>
      </c>
      <c r="AB95" s="1497" t="e">
        <v>#N/A</v>
      </c>
      <c r="AC95" s="47"/>
      <c r="AE95" s="10"/>
      <c r="AF95" s="218"/>
      <c r="AG95" s="10"/>
      <c r="AH95" s="10"/>
    </row>
    <row r="96" spans="1:34" s="5" customFormat="1" ht="10.15" hidden="1" customHeight="1" x14ac:dyDescent="0.2">
      <c r="A96" s="10" t="s">
        <v>459</v>
      </c>
      <c r="C96" s="41"/>
      <c r="D96" s="53">
        <f>Structure!AY30</f>
        <v>9.5</v>
      </c>
      <c r="E96" s="54"/>
      <c r="F96" s="55">
        <f t="shared" ref="F96" si="3">INDEX(Lookup_NoteRateAll,MATCH("PT_"&amp;RIGHT("000"&amp;TRUNC(D96),3)&amp;TEXT(D96-TRUNC(D96),".0000000000"),Lookup_NoteRateText,0),4)</f>
        <v>105</v>
      </c>
      <c r="J96" s="2160" t="s">
        <v>209</v>
      </c>
      <c r="K96" s="2161"/>
      <c r="L96" s="2161"/>
      <c r="M96" s="2162"/>
      <c r="N96" s="979" t="s">
        <v>135</v>
      </c>
      <c r="O96" s="1025"/>
      <c r="P96" s="1025"/>
      <c r="Q96" s="1025"/>
      <c r="R96" s="1025"/>
      <c r="S96" s="1363" t="s">
        <v>1164</v>
      </c>
      <c r="T96" s="1656">
        <v>0</v>
      </c>
      <c r="U96" s="1657">
        <v>0</v>
      </c>
      <c r="V96" s="1657">
        <v>0</v>
      </c>
      <c r="W96" s="1657">
        <v>0</v>
      </c>
      <c r="X96" s="1657">
        <v>0</v>
      </c>
      <c r="Y96" s="1657">
        <v>0</v>
      </c>
      <c r="Z96" s="1657">
        <v>0</v>
      </c>
      <c r="AA96" s="1657">
        <v>0</v>
      </c>
      <c r="AB96" s="1658">
        <v>0</v>
      </c>
      <c r="AC96" s="47"/>
      <c r="AE96" s="10"/>
      <c r="AF96" s="218"/>
      <c r="AG96" s="10"/>
      <c r="AH96" s="10"/>
    </row>
    <row r="97" spans="1:34" s="5" customFormat="1" ht="10.15" hidden="1" customHeight="1" x14ac:dyDescent="0.2">
      <c r="A97" s="10" t="s">
        <v>459</v>
      </c>
      <c r="C97" s="41"/>
      <c r="D97" s="53">
        <f>Structure!AY31</f>
        <v>9.375</v>
      </c>
      <c r="E97" s="54"/>
      <c r="F97" s="55">
        <f t="shared" ref="F97:F104" si="4">INDEX(Lookup_NoteRateAll,MATCH("PT_"&amp;RIGHT("000"&amp;TRUNC(D97),3)&amp;TEXT(D97-TRUNC(D97),".0000000000"),Lookup_NoteRateText,0),4)</f>
        <v>104.625</v>
      </c>
      <c r="J97" s="2163"/>
      <c r="K97" s="2164"/>
      <c r="L97" s="2164"/>
      <c r="M97" s="2165"/>
      <c r="N97" s="1001" t="s">
        <v>78</v>
      </c>
      <c r="O97" s="980"/>
      <c r="P97" s="980"/>
      <c r="Q97" s="980"/>
      <c r="R97" s="980"/>
      <c r="S97" s="1366" t="s">
        <v>1165</v>
      </c>
      <c r="T97" s="1662">
        <v>0</v>
      </c>
      <c r="U97" s="1663">
        <v>0</v>
      </c>
      <c r="V97" s="1663">
        <v>0</v>
      </c>
      <c r="W97" s="1663">
        <v>0</v>
      </c>
      <c r="X97" s="1663">
        <v>0</v>
      </c>
      <c r="Y97" s="1663">
        <v>0</v>
      </c>
      <c r="Z97" s="1663">
        <v>0</v>
      </c>
      <c r="AA97" s="1663">
        <v>0</v>
      </c>
      <c r="AB97" s="1664">
        <v>0</v>
      </c>
      <c r="AC97" s="47"/>
      <c r="AE97" s="10"/>
      <c r="AF97" s="218"/>
      <c r="AG97" s="10"/>
      <c r="AH97" s="10"/>
    </row>
    <row r="98" spans="1:34" s="5" customFormat="1" ht="10.15" hidden="1" customHeight="1" x14ac:dyDescent="0.2">
      <c r="A98" s="10" t="s">
        <v>459</v>
      </c>
      <c r="C98" s="41"/>
      <c r="D98" s="53">
        <f>Structure!AY32</f>
        <v>9.25</v>
      </c>
      <c r="E98" s="54"/>
      <c r="F98" s="55">
        <f t="shared" si="4"/>
        <v>104.25</v>
      </c>
      <c r="J98" s="2166"/>
      <c r="K98" s="2167"/>
      <c r="L98" s="2167"/>
      <c r="M98" s="2168"/>
      <c r="N98" s="1002" t="s">
        <v>77</v>
      </c>
      <c r="O98" s="1026"/>
      <c r="P98" s="1026"/>
      <c r="Q98" s="1026"/>
      <c r="R98" s="1026"/>
      <c r="S98" s="1394" t="s">
        <v>1166</v>
      </c>
      <c r="T98" s="1665">
        <v>0</v>
      </c>
      <c r="U98" s="1666">
        <v>0</v>
      </c>
      <c r="V98" s="1666">
        <v>0</v>
      </c>
      <c r="W98" s="1666">
        <v>0</v>
      </c>
      <c r="X98" s="1666">
        <v>0</v>
      </c>
      <c r="Y98" s="1666">
        <v>0</v>
      </c>
      <c r="Z98" s="1666">
        <v>0</v>
      </c>
      <c r="AA98" s="1666">
        <v>0</v>
      </c>
      <c r="AB98" s="1667">
        <v>0</v>
      </c>
      <c r="AC98" s="47"/>
      <c r="AE98" s="10"/>
      <c r="AF98" s="218"/>
      <c r="AG98" s="10"/>
      <c r="AH98" s="10"/>
    </row>
    <row r="99" spans="1:34" s="5" customFormat="1" ht="10.15" hidden="1" customHeight="1" x14ac:dyDescent="0.2">
      <c r="A99" s="10" t="s">
        <v>459</v>
      </c>
      <c r="C99" s="41"/>
      <c r="D99" s="53">
        <f>Structure!AY33</f>
        <v>9.125</v>
      </c>
      <c r="E99" s="54"/>
      <c r="F99" s="55">
        <f t="shared" si="4"/>
        <v>103.875</v>
      </c>
      <c r="J99" s="2034" t="s">
        <v>2</v>
      </c>
      <c r="K99" s="2035"/>
      <c r="L99" s="2035"/>
      <c r="M99" s="2036"/>
      <c r="N99" s="981" t="s">
        <v>1074</v>
      </c>
      <c r="O99" s="1043"/>
      <c r="P99" s="1043"/>
      <c r="Q99" s="1043"/>
      <c r="R99" s="1043"/>
      <c r="S99" s="1364" t="s">
        <v>1167</v>
      </c>
      <c r="T99" s="1604">
        <v>0.5</v>
      </c>
      <c r="U99" s="1605">
        <v>0.5</v>
      </c>
      <c r="V99" s="1605">
        <v>0.5</v>
      </c>
      <c r="W99" s="1605">
        <v>0.5</v>
      </c>
      <c r="X99" s="1605">
        <v>0.5</v>
      </c>
      <c r="Y99" s="1605">
        <v>0.5</v>
      </c>
      <c r="Z99" s="1605">
        <v>0.5</v>
      </c>
      <c r="AA99" s="1605">
        <v>0.5</v>
      </c>
      <c r="AB99" s="1606">
        <v>0.5</v>
      </c>
      <c r="AC99" s="47"/>
      <c r="AE99" s="10"/>
      <c r="AF99" s="218"/>
      <c r="AG99" s="10"/>
      <c r="AH99" s="10"/>
    </row>
    <row r="100" spans="1:34" s="5" customFormat="1" ht="10.15" hidden="1" customHeight="1" x14ac:dyDescent="0.2">
      <c r="A100" s="10" t="s">
        <v>459</v>
      </c>
      <c r="C100" s="41"/>
      <c r="D100" s="53">
        <f>Structure!AY34</f>
        <v>9</v>
      </c>
      <c r="E100" s="54"/>
      <c r="F100" s="55">
        <f t="shared" si="4"/>
        <v>103.5</v>
      </c>
      <c r="J100" s="2037"/>
      <c r="K100" s="2038"/>
      <c r="L100" s="2038"/>
      <c r="M100" s="2039"/>
      <c r="N100" s="982" t="s">
        <v>455</v>
      </c>
      <c r="O100" s="1044"/>
      <c r="P100" s="1044"/>
      <c r="Q100" s="1044"/>
      <c r="R100" s="1044"/>
      <c r="S100" s="1365" t="s">
        <v>1168</v>
      </c>
      <c r="T100" s="1607">
        <v>0.5</v>
      </c>
      <c r="U100" s="1608">
        <v>0.5</v>
      </c>
      <c r="V100" s="1608">
        <v>0.5</v>
      </c>
      <c r="W100" s="1608">
        <v>0.5</v>
      </c>
      <c r="X100" s="1608">
        <v>0.5</v>
      </c>
      <c r="Y100" s="1608">
        <v>0.5</v>
      </c>
      <c r="Z100" s="1608">
        <v>0.5</v>
      </c>
      <c r="AA100" s="1608">
        <v>0.5</v>
      </c>
      <c r="AB100" s="1609">
        <v>0.5</v>
      </c>
      <c r="AC100" s="47"/>
      <c r="AE100" s="10"/>
      <c r="AF100" s="218"/>
      <c r="AG100" s="10"/>
      <c r="AH100" s="10"/>
    </row>
    <row r="101" spans="1:34" s="5" customFormat="1" ht="10.15" hidden="1" customHeight="1" x14ac:dyDescent="0.2">
      <c r="A101" s="10" t="s">
        <v>459</v>
      </c>
      <c r="C101" s="41"/>
      <c r="D101" s="53">
        <f>Structure!AY35</f>
        <v>8.875</v>
      </c>
      <c r="E101" s="54"/>
      <c r="F101" s="55">
        <f t="shared" si="4"/>
        <v>103.125</v>
      </c>
      <c r="J101" s="2037"/>
      <c r="K101" s="2038"/>
      <c r="L101" s="2038"/>
      <c r="M101" s="2039"/>
      <c r="N101" s="982" t="s">
        <v>458</v>
      </c>
      <c r="O101" s="1044"/>
      <c r="P101" s="1044"/>
      <c r="Q101" s="1044"/>
      <c r="R101" s="1044"/>
      <c r="S101" s="1365" t="s">
        <v>1169</v>
      </c>
      <c r="T101" s="1607">
        <v>0.5</v>
      </c>
      <c r="U101" s="1608">
        <v>0.5</v>
      </c>
      <c r="V101" s="1608">
        <v>0.5</v>
      </c>
      <c r="W101" s="1608">
        <v>0.5</v>
      </c>
      <c r="X101" s="1608">
        <v>0.5</v>
      </c>
      <c r="Y101" s="1608">
        <v>0.5</v>
      </c>
      <c r="Z101" s="1608">
        <v>0.5</v>
      </c>
      <c r="AA101" s="1608">
        <v>0.5</v>
      </c>
      <c r="AB101" s="1609">
        <v>0.5</v>
      </c>
      <c r="AC101" s="47"/>
      <c r="AE101" s="10"/>
      <c r="AF101" s="218"/>
      <c r="AG101" s="10"/>
      <c r="AH101" s="10"/>
    </row>
    <row r="102" spans="1:34" s="5" customFormat="1" ht="10.15" hidden="1" customHeight="1" x14ac:dyDescent="0.2">
      <c r="A102" s="10" t="s">
        <v>459</v>
      </c>
      <c r="C102" s="41"/>
      <c r="D102" s="53">
        <f>Structure!AY36</f>
        <v>8.75</v>
      </c>
      <c r="E102" s="54"/>
      <c r="F102" s="55">
        <f t="shared" si="4"/>
        <v>102.75</v>
      </c>
      <c r="J102" s="2037"/>
      <c r="K102" s="2038"/>
      <c r="L102" s="2038"/>
      <c r="M102" s="2039"/>
      <c r="N102" s="983" t="s">
        <v>1</v>
      </c>
      <c r="O102" s="985"/>
      <c r="P102" s="985"/>
      <c r="Q102" s="985"/>
      <c r="R102" s="985"/>
      <c r="S102" s="1366" t="s">
        <v>1329</v>
      </c>
      <c r="T102" s="1607">
        <v>0</v>
      </c>
      <c r="U102" s="1608">
        <v>0</v>
      </c>
      <c r="V102" s="1608">
        <v>0</v>
      </c>
      <c r="W102" s="1608">
        <v>0</v>
      </c>
      <c r="X102" s="1608">
        <v>0</v>
      </c>
      <c r="Y102" s="1608">
        <v>0</v>
      </c>
      <c r="Z102" s="1608">
        <v>0</v>
      </c>
      <c r="AA102" s="1608">
        <v>0</v>
      </c>
      <c r="AB102" s="1609">
        <v>0</v>
      </c>
      <c r="AC102" s="47"/>
      <c r="AE102" s="10"/>
      <c r="AF102" s="218"/>
      <c r="AG102" s="10"/>
      <c r="AH102" s="10"/>
    </row>
    <row r="103" spans="1:34" s="5" customFormat="1" ht="10.15" hidden="1" customHeight="1" x14ac:dyDescent="0.2">
      <c r="A103" s="10" t="s">
        <v>459</v>
      </c>
      <c r="C103" s="41"/>
      <c r="D103" s="53">
        <f>Structure!AY37</f>
        <v>8.625</v>
      </c>
      <c r="E103" s="54"/>
      <c r="F103" s="55">
        <f t="shared" si="4"/>
        <v>102.25</v>
      </c>
      <c r="J103" s="2037"/>
      <c r="K103" s="2038"/>
      <c r="L103" s="2038"/>
      <c r="M103" s="2039"/>
      <c r="N103" s="983" t="s">
        <v>1070</v>
      </c>
      <c r="O103" s="985"/>
      <c r="P103" s="985"/>
      <c r="Q103" s="985"/>
      <c r="R103" s="985"/>
      <c r="S103" s="1366" t="s">
        <v>1170</v>
      </c>
      <c r="T103" s="1607">
        <v>-0.375</v>
      </c>
      <c r="U103" s="1608">
        <v>-0.375</v>
      </c>
      <c r="V103" s="1608">
        <v>-0.375</v>
      </c>
      <c r="W103" s="1608">
        <v>-0.375</v>
      </c>
      <c r="X103" s="1608">
        <v>-0.375</v>
      </c>
      <c r="Y103" s="1608">
        <v>-0.375</v>
      </c>
      <c r="Z103" s="1608">
        <v>-0.375</v>
      </c>
      <c r="AA103" s="1608">
        <v>-0.375</v>
      </c>
      <c r="AB103" s="1609">
        <v>-0.375</v>
      </c>
      <c r="AC103" s="47"/>
      <c r="AE103" s="10"/>
      <c r="AF103" s="218"/>
      <c r="AG103" s="10"/>
      <c r="AH103" s="10"/>
    </row>
    <row r="104" spans="1:34" s="5" customFormat="1" ht="10.15" hidden="1" customHeight="1" x14ac:dyDescent="0.2">
      <c r="A104" s="10" t="s">
        <v>459</v>
      </c>
      <c r="C104" s="41"/>
      <c r="D104" s="53">
        <f>Structure!AY38</f>
        <v>8.5</v>
      </c>
      <c r="E104" s="54"/>
      <c r="F104" s="55">
        <f t="shared" si="4"/>
        <v>101.75</v>
      </c>
      <c r="J104" s="2037"/>
      <c r="K104" s="2038"/>
      <c r="L104" s="2038"/>
      <c r="M104" s="2039"/>
      <c r="N104" s="1023" t="s">
        <v>1072</v>
      </c>
      <c r="O104" s="1048"/>
      <c r="P104" s="1048"/>
      <c r="Q104" s="1048"/>
      <c r="R104" s="1048"/>
      <c r="S104" s="1367" t="s">
        <v>1171</v>
      </c>
      <c r="T104" s="1610">
        <v>-0.75</v>
      </c>
      <c r="U104" s="1611">
        <v>-0.75</v>
      </c>
      <c r="V104" s="1611">
        <v>-0.75</v>
      </c>
      <c r="W104" s="1611">
        <v>-0.75</v>
      </c>
      <c r="X104" s="1611">
        <v>-0.75</v>
      </c>
      <c r="Y104" s="1611">
        <v>-0.75</v>
      </c>
      <c r="Z104" s="1611">
        <v>-0.75</v>
      </c>
      <c r="AA104" s="1611">
        <v>-0.75</v>
      </c>
      <c r="AB104" s="1612">
        <v>-0.75</v>
      </c>
      <c r="AC104" s="47"/>
      <c r="AE104" s="10"/>
      <c r="AF104" s="218"/>
      <c r="AG104" s="10"/>
      <c r="AH104" s="10"/>
    </row>
    <row r="105" spans="1:34" s="5" customFormat="1" ht="10.15" hidden="1" customHeight="1" x14ac:dyDescent="0.2">
      <c r="A105" s="10" t="s">
        <v>459</v>
      </c>
      <c r="C105" s="41"/>
      <c r="D105" s="53">
        <f>Structure!AY39</f>
        <v>8.375</v>
      </c>
      <c r="E105" s="54"/>
      <c r="F105" s="55">
        <f t="shared" ref="F105" si="5">INDEX(Lookup_NoteRateAll,MATCH("PT_"&amp;RIGHT("000"&amp;TRUNC(D105),3)&amp;TEXT(D105-TRUNC(D105),".0000000000"),Lookup_NoteRateText,0),4)</f>
        <v>101.25</v>
      </c>
      <c r="J105" s="2037"/>
      <c r="K105" s="2038"/>
      <c r="L105" s="2038"/>
      <c r="M105" s="2039"/>
      <c r="N105" s="1003" t="s">
        <v>98</v>
      </c>
      <c r="O105" s="995"/>
      <c r="P105" s="995"/>
      <c r="Q105" s="995"/>
      <c r="R105" s="995"/>
      <c r="S105" s="1368" t="s">
        <v>1172</v>
      </c>
      <c r="T105" s="1656">
        <v>0</v>
      </c>
      <c r="U105" s="1657">
        <v>0</v>
      </c>
      <c r="V105" s="1657">
        <v>0</v>
      </c>
      <c r="W105" s="1657">
        <v>0</v>
      </c>
      <c r="X105" s="1657">
        <v>0</v>
      </c>
      <c r="Y105" s="1657">
        <v>0</v>
      </c>
      <c r="Z105" s="1657">
        <v>0</v>
      </c>
      <c r="AA105" s="1657">
        <v>0</v>
      </c>
      <c r="AB105" s="1658">
        <v>0</v>
      </c>
      <c r="AC105" s="47"/>
      <c r="AE105" s="10"/>
      <c r="AF105" s="10"/>
      <c r="AG105" s="10"/>
      <c r="AH105" s="10"/>
    </row>
    <row r="106" spans="1:34" s="5" customFormat="1" ht="10.15" hidden="1" customHeight="1" x14ac:dyDescent="0.2">
      <c r="A106" s="10" t="s">
        <v>461</v>
      </c>
      <c r="C106" s="41"/>
      <c r="J106" s="2040"/>
      <c r="K106" s="2041"/>
      <c r="L106" s="2041"/>
      <c r="M106" s="2042"/>
      <c r="N106" s="1004" t="s">
        <v>4</v>
      </c>
      <c r="O106" s="997"/>
      <c r="P106" s="997"/>
      <c r="Q106" s="997"/>
      <c r="R106" s="997"/>
      <c r="S106" s="1369" t="s">
        <v>1173</v>
      </c>
      <c r="T106" s="1502" t="e">
        <v>#N/A</v>
      </c>
      <c r="U106" s="1503" t="e">
        <v>#N/A</v>
      </c>
      <c r="V106" s="1503" t="e">
        <v>#N/A</v>
      </c>
      <c r="W106" s="1503" t="e">
        <v>#N/A</v>
      </c>
      <c r="X106" s="1503" t="e">
        <v>#N/A</v>
      </c>
      <c r="Y106" s="1503" t="e">
        <v>#N/A</v>
      </c>
      <c r="Z106" s="1503" t="e">
        <v>#N/A</v>
      </c>
      <c r="AA106" s="1503" t="e">
        <v>#N/A</v>
      </c>
      <c r="AB106" s="1504" t="e">
        <v>#N/A</v>
      </c>
      <c r="AC106" s="47"/>
      <c r="AF106" s="10"/>
      <c r="AG106" s="10"/>
      <c r="AH106" s="10"/>
    </row>
    <row r="107" spans="1:34" s="5" customFormat="1" ht="10.15" hidden="1" customHeight="1" x14ac:dyDescent="0.2">
      <c r="A107" s="10" t="s">
        <v>461</v>
      </c>
      <c r="C107" s="41"/>
      <c r="J107" s="2034" t="s">
        <v>8</v>
      </c>
      <c r="K107" s="2035"/>
      <c r="L107" s="2035"/>
      <c r="M107" s="2036"/>
      <c r="N107" s="1005" t="s">
        <v>1782</v>
      </c>
      <c r="O107" s="1005"/>
      <c r="P107" s="1005"/>
      <c r="Q107" s="1005"/>
      <c r="R107" s="1005"/>
      <c r="S107" s="1368" t="s">
        <v>2313</v>
      </c>
      <c r="T107" s="1505" t="e">
        <v>#N/A</v>
      </c>
      <c r="U107" s="1506" t="e">
        <v>#N/A</v>
      </c>
      <c r="V107" s="1506" t="e">
        <v>#N/A</v>
      </c>
      <c r="W107" s="1506" t="e">
        <v>#N/A</v>
      </c>
      <c r="X107" s="1506" t="e">
        <v>#N/A</v>
      </c>
      <c r="Y107" s="1506" t="e">
        <v>#N/A</v>
      </c>
      <c r="Z107" s="1506" t="e">
        <v>#N/A</v>
      </c>
      <c r="AA107" s="1506" t="e">
        <v>#N/A</v>
      </c>
      <c r="AB107" s="1507" t="e">
        <v>#N/A</v>
      </c>
      <c r="AC107" s="47"/>
      <c r="AF107" s="10"/>
      <c r="AG107" s="10"/>
      <c r="AH107" s="10"/>
    </row>
    <row r="108" spans="1:34" s="5" customFormat="1" ht="10.15" hidden="1" customHeight="1" x14ac:dyDescent="0.2">
      <c r="A108" s="10" t="s">
        <v>459</v>
      </c>
      <c r="C108" s="41"/>
      <c r="D108" s="53">
        <f>Structure!AY40</f>
        <v>8.25</v>
      </c>
      <c r="E108" s="54"/>
      <c r="F108" s="55">
        <f t="shared" ref="F108:F113" si="6">INDEX(Lookup_NoteRateAll,MATCH("PT_"&amp;RIGHT("000"&amp;TRUNC(D108),3)&amp;TEXT(D108-TRUNC(D108),".0000000000"),Lookup_NoteRateText,0),4)</f>
        <v>100.75</v>
      </c>
      <c r="J108" s="2037"/>
      <c r="K108" s="2038"/>
      <c r="L108" s="2038"/>
      <c r="M108" s="2039"/>
      <c r="N108" s="984" t="s">
        <v>1783</v>
      </c>
      <c r="O108" s="984"/>
      <c r="P108" s="984"/>
      <c r="Q108" s="984"/>
      <c r="R108" s="984"/>
      <c r="S108" s="1370" t="s">
        <v>2377</v>
      </c>
      <c r="T108" s="1607">
        <v>-0.25</v>
      </c>
      <c r="U108" s="1608">
        <v>-0.25</v>
      </c>
      <c r="V108" s="1608">
        <v>-0.25</v>
      </c>
      <c r="W108" s="1608">
        <v>-0.25</v>
      </c>
      <c r="X108" s="1608">
        <v>-0.25</v>
      </c>
      <c r="Y108" s="1608">
        <v>-0.25</v>
      </c>
      <c r="Z108" s="1608">
        <v>-0.25</v>
      </c>
      <c r="AA108" s="1608">
        <v>-0.25</v>
      </c>
      <c r="AB108" s="1609">
        <v>-0.25</v>
      </c>
      <c r="AC108" s="47"/>
      <c r="AF108" s="10"/>
      <c r="AG108" s="10"/>
      <c r="AH108" s="10"/>
    </row>
    <row r="109" spans="1:34" s="5" customFormat="1" ht="10.15" hidden="1" customHeight="1" x14ac:dyDescent="0.2">
      <c r="A109" s="10" t="s">
        <v>459</v>
      </c>
      <c r="C109" s="41"/>
      <c r="D109" s="53">
        <f>Structure!AY41</f>
        <v>8.125</v>
      </c>
      <c r="E109" s="54"/>
      <c r="F109" s="55">
        <f t="shared" si="6"/>
        <v>100.25</v>
      </c>
      <c r="J109" s="2037"/>
      <c r="K109" s="2038"/>
      <c r="L109" s="2038"/>
      <c r="M109" s="2039"/>
      <c r="N109" s="984" t="s">
        <v>1132</v>
      </c>
      <c r="O109" s="984"/>
      <c r="P109" s="984"/>
      <c r="Q109" s="984"/>
      <c r="R109" s="984"/>
      <c r="S109" s="1370" t="s">
        <v>2378</v>
      </c>
      <c r="T109" s="1607">
        <v>-0.25</v>
      </c>
      <c r="U109" s="1608">
        <v>-0.25</v>
      </c>
      <c r="V109" s="1608">
        <v>-0.25</v>
      </c>
      <c r="W109" s="1608">
        <v>-0.25</v>
      </c>
      <c r="X109" s="1608">
        <v>-0.25</v>
      </c>
      <c r="Y109" s="1608">
        <v>-0.25</v>
      </c>
      <c r="Z109" s="1608">
        <v>-0.25</v>
      </c>
      <c r="AA109" s="1608">
        <v>-0.25</v>
      </c>
      <c r="AB109" s="1609">
        <v>-0.25</v>
      </c>
      <c r="AC109" s="47"/>
      <c r="AF109" s="10"/>
      <c r="AG109" s="10"/>
      <c r="AH109" s="10"/>
    </row>
    <row r="110" spans="1:34" s="5" customFormat="1" ht="10.15" hidden="1" customHeight="1" x14ac:dyDescent="0.2">
      <c r="A110" s="10" t="s">
        <v>459</v>
      </c>
      <c r="C110" s="41"/>
      <c r="D110" s="53">
        <f>Structure!AY42</f>
        <v>8</v>
      </c>
      <c r="E110" s="54"/>
      <c r="F110" s="55">
        <f t="shared" si="6"/>
        <v>99.5</v>
      </c>
      <c r="J110" s="2037"/>
      <c r="K110" s="2038"/>
      <c r="L110" s="2038"/>
      <c r="M110" s="2039"/>
      <c r="N110" s="984" t="s">
        <v>1133</v>
      </c>
      <c r="O110" s="984"/>
      <c r="P110" s="984"/>
      <c r="Q110" s="984"/>
      <c r="R110" s="984"/>
      <c r="S110" s="1370" t="s">
        <v>2379</v>
      </c>
      <c r="T110" s="1607">
        <v>-0.125</v>
      </c>
      <c r="U110" s="1608">
        <v>-0.125</v>
      </c>
      <c r="V110" s="1608">
        <v>-0.125</v>
      </c>
      <c r="W110" s="1608">
        <v>-0.125</v>
      </c>
      <c r="X110" s="1608">
        <v>-0.125</v>
      </c>
      <c r="Y110" s="1608">
        <v>-0.125</v>
      </c>
      <c r="Z110" s="1608">
        <v>-0.125</v>
      </c>
      <c r="AA110" s="1608">
        <v>-0.125</v>
      </c>
      <c r="AB110" s="1609">
        <v>-0.125</v>
      </c>
      <c r="AC110" s="47"/>
      <c r="AF110" s="10"/>
      <c r="AG110" s="10"/>
      <c r="AH110" s="10"/>
    </row>
    <row r="111" spans="1:34" s="5" customFormat="1" ht="10.15" hidden="1" customHeight="1" x14ac:dyDescent="0.2">
      <c r="A111" s="10" t="s">
        <v>459</v>
      </c>
      <c r="C111" s="41"/>
      <c r="D111" s="53">
        <f>Structure!AY43</f>
        <v>7.875</v>
      </c>
      <c r="E111" s="54"/>
      <c r="F111" s="55">
        <f t="shared" si="6"/>
        <v>98.75</v>
      </c>
      <c r="J111" s="2037"/>
      <c r="K111" s="2038"/>
      <c r="L111" s="2038"/>
      <c r="M111" s="2039"/>
      <c r="N111" s="984" t="s">
        <v>1134</v>
      </c>
      <c r="O111" s="984"/>
      <c r="P111" s="984"/>
      <c r="Q111" s="984"/>
      <c r="R111" s="984"/>
      <c r="S111" s="1370" t="s">
        <v>2380</v>
      </c>
      <c r="T111" s="1607">
        <v>0</v>
      </c>
      <c r="U111" s="1608">
        <v>0</v>
      </c>
      <c r="V111" s="1608">
        <v>0</v>
      </c>
      <c r="W111" s="1608">
        <v>0</v>
      </c>
      <c r="X111" s="1608">
        <v>0</v>
      </c>
      <c r="Y111" s="1608">
        <v>0</v>
      </c>
      <c r="Z111" s="1608">
        <v>0</v>
      </c>
      <c r="AA111" s="1608">
        <v>0</v>
      </c>
      <c r="AB111" s="1609">
        <v>0</v>
      </c>
      <c r="AC111" s="47"/>
      <c r="AF111" s="10"/>
      <c r="AG111" s="10"/>
      <c r="AH111" s="10"/>
    </row>
    <row r="112" spans="1:34" s="5" customFormat="1" ht="10.15" hidden="1" customHeight="1" x14ac:dyDescent="0.2">
      <c r="A112" s="10" t="s">
        <v>459</v>
      </c>
      <c r="C112" s="41"/>
      <c r="D112" s="53">
        <f>Structure!AY44</f>
        <v>7.75</v>
      </c>
      <c r="E112" s="54"/>
      <c r="F112" s="55">
        <f t="shared" si="6"/>
        <v>98</v>
      </c>
      <c r="J112" s="2037"/>
      <c r="K112" s="2038"/>
      <c r="L112" s="2038"/>
      <c r="M112" s="2039"/>
      <c r="N112" s="984" t="s">
        <v>1135</v>
      </c>
      <c r="O112" s="984"/>
      <c r="P112" s="984"/>
      <c r="Q112" s="984"/>
      <c r="R112" s="984"/>
      <c r="S112" s="1370" t="s">
        <v>2381</v>
      </c>
      <c r="T112" s="1607">
        <v>0</v>
      </c>
      <c r="U112" s="1608">
        <v>0</v>
      </c>
      <c r="V112" s="1608">
        <v>0</v>
      </c>
      <c r="W112" s="1608">
        <v>0</v>
      </c>
      <c r="X112" s="1608">
        <v>0</v>
      </c>
      <c r="Y112" s="1608">
        <v>0</v>
      </c>
      <c r="Z112" s="1608">
        <v>0</v>
      </c>
      <c r="AA112" s="1608">
        <v>0</v>
      </c>
      <c r="AB112" s="1609">
        <v>0</v>
      </c>
      <c r="AC112" s="47"/>
      <c r="AF112" s="10"/>
      <c r="AG112" s="10"/>
      <c r="AH112" s="10"/>
    </row>
    <row r="113" spans="1:34" s="5" customFormat="1" ht="10.15" hidden="1" customHeight="1" x14ac:dyDescent="0.2">
      <c r="A113" s="10" t="s">
        <v>459</v>
      </c>
      <c r="C113" s="41"/>
      <c r="D113" s="53">
        <f>Structure!AY45</f>
        <v>7.625</v>
      </c>
      <c r="E113" s="54"/>
      <c r="F113" s="55">
        <f t="shared" si="6"/>
        <v>97.25</v>
      </c>
      <c r="J113" s="2037"/>
      <c r="K113" s="2038"/>
      <c r="L113" s="2038"/>
      <c r="M113" s="2039"/>
      <c r="N113" s="983" t="s">
        <v>1136</v>
      </c>
      <c r="O113" s="985"/>
      <c r="P113" s="985"/>
      <c r="Q113" s="985"/>
      <c r="R113" s="985"/>
      <c r="S113" s="1370" t="s">
        <v>2382</v>
      </c>
      <c r="T113" s="1607">
        <v>0</v>
      </c>
      <c r="U113" s="1608">
        <v>0</v>
      </c>
      <c r="V113" s="1608">
        <v>0</v>
      </c>
      <c r="W113" s="1608">
        <v>0</v>
      </c>
      <c r="X113" s="1608">
        <v>0</v>
      </c>
      <c r="Y113" s="1608">
        <v>0</v>
      </c>
      <c r="Z113" s="1608">
        <v>0</v>
      </c>
      <c r="AA113" s="1608">
        <v>0</v>
      </c>
      <c r="AB113" s="1609">
        <v>0</v>
      </c>
      <c r="AC113" s="47"/>
      <c r="AF113" s="10"/>
      <c r="AG113" s="10"/>
      <c r="AH113" s="10"/>
    </row>
    <row r="114" spans="1:34" s="5" customFormat="1" ht="10.15" hidden="1" customHeight="1" x14ac:dyDescent="0.2">
      <c r="A114" s="10" t="s">
        <v>459</v>
      </c>
      <c r="C114" s="41"/>
      <c r="J114" s="2037"/>
      <c r="K114" s="2038"/>
      <c r="L114" s="2038"/>
      <c r="M114" s="2039"/>
      <c r="N114" s="983" t="s">
        <v>310</v>
      </c>
      <c r="O114" s="985"/>
      <c r="P114" s="985"/>
      <c r="Q114" s="985"/>
      <c r="R114" s="985"/>
      <c r="S114" s="1366" t="s">
        <v>2383</v>
      </c>
      <c r="T114" s="1607">
        <v>0</v>
      </c>
      <c r="U114" s="1608">
        <v>0</v>
      </c>
      <c r="V114" s="1608">
        <v>0</v>
      </c>
      <c r="W114" s="1608">
        <v>0</v>
      </c>
      <c r="X114" s="1608">
        <v>0</v>
      </c>
      <c r="Y114" s="1608">
        <v>0</v>
      </c>
      <c r="Z114" s="1608">
        <v>0</v>
      </c>
      <c r="AA114" s="1608">
        <v>0</v>
      </c>
      <c r="AB114" s="1609">
        <v>0</v>
      </c>
      <c r="AC114" s="47"/>
      <c r="AF114" s="10"/>
      <c r="AG114" s="10"/>
      <c r="AH114" s="10"/>
    </row>
    <row r="115" spans="1:34" s="5" customFormat="1" ht="10.15" hidden="1" customHeight="1" x14ac:dyDescent="0.2">
      <c r="A115" s="10" t="s">
        <v>459</v>
      </c>
      <c r="C115" s="41"/>
      <c r="J115" s="2037"/>
      <c r="K115" s="2038"/>
      <c r="L115" s="2038"/>
      <c r="M115" s="2039"/>
      <c r="N115" s="983" t="s">
        <v>250</v>
      </c>
      <c r="O115" s="985"/>
      <c r="P115" s="985"/>
      <c r="Q115" s="985"/>
      <c r="R115" s="985"/>
      <c r="S115" s="1366" t="s">
        <v>2384</v>
      </c>
      <c r="T115" s="1607">
        <v>0</v>
      </c>
      <c r="U115" s="1608">
        <v>0</v>
      </c>
      <c r="V115" s="1608">
        <v>0</v>
      </c>
      <c r="W115" s="1608">
        <v>0</v>
      </c>
      <c r="X115" s="1608">
        <v>0</v>
      </c>
      <c r="Y115" s="1608">
        <v>0</v>
      </c>
      <c r="Z115" s="1608">
        <v>0</v>
      </c>
      <c r="AA115" s="1608">
        <v>0</v>
      </c>
      <c r="AB115" s="1609">
        <v>0</v>
      </c>
      <c r="AC115" s="47"/>
      <c r="AF115" s="10"/>
      <c r="AG115" s="10"/>
      <c r="AH115" s="10"/>
    </row>
    <row r="116" spans="1:34" ht="14.45" hidden="1" customHeight="1" x14ac:dyDescent="0.25">
      <c r="A116" s="10" t="s">
        <v>459</v>
      </c>
      <c r="C116" s="41"/>
      <c r="G116" s="5"/>
      <c r="H116" s="5"/>
      <c r="I116" s="5"/>
      <c r="J116" s="2037"/>
      <c r="K116" s="2038"/>
      <c r="L116" s="2038"/>
      <c r="M116" s="2039"/>
      <c r="N116" s="983" t="s">
        <v>12</v>
      </c>
      <c r="O116" s="985"/>
      <c r="P116" s="985"/>
      <c r="Q116" s="985"/>
      <c r="R116" s="985"/>
      <c r="S116" s="1366" t="s">
        <v>2385</v>
      </c>
      <c r="T116" s="1607">
        <v>0</v>
      </c>
      <c r="U116" s="1608">
        <v>0</v>
      </c>
      <c r="V116" s="1608">
        <v>0</v>
      </c>
      <c r="W116" s="1608">
        <v>0</v>
      </c>
      <c r="X116" s="1608">
        <v>0</v>
      </c>
      <c r="Y116" s="1608">
        <v>0</v>
      </c>
      <c r="Z116" s="1608">
        <v>0</v>
      </c>
      <c r="AA116" s="1608">
        <v>0</v>
      </c>
      <c r="AB116" s="1609">
        <v>0</v>
      </c>
      <c r="AC116" s="47"/>
      <c r="AE116" s="5"/>
    </row>
    <row r="117" spans="1:34" ht="14.45" hidden="1" customHeight="1" x14ac:dyDescent="0.25">
      <c r="A117" s="10" t="s">
        <v>459</v>
      </c>
      <c r="C117" s="41"/>
      <c r="G117" s="5"/>
      <c r="H117" s="5"/>
      <c r="I117" s="5"/>
      <c r="J117" s="2037"/>
      <c r="K117" s="2038"/>
      <c r="L117" s="2038"/>
      <c r="M117" s="2039"/>
      <c r="N117" s="983" t="s">
        <v>13</v>
      </c>
      <c r="O117" s="985"/>
      <c r="P117" s="985"/>
      <c r="Q117" s="985"/>
      <c r="R117" s="985"/>
      <c r="S117" s="1366" t="s">
        <v>2386</v>
      </c>
      <c r="T117" s="1610">
        <v>0</v>
      </c>
      <c r="U117" s="1611">
        <v>0</v>
      </c>
      <c r="V117" s="1611">
        <v>0</v>
      </c>
      <c r="W117" s="1611">
        <v>0</v>
      </c>
      <c r="X117" s="1611">
        <v>0</v>
      </c>
      <c r="Y117" s="1611">
        <v>0</v>
      </c>
      <c r="Z117" s="1611">
        <v>0</v>
      </c>
      <c r="AA117" s="1611">
        <v>0</v>
      </c>
      <c r="AB117" s="1612">
        <v>0</v>
      </c>
      <c r="AC117" s="47"/>
      <c r="AE117" s="5"/>
    </row>
    <row r="118" spans="1:34" s="5" customFormat="1" ht="10.15" hidden="1" customHeight="1" x14ac:dyDescent="0.2">
      <c r="A118" s="10" t="s">
        <v>461</v>
      </c>
      <c r="C118" s="41"/>
      <c r="J118" s="2037"/>
      <c r="K118" s="2038"/>
      <c r="L118" s="2038"/>
      <c r="M118" s="2039"/>
      <c r="N118" s="983" t="s">
        <v>89</v>
      </c>
      <c r="O118" s="985"/>
      <c r="P118" s="985"/>
      <c r="Q118" s="985"/>
      <c r="R118" s="985"/>
      <c r="S118" s="1366" t="s">
        <v>2387</v>
      </c>
      <c r="T118" s="1499" t="e">
        <v>#N/A</v>
      </c>
      <c r="U118" s="1500" t="e">
        <v>#N/A</v>
      </c>
      <c r="V118" s="1500" t="e">
        <v>#N/A</v>
      </c>
      <c r="W118" s="1500" t="e">
        <v>#N/A</v>
      </c>
      <c r="X118" s="1500" t="e">
        <v>#N/A</v>
      </c>
      <c r="Y118" s="1500" t="e">
        <v>#N/A</v>
      </c>
      <c r="Z118" s="1500" t="e">
        <v>#N/A</v>
      </c>
      <c r="AA118" s="1500" t="e">
        <v>#N/A</v>
      </c>
      <c r="AB118" s="1501" t="e">
        <v>#N/A</v>
      </c>
      <c r="AC118" s="47"/>
      <c r="AF118" s="10"/>
      <c r="AG118" s="10"/>
      <c r="AH118" s="10"/>
    </row>
    <row r="119" spans="1:34" s="5" customFormat="1" ht="10.15" hidden="1" customHeight="1" x14ac:dyDescent="0.2">
      <c r="A119" s="10" t="s">
        <v>461</v>
      </c>
      <c r="C119" s="41"/>
      <c r="J119" s="2037"/>
      <c r="K119" s="2038"/>
      <c r="L119" s="2038"/>
      <c r="M119" s="2039"/>
      <c r="N119" s="983" t="s">
        <v>86</v>
      </c>
      <c r="O119" s="985"/>
      <c r="P119" s="985"/>
      <c r="Q119" s="985"/>
      <c r="R119" s="985"/>
      <c r="S119" s="1366" t="s">
        <v>2388</v>
      </c>
      <c r="T119" s="1499" t="e">
        <v>#N/A</v>
      </c>
      <c r="U119" s="1500" t="e">
        <v>#N/A</v>
      </c>
      <c r="V119" s="1500" t="e">
        <v>#N/A</v>
      </c>
      <c r="W119" s="1500" t="e">
        <v>#N/A</v>
      </c>
      <c r="X119" s="1500" t="e">
        <v>#N/A</v>
      </c>
      <c r="Y119" s="1500" t="e">
        <v>#N/A</v>
      </c>
      <c r="Z119" s="1500" t="e">
        <v>#N/A</v>
      </c>
      <c r="AA119" s="1500" t="e">
        <v>#N/A</v>
      </c>
      <c r="AB119" s="1501" t="e">
        <v>#N/A</v>
      </c>
      <c r="AC119" s="47"/>
      <c r="AF119" s="10"/>
      <c r="AG119" s="10"/>
      <c r="AH119" s="10"/>
    </row>
    <row r="120" spans="1:34" s="5" customFormat="1" ht="10.15" hidden="1" customHeight="1" x14ac:dyDescent="0.2">
      <c r="A120" s="10" t="s">
        <v>461</v>
      </c>
      <c r="C120" s="41"/>
      <c r="J120" s="2037"/>
      <c r="K120" s="2038"/>
      <c r="L120" s="2038"/>
      <c r="M120" s="2039"/>
      <c r="N120" s="983" t="s">
        <v>87</v>
      </c>
      <c r="O120" s="985"/>
      <c r="P120" s="985"/>
      <c r="Q120" s="985"/>
      <c r="R120" s="985"/>
      <c r="S120" s="1366" t="s">
        <v>2389</v>
      </c>
      <c r="T120" s="1499" t="e">
        <v>#N/A</v>
      </c>
      <c r="U120" s="1500" t="e">
        <v>#N/A</v>
      </c>
      <c r="V120" s="1500" t="e">
        <v>#N/A</v>
      </c>
      <c r="W120" s="1500" t="e">
        <v>#N/A</v>
      </c>
      <c r="X120" s="1500" t="e">
        <v>#N/A</v>
      </c>
      <c r="Y120" s="1500" t="e">
        <v>#N/A</v>
      </c>
      <c r="Z120" s="1500" t="e">
        <v>#N/A</v>
      </c>
      <c r="AA120" s="1500" t="e">
        <v>#N/A</v>
      </c>
      <c r="AB120" s="1501" t="e">
        <v>#N/A</v>
      </c>
      <c r="AC120" s="47"/>
      <c r="AF120" s="10"/>
      <c r="AG120" s="10"/>
      <c r="AH120" s="10"/>
    </row>
    <row r="121" spans="1:34" s="5" customFormat="1" ht="10.15" hidden="1" customHeight="1" x14ac:dyDescent="0.2">
      <c r="A121" s="10" t="s">
        <v>461</v>
      </c>
      <c r="C121" s="41"/>
      <c r="J121" s="2037"/>
      <c r="K121" s="2038"/>
      <c r="L121" s="2038"/>
      <c r="M121" s="2039"/>
      <c r="N121" s="983" t="s">
        <v>144</v>
      </c>
      <c r="O121" s="985"/>
      <c r="P121" s="985"/>
      <c r="Q121" s="985"/>
      <c r="R121" s="985"/>
      <c r="S121" s="1366" t="s">
        <v>2390</v>
      </c>
      <c r="T121" s="1499" t="e">
        <v>#N/A</v>
      </c>
      <c r="U121" s="1500" t="e">
        <v>#N/A</v>
      </c>
      <c r="V121" s="1500" t="e">
        <v>#N/A</v>
      </c>
      <c r="W121" s="1500" t="e">
        <v>#N/A</v>
      </c>
      <c r="X121" s="1500" t="e">
        <v>#N/A</v>
      </c>
      <c r="Y121" s="1500" t="e">
        <v>#N/A</v>
      </c>
      <c r="Z121" s="1500" t="e">
        <v>#N/A</v>
      </c>
      <c r="AA121" s="1500" t="e">
        <v>#N/A</v>
      </c>
      <c r="AB121" s="1501" t="e">
        <v>#N/A</v>
      </c>
      <c r="AC121" s="47"/>
      <c r="AF121" s="10"/>
      <c r="AG121" s="10"/>
      <c r="AH121" s="10"/>
    </row>
    <row r="122" spans="1:34" s="5" customFormat="1" ht="10.15" hidden="1" customHeight="1" x14ac:dyDescent="0.2">
      <c r="A122" s="10" t="s">
        <v>461</v>
      </c>
      <c r="C122" s="41"/>
      <c r="J122" s="2037"/>
      <c r="K122" s="2038"/>
      <c r="L122" s="2038"/>
      <c r="M122" s="2039"/>
      <c r="N122" s="983" t="s">
        <v>145</v>
      </c>
      <c r="O122" s="985"/>
      <c r="P122" s="985"/>
      <c r="Q122" s="985"/>
      <c r="R122" s="985"/>
      <c r="S122" s="1366" t="s">
        <v>2391</v>
      </c>
      <c r="T122" s="1499" t="e">
        <v>#N/A</v>
      </c>
      <c r="U122" s="1500" t="e">
        <v>#N/A</v>
      </c>
      <c r="V122" s="1500" t="e">
        <v>#N/A</v>
      </c>
      <c r="W122" s="1500" t="e">
        <v>#N/A</v>
      </c>
      <c r="X122" s="1500" t="e">
        <v>#N/A</v>
      </c>
      <c r="Y122" s="1500" t="e">
        <v>#N/A</v>
      </c>
      <c r="Z122" s="1500" t="e">
        <v>#N/A</v>
      </c>
      <c r="AA122" s="1500" t="e">
        <v>#N/A</v>
      </c>
      <c r="AB122" s="1501" t="e">
        <v>#N/A</v>
      </c>
      <c r="AC122" s="47"/>
      <c r="AF122" s="10"/>
      <c r="AG122" s="10"/>
      <c r="AH122" s="10"/>
    </row>
    <row r="123" spans="1:34" s="5" customFormat="1" ht="10.15" hidden="1" customHeight="1" x14ac:dyDescent="0.2">
      <c r="A123" s="10" t="s">
        <v>461</v>
      </c>
      <c r="C123" s="41"/>
      <c r="J123" s="2037"/>
      <c r="K123" s="2038"/>
      <c r="L123" s="2038"/>
      <c r="M123" s="2039"/>
      <c r="N123" s="983" t="s">
        <v>123</v>
      </c>
      <c r="O123" s="985"/>
      <c r="P123" s="985"/>
      <c r="Q123" s="985"/>
      <c r="R123" s="985"/>
      <c r="S123" s="1366" t="s">
        <v>2392</v>
      </c>
      <c r="T123" s="1499" t="e">
        <v>#N/A</v>
      </c>
      <c r="U123" s="1500" t="e">
        <v>#N/A</v>
      </c>
      <c r="V123" s="1500" t="e">
        <v>#N/A</v>
      </c>
      <c r="W123" s="1500" t="e">
        <v>#N/A</v>
      </c>
      <c r="X123" s="1500" t="e">
        <v>#N/A</v>
      </c>
      <c r="Y123" s="1500" t="e">
        <v>#N/A</v>
      </c>
      <c r="Z123" s="1500" t="e">
        <v>#N/A</v>
      </c>
      <c r="AA123" s="1500" t="e">
        <v>#N/A</v>
      </c>
      <c r="AB123" s="1501" t="e">
        <v>#N/A</v>
      </c>
      <c r="AC123" s="47"/>
      <c r="AF123" s="10"/>
      <c r="AG123" s="10"/>
      <c r="AH123" s="10"/>
    </row>
    <row r="124" spans="1:34" s="5" customFormat="1" ht="10.15" hidden="1" customHeight="1" x14ac:dyDescent="0.2">
      <c r="A124" s="10" t="s">
        <v>461</v>
      </c>
      <c r="C124" s="41"/>
      <c r="J124" s="2037"/>
      <c r="K124" s="2038"/>
      <c r="L124" s="2038"/>
      <c r="M124" s="2039"/>
      <c r="N124" s="983" t="s">
        <v>229</v>
      </c>
      <c r="O124" s="985"/>
      <c r="P124" s="985"/>
      <c r="Q124" s="985"/>
      <c r="R124" s="985"/>
      <c r="S124" s="1366" t="s">
        <v>2393</v>
      </c>
      <c r="T124" s="1499" t="e">
        <v>#N/A</v>
      </c>
      <c r="U124" s="1500" t="e">
        <v>#N/A</v>
      </c>
      <c r="V124" s="1500" t="e">
        <v>#N/A</v>
      </c>
      <c r="W124" s="1500" t="e">
        <v>#N/A</v>
      </c>
      <c r="X124" s="1500" t="e">
        <v>#N/A</v>
      </c>
      <c r="Y124" s="1500" t="e">
        <v>#N/A</v>
      </c>
      <c r="Z124" s="1500" t="e">
        <v>#N/A</v>
      </c>
      <c r="AA124" s="1500" t="e">
        <v>#N/A</v>
      </c>
      <c r="AB124" s="1501" t="e">
        <v>#N/A</v>
      </c>
      <c r="AC124" s="47"/>
      <c r="AF124" s="10"/>
      <c r="AG124" s="10"/>
      <c r="AH124" s="10"/>
    </row>
    <row r="125" spans="1:34" s="5" customFormat="1" ht="10.15" hidden="1" customHeight="1" x14ac:dyDescent="0.2">
      <c r="A125" s="10" t="s">
        <v>461</v>
      </c>
      <c r="C125" s="41"/>
      <c r="J125" s="2037"/>
      <c r="K125" s="2038"/>
      <c r="L125" s="2038"/>
      <c r="M125" s="2039"/>
      <c r="N125" s="983" t="s">
        <v>230</v>
      </c>
      <c r="O125" s="985"/>
      <c r="P125" s="985"/>
      <c r="Q125" s="985"/>
      <c r="R125" s="985"/>
      <c r="S125" s="1394" t="s">
        <v>2394</v>
      </c>
      <c r="T125" s="1499" t="e">
        <v>#N/A</v>
      </c>
      <c r="U125" s="1500" t="e">
        <v>#N/A</v>
      </c>
      <c r="V125" s="1500" t="e">
        <v>#N/A</v>
      </c>
      <c r="W125" s="1500" t="e">
        <v>#N/A</v>
      </c>
      <c r="X125" s="1500" t="e">
        <v>#N/A</v>
      </c>
      <c r="Y125" s="1500" t="e">
        <v>#N/A</v>
      </c>
      <c r="Z125" s="1500" t="e">
        <v>#N/A</v>
      </c>
      <c r="AA125" s="1500" t="e">
        <v>#N/A</v>
      </c>
      <c r="AB125" s="1501" t="e">
        <v>#N/A</v>
      </c>
      <c r="AC125" s="47"/>
      <c r="AF125" s="10"/>
      <c r="AG125" s="10"/>
      <c r="AH125" s="10"/>
    </row>
    <row r="126" spans="1:34" s="5" customFormat="1" ht="10.15" hidden="1" customHeight="1" x14ac:dyDescent="0.2">
      <c r="A126" s="10" t="s">
        <v>461</v>
      </c>
      <c r="C126" s="41"/>
      <c r="J126" s="2037"/>
      <c r="K126" s="2038"/>
      <c r="L126" s="2038"/>
      <c r="M126" s="2039"/>
      <c r="N126" s="983" t="s">
        <v>231</v>
      </c>
      <c r="O126" s="985"/>
      <c r="P126" s="985"/>
      <c r="Q126" s="985"/>
      <c r="R126" s="985"/>
      <c r="S126" s="1394" t="s">
        <v>2395</v>
      </c>
      <c r="T126" s="1499" t="e">
        <v>#N/A</v>
      </c>
      <c r="U126" s="1500" t="e">
        <v>#N/A</v>
      </c>
      <c r="V126" s="1500" t="e">
        <v>#N/A</v>
      </c>
      <c r="W126" s="1500" t="e">
        <v>#N/A</v>
      </c>
      <c r="X126" s="1500" t="e">
        <v>#N/A</v>
      </c>
      <c r="Y126" s="1500" t="e">
        <v>#N/A</v>
      </c>
      <c r="Z126" s="1500" t="e">
        <v>#N/A</v>
      </c>
      <c r="AA126" s="1500" t="e">
        <v>#N/A</v>
      </c>
      <c r="AB126" s="1501" t="e">
        <v>#N/A</v>
      </c>
      <c r="AC126" s="47"/>
      <c r="AF126" s="10"/>
      <c r="AG126" s="10"/>
      <c r="AH126" s="10"/>
    </row>
    <row r="127" spans="1:34" s="5" customFormat="1" ht="10.15" hidden="1" customHeight="1" x14ac:dyDescent="0.2">
      <c r="A127" s="10" t="s">
        <v>461</v>
      </c>
      <c r="C127" s="41"/>
      <c r="J127" s="2040"/>
      <c r="K127" s="2041"/>
      <c r="L127" s="2041"/>
      <c r="M127" s="2042"/>
      <c r="N127" s="1006" t="s">
        <v>228</v>
      </c>
      <c r="O127" s="1027"/>
      <c r="P127" s="1027"/>
      <c r="Q127" s="1027"/>
      <c r="R127" s="1027"/>
      <c r="S127" s="1372" t="s">
        <v>2396</v>
      </c>
      <c r="T127" s="1502" t="e">
        <v>#N/A</v>
      </c>
      <c r="U127" s="1503" t="e">
        <v>#N/A</v>
      </c>
      <c r="V127" s="1503" t="e">
        <v>#N/A</v>
      </c>
      <c r="W127" s="1503" t="e">
        <v>#N/A</v>
      </c>
      <c r="X127" s="1503" t="e">
        <v>#N/A</v>
      </c>
      <c r="Y127" s="1503" t="e">
        <v>#N/A</v>
      </c>
      <c r="Z127" s="1503" t="e">
        <v>#N/A</v>
      </c>
      <c r="AA127" s="1503" t="e">
        <v>#N/A</v>
      </c>
      <c r="AB127" s="1504" t="e">
        <v>#N/A</v>
      </c>
      <c r="AC127" s="47"/>
      <c r="AF127" s="10"/>
      <c r="AG127" s="10"/>
      <c r="AH127" s="10"/>
    </row>
    <row r="128" spans="1:34" s="5" customFormat="1" ht="10.15" hidden="1" customHeight="1" x14ac:dyDescent="0.2">
      <c r="A128" s="10" t="s">
        <v>461</v>
      </c>
      <c r="C128" s="41"/>
      <c r="J128" s="2034" t="s">
        <v>14</v>
      </c>
      <c r="K128" s="2035"/>
      <c r="L128" s="2035"/>
      <c r="M128" s="2036"/>
      <c r="N128" s="1007" t="s">
        <v>111</v>
      </c>
      <c r="O128" s="1045"/>
      <c r="P128" s="1045"/>
      <c r="Q128" s="1045"/>
      <c r="R128" s="1045"/>
      <c r="S128" s="1371" t="s">
        <v>1174</v>
      </c>
      <c r="T128" s="1674">
        <v>0</v>
      </c>
      <c r="U128" s="1675">
        <v>0</v>
      </c>
      <c r="V128" s="1675">
        <v>0</v>
      </c>
      <c r="W128" s="1675">
        <v>0</v>
      </c>
      <c r="X128" s="1675">
        <v>0</v>
      </c>
      <c r="Y128" s="1675">
        <v>0</v>
      </c>
      <c r="Z128" s="1675">
        <v>0</v>
      </c>
      <c r="AA128" s="1675">
        <v>0</v>
      </c>
      <c r="AB128" s="1676">
        <v>0</v>
      </c>
      <c r="AC128" s="47"/>
      <c r="AF128" s="218"/>
      <c r="AG128" s="10"/>
      <c r="AH128" s="10"/>
    </row>
    <row r="129" spans="1:34" s="5" customFormat="1" ht="10.15" hidden="1" customHeight="1" x14ac:dyDescent="0.2">
      <c r="A129" s="10" t="s">
        <v>459</v>
      </c>
      <c r="C129" s="41"/>
      <c r="D129" s="4" t="s">
        <v>289</v>
      </c>
      <c r="J129" s="2037"/>
      <c r="K129" s="2038"/>
      <c r="L129" s="2038"/>
      <c r="M129" s="2039"/>
      <c r="N129" s="1008" t="s">
        <v>32</v>
      </c>
      <c r="O129" s="1005"/>
      <c r="P129" s="1005"/>
      <c r="Q129" s="1005"/>
      <c r="R129" s="1005"/>
      <c r="S129" s="1371" t="s">
        <v>1175</v>
      </c>
      <c r="T129" s="1604">
        <v>0</v>
      </c>
      <c r="U129" s="1605">
        <v>0</v>
      </c>
      <c r="V129" s="1605">
        <v>0</v>
      </c>
      <c r="W129" s="1605">
        <v>0</v>
      </c>
      <c r="X129" s="1605">
        <v>0</v>
      </c>
      <c r="Y129" s="1605">
        <v>0</v>
      </c>
      <c r="Z129" s="1605">
        <v>0</v>
      </c>
      <c r="AA129" s="1605">
        <v>0</v>
      </c>
      <c r="AB129" s="1606">
        <v>0</v>
      </c>
      <c r="AC129" s="47"/>
      <c r="AE129" s="10"/>
      <c r="AF129" s="218"/>
      <c r="AG129" s="10"/>
      <c r="AH129" s="10"/>
    </row>
    <row r="130" spans="1:34" s="5" customFormat="1" ht="10.15" hidden="1" customHeight="1" x14ac:dyDescent="0.2">
      <c r="A130" s="10" t="s">
        <v>459</v>
      </c>
      <c r="C130" s="41"/>
      <c r="D130" s="6" t="s">
        <v>257</v>
      </c>
      <c r="E130" s="7"/>
      <c r="F130" s="69">
        <f>Input_PL_MaxPriceFinal_PR_NoPP</f>
        <v>101.5</v>
      </c>
      <c r="J130" s="2037"/>
      <c r="K130" s="2038"/>
      <c r="L130" s="2038"/>
      <c r="M130" s="2039"/>
      <c r="N130" s="983" t="s">
        <v>1319</v>
      </c>
      <c r="O130" s="985"/>
      <c r="P130" s="985"/>
      <c r="Q130" s="985"/>
      <c r="R130" s="985"/>
      <c r="S130" s="1366" t="s">
        <v>1322</v>
      </c>
      <c r="T130" s="1607">
        <v>-0.25</v>
      </c>
      <c r="U130" s="1608">
        <v>-0.25</v>
      </c>
      <c r="V130" s="1608">
        <v>-0.25</v>
      </c>
      <c r="W130" s="1608">
        <v>-0.375</v>
      </c>
      <c r="X130" s="1608">
        <v>-0.375</v>
      </c>
      <c r="Y130" s="1608">
        <v>-0.375</v>
      </c>
      <c r="Z130" s="1608">
        <v>-0.5</v>
      </c>
      <c r="AA130" s="1608">
        <v>-0.75</v>
      </c>
      <c r="AB130" s="1609">
        <v>-0.75</v>
      </c>
      <c r="AC130" s="47"/>
      <c r="AE130" s="10"/>
      <c r="AF130" s="218"/>
      <c r="AG130" s="10"/>
      <c r="AH130" s="10"/>
    </row>
    <row r="131" spans="1:34" s="5" customFormat="1" ht="10.15" hidden="1" customHeight="1" x14ac:dyDescent="0.2">
      <c r="A131" s="10" t="s">
        <v>459</v>
      </c>
      <c r="C131" s="41"/>
      <c r="J131" s="2037"/>
      <c r="K131" s="2038"/>
      <c r="L131" s="2038"/>
      <c r="M131" s="2039"/>
      <c r="N131" s="983" t="s">
        <v>1320</v>
      </c>
      <c r="O131" s="985"/>
      <c r="P131" s="985"/>
      <c r="Q131" s="985"/>
      <c r="R131" s="985"/>
      <c r="S131" s="1366" t="s">
        <v>1321</v>
      </c>
      <c r="T131" s="1610">
        <v>-0.75</v>
      </c>
      <c r="U131" s="1611">
        <v>-0.75</v>
      </c>
      <c r="V131" s="1611">
        <v>-0.75</v>
      </c>
      <c r="W131" s="1611">
        <v>-0.75</v>
      </c>
      <c r="X131" s="1611">
        <v>-0.75</v>
      </c>
      <c r="Y131" s="1611">
        <v>-0.75</v>
      </c>
      <c r="Z131" s="1611">
        <v>-1</v>
      </c>
      <c r="AA131" s="1611">
        <v>-1.25</v>
      </c>
      <c r="AB131" s="1612">
        <v>-1.25</v>
      </c>
      <c r="AC131" s="47"/>
      <c r="AE131" s="10"/>
      <c r="AF131" s="218"/>
      <c r="AG131" s="10"/>
      <c r="AH131" s="10"/>
    </row>
    <row r="132" spans="1:34" s="5" customFormat="1" ht="10.15" hidden="1" customHeight="1" x14ac:dyDescent="0.2">
      <c r="A132" s="10" t="s">
        <v>461</v>
      </c>
      <c r="C132" s="41"/>
      <c r="J132" s="2040"/>
      <c r="K132" s="2041"/>
      <c r="L132" s="2041"/>
      <c r="M132" s="2042"/>
      <c r="N132" s="1006" t="s">
        <v>15</v>
      </c>
      <c r="O132" s="1027"/>
      <c r="P132" s="1027"/>
      <c r="Q132" s="1027"/>
      <c r="R132" s="1027"/>
      <c r="S132" s="1372" t="s">
        <v>1176</v>
      </c>
      <c r="T132" s="1502" t="e">
        <v>#N/A</v>
      </c>
      <c r="U132" s="1503" t="e">
        <v>#N/A</v>
      </c>
      <c r="V132" s="1503" t="e">
        <v>#N/A</v>
      </c>
      <c r="W132" s="1503" t="e">
        <v>#N/A</v>
      </c>
      <c r="X132" s="1503" t="e">
        <v>#N/A</v>
      </c>
      <c r="Y132" s="1503" t="e">
        <v>#N/A</v>
      </c>
      <c r="Z132" s="1503" t="e">
        <v>#N/A</v>
      </c>
      <c r="AA132" s="1503" t="e">
        <v>#N/A</v>
      </c>
      <c r="AB132" s="1504" t="e">
        <v>#N/A</v>
      </c>
      <c r="AC132" s="47"/>
      <c r="AE132" s="10"/>
      <c r="AF132" s="218"/>
      <c r="AG132" s="10"/>
      <c r="AH132" s="10"/>
    </row>
    <row r="133" spans="1:34" s="5" customFormat="1" ht="10.15" hidden="1" customHeight="1" x14ac:dyDescent="0.2">
      <c r="A133" s="10" t="s">
        <v>461</v>
      </c>
      <c r="C133" s="41"/>
      <c r="J133" s="2171" t="s">
        <v>62</v>
      </c>
      <c r="K133" s="2172"/>
      <c r="L133" s="2172"/>
      <c r="M133" s="2173"/>
      <c r="N133" s="1009" t="s">
        <v>99</v>
      </c>
      <c r="O133" s="1046"/>
      <c r="P133" s="1046"/>
      <c r="Q133" s="1046"/>
      <c r="R133" s="1046"/>
      <c r="S133" s="1373" t="s">
        <v>1177</v>
      </c>
      <c r="T133" s="1674">
        <v>0</v>
      </c>
      <c r="U133" s="1675">
        <v>0</v>
      </c>
      <c r="V133" s="1675">
        <v>0</v>
      </c>
      <c r="W133" s="1675">
        <v>0</v>
      </c>
      <c r="X133" s="1675">
        <v>0</v>
      </c>
      <c r="Y133" s="1677">
        <v>0</v>
      </c>
      <c r="Z133" s="1677">
        <v>0</v>
      </c>
      <c r="AA133" s="1677">
        <v>0</v>
      </c>
      <c r="AB133" s="1678">
        <v>0</v>
      </c>
      <c r="AC133" s="47"/>
      <c r="AE133" s="10"/>
      <c r="AF133" s="218"/>
      <c r="AG133" s="10"/>
      <c r="AH133" s="10"/>
    </row>
    <row r="134" spans="1:34" s="5" customFormat="1" ht="10.15" hidden="1" customHeight="1" x14ac:dyDescent="0.2">
      <c r="A134" s="10" t="s">
        <v>461</v>
      </c>
      <c r="C134" s="41"/>
      <c r="J134" s="2034" t="s">
        <v>33</v>
      </c>
      <c r="K134" s="2035"/>
      <c r="L134" s="2035"/>
      <c r="M134" s="2036"/>
      <c r="N134" s="1010" t="s">
        <v>34</v>
      </c>
      <c r="O134" s="1028"/>
      <c r="P134" s="1028"/>
      <c r="Q134" s="1028"/>
      <c r="R134" s="1028"/>
      <c r="S134" s="1374" t="s">
        <v>1178</v>
      </c>
      <c r="T134" s="1671">
        <v>0</v>
      </c>
      <c r="U134" s="1672">
        <v>0</v>
      </c>
      <c r="V134" s="1672">
        <v>0</v>
      </c>
      <c r="W134" s="1672">
        <v>0</v>
      </c>
      <c r="X134" s="1672">
        <v>0</v>
      </c>
      <c r="Y134" s="1672">
        <v>0</v>
      </c>
      <c r="Z134" s="1672">
        <v>0</v>
      </c>
      <c r="AA134" s="1672">
        <v>0</v>
      </c>
      <c r="AB134" s="1673">
        <v>0</v>
      </c>
      <c r="AC134" s="47"/>
      <c r="AE134" s="10"/>
      <c r="AF134" s="218"/>
      <c r="AG134" s="10"/>
      <c r="AH134" s="10"/>
    </row>
    <row r="135" spans="1:34" s="5" customFormat="1" ht="10.15" hidden="1" customHeight="1" x14ac:dyDescent="0.2">
      <c r="A135" s="10" t="s">
        <v>461</v>
      </c>
      <c r="C135" s="41"/>
      <c r="J135" s="2037"/>
      <c r="K135" s="2038"/>
      <c r="L135" s="2038"/>
      <c r="M135" s="2039"/>
      <c r="N135" s="990" t="s">
        <v>35</v>
      </c>
      <c r="O135" s="986"/>
      <c r="P135" s="986"/>
      <c r="Q135" s="986"/>
      <c r="R135" s="986"/>
      <c r="S135" s="1375" t="s">
        <v>1179</v>
      </c>
      <c r="T135" s="1659">
        <v>0</v>
      </c>
      <c r="U135" s="1660">
        <v>0</v>
      </c>
      <c r="V135" s="1660">
        <v>0</v>
      </c>
      <c r="W135" s="1660">
        <v>0</v>
      </c>
      <c r="X135" s="1660">
        <v>0</v>
      </c>
      <c r="Y135" s="1660">
        <v>0</v>
      </c>
      <c r="Z135" s="1660">
        <v>0</v>
      </c>
      <c r="AA135" s="1660">
        <v>0</v>
      </c>
      <c r="AB135" s="1661">
        <v>0</v>
      </c>
      <c r="AC135" s="47"/>
      <c r="AE135" s="10"/>
      <c r="AF135" s="218"/>
      <c r="AG135" s="10"/>
      <c r="AH135" s="10"/>
    </row>
    <row r="136" spans="1:34" s="5" customFormat="1" ht="10.15" hidden="1" customHeight="1" x14ac:dyDescent="0.2">
      <c r="A136" s="10" t="s">
        <v>461</v>
      </c>
      <c r="C136" s="41"/>
      <c r="J136" s="2040"/>
      <c r="K136" s="2041"/>
      <c r="L136" s="2041"/>
      <c r="M136" s="2042"/>
      <c r="N136" s="1011" t="s">
        <v>16</v>
      </c>
      <c r="O136" s="991"/>
      <c r="P136" s="991"/>
      <c r="Q136" s="991"/>
      <c r="R136" s="991"/>
      <c r="S136" s="1376" t="s">
        <v>1180</v>
      </c>
      <c r="T136" s="1668">
        <v>0</v>
      </c>
      <c r="U136" s="1669">
        <v>0</v>
      </c>
      <c r="V136" s="1669">
        <v>0</v>
      </c>
      <c r="W136" s="1669">
        <v>0</v>
      </c>
      <c r="X136" s="1669">
        <v>0</v>
      </c>
      <c r="Y136" s="1669">
        <v>0</v>
      </c>
      <c r="Z136" s="1669">
        <v>0</v>
      </c>
      <c r="AA136" s="1669">
        <v>0</v>
      </c>
      <c r="AB136" s="1670">
        <v>0</v>
      </c>
      <c r="AC136" s="47"/>
      <c r="AE136" s="10"/>
      <c r="AF136" s="218"/>
      <c r="AG136" s="10"/>
      <c r="AH136" s="10"/>
    </row>
    <row r="137" spans="1:34" s="5" customFormat="1" ht="10.15" hidden="1" customHeight="1" x14ac:dyDescent="0.2">
      <c r="A137" s="10" t="s">
        <v>459</v>
      </c>
      <c r="C137" s="41"/>
      <c r="J137" s="2034" t="s">
        <v>39</v>
      </c>
      <c r="K137" s="2035"/>
      <c r="L137" s="2035"/>
      <c r="M137" s="2036"/>
      <c r="N137" s="1010" t="s">
        <v>37</v>
      </c>
      <c r="O137" s="1028"/>
      <c r="P137" s="1028"/>
      <c r="Q137" s="1028"/>
      <c r="R137" s="1028"/>
      <c r="S137" s="1377" t="s">
        <v>1181</v>
      </c>
      <c r="T137" s="1656">
        <v>0</v>
      </c>
      <c r="U137" s="1657">
        <v>0</v>
      </c>
      <c r="V137" s="1657">
        <v>0</v>
      </c>
      <c r="W137" s="1657">
        <v>0</v>
      </c>
      <c r="X137" s="1657">
        <v>0</v>
      </c>
      <c r="Y137" s="1657">
        <v>0</v>
      </c>
      <c r="Z137" s="1657">
        <v>0</v>
      </c>
      <c r="AA137" s="1657">
        <v>0</v>
      </c>
      <c r="AB137" s="1658">
        <v>0</v>
      </c>
      <c r="AC137" s="47"/>
      <c r="AE137" s="10"/>
      <c r="AF137" s="218"/>
      <c r="AG137" s="10"/>
      <c r="AH137" s="10"/>
    </row>
    <row r="138" spans="1:34" s="5" customFormat="1" ht="10.15" hidden="1" customHeight="1" x14ac:dyDescent="0.2">
      <c r="A138" s="10" t="s">
        <v>459</v>
      </c>
      <c r="C138" s="41"/>
      <c r="J138" s="2040"/>
      <c r="K138" s="2041"/>
      <c r="L138" s="2041"/>
      <c r="M138" s="2042"/>
      <c r="N138" s="1011" t="s">
        <v>17</v>
      </c>
      <c r="O138" s="991"/>
      <c r="P138" s="991"/>
      <c r="Q138" s="991"/>
      <c r="R138" s="991"/>
      <c r="S138" s="1376" t="s">
        <v>1182</v>
      </c>
      <c r="T138" s="1665">
        <v>-0.5</v>
      </c>
      <c r="U138" s="1666">
        <v>-0.5</v>
      </c>
      <c r="V138" s="1666">
        <v>-0.5</v>
      </c>
      <c r="W138" s="1666">
        <v>-0.5</v>
      </c>
      <c r="X138" s="1692">
        <v>-0.625</v>
      </c>
      <c r="Y138" s="1666">
        <v>-0.75</v>
      </c>
      <c r="Z138" s="1666">
        <v>-0.75</v>
      </c>
      <c r="AA138" s="1621" t="e">
        <v>#N/A</v>
      </c>
      <c r="AB138" s="1762" t="e">
        <v>#N/A</v>
      </c>
      <c r="AC138" s="47"/>
      <c r="AE138" s="10"/>
      <c r="AF138" s="218"/>
      <c r="AG138" s="10"/>
      <c r="AH138" s="10"/>
    </row>
    <row r="139" spans="1:34" s="5" customFormat="1" ht="10.15" hidden="1" customHeight="1" x14ac:dyDescent="0.2">
      <c r="A139" s="10" t="s">
        <v>459</v>
      </c>
      <c r="C139" s="41"/>
      <c r="J139" s="2024" t="s">
        <v>426</v>
      </c>
      <c r="K139" s="2025"/>
      <c r="L139" s="2025"/>
      <c r="M139" s="2026"/>
      <c r="N139" s="1010" t="s">
        <v>425</v>
      </c>
      <c r="O139" s="1028"/>
      <c r="P139" s="1028"/>
      <c r="Q139" s="1028"/>
      <c r="R139" s="1028"/>
      <c r="S139" s="1378" t="s">
        <v>1183</v>
      </c>
      <c r="T139" s="1656">
        <v>0</v>
      </c>
      <c r="U139" s="1657">
        <v>0</v>
      </c>
      <c r="V139" s="1657">
        <v>0</v>
      </c>
      <c r="W139" s="1657">
        <v>0</v>
      </c>
      <c r="X139" s="1657">
        <v>0</v>
      </c>
      <c r="Y139" s="1657">
        <v>0</v>
      </c>
      <c r="Z139" s="1657">
        <v>0</v>
      </c>
      <c r="AA139" s="1657">
        <v>0</v>
      </c>
      <c r="AB139" s="1658">
        <v>0</v>
      </c>
      <c r="AC139" s="47"/>
      <c r="AE139" s="10"/>
      <c r="AF139" s="218"/>
      <c r="AG139" s="10"/>
      <c r="AH139" s="10"/>
    </row>
    <row r="140" spans="1:34" s="5" customFormat="1" ht="10.15" hidden="1" customHeight="1" x14ac:dyDescent="0.2">
      <c r="A140" s="10" t="s">
        <v>459</v>
      </c>
      <c r="C140" s="41"/>
      <c r="F140" s="70"/>
      <c r="J140" s="2027"/>
      <c r="K140" s="2028"/>
      <c r="L140" s="2028"/>
      <c r="M140" s="2029"/>
      <c r="N140" s="1011" t="s">
        <v>422</v>
      </c>
      <c r="O140" s="991"/>
      <c r="P140" s="991"/>
      <c r="Q140" s="991"/>
      <c r="R140" s="991"/>
      <c r="S140" s="1379" t="s">
        <v>1184</v>
      </c>
      <c r="T140" s="1665">
        <v>0</v>
      </c>
      <c r="U140" s="1666">
        <v>0</v>
      </c>
      <c r="V140" s="1666">
        <v>0</v>
      </c>
      <c r="W140" s="1666">
        <v>0</v>
      </c>
      <c r="X140" s="1666">
        <v>0</v>
      </c>
      <c r="Y140" s="1666">
        <v>0</v>
      </c>
      <c r="Z140" s="1666">
        <v>0</v>
      </c>
      <c r="AA140" s="1666">
        <v>0</v>
      </c>
      <c r="AB140" s="1667">
        <v>0</v>
      </c>
      <c r="AC140" s="47"/>
      <c r="AE140" s="10"/>
      <c r="AF140" s="218"/>
      <c r="AG140" s="10"/>
      <c r="AH140" s="10"/>
    </row>
    <row r="141" spans="1:34" s="5" customFormat="1" ht="10.15" hidden="1" customHeight="1" x14ac:dyDescent="0.2">
      <c r="A141" s="10" t="s">
        <v>459</v>
      </c>
      <c r="C141" s="41"/>
      <c r="J141" s="2034" t="s">
        <v>40</v>
      </c>
      <c r="K141" s="2035"/>
      <c r="L141" s="2035"/>
      <c r="M141" s="2036"/>
      <c r="N141" s="1012" t="s">
        <v>41</v>
      </c>
      <c r="O141" s="1030"/>
      <c r="P141" s="1030"/>
      <c r="Q141" s="1030"/>
      <c r="R141" s="1030"/>
      <c r="S141" s="1380" t="s">
        <v>1185</v>
      </c>
      <c r="T141" s="1656">
        <v>0</v>
      </c>
      <c r="U141" s="1657">
        <v>0</v>
      </c>
      <c r="V141" s="1657">
        <v>0</v>
      </c>
      <c r="W141" s="1657">
        <v>0</v>
      </c>
      <c r="X141" s="1657">
        <v>0</v>
      </c>
      <c r="Y141" s="1657">
        <v>0</v>
      </c>
      <c r="Z141" s="1657">
        <v>0</v>
      </c>
      <c r="AA141" s="1657">
        <v>0</v>
      </c>
      <c r="AB141" s="1658">
        <v>0</v>
      </c>
      <c r="AC141" s="47"/>
      <c r="AE141" s="10"/>
      <c r="AF141" s="218"/>
      <c r="AG141" s="10"/>
      <c r="AH141" s="10"/>
    </row>
    <row r="142" spans="1:34" s="5" customFormat="1" ht="10.15" hidden="1" customHeight="1" x14ac:dyDescent="0.2">
      <c r="A142" s="10" t="s">
        <v>459</v>
      </c>
      <c r="C142" s="41"/>
      <c r="J142" s="2037"/>
      <c r="K142" s="2038"/>
      <c r="L142" s="2038"/>
      <c r="M142" s="2039"/>
      <c r="N142" s="1013" t="s">
        <v>374</v>
      </c>
      <c r="O142" s="307"/>
      <c r="P142" s="307"/>
      <c r="Q142" s="307"/>
      <c r="R142" s="307"/>
      <c r="S142" s="1381" t="s">
        <v>1425</v>
      </c>
      <c r="T142" s="1662">
        <v>0</v>
      </c>
      <c r="U142" s="1663">
        <v>0</v>
      </c>
      <c r="V142" s="1663">
        <v>0</v>
      </c>
      <c r="W142" s="1663">
        <v>0</v>
      </c>
      <c r="X142" s="1663">
        <v>0</v>
      </c>
      <c r="Y142" s="1663">
        <v>0</v>
      </c>
      <c r="Z142" s="1663">
        <v>0</v>
      </c>
      <c r="AA142" s="1663">
        <v>0</v>
      </c>
      <c r="AB142" s="1664">
        <v>0</v>
      </c>
      <c r="AC142" s="47"/>
      <c r="AE142" s="10"/>
      <c r="AF142" s="218"/>
      <c r="AG142" s="10"/>
      <c r="AH142" s="10"/>
    </row>
    <row r="143" spans="1:34" s="5" customFormat="1" ht="10.15" hidden="1" customHeight="1" x14ac:dyDescent="0.2">
      <c r="A143" s="10" t="s">
        <v>459</v>
      </c>
      <c r="C143" s="41"/>
      <c r="J143" s="2037"/>
      <c r="K143" s="2038"/>
      <c r="L143" s="2038"/>
      <c r="M143" s="2039"/>
      <c r="N143" s="1014" t="s">
        <v>367</v>
      </c>
      <c r="O143" s="987"/>
      <c r="P143" s="987"/>
      <c r="Q143" s="987"/>
      <c r="R143" s="987"/>
      <c r="S143" s="1381" t="s">
        <v>1429</v>
      </c>
      <c r="T143" s="1662">
        <v>0</v>
      </c>
      <c r="U143" s="1663">
        <v>0</v>
      </c>
      <c r="V143" s="1663">
        <v>0</v>
      </c>
      <c r="W143" s="1663">
        <v>0</v>
      </c>
      <c r="X143" s="1663">
        <v>0</v>
      </c>
      <c r="Y143" s="1663">
        <v>0</v>
      </c>
      <c r="Z143" s="1663">
        <v>0</v>
      </c>
      <c r="AA143" s="1663">
        <v>0</v>
      </c>
      <c r="AB143" s="1664">
        <v>0</v>
      </c>
      <c r="AC143" s="47"/>
      <c r="AE143" s="10"/>
      <c r="AF143" s="218"/>
      <c r="AG143" s="10"/>
      <c r="AH143" s="10"/>
    </row>
    <row r="144" spans="1:34" s="5" customFormat="1" ht="10.15" hidden="1" customHeight="1" x14ac:dyDescent="0.2">
      <c r="A144" s="10" t="s">
        <v>459</v>
      </c>
      <c r="C144" s="41"/>
      <c r="J144" s="2040"/>
      <c r="K144" s="2041"/>
      <c r="L144" s="2041"/>
      <c r="M144" s="2042"/>
      <c r="N144" s="1011" t="s">
        <v>320</v>
      </c>
      <c r="O144" s="991"/>
      <c r="P144" s="991"/>
      <c r="Q144" s="991"/>
      <c r="R144" s="991"/>
      <c r="S144" s="1376" t="s">
        <v>1186</v>
      </c>
      <c r="T144" s="1665">
        <v>0</v>
      </c>
      <c r="U144" s="1666">
        <v>0</v>
      </c>
      <c r="V144" s="1666">
        <v>0</v>
      </c>
      <c r="W144" s="1666">
        <v>0</v>
      </c>
      <c r="X144" s="1666">
        <v>0</v>
      </c>
      <c r="Y144" s="1666">
        <v>0</v>
      </c>
      <c r="Z144" s="1666">
        <v>0</v>
      </c>
      <c r="AA144" s="1666">
        <v>0</v>
      </c>
      <c r="AB144" s="1667">
        <v>0</v>
      </c>
      <c r="AC144" s="47"/>
      <c r="AE144" s="10"/>
      <c r="AF144" s="218"/>
      <c r="AG144" s="10"/>
      <c r="AH144" s="10"/>
    </row>
    <row r="145" spans="1:34" s="5" customFormat="1" ht="10.15" hidden="1" customHeight="1" x14ac:dyDescent="0.2">
      <c r="A145" s="10" t="s">
        <v>459</v>
      </c>
      <c r="C145" s="41"/>
      <c r="J145" s="278" t="s">
        <v>91</v>
      </c>
      <c r="K145" s="279"/>
      <c r="L145" s="279"/>
      <c r="M145" s="280"/>
      <c r="N145" s="1015" t="s">
        <v>83</v>
      </c>
      <c r="O145" s="1031"/>
      <c r="P145" s="1031"/>
      <c r="Q145" s="1031"/>
      <c r="R145" s="1031"/>
      <c r="S145" s="1378" t="s">
        <v>1187</v>
      </c>
      <c r="T145" s="1604">
        <v>0</v>
      </c>
      <c r="U145" s="1605">
        <v>0</v>
      </c>
      <c r="V145" s="1605">
        <v>0</v>
      </c>
      <c r="W145" s="1605">
        <v>0</v>
      </c>
      <c r="X145" s="1605">
        <v>0</v>
      </c>
      <c r="Y145" s="1605">
        <v>0</v>
      </c>
      <c r="Z145" s="1605">
        <v>0</v>
      </c>
      <c r="AA145" s="1605">
        <v>0</v>
      </c>
      <c r="AB145" s="1606">
        <v>0</v>
      </c>
      <c r="AC145" s="47"/>
      <c r="AE145" s="10"/>
      <c r="AF145" s="218"/>
      <c r="AG145" s="10"/>
      <c r="AH145" s="10"/>
    </row>
    <row r="146" spans="1:34" s="5" customFormat="1" ht="10.15" hidden="1" customHeight="1" x14ac:dyDescent="0.2">
      <c r="A146" s="10" t="s">
        <v>459</v>
      </c>
      <c r="B146" s="10"/>
      <c r="C146" s="41"/>
      <c r="J146" s="281"/>
      <c r="K146" s="287"/>
      <c r="L146" s="287"/>
      <c r="M146" s="282"/>
      <c r="N146" s="1016" t="s">
        <v>1402</v>
      </c>
      <c r="O146" s="988"/>
      <c r="P146" s="988"/>
      <c r="Q146" s="988"/>
      <c r="R146" s="988"/>
      <c r="S146" s="1375" t="s">
        <v>1403</v>
      </c>
      <c r="T146" s="1607">
        <v>0</v>
      </c>
      <c r="U146" s="1608">
        <v>0</v>
      </c>
      <c r="V146" s="1608">
        <v>0</v>
      </c>
      <c r="W146" s="1608">
        <v>0</v>
      </c>
      <c r="X146" s="1608">
        <v>0</v>
      </c>
      <c r="Y146" s="1608">
        <v>0</v>
      </c>
      <c r="Z146" s="1608">
        <v>0</v>
      </c>
      <c r="AA146" s="1608">
        <v>0</v>
      </c>
      <c r="AB146" s="1609">
        <v>0</v>
      </c>
      <c r="AC146" s="47"/>
      <c r="AE146" s="10"/>
      <c r="AF146" s="218"/>
      <c r="AG146" s="10"/>
      <c r="AH146" s="10"/>
    </row>
    <row r="147" spans="1:34" s="5" customFormat="1" ht="10.15" hidden="1" customHeight="1" x14ac:dyDescent="0.2">
      <c r="A147" s="10" t="s">
        <v>459</v>
      </c>
      <c r="B147" s="10"/>
      <c r="C147" s="41"/>
      <c r="J147" s="281"/>
      <c r="K147" s="287"/>
      <c r="L147" s="287"/>
      <c r="M147" s="282"/>
      <c r="N147" s="1016" t="s">
        <v>2308</v>
      </c>
      <c r="O147" s="988"/>
      <c r="P147" s="988"/>
      <c r="Q147" s="988"/>
      <c r="R147" s="988"/>
      <c r="S147" s="1375" t="s">
        <v>2309</v>
      </c>
      <c r="T147" s="1607">
        <v>0</v>
      </c>
      <c r="U147" s="1608">
        <v>0</v>
      </c>
      <c r="V147" s="1608">
        <v>0</v>
      </c>
      <c r="W147" s="1608">
        <v>0</v>
      </c>
      <c r="X147" s="1608">
        <v>0</v>
      </c>
      <c r="Y147" s="1608">
        <v>0</v>
      </c>
      <c r="Z147" s="1608">
        <v>0</v>
      </c>
      <c r="AA147" s="1608">
        <v>0</v>
      </c>
      <c r="AB147" s="1609">
        <v>0</v>
      </c>
      <c r="AC147" s="47"/>
      <c r="AE147" s="10"/>
      <c r="AF147" s="218"/>
      <c r="AG147" s="10"/>
      <c r="AH147" s="10"/>
    </row>
    <row r="148" spans="1:34" s="5" customFormat="1" ht="10.15" hidden="1" customHeight="1" x14ac:dyDescent="0.2">
      <c r="A148" s="10" t="s">
        <v>459</v>
      </c>
      <c r="C148" s="41"/>
      <c r="J148" s="281"/>
      <c r="K148" s="287"/>
      <c r="L148" s="287"/>
      <c r="M148" s="282"/>
      <c r="N148" s="1013" t="s">
        <v>154</v>
      </c>
      <c r="O148" s="307"/>
      <c r="P148" s="307"/>
      <c r="Q148" s="307"/>
      <c r="R148" s="307"/>
      <c r="S148" s="1381" t="s">
        <v>1188</v>
      </c>
      <c r="T148" s="1607">
        <v>0</v>
      </c>
      <c r="U148" s="1608">
        <v>0</v>
      </c>
      <c r="V148" s="1608">
        <v>0</v>
      </c>
      <c r="W148" s="1608">
        <v>0</v>
      </c>
      <c r="X148" s="1608">
        <v>0</v>
      </c>
      <c r="Y148" s="1608">
        <v>0</v>
      </c>
      <c r="Z148" s="1608">
        <v>0</v>
      </c>
      <c r="AA148" s="1608">
        <v>0</v>
      </c>
      <c r="AB148" s="1609">
        <v>0</v>
      </c>
      <c r="AC148" s="47"/>
      <c r="AE148" s="10"/>
      <c r="AF148" s="218"/>
      <c r="AG148" s="10"/>
      <c r="AH148" s="10"/>
    </row>
    <row r="149" spans="1:34" s="5" customFormat="1" ht="10.15" hidden="1" customHeight="1" x14ac:dyDescent="0.2">
      <c r="A149" s="10" t="s">
        <v>459</v>
      </c>
      <c r="C149" s="41"/>
      <c r="J149" s="281"/>
      <c r="K149" s="287"/>
      <c r="L149" s="287"/>
      <c r="M149" s="282"/>
      <c r="N149" s="990" t="s">
        <v>127</v>
      </c>
      <c r="O149" s="986"/>
      <c r="P149" s="986"/>
      <c r="Q149" s="986"/>
      <c r="R149" s="986"/>
      <c r="S149" s="1381" t="s">
        <v>1189</v>
      </c>
      <c r="T149" s="1607">
        <v>0</v>
      </c>
      <c r="U149" s="1608">
        <v>0</v>
      </c>
      <c r="V149" s="1608">
        <v>0</v>
      </c>
      <c r="W149" s="1608">
        <v>0</v>
      </c>
      <c r="X149" s="1608">
        <v>0</v>
      </c>
      <c r="Y149" s="1608">
        <v>0</v>
      </c>
      <c r="Z149" s="1608">
        <v>0</v>
      </c>
      <c r="AA149" s="1608">
        <v>0</v>
      </c>
      <c r="AB149" s="1609">
        <v>0</v>
      </c>
      <c r="AC149" s="47"/>
      <c r="AE149" s="10"/>
      <c r="AF149" s="218"/>
      <c r="AG149" s="10"/>
      <c r="AH149" s="10"/>
    </row>
    <row r="150" spans="1:34" s="5" customFormat="1" ht="10.15" hidden="1" customHeight="1" x14ac:dyDescent="0.2">
      <c r="A150" s="10" t="s">
        <v>459</v>
      </c>
      <c r="C150" s="41"/>
      <c r="J150" s="281"/>
      <c r="K150" s="287"/>
      <c r="L150" s="287"/>
      <c r="M150" s="282"/>
      <c r="N150" s="1013" t="s">
        <v>152</v>
      </c>
      <c r="O150" s="307"/>
      <c r="P150" s="307"/>
      <c r="Q150" s="307"/>
      <c r="R150" s="307"/>
      <c r="S150" s="1381" t="s">
        <v>1190</v>
      </c>
      <c r="T150" s="1607">
        <v>0</v>
      </c>
      <c r="U150" s="1608">
        <v>0</v>
      </c>
      <c r="V150" s="1608">
        <v>0</v>
      </c>
      <c r="W150" s="1608">
        <v>0</v>
      </c>
      <c r="X150" s="1608">
        <v>0</v>
      </c>
      <c r="Y150" s="1608">
        <v>0</v>
      </c>
      <c r="Z150" s="1608">
        <v>0</v>
      </c>
      <c r="AA150" s="1608">
        <v>0</v>
      </c>
      <c r="AB150" s="1609">
        <v>0</v>
      </c>
      <c r="AC150" s="47"/>
      <c r="AE150" s="10"/>
      <c r="AF150" s="218"/>
      <c r="AG150" s="10"/>
      <c r="AH150" s="10"/>
    </row>
    <row r="151" spans="1:34" s="5" customFormat="1" ht="10.15" hidden="1" customHeight="1" x14ac:dyDescent="0.2">
      <c r="A151" s="10" t="s">
        <v>459</v>
      </c>
      <c r="C151" s="41"/>
      <c r="J151" s="281"/>
      <c r="K151" s="287"/>
      <c r="L151" s="287"/>
      <c r="M151" s="282"/>
      <c r="N151" s="1013" t="s">
        <v>153</v>
      </c>
      <c r="O151" s="307"/>
      <c r="P151" s="307"/>
      <c r="Q151" s="307"/>
      <c r="R151" s="307"/>
      <c r="S151" s="1381" t="s">
        <v>1191</v>
      </c>
      <c r="T151" s="1607">
        <v>0</v>
      </c>
      <c r="U151" s="1608">
        <v>0</v>
      </c>
      <c r="V151" s="1608">
        <v>0</v>
      </c>
      <c r="W151" s="1608">
        <v>0</v>
      </c>
      <c r="X151" s="1608">
        <v>0</v>
      </c>
      <c r="Y151" s="1608">
        <v>0</v>
      </c>
      <c r="Z151" s="1608">
        <v>0</v>
      </c>
      <c r="AA151" s="1608">
        <v>0</v>
      </c>
      <c r="AB151" s="1609">
        <v>0</v>
      </c>
      <c r="AC151" s="47"/>
      <c r="AE151" s="10"/>
      <c r="AF151" s="218"/>
      <c r="AG151" s="10"/>
      <c r="AH151" s="10"/>
    </row>
    <row r="152" spans="1:34" s="5" customFormat="1" ht="10.15" hidden="1" customHeight="1" x14ac:dyDescent="0.2">
      <c r="A152" s="10" t="s">
        <v>459</v>
      </c>
      <c r="C152" s="41"/>
      <c r="J152" s="281"/>
      <c r="K152" s="287"/>
      <c r="L152" s="287"/>
      <c r="M152" s="282"/>
      <c r="N152" s="990" t="s">
        <v>221</v>
      </c>
      <c r="O152" s="986"/>
      <c r="P152" s="986"/>
      <c r="Q152" s="986"/>
      <c r="R152" s="986"/>
      <c r="S152" s="1381" t="s">
        <v>1192</v>
      </c>
      <c r="T152" s="1607">
        <v>0</v>
      </c>
      <c r="U152" s="1608">
        <v>0</v>
      </c>
      <c r="V152" s="1608">
        <v>0</v>
      </c>
      <c r="W152" s="1608">
        <v>0</v>
      </c>
      <c r="X152" s="1608">
        <v>0</v>
      </c>
      <c r="Y152" s="1608">
        <v>0</v>
      </c>
      <c r="Z152" s="1608">
        <v>0</v>
      </c>
      <c r="AA152" s="1608">
        <v>0</v>
      </c>
      <c r="AB152" s="1609">
        <v>0</v>
      </c>
      <c r="AC152" s="47"/>
      <c r="AE152" s="10"/>
      <c r="AF152" s="218"/>
      <c r="AG152" s="10"/>
      <c r="AH152" s="10"/>
    </row>
    <row r="153" spans="1:34" s="5" customFormat="1" ht="10.15" hidden="1" customHeight="1" x14ac:dyDescent="0.2">
      <c r="A153" s="10" t="s">
        <v>459</v>
      </c>
      <c r="C153" s="41"/>
      <c r="J153" s="281"/>
      <c r="K153" s="287"/>
      <c r="L153" s="287"/>
      <c r="M153" s="282"/>
      <c r="N153" s="1013" t="s">
        <v>130</v>
      </c>
      <c r="O153" s="307"/>
      <c r="P153" s="307"/>
      <c r="Q153" s="307"/>
      <c r="R153" s="307"/>
      <c r="S153" s="1381" t="s">
        <v>1193</v>
      </c>
      <c r="T153" s="1607">
        <v>-0.25</v>
      </c>
      <c r="U153" s="1608">
        <v>-0.25</v>
      </c>
      <c r="V153" s="1608">
        <v>-0.25</v>
      </c>
      <c r="W153" s="1608">
        <v>-0.375</v>
      </c>
      <c r="X153" s="1608">
        <v>-0.375</v>
      </c>
      <c r="Y153" s="1608">
        <v>-0.5</v>
      </c>
      <c r="Z153" s="1745" t="e">
        <v>#N/A</v>
      </c>
      <c r="AA153" s="1745" t="e">
        <v>#N/A</v>
      </c>
      <c r="AB153" s="1742" t="e">
        <v>#N/A</v>
      </c>
      <c r="AC153" s="47"/>
      <c r="AE153" s="10"/>
      <c r="AF153" s="218"/>
      <c r="AG153" s="10"/>
      <c r="AH153" s="10"/>
    </row>
    <row r="154" spans="1:34" s="5" customFormat="1" ht="10.15" hidden="1" customHeight="1" x14ac:dyDescent="0.2">
      <c r="A154" s="10" t="s">
        <v>461</v>
      </c>
      <c r="C154" s="41"/>
      <c r="J154" s="281"/>
      <c r="K154" s="287"/>
      <c r="L154" s="287"/>
      <c r="M154" s="282"/>
      <c r="N154" s="1013" t="s">
        <v>131</v>
      </c>
      <c r="O154" s="307"/>
      <c r="P154" s="307"/>
      <c r="Q154" s="307"/>
      <c r="R154" s="307"/>
      <c r="S154" s="1381" t="s">
        <v>1194</v>
      </c>
      <c r="T154" s="1763" t="e">
        <v>#N/A</v>
      </c>
      <c r="U154" s="1745" t="e">
        <v>#N/A</v>
      </c>
      <c r="V154" s="1745" t="e">
        <v>#N/A</v>
      </c>
      <c r="W154" s="1745" t="e">
        <v>#N/A</v>
      </c>
      <c r="X154" s="1745" t="e">
        <v>#N/A</v>
      </c>
      <c r="Y154" s="1745" t="e">
        <v>#N/A</v>
      </c>
      <c r="Z154" s="1745" t="e">
        <v>#N/A</v>
      </c>
      <c r="AA154" s="1745" t="e">
        <v>#N/A</v>
      </c>
      <c r="AB154" s="1742" t="e">
        <v>#N/A</v>
      </c>
      <c r="AC154" s="47"/>
      <c r="AE154" s="10"/>
      <c r="AF154" s="218"/>
      <c r="AG154" s="10"/>
      <c r="AH154" s="10"/>
    </row>
    <row r="155" spans="1:34" s="5" customFormat="1" ht="10.15" hidden="1" customHeight="1" x14ac:dyDescent="0.2">
      <c r="A155" s="10" t="s">
        <v>459</v>
      </c>
      <c r="C155" s="41"/>
      <c r="J155" s="281"/>
      <c r="K155" s="287"/>
      <c r="L155" s="287"/>
      <c r="M155" s="282"/>
      <c r="N155" s="990" t="s">
        <v>132</v>
      </c>
      <c r="O155" s="986"/>
      <c r="P155" s="986"/>
      <c r="Q155" s="986"/>
      <c r="R155" s="986"/>
      <c r="S155" s="1375" t="s">
        <v>1195</v>
      </c>
      <c r="T155" s="1607">
        <v>-0.375</v>
      </c>
      <c r="U155" s="1608">
        <v>-0.375</v>
      </c>
      <c r="V155" s="1608">
        <v>-0.375</v>
      </c>
      <c r="W155" s="1608">
        <v>-0.5</v>
      </c>
      <c r="X155" s="1608">
        <v>-0.5</v>
      </c>
      <c r="Y155" s="1608">
        <v>-0.5</v>
      </c>
      <c r="Z155" s="1745" t="e">
        <v>#N/A</v>
      </c>
      <c r="AA155" s="1745" t="e">
        <v>#N/A</v>
      </c>
      <c r="AB155" s="1742" t="e">
        <v>#N/A</v>
      </c>
      <c r="AC155" s="47"/>
      <c r="AE155" s="10"/>
      <c r="AF155" s="218"/>
      <c r="AG155" s="10"/>
      <c r="AH155" s="10"/>
    </row>
    <row r="156" spans="1:34" s="5" customFormat="1" ht="10.15" hidden="1" customHeight="1" x14ac:dyDescent="0.2">
      <c r="A156" s="10" t="s">
        <v>459</v>
      </c>
      <c r="B156" s="10"/>
      <c r="C156" s="41"/>
      <c r="J156" s="281"/>
      <c r="K156" s="287"/>
      <c r="L156" s="287"/>
      <c r="M156" s="282"/>
      <c r="N156" s="990" t="s">
        <v>133</v>
      </c>
      <c r="O156" s="986"/>
      <c r="P156" s="986"/>
      <c r="Q156" s="986"/>
      <c r="R156" s="986"/>
      <c r="S156" s="1375" t="s">
        <v>1196</v>
      </c>
      <c r="T156" s="1607">
        <v>-0.375</v>
      </c>
      <c r="U156" s="1608">
        <v>-0.375</v>
      </c>
      <c r="V156" s="1608">
        <v>-0.375</v>
      </c>
      <c r="W156" s="1608">
        <v>-0.5</v>
      </c>
      <c r="X156" s="1608">
        <v>-0.5</v>
      </c>
      <c r="Y156" s="1608">
        <v>-0.5</v>
      </c>
      <c r="Z156" s="1745" t="e">
        <v>#N/A</v>
      </c>
      <c r="AA156" s="1745" t="e">
        <v>#N/A</v>
      </c>
      <c r="AB156" s="1742" t="e">
        <v>#N/A</v>
      </c>
      <c r="AC156" s="47"/>
      <c r="AE156" s="10"/>
      <c r="AF156" s="218"/>
      <c r="AG156" s="10"/>
      <c r="AH156" s="10"/>
    </row>
    <row r="157" spans="1:34" s="5" customFormat="1" ht="10.15" hidden="1" customHeight="1" x14ac:dyDescent="0.2">
      <c r="A157" s="10" t="s">
        <v>459</v>
      </c>
      <c r="B157" s="10"/>
      <c r="C157" s="41"/>
      <c r="J157" s="281"/>
      <c r="K157" s="287"/>
      <c r="L157" s="287"/>
      <c r="M157" s="282"/>
      <c r="N157" s="990" t="s">
        <v>134</v>
      </c>
      <c r="O157" s="986"/>
      <c r="P157" s="986"/>
      <c r="Q157" s="986"/>
      <c r="R157" s="986"/>
      <c r="S157" s="1375" t="s">
        <v>1197</v>
      </c>
      <c r="T157" s="1607">
        <v>-0.375</v>
      </c>
      <c r="U157" s="1608">
        <v>-0.375</v>
      </c>
      <c r="V157" s="1608">
        <v>-0.375</v>
      </c>
      <c r="W157" s="1608">
        <v>-0.5</v>
      </c>
      <c r="X157" s="1608">
        <v>-0.5</v>
      </c>
      <c r="Y157" s="1608">
        <v>-0.5</v>
      </c>
      <c r="Z157" s="1745" t="e">
        <v>#N/A</v>
      </c>
      <c r="AA157" s="1745" t="e">
        <v>#N/A</v>
      </c>
      <c r="AB157" s="1742" t="e">
        <v>#N/A</v>
      </c>
      <c r="AC157" s="47"/>
      <c r="AE157" s="10"/>
      <c r="AF157" s="218"/>
      <c r="AG157" s="10"/>
      <c r="AH157" s="10"/>
    </row>
    <row r="158" spans="1:34" s="5" customFormat="1" ht="10.15" hidden="1" customHeight="1" x14ac:dyDescent="0.2">
      <c r="A158" s="10" t="s">
        <v>459</v>
      </c>
      <c r="B158" s="10"/>
      <c r="C158" s="41"/>
      <c r="J158" s="281"/>
      <c r="K158" s="287"/>
      <c r="L158" s="287"/>
      <c r="M158" s="282"/>
      <c r="N158" s="990" t="s">
        <v>19</v>
      </c>
      <c r="O158" s="986"/>
      <c r="P158" s="986"/>
      <c r="Q158" s="986"/>
      <c r="R158" s="986"/>
      <c r="S158" s="1375" t="s">
        <v>1198</v>
      </c>
      <c r="T158" s="1607">
        <v>-2</v>
      </c>
      <c r="U158" s="1608">
        <v>-2</v>
      </c>
      <c r="V158" s="1608">
        <v>-2</v>
      </c>
      <c r="W158" s="1608">
        <v>-2</v>
      </c>
      <c r="X158" s="1608">
        <v>-2</v>
      </c>
      <c r="Y158" s="1608">
        <v>-2</v>
      </c>
      <c r="Z158" s="1608">
        <v>-2</v>
      </c>
      <c r="AA158" s="1608">
        <v>-2</v>
      </c>
      <c r="AB158" s="1609">
        <v>-2</v>
      </c>
      <c r="AC158" s="47"/>
      <c r="AE158" s="10"/>
      <c r="AF158" s="218"/>
      <c r="AG158" s="10"/>
      <c r="AH158" s="10"/>
    </row>
    <row r="159" spans="1:34" s="5" customFormat="1" ht="10.15" hidden="1" customHeight="1" x14ac:dyDescent="0.2">
      <c r="A159" s="10" t="s">
        <v>461</v>
      </c>
      <c r="B159" s="10"/>
      <c r="C159" s="41"/>
      <c r="J159" s="283"/>
      <c r="K159" s="284"/>
      <c r="L159" s="284"/>
      <c r="M159" s="285"/>
      <c r="N159" s="1017" t="s">
        <v>129</v>
      </c>
      <c r="O159" s="1047"/>
      <c r="P159" s="1047"/>
      <c r="Q159" s="1047"/>
      <c r="R159" s="1047"/>
      <c r="S159" s="1379" t="s">
        <v>1199</v>
      </c>
      <c r="T159" s="1502" t="e">
        <v>#N/A</v>
      </c>
      <c r="U159" s="1503" t="e">
        <v>#N/A</v>
      </c>
      <c r="V159" s="1503" t="e">
        <v>#N/A</v>
      </c>
      <c r="W159" s="1503" t="e">
        <v>#N/A</v>
      </c>
      <c r="X159" s="1508" t="e">
        <v>#N/A</v>
      </c>
      <c r="Y159" s="1503" t="e">
        <v>#N/A</v>
      </c>
      <c r="Z159" s="1503" t="e">
        <v>#N/A</v>
      </c>
      <c r="AA159" s="1503" t="e">
        <v>#N/A</v>
      </c>
      <c r="AB159" s="1504" t="e">
        <v>#N/A</v>
      </c>
      <c r="AC159" s="47"/>
      <c r="AE159" s="10"/>
      <c r="AF159" s="218"/>
      <c r="AG159" s="10"/>
      <c r="AH159" s="10"/>
    </row>
    <row r="160" spans="1:34" s="5" customFormat="1" ht="10.15" hidden="1" customHeight="1" x14ac:dyDescent="0.2">
      <c r="A160" s="10" t="s">
        <v>461</v>
      </c>
      <c r="B160" s="10"/>
      <c r="C160" s="41"/>
      <c r="J160" s="2024" t="s">
        <v>46</v>
      </c>
      <c r="K160" s="2025"/>
      <c r="L160" s="2025"/>
      <c r="M160" s="2026"/>
      <c r="N160" s="1015" t="s">
        <v>216</v>
      </c>
      <c r="O160" s="1031"/>
      <c r="P160" s="1031"/>
      <c r="Q160" s="1031"/>
      <c r="R160" s="1031"/>
      <c r="S160" s="1378" t="s">
        <v>1200</v>
      </c>
      <c r="T160" s="1764">
        <v>0</v>
      </c>
      <c r="U160" s="1690">
        <v>0</v>
      </c>
      <c r="V160" s="1690">
        <v>0</v>
      </c>
      <c r="W160" s="1690">
        <v>0</v>
      </c>
      <c r="X160" s="1690">
        <v>0</v>
      </c>
      <c r="Y160" s="1690">
        <v>0</v>
      </c>
      <c r="Z160" s="1690">
        <v>0</v>
      </c>
      <c r="AA160" s="1690">
        <v>0</v>
      </c>
      <c r="AB160" s="1765">
        <v>0</v>
      </c>
      <c r="AC160" s="47"/>
      <c r="AE160" s="10"/>
      <c r="AF160" s="218"/>
      <c r="AG160" s="10"/>
      <c r="AH160" s="10"/>
    </row>
    <row r="161" spans="1:34" s="5" customFormat="1" ht="10.15" hidden="1" customHeight="1" x14ac:dyDescent="0.2">
      <c r="A161" s="10" t="s">
        <v>461</v>
      </c>
      <c r="B161" s="10"/>
      <c r="C161" s="41"/>
      <c r="J161" s="2145"/>
      <c r="K161" s="2146"/>
      <c r="L161" s="2146"/>
      <c r="M161" s="2147"/>
      <c r="N161" s="1018" t="s">
        <v>214</v>
      </c>
      <c r="O161" s="989"/>
      <c r="P161" s="989"/>
      <c r="Q161" s="989"/>
      <c r="R161" s="989"/>
      <c r="S161" s="1382" t="s">
        <v>1201</v>
      </c>
      <c r="T161" s="1766">
        <v>0</v>
      </c>
      <c r="U161" s="1622">
        <v>0</v>
      </c>
      <c r="V161" s="1622">
        <v>0</v>
      </c>
      <c r="W161" s="1622">
        <v>0</v>
      </c>
      <c r="X161" s="1622">
        <v>0</v>
      </c>
      <c r="Y161" s="1622">
        <v>0</v>
      </c>
      <c r="Z161" s="1622">
        <v>0</v>
      </c>
      <c r="AA161" s="1622">
        <v>0</v>
      </c>
      <c r="AB161" s="1767">
        <v>0</v>
      </c>
      <c r="AC161" s="47"/>
      <c r="AE161" s="10"/>
      <c r="AF161" s="218"/>
      <c r="AG161" s="10"/>
      <c r="AH161" s="10"/>
    </row>
    <row r="162" spans="1:34" s="5" customFormat="1" ht="10.15" hidden="1" customHeight="1" x14ac:dyDescent="0.2">
      <c r="A162" s="10" t="s">
        <v>461</v>
      </c>
      <c r="B162" s="10"/>
      <c r="C162" s="41"/>
      <c r="J162" s="2145"/>
      <c r="K162" s="2146"/>
      <c r="L162" s="2146"/>
      <c r="M162" s="2147"/>
      <c r="N162" s="1018" t="s">
        <v>236</v>
      </c>
      <c r="O162" s="989"/>
      <c r="P162" s="989"/>
      <c r="Q162" s="989"/>
      <c r="R162" s="989"/>
      <c r="S162" s="1382" t="s">
        <v>1202</v>
      </c>
      <c r="T162" s="1766">
        <v>0</v>
      </c>
      <c r="U162" s="1622">
        <v>0</v>
      </c>
      <c r="V162" s="1622">
        <v>0</v>
      </c>
      <c r="W162" s="1622">
        <v>0</v>
      </c>
      <c r="X162" s="1622">
        <v>0</v>
      </c>
      <c r="Y162" s="1622">
        <v>0</v>
      </c>
      <c r="Z162" s="1622">
        <v>0</v>
      </c>
      <c r="AA162" s="1622">
        <v>0</v>
      </c>
      <c r="AB162" s="1767">
        <v>0</v>
      </c>
      <c r="AC162" s="47"/>
      <c r="AE162" s="10"/>
      <c r="AF162" s="218"/>
      <c r="AG162" s="10"/>
      <c r="AH162" s="10"/>
    </row>
    <row r="163" spans="1:34" s="5" customFormat="1" ht="10.15" hidden="1" customHeight="1" x14ac:dyDescent="0.2">
      <c r="A163" s="10" t="s">
        <v>461</v>
      </c>
      <c r="B163" s="10"/>
      <c r="C163" s="41"/>
      <c r="J163" s="2027"/>
      <c r="K163" s="2028"/>
      <c r="L163" s="2028"/>
      <c r="M163" s="2029"/>
      <c r="N163" s="1019" t="s">
        <v>45</v>
      </c>
      <c r="O163" s="1032"/>
      <c r="P163" s="1032"/>
      <c r="Q163" s="1032"/>
      <c r="R163" s="1032"/>
      <c r="S163" s="1383" t="s">
        <v>1203</v>
      </c>
      <c r="T163" s="1509" t="e">
        <v>#N/A</v>
      </c>
      <c r="U163" s="1508" t="e">
        <v>#N/A</v>
      </c>
      <c r="V163" s="1508" t="e">
        <v>#N/A</v>
      </c>
      <c r="W163" s="1508" t="e">
        <v>#N/A</v>
      </c>
      <c r="X163" s="1508" t="e">
        <v>#N/A</v>
      </c>
      <c r="Y163" s="1508" t="e">
        <v>#N/A</v>
      </c>
      <c r="Z163" s="1508" t="e">
        <v>#N/A</v>
      </c>
      <c r="AA163" s="1508" t="e">
        <v>#N/A</v>
      </c>
      <c r="AB163" s="1777" t="e">
        <v>#N/A</v>
      </c>
      <c r="AC163" s="47"/>
      <c r="AE163" s="10"/>
      <c r="AF163" s="218"/>
      <c r="AG163" s="10"/>
      <c r="AH163" s="10"/>
    </row>
    <row r="164" spans="1:34" s="5" customFormat="1" ht="10.15" hidden="1" customHeight="1" x14ac:dyDescent="0.2">
      <c r="A164" s="10" t="s">
        <v>461</v>
      </c>
      <c r="B164" s="10"/>
      <c r="C164" s="41"/>
      <c r="J164" s="2024" t="s">
        <v>1434</v>
      </c>
      <c r="K164" s="2025"/>
      <c r="L164" s="2025"/>
      <c r="M164" s="2026"/>
      <c r="N164" s="1031" t="s">
        <v>1811</v>
      </c>
      <c r="O164" s="1031"/>
      <c r="P164" s="1031"/>
      <c r="Q164" s="1031"/>
      <c r="R164" s="1031"/>
      <c r="S164" s="1378" t="s">
        <v>2400</v>
      </c>
      <c r="T164" s="1696">
        <v>0</v>
      </c>
      <c r="U164" s="1697">
        <v>0</v>
      </c>
      <c r="V164" s="1697">
        <v>0</v>
      </c>
      <c r="W164" s="1697">
        <v>0</v>
      </c>
      <c r="X164" s="1697">
        <v>0</v>
      </c>
      <c r="Y164" s="1697">
        <v>0</v>
      </c>
      <c r="Z164" s="1719">
        <v>0</v>
      </c>
      <c r="AA164" s="1719">
        <v>0</v>
      </c>
      <c r="AB164" s="1720">
        <v>0</v>
      </c>
      <c r="AC164" s="47"/>
      <c r="AE164" s="10"/>
      <c r="AF164" s="218"/>
      <c r="AG164" s="10"/>
      <c r="AH164" s="10"/>
    </row>
    <row r="165" spans="1:34" s="5" customFormat="1" ht="10.15" hidden="1" customHeight="1" x14ac:dyDescent="0.2">
      <c r="A165" s="10" t="s">
        <v>461</v>
      </c>
      <c r="B165" s="10"/>
      <c r="C165" s="41"/>
      <c r="J165" s="2145"/>
      <c r="K165" s="2146"/>
      <c r="L165" s="2146"/>
      <c r="M165" s="2147"/>
      <c r="N165" s="989" t="s">
        <v>1435</v>
      </c>
      <c r="O165" s="989"/>
      <c r="P165" s="989"/>
      <c r="Q165" s="989"/>
      <c r="R165" s="989"/>
      <c r="S165" s="1382" t="s">
        <v>2401</v>
      </c>
      <c r="T165" s="1699">
        <v>0</v>
      </c>
      <c r="U165" s="1700">
        <v>0</v>
      </c>
      <c r="V165" s="1700">
        <v>0</v>
      </c>
      <c r="W165" s="1700">
        <v>0</v>
      </c>
      <c r="X165" s="1700">
        <v>0</v>
      </c>
      <c r="Y165" s="1700">
        <v>0</v>
      </c>
      <c r="Z165" s="1721">
        <v>0</v>
      </c>
      <c r="AA165" s="1721">
        <v>0</v>
      </c>
      <c r="AB165" s="1722">
        <v>0</v>
      </c>
      <c r="AC165" s="47"/>
      <c r="AE165" s="10"/>
      <c r="AF165" s="218"/>
      <c r="AG165" s="10"/>
      <c r="AH165" s="10"/>
    </row>
    <row r="166" spans="1:34" s="5" customFormat="1" ht="10.15" hidden="1" customHeight="1" x14ac:dyDescent="0.2">
      <c r="A166" s="10" t="s">
        <v>461</v>
      </c>
      <c r="B166" s="10"/>
      <c r="C166" s="41"/>
      <c r="J166" s="2145"/>
      <c r="K166" s="2146"/>
      <c r="L166" s="2146"/>
      <c r="M166" s="2147"/>
      <c r="N166" s="989" t="s">
        <v>2409</v>
      </c>
      <c r="O166" s="989"/>
      <c r="P166" s="989"/>
      <c r="Q166" s="989"/>
      <c r="R166" s="989"/>
      <c r="S166" s="1382" t="s">
        <v>2413</v>
      </c>
      <c r="T166" s="1897" t="e">
        <v>#N/A</v>
      </c>
      <c r="U166" s="1898" t="e">
        <v>#N/A</v>
      </c>
      <c r="V166" s="1898" t="e">
        <v>#N/A</v>
      </c>
      <c r="W166" s="1898" t="e">
        <v>#N/A</v>
      </c>
      <c r="X166" s="1898" t="e">
        <v>#N/A</v>
      </c>
      <c r="Y166" s="1898" t="e">
        <v>#N/A</v>
      </c>
      <c r="Z166" s="1899" t="e">
        <v>#N/A</v>
      </c>
      <c r="AA166" s="1899" t="e">
        <v>#N/A</v>
      </c>
      <c r="AB166" s="1900" t="e">
        <v>#N/A</v>
      </c>
      <c r="AC166" s="47"/>
      <c r="AE166" s="10"/>
      <c r="AF166" s="218"/>
      <c r="AG166" s="10"/>
      <c r="AH166" s="10"/>
    </row>
    <row r="167" spans="1:34" s="5" customFormat="1" ht="10.15" hidden="1" customHeight="1" x14ac:dyDescent="0.2">
      <c r="A167" s="10" t="s">
        <v>461</v>
      </c>
      <c r="B167" s="10"/>
      <c r="C167" s="41"/>
      <c r="J167" s="2145"/>
      <c r="K167" s="2146"/>
      <c r="L167" s="2146"/>
      <c r="M167" s="2147"/>
      <c r="N167" s="989" t="s">
        <v>2414</v>
      </c>
      <c r="O167" s="989"/>
      <c r="P167" s="989"/>
      <c r="Q167" s="989"/>
      <c r="R167" s="989"/>
      <c r="S167" s="1382" t="s">
        <v>2417</v>
      </c>
      <c r="T167" s="1897" t="e">
        <v>#N/A</v>
      </c>
      <c r="U167" s="1898" t="e">
        <v>#N/A</v>
      </c>
      <c r="V167" s="1898" t="e">
        <v>#N/A</v>
      </c>
      <c r="W167" s="1898" t="e">
        <v>#N/A</v>
      </c>
      <c r="X167" s="1898" t="e">
        <v>#N/A</v>
      </c>
      <c r="Y167" s="1898" t="e">
        <v>#N/A</v>
      </c>
      <c r="Z167" s="1899" t="e">
        <v>#N/A</v>
      </c>
      <c r="AA167" s="1899" t="e">
        <v>#N/A</v>
      </c>
      <c r="AB167" s="1900" t="e">
        <v>#N/A</v>
      </c>
      <c r="AC167" s="47"/>
      <c r="AE167" s="10"/>
      <c r="AF167" s="218"/>
      <c r="AG167" s="10"/>
      <c r="AH167" s="10"/>
    </row>
    <row r="168" spans="1:34" s="5" customFormat="1" ht="10.15" hidden="1" customHeight="1" x14ac:dyDescent="0.2">
      <c r="A168" s="10" t="s">
        <v>461</v>
      </c>
      <c r="B168" s="10"/>
      <c r="C168" s="41"/>
      <c r="J168" s="2145"/>
      <c r="K168" s="2146"/>
      <c r="L168" s="2146"/>
      <c r="M168" s="2147"/>
      <c r="N168" s="1890" t="s">
        <v>1860</v>
      </c>
      <c r="O168" s="1890"/>
      <c r="P168" s="1890"/>
      <c r="Q168" s="1890"/>
      <c r="R168" s="1890"/>
      <c r="S168" s="1891" t="s">
        <v>2402</v>
      </c>
      <c r="T168" s="1892">
        <v>0</v>
      </c>
      <c r="U168" s="1893">
        <v>0</v>
      </c>
      <c r="V168" s="1893">
        <v>0</v>
      </c>
      <c r="W168" s="1893">
        <v>0</v>
      </c>
      <c r="X168" s="1893">
        <v>0</v>
      </c>
      <c r="Y168" s="1893">
        <v>0</v>
      </c>
      <c r="Z168" s="1894">
        <v>0</v>
      </c>
      <c r="AA168" s="1894">
        <v>0</v>
      </c>
      <c r="AB168" s="1655">
        <v>0</v>
      </c>
      <c r="AC168" s="47"/>
      <c r="AE168" s="10"/>
      <c r="AF168" s="218"/>
      <c r="AG168" s="10"/>
      <c r="AH168" s="10"/>
    </row>
    <row r="169" spans="1:34" s="5" customFormat="1" ht="10.15" hidden="1" customHeight="1" x14ac:dyDescent="0.2">
      <c r="A169" s="10" t="s">
        <v>461</v>
      </c>
      <c r="B169" s="10"/>
      <c r="C169" s="41"/>
      <c r="J169" s="1870" t="s">
        <v>2399</v>
      </c>
      <c r="K169" s="1871"/>
      <c r="L169" s="1871"/>
      <c r="M169" s="1872"/>
      <c r="N169" s="1895" t="s">
        <v>2422</v>
      </c>
      <c r="O169" s="1895"/>
      <c r="P169" s="1895"/>
      <c r="Q169" s="1895"/>
      <c r="R169" s="1895"/>
      <c r="S169" s="1896" t="s">
        <v>2437</v>
      </c>
      <c r="T169" s="1696">
        <v>0</v>
      </c>
      <c r="U169" s="1697">
        <v>0</v>
      </c>
      <c r="V169" s="1697">
        <v>0</v>
      </c>
      <c r="W169" s="1697">
        <v>0</v>
      </c>
      <c r="X169" s="1697">
        <v>0</v>
      </c>
      <c r="Y169" s="1697">
        <v>0</v>
      </c>
      <c r="Z169" s="1719">
        <v>0</v>
      </c>
      <c r="AA169" s="1719">
        <v>0</v>
      </c>
      <c r="AB169" s="1720">
        <v>0</v>
      </c>
      <c r="AC169" s="47"/>
      <c r="AE169" s="10"/>
      <c r="AF169" s="218"/>
      <c r="AG169" s="10"/>
      <c r="AH169" s="10"/>
    </row>
    <row r="170" spans="1:34" s="5" customFormat="1" ht="10.15" hidden="1" customHeight="1" x14ac:dyDescent="0.2">
      <c r="A170" s="10" t="s">
        <v>461</v>
      </c>
      <c r="B170" s="10"/>
      <c r="C170" s="41"/>
      <c r="J170" s="1873"/>
      <c r="K170" s="1888"/>
      <c r="L170" s="1888"/>
      <c r="M170" s="1874"/>
      <c r="N170" s="1889" t="s">
        <v>2431</v>
      </c>
      <c r="O170" s="1889"/>
      <c r="P170" s="1889"/>
      <c r="Q170" s="1889"/>
      <c r="R170" s="1889"/>
      <c r="S170" s="1386" t="s">
        <v>2438</v>
      </c>
      <c r="T170" s="1699">
        <v>0</v>
      </c>
      <c r="U170" s="1700">
        <v>0</v>
      </c>
      <c r="V170" s="1700">
        <v>0</v>
      </c>
      <c r="W170" s="1700">
        <v>0</v>
      </c>
      <c r="X170" s="1700">
        <v>0</v>
      </c>
      <c r="Y170" s="1700">
        <v>0</v>
      </c>
      <c r="Z170" s="1721">
        <v>0</v>
      </c>
      <c r="AA170" s="1721">
        <v>0</v>
      </c>
      <c r="AB170" s="1722">
        <v>0</v>
      </c>
      <c r="AC170" s="47"/>
      <c r="AE170" s="10"/>
      <c r="AF170" s="218"/>
      <c r="AG170" s="10"/>
      <c r="AH170" s="10"/>
    </row>
    <row r="171" spans="1:34" s="5" customFormat="1" ht="10.15" hidden="1" customHeight="1" x14ac:dyDescent="0.2">
      <c r="A171" s="10" t="s">
        <v>461</v>
      </c>
      <c r="B171" s="10"/>
      <c r="C171" s="41"/>
      <c r="J171" s="1873"/>
      <c r="K171" s="1888"/>
      <c r="L171" s="1888"/>
      <c r="M171" s="1874"/>
      <c r="N171" s="1889" t="s">
        <v>2423</v>
      </c>
      <c r="O171" s="1889"/>
      <c r="P171" s="1889"/>
      <c r="Q171" s="1889"/>
      <c r="R171" s="1889"/>
      <c r="S171" s="1382" t="s">
        <v>2439</v>
      </c>
      <c r="T171" s="1699">
        <v>0</v>
      </c>
      <c r="U171" s="1700">
        <v>0</v>
      </c>
      <c r="V171" s="1700">
        <v>0</v>
      </c>
      <c r="W171" s="1700">
        <v>0</v>
      </c>
      <c r="X171" s="1700">
        <v>0</v>
      </c>
      <c r="Y171" s="1700">
        <v>0</v>
      </c>
      <c r="Z171" s="1721">
        <v>0</v>
      </c>
      <c r="AA171" s="1721">
        <v>0</v>
      </c>
      <c r="AB171" s="1722">
        <v>0</v>
      </c>
      <c r="AC171" s="47"/>
      <c r="AE171" s="10"/>
      <c r="AF171" s="218"/>
      <c r="AG171" s="10"/>
      <c r="AH171" s="10"/>
    </row>
    <row r="172" spans="1:34" s="5" customFormat="1" ht="10.15" hidden="1" customHeight="1" x14ac:dyDescent="0.2">
      <c r="A172" s="10" t="s">
        <v>461</v>
      </c>
      <c r="B172" s="10"/>
      <c r="C172" s="41"/>
      <c r="J172" s="1873"/>
      <c r="K172" s="1888"/>
      <c r="L172" s="1888"/>
      <c r="M172" s="1874"/>
      <c r="N172" s="1889" t="s">
        <v>2425</v>
      </c>
      <c r="O172" s="1889"/>
      <c r="P172" s="1889"/>
      <c r="Q172" s="1889"/>
      <c r="R172" s="1889"/>
      <c r="S172" s="1382" t="s">
        <v>2440</v>
      </c>
      <c r="T172" s="1699">
        <v>0</v>
      </c>
      <c r="U172" s="1700">
        <v>0</v>
      </c>
      <c r="V172" s="1700">
        <v>0</v>
      </c>
      <c r="W172" s="1700">
        <v>0</v>
      </c>
      <c r="X172" s="1700">
        <v>0</v>
      </c>
      <c r="Y172" s="1700">
        <v>0</v>
      </c>
      <c r="Z172" s="1721">
        <v>0</v>
      </c>
      <c r="AA172" s="1721">
        <v>0</v>
      </c>
      <c r="AB172" s="1722">
        <v>0</v>
      </c>
      <c r="AC172" s="47"/>
      <c r="AE172" s="10"/>
      <c r="AF172" s="218"/>
      <c r="AG172" s="10"/>
      <c r="AH172" s="10"/>
    </row>
    <row r="173" spans="1:34" s="5" customFormat="1" ht="10.15" hidden="1" customHeight="1" x14ac:dyDescent="0.2">
      <c r="A173" s="10" t="s">
        <v>461</v>
      </c>
      <c r="B173" s="10"/>
      <c r="C173" s="41"/>
      <c r="J173" s="1873"/>
      <c r="K173" s="1888"/>
      <c r="L173" s="1888"/>
      <c r="M173" s="1874"/>
      <c r="N173" s="1889" t="s">
        <v>2427</v>
      </c>
      <c r="O173" s="1889"/>
      <c r="P173" s="1889"/>
      <c r="Q173" s="1889"/>
      <c r="R173" s="1889"/>
      <c r="S173" s="1382" t="s">
        <v>2441</v>
      </c>
      <c r="T173" s="1778" t="e">
        <v>#N/A</v>
      </c>
      <c r="U173" s="1510" t="e">
        <v>#N/A</v>
      </c>
      <c r="V173" s="1510" t="e">
        <v>#N/A</v>
      </c>
      <c r="W173" s="1510" t="e">
        <v>#N/A</v>
      </c>
      <c r="X173" s="1510" t="e">
        <v>#N/A</v>
      </c>
      <c r="Y173" s="1510" t="e">
        <v>#N/A</v>
      </c>
      <c r="Z173" s="1510" t="e">
        <v>#N/A</v>
      </c>
      <c r="AA173" s="1510" t="e">
        <v>#N/A</v>
      </c>
      <c r="AB173" s="1779" t="e">
        <v>#N/A</v>
      </c>
      <c r="AC173" s="47"/>
      <c r="AE173" s="10"/>
      <c r="AF173" s="218"/>
      <c r="AG173" s="10"/>
      <c r="AH173" s="10"/>
    </row>
    <row r="174" spans="1:34" s="5" customFormat="1" ht="10.15" hidden="1" customHeight="1" x14ac:dyDescent="0.2">
      <c r="A174" s="10" t="s">
        <v>461</v>
      </c>
      <c r="B174" s="10"/>
      <c r="C174" s="41"/>
      <c r="J174" s="1873"/>
      <c r="K174" s="1888"/>
      <c r="L174" s="1888"/>
      <c r="M174" s="1874"/>
      <c r="N174" s="1889" t="s">
        <v>2429</v>
      </c>
      <c r="O174" s="1889"/>
      <c r="P174" s="1889"/>
      <c r="Q174" s="1889"/>
      <c r="R174" s="1889"/>
      <c r="S174" s="1822" t="s">
        <v>2442</v>
      </c>
      <c r="T174" s="1509" t="e">
        <v>#N/A</v>
      </c>
      <c r="U174" s="1508" t="e">
        <v>#N/A</v>
      </c>
      <c r="V174" s="1508" t="e">
        <v>#N/A</v>
      </c>
      <c r="W174" s="1508" t="e">
        <v>#N/A</v>
      </c>
      <c r="X174" s="1508" t="e">
        <v>#N/A</v>
      </c>
      <c r="Y174" s="1508" t="e">
        <v>#N/A</v>
      </c>
      <c r="Z174" s="1508" t="e">
        <v>#N/A</v>
      </c>
      <c r="AA174" s="1508" t="e">
        <v>#N/A</v>
      </c>
      <c r="AB174" s="1777" t="e">
        <v>#N/A</v>
      </c>
      <c r="AC174" s="47"/>
      <c r="AE174" s="10"/>
      <c r="AF174" s="218"/>
      <c r="AG174" s="10"/>
      <c r="AH174" s="10"/>
    </row>
    <row r="175" spans="1:34" s="5" customFormat="1" ht="10.15" hidden="1" customHeight="1" x14ac:dyDescent="0.2">
      <c r="A175" s="10" t="s">
        <v>461</v>
      </c>
      <c r="B175" s="10"/>
      <c r="C175" s="41"/>
      <c r="J175" s="212" t="s">
        <v>44</v>
      </c>
      <c r="K175" s="213"/>
      <c r="L175" s="213"/>
      <c r="M175" s="214"/>
      <c r="N175" s="1015" t="s">
        <v>283</v>
      </c>
      <c r="O175" s="1031"/>
      <c r="P175" s="1031"/>
      <c r="Q175" s="1031"/>
      <c r="R175" s="1031"/>
      <c r="S175" s="1378" t="s">
        <v>1204</v>
      </c>
      <c r="T175" s="1764">
        <v>0</v>
      </c>
      <c r="U175" s="1690">
        <v>0</v>
      </c>
      <c r="V175" s="1690">
        <v>0</v>
      </c>
      <c r="W175" s="1690">
        <v>0</v>
      </c>
      <c r="X175" s="1690">
        <v>0</v>
      </c>
      <c r="Y175" s="1690">
        <v>0</v>
      </c>
      <c r="Z175" s="1690">
        <v>0</v>
      </c>
      <c r="AA175" s="1690">
        <v>0</v>
      </c>
      <c r="AB175" s="1765">
        <v>0</v>
      </c>
      <c r="AC175" s="47"/>
      <c r="AE175" s="10"/>
      <c r="AF175" s="218"/>
      <c r="AG175" s="10"/>
      <c r="AH175" s="10"/>
    </row>
    <row r="176" spans="1:34" s="5" customFormat="1" ht="10.15" hidden="1" customHeight="1" x14ac:dyDescent="0.2">
      <c r="A176" s="10" t="s">
        <v>461</v>
      </c>
      <c r="B176" s="10"/>
      <c r="C176" s="41"/>
      <c r="J176" s="215"/>
      <c r="K176" s="216"/>
      <c r="L176" s="216"/>
      <c r="M176" s="217"/>
      <c r="N176" s="1018" t="s">
        <v>124</v>
      </c>
      <c r="O176" s="989"/>
      <c r="P176" s="989"/>
      <c r="Q176" s="989"/>
      <c r="R176" s="989"/>
      <c r="S176" s="1384" t="s">
        <v>1205</v>
      </c>
      <c r="T176" s="1766">
        <v>0</v>
      </c>
      <c r="U176" s="1622">
        <v>0</v>
      </c>
      <c r="V176" s="1622">
        <v>0</v>
      </c>
      <c r="W176" s="1622">
        <v>0</v>
      </c>
      <c r="X176" s="1622">
        <v>0</v>
      </c>
      <c r="Y176" s="1622">
        <v>0</v>
      </c>
      <c r="Z176" s="1622">
        <v>0</v>
      </c>
      <c r="AA176" s="1622">
        <v>0</v>
      </c>
      <c r="AB176" s="1767">
        <v>0</v>
      </c>
      <c r="AC176" s="47"/>
      <c r="AE176" s="10"/>
      <c r="AF176" s="218"/>
      <c r="AG176" s="10"/>
      <c r="AH176" s="10"/>
    </row>
    <row r="177" spans="1:34" s="5" customFormat="1" ht="10.15" hidden="1" customHeight="1" x14ac:dyDescent="0.2">
      <c r="A177" s="10" t="s">
        <v>461</v>
      </c>
      <c r="B177" s="10"/>
      <c r="C177" s="41"/>
      <c r="J177" s="215"/>
      <c r="K177" s="216"/>
      <c r="L177" s="216"/>
      <c r="M177" s="217"/>
      <c r="N177" s="1018" t="s">
        <v>18</v>
      </c>
      <c r="O177" s="989"/>
      <c r="P177" s="989"/>
      <c r="Q177" s="989"/>
      <c r="R177" s="989"/>
      <c r="S177" s="1384" t="s">
        <v>1206</v>
      </c>
      <c r="T177" s="1778" t="e">
        <v>#N/A</v>
      </c>
      <c r="U177" s="1510" t="e">
        <v>#N/A</v>
      </c>
      <c r="V177" s="1510" t="e">
        <v>#N/A</v>
      </c>
      <c r="W177" s="1510" t="e">
        <v>#N/A</v>
      </c>
      <c r="X177" s="1510" t="e">
        <v>#N/A</v>
      </c>
      <c r="Y177" s="1510" t="e">
        <v>#N/A</v>
      </c>
      <c r="Z177" s="1510" t="e">
        <v>#N/A</v>
      </c>
      <c r="AA177" s="1510" t="e">
        <v>#N/A</v>
      </c>
      <c r="AB177" s="1779" t="e">
        <v>#N/A</v>
      </c>
      <c r="AC177" s="47"/>
      <c r="AE177" s="10"/>
      <c r="AF177" s="218"/>
      <c r="AG177" s="10"/>
      <c r="AH177" s="10"/>
    </row>
    <row r="178" spans="1:34" s="5" customFormat="1" ht="10.15" hidden="1" customHeight="1" x14ac:dyDescent="0.2">
      <c r="A178" s="10" t="s">
        <v>461</v>
      </c>
      <c r="B178" s="10"/>
      <c r="C178" s="41"/>
      <c r="J178" s="215"/>
      <c r="K178" s="216"/>
      <c r="L178" s="216"/>
      <c r="M178" s="217"/>
      <c r="N178" s="1018" t="s">
        <v>237</v>
      </c>
      <c r="O178" s="989"/>
      <c r="P178" s="989"/>
      <c r="Q178" s="989"/>
      <c r="R178" s="989"/>
      <c r="S178" s="1384" t="s">
        <v>1207</v>
      </c>
      <c r="T178" s="1778" t="e">
        <v>#N/A</v>
      </c>
      <c r="U178" s="1510" t="e">
        <v>#N/A</v>
      </c>
      <c r="V178" s="1510" t="e">
        <v>#N/A</v>
      </c>
      <c r="W178" s="1510" t="e">
        <v>#N/A</v>
      </c>
      <c r="X178" s="1510" t="e">
        <v>#N/A</v>
      </c>
      <c r="Y178" s="1510" t="e">
        <v>#N/A</v>
      </c>
      <c r="Z178" s="1510" t="e">
        <v>#N/A</v>
      </c>
      <c r="AA178" s="1510" t="e">
        <v>#N/A</v>
      </c>
      <c r="AB178" s="1779" t="e">
        <v>#N/A</v>
      </c>
      <c r="AC178" s="47"/>
      <c r="AE178" s="10"/>
      <c r="AF178" s="218"/>
      <c r="AG178" s="10"/>
      <c r="AH178" s="10"/>
    </row>
    <row r="179" spans="1:34" s="5" customFormat="1" ht="10.15" hidden="1" customHeight="1" x14ac:dyDescent="0.2">
      <c r="A179" s="10" t="s">
        <v>461</v>
      </c>
      <c r="B179" s="10"/>
      <c r="C179" s="41"/>
      <c r="J179" s="215"/>
      <c r="K179" s="216"/>
      <c r="L179" s="216"/>
      <c r="M179" s="217"/>
      <c r="N179" s="1018" t="s">
        <v>151</v>
      </c>
      <c r="O179" s="989"/>
      <c r="P179" s="989"/>
      <c r="Q179" s="989"/>
      <c r="R179" s="989"/>
      <c r="S179" s="1384" t="s">
        <v>1208</v>
      </c>
      <c r="T179" s="1778" t="e">
        <v>#N/A</v>
      </c>
      <c r="U179" s="1510" t="e">
        <v>#N/A</v>
      </c>
      <c r="V179" s="1510" t="e">
        <v>#N/A</v>
      </c>
      <c r="W179" s="1510" t="e">
        <v>#N/A</v>
      </c>
      <c r="X179" s="1510" t="e">
        <v>#N/A</v>
      </c>
      <c r="Y179" s="1510" t="e">
        <v>#N/A</v>
      </c>
      <c r="Z179" s="1510" t="e">
        <v>#N/A</v>
      </c>
      <c r="AA179" s="1510" t="e">
        <v>#N/A</v>
      </c>
      <c r="AB179" s="1779" t="e">
        <v>#N/A</v>
      </c>
      <c r="AC179" s="47"/>
      <c r="AE179" s="10"/>
      <c r="AF179" s="218"/>
      <c r="AG179" s="10"/>
      <c r="AH179" s="10"/>
    </row>
    <row r="180" spans="1:34" s="5" customFormat="1" ht="10.15" hidden="1" customHeight="1" x14ac:dyDescent="0.2">
      <c r="A180" s="10" t="s">
        <v>461</v>
      </c>
      <c r="B180" s="10"/>
      <c r="C180" s="41"/>
      <c r="J180" s="262"/>
      <c r="K180" s="263"/>
      <c r="L180" s="263"/>
      <c r="M180" s="264"/>
      <c r="N180" s="1018" t="s">
        <v>2021</v>
      </c>
      <c r="O180" s="989"/>
      <c r="P180" s="989"/>
      <c r="Q180" s="989"/>
      <c r="R180" s="989"/>
      <c r="S180" s="1385" t="s">
        <v>2020</v>
      </c>
      <c r="T180" s="1780" t="e">
        <v>#N/A</v>
      </c>
      <c r="U180" s="1204" t="e">
        <v>#N/A</v>
      </c>
      <c r="V180" s="1204" t="e">
        <v>#N/A</v>
      </c>
      <c r="W180" s="1204" t="e">
        <v>#N/A</v>
      </c>
      <c r="X180" s="1204" t="e">
        <v>#N/A</v>
      </c>
      <c r="Y180" s="1204" t="e">
        <v>#N/A</v>
      </c>
      <c r="Z180" s="1204" t="e">
        <v>#N/A</v>
      </c>
      <c r="AA180" s="1204" t="e">
        <v>#N/A</v>
      </c>
      <c r="AB180" s="1781" t="e">
        <v>#N/A</v>
      </c>
      <c r="AC180" s="47"/>
      <c r="AE180" s="10"/>
      <c r="AF180" s="218"/>
      <c r="AG180" s="10"/>
      <c r="AH180" s="10"/>
    </row>
    <row r="181" spans="1:34" s="5" customFormat="1" ht="10.15" hidden="1" customHeight="1" x14ac:dyDescent="0.2">
      <c r="A181" s="10" t="s">
        <v>461</v>
      </c>
      <c r="B181" s="10"/>
      <c r="C181" s="41"/>
      <c r="J181" s="215" t="s">
        <v>43</v>
      </c>
      <c r="K181" s="216"/>
      <c r="L181" s="1200"/>
      <c r="M181" s="217"/>
      <c r="N181" s="1015" t="s">
        <v>1827</v>
      </c>
      <c r="O181" s="1031"/>
      <c r="P181" s="1031"/>
      <c r="Q181" s="1031"/>
      <c r="R181" s="1031"/>
      <c r="S181" s="1386" t="s">
        <v>1831</v>
      </c>
      <c r="T181" s="1656">
        <v>0</v>
      </c>
      <c r="U181" s="1657">
        <v>0</v>
      </c>
      <c r="V181" s="1657">
        <v>0</v>
      </c>
      <c r="W181" s="1657">
        <v>0</v>
      </c>
      <c r="X181" s="1657">
        <v>0</v>
      </c>
      <c r="Y181" s="1657">
        <v>0</v>
      </c>
      <c r="Z181" s="1657">
        <v>0</v>
      </c>
      <c r="AA181" s="1657">
        <v>0</v>
      </c>
      <c r="AB181" s="1658">
        <v>0</v>
      </c>
      <c r="AC181" s="47"/>
      <c r="AE181" s="10"/>
      <c r="AF181" s="218"/>
      <c r="AG181" s="10"/>
      <c r="AH181" s="10"/>
    </row>
    <row r="182" spans="1:34" s="5" customFormat="1" ht="10.15" hidden="1" customHeight="1" x14ac:dyDescent="0.2">
      <c r="A182" s="10" t="s">
        <v>461</v>
      </c>
      <c r="C182" s="41"/>
      <c r="J182" s="215"/>
      <c r="K182" s="216"/>
      <c r="L182" s="1200"/>
      <c r="M182" s="217"/>
      <c r="N182" s="1013" t="s">
        <v>2260</v>
      </c>
      <c r="O182" s="307"/>
      <c r="P182" s="307"/>
      <c r="Q182" s="307"/>
      <c r="R182" s="307"/>
      <c r="S182" s="1386" t="s">
        <v>2265</v>
      </c>
      <c r="T182" s="1499" t="e">
        <v>#N/A</v>
      </c>
      <c r="U182" s="1500" t="e">
        <v>#N/A</v>
      </c>
      <c r="V182" s="1500" t="e">
        <v>#N/A</v>
      </c>
      <c r="W182" s="1500" t="e">
        <v>#N/A</v>
      </c>
      <c r="X182" s="1500" t="e">
        <v>#N/A</v>
      </c>
      <c r="Y182" s="1500" t="e">
        <v>#N/A</v>
      </c>
      <c r="Z182" s="1500" t="e">
        <v>#N/A</v>
      </c>
      <c r="AA182" s="1500" t="e">
        <v>#N/A</v>
      </c>
      <c r="AB182" s="1501" t="e">
        <v>#N/A</v>
      </c>
      <c r="AC182" s="47"/>
      <c r="AE182" s="10"/>
      <c r="AF182" s="218"/>
      <c r="AG182" s="10"/>
      <c r="AH182" s="10"/>
    </row>
    <row r="183" spans="1:34" s="5" customFormat="1" ht="10.15" hidden="1" customHeight="1" x14ac:dyDescent="0.2">
      <c r="A183" s="10" t="s">
        <v>461</v>
      </c>
      <c r="C183" s="41"/>
      <c r="J183" s="215"/>
      <c r="K183" s="216"/>
      <c r="L183" s="1200"/>
      <c r="M183" s="217"/>
      <c r="N183" s="1013" t="s">
        <v>2259</v>
      </c>
      <c r="O183" s="307"/>
      <c r="P183" s="307"/>
      <c r="Q183" s="307"/>
      <c r="R183" s="307"/>
      <c r="S183" s="1387" t="s">
        <v>2266</v>
      </c>
      <c r="T183" s="1499" t="e">
        <v>#N/A</v>
      </c>
      <c r="U183" s="1500" t="e">
        <v>#N/A</v>
      </c>
      <c r="V183" s="1500" t="e">
        <v>#N/A</v>
      </c>
      <c r="W183" s="1500" t="e">
        <v>#N/A</v>
      </c>
      <c r="X183" s="1500" t="e">
        <v>#N/A</v>
      </c>
      <c r="Y183" s="1500" t="e">
        <v>#N/A</v>
      </c>
      <c r="Z183" s="1500" t="e">
        <v>#N/A</v>
      </c>
      <c r="AA183" s="1500" t="e">
        <v>#N/A</v>
      </c>
      <c r="AB183" s="1501" t="e">
        <v>#N/A</v>
      </c>
      <c r="AC183" s="47"/>
      <c r="AE183" s="10"/>
      <c r="AF183" s="218"/>
      <c r="AG183" s="10"/>
      <c r="AH183" s="10"/>
    </row>
    <row r="184" spans="1:34" s="5" customFormat="1" ht="10.15" hidden="1" customHeight="1" x14ac:dyDescent="0.2">
      <c r="A184" s="10" t="s">
        <v>461</v>
      </c>
      <c r="C184" s="41"/>
      <c r="J184" s="215"/>
      <c r="K184" s="216"/>
      <c r="L184" s="1200"/>
      <c r="M184" s="217"/>
      <c r="N184" s="1014" t="s">
        <v>2261</v>
      </c>
      <c r="O184" s="987"/>
      <c r="P184" s="987"/>
      <c r="Q184" s="987"/>
      <c r="R184" s="987"/>
      <c r="S184" s="1387" t="s">
        <v>2267</v>
      </c>
      <c r="T184" s="1499" t="e">
        <v>#N/A</v>
      </c>
      <c r="U184" s="1500" t="e">
        <v>#N/A</v>
      </c>
      <c r="V184" s="1500" t="e">
        <v>#N/A</v>
      </c>
      <c r="W184" s="1500" t="e">
        <v>#N/A</v>
      </c>
      <c r="X184" s="1500" t="e">
        <v>#N/A</v>
      </c>
      <c r="Y184" s="1500" t="e">
        <v>#N/A</v>
      </c>
      <c r="Z184" s="1500" t="e">
        <v>#N/A</v>
      </c>
      <c r="AA184" s="1500" t="e">
        <v>#N/A</v>
      </c>
      <c r="AB184" s="1501" t="e">
        <v>#N/A</v>
      </c>
      <c r="AC184" s="47"/>
      <c r="AE184" s="10"/>
      <c r="AF184" s="218"/>
      <c r="AG184" s="10"/>
      <c r="AH184" s="10"/>
    </row>
    <row r="185" spans="1:34" s="5" customFormat="1" ht="10.15" hidden="1" customHeight="1" x14ac:dyDescent="0.2">
      <c r="A185" s="10" t="s">
        <v>461</v>
      </c>
      <c r="C185" s="41"/>
      <c r="J185" s="215"/>
      <c r="K185" s="216"/>
      <c r="L185" s="1200"/>
      <c r="M185" s="217"/>
      <c r="N185" s="1013" t="s">
        <v>2262</v>
      </c>
      <c r="O185" s="307"/>
      <c r="P185" s="307"/>
      <c r="Q185" s="307"/>
      <c r="R185" s="307"/>
      <c r="S185" s="1386" t="s">
        <v>2268</v>
      </c>
      <c r="T185" s="1499" t="e">
        <v>#N/A</v>
      </c>
      <c r="U185" s="1500" t="e">
        <v>#N/A</v>
      </c>
      <c r="V185" s="1500" t="e">
        <v>#N/A</v>
      </c>
      <c r="W185" s="1500" t="e">
        <v>#N/A</v>
      </c>
      <c r="X185" s="1500" t="e">
        <v>#N/A</v>
      </c>
      <c r="Y185" s="1500" t="e">
        <v>#N/A</v>
      </c>
      <c r="Z185" s="1500" t="e">
        <v>#N/A</v>
      </c>
      <c r="AA185" s="1500" t="e">
        <v>#N/A</v>
      </c>
      <c r="AB185" s="1501" t="e">
        <v>#N/A</v>
      </c>
      <c r="AC185" s="47"/>
      <c r="AE185" s="10"/>
      <c r="AF185" s="218"/>
      <c r="AG185" s="10"/>
      <c r="AH185" s="10"/>
    </row>
    <row r="186" spans="1:34" s="5" customFormat="1" ht="10.15" hidden="1" customHeight="1" x14ac:dyDescent="0.2">
      <c r="A186" s="10" t="s">
        <v>461</v>
      </c>
      <c r="C186" s="41"/>
      <c r="J186" s="215"/>
      <c r="K186" s="216"/>
      <c r="L186" s="1200"/>
      <c r="M186" s="217"/>
      <c r="N186" s="1013" t="s">
        <v>2263</v>
      </c>
      <c r="O186" s="307"/>
      <c r="P186" s="307"/>
      <c r="Q186" s="307"/>
      <c r="R186" s="307"/>
      <c r="S186" s="1387" t="s">
        <v>2269</v>
      </c>
      <c r="T186" s="1499" t="e">
        <v>#N/A</v>
      </c>
      <c r="U186" s="1500" t="e">
        <v>#N/A</v>
      </c>
      <c r="V186" s="1500" t="e">
        <v>#N/A</v>
      </c>
      <c r="W186" s="1500" t="e">
        <v>#N/A</v>
      </c>
      <c r="X186" s="1500" t="e">
        <v>#N/A</v>
      </c>
      <c r="Y186" s="1500" t="e">
        <v>#N/A</v>
      </c>
      <c r="Z186" s="1500" t="e">
        <v>#N/A</v>
      </c>
      <c r="AA186" s="1500" t="e">
        <v>#N/A</v>
      </c>
      <c r="AB186" s="1501" t="e">
        <v>#N/A</v>
      </c>
      <c r="AC186" s="47"/>
      <c r="AE186" s="10"/>
      <c r="AF186" s="218"/>
      <c r="AG186" s="10"/>
      <c r="AH186" s="10"/>
    </row>
    <row r="187" spans="1:34" s="5" customFormat="1" ht="10.15" hidden="1" customHeight="1" x14ac:dyDescent="0.2">
      <c r="A187" s="10" t="s">
        <v>461</v>
      </c>
      <c r="C187" s="41"/>
      <c r="J187" s="215"/>
      <c r="K187" s="216"/>
      <c r="L187" s="1200"/>
      <c r="M187" s="217"/>
      <c r="N187" s="1014" t="s">
        <v>2264</v>
      </c>
      <c r="O187" s="987"/>
      <c r="P187" s="987"/>
      <c r="Q187" s="987"/>
      <c r="R187" s="987"/>
      <c r="S187" s="1387" t="s">
        <v>2270</v>
      </c>
      <c r="T187" s="1499" t="e">
        <v>#N/A</v>
      </c>
      <c r="U187" s="1500" t="e">
        <v>#N/A</v>
      </c>
      <c r="V187" s="1500" t="e">
        <v>#N/A</v>
      </c>
      <c r="W187" s="1500" t="e">
        <v>#N/A</v>
      </c>
      <c r="X187" s="1500" t="e">
        <v>#N/A</v>
      </c>
      <c r="Y187" s="1500" t="e">
        <v>#N/A</v>
      </c>
      <c r="Z187" s="1500" t="e">
        <v>#N/A</v>
      </c>
      <c r="AA187" s="1500" t="e">
        <v>#N/A</v>
      </c>
      <c r="AB187" s="1501" t="e">
        <v>#N/A</v>
      </c>
      <c r="AC187" s="47"/>
      <c r="AE187" s="10"/>
      <c r="AF187" s="218"/>
      <c r="AG187" s="10"/>
      <c r="AH187" s="10"/>
    </row>
    <row r="188" spans="1:34" s="5" customFormat="1" ht="10.15" hidden="1" customHeight="1" x14ac:dyDescent="0.2">
      <c r="A188" s="10" t="s">
        <v>459</v>
      </c>
      <c r="C188" s="41"/>
      <c r="J188" s="2034" t="s">
        <v>90</v>
      </c>
      <c r="K188" s="2035"/>
      <c r="L188" s="2035"/>
      <c r="M188" s="2036"/>
      <c r="N188" s="1012" t="s">
        <v>50</v>
      </c>
      <c r="O188" s="1030"/>
      <c r="P188" s="1030"/>
      <c r="Q188" s="1030"/>
      <c r="R188" s="1030"/>
      <c r="S188" s="1377" t="s">
        <v>1209</v>
      </c>
      <c r="T188" s="1656">
        <v>0</v>
      </c>
      <c r="U188" s="1657">
        <v>0</v>
      </c>
      <c r="V188" s="1657">
        <v>0</v>
      </c>
      <c r="W188" s="1657">
        <v>0</v>
      </c>
      <c r="X188" s="1657">
        <v>0</v>
      </c>
      <c r="Y188" s="1657">
        <v>0</v>
      </c>
      <c r="Z188" s="1657">
        <v>0</v>
      </c>
      <c r="AA188" s="1657">
        <v>0</v>
      </c>
      <c r="AB188" s="1658">
        <v>0</v>
      </c>
      <c r="AC188" s="47"/>
      <c r="AE188" s="10"/>
      <c r="AF188" s="218"/>
      <c r="AG188" s="10"/>
      <c r="AH188" s="10"/>
    </row>
    <row r="189" spans="1:34" s="5" customFormat="1" ht="10.15" hidden="1" customHeight="1" x14ac:dyDescent="0.2">
      <c r="A189" s="10" t="s">
        <v>459</v>
      </c>
      <c r="C189" s="41"/>
      <c r="J189" s="2037"/>
      <c r="K189" s="2038"/>
      <c r="L189" s="2038"/>
      <c r="M189" s="2039"/>
      <c r="N189" s="1011" t="s">
        <v>20</v>
      </c>
      <c r="O189" s="991"/>
      <c r="P189" s="991"/>
      <c r="Q189" s="991"/>
      <c r="R189" s="991"/>
      <c r="S189" s="1376" t="s">
        <v>1210</v>
      </c>
      <c r="T189" s="1665">
        <v>0.125</v>
      </c>
      <c r="U189" s="1666">
        <v>0.125</v>
      </c>
      <c r="V189" s="1666">
        <v>0.125</v>
      </c>
      <c r="W189" s="1666">
        <v>0.125</v>
      </c>
      <c r="X189" s="1666">
        <v>0.125</v>
      </c>
      <c r="Y189" s="1666">
        <v>0.125</v>
      </c>
      <c r="Z189" s="1666">
        <v>0.125</v>
      </c>
      <c r="AA189" s="1666">
        <v>0.125</v>
      </c>
      <c r="AB189" s="1667">
        <v>0.125</v>
      </c>
      <c r="AC189" s="47"/>
      <c r="AE189" s="10"/>
      <c r="AF189" s="218"/>
      <c r="AG189" s="10"/>
      <c r="AH189" s="10"/>
    </row>
    <row r="190" spans="1:34" s="5" customFormat="1" ht="10.15" hidden="1" customHeight="1" x14ac:dyDescent="0.2">
      <c r="A190" s="10" t="s">
        <v>461</v>
      </c>
      <c r="C190" s="41"/>
      <c r="J190" s="2037"/>
      <c r="K190" s="2038"/>
      <c r="L190" s="2038"/>
      <c r="M190" s="2039"/>
      <c r="N190" s="1012" t="s">
        <v>49</v>
      </c>
      <c r="O190" s="1030"/>
      <c r="P190" s="1030"/>
      <c r="Q190" s="1030"/>
      <c r="R190" s="1030"/>
      <c r="S190" s="1374" t="s">
        <v>1211</v>
      </c>
      <c r="T190" s="1768" t="e">
        <v>#N/A</v>
      </c>
      <c r="U190" s="1769" t="e">
        <v>#N/A</v>
      </c>
      <c r="V190" s="1769" t="e">
        <v>#N/A</v>
      </c>
      <c r="W190" s="1769" t="e">
        <v>#N/A</v>
      </c>
      <c r="X190" s="1769" t="e">
        <v>#N/A</v>
      </c>
      <c r="Y190" s="1769" t="e">
        <v>#N/A</v>
      </c>
      <c r="Z190" s="1769" t="e">
        <v>#N/A</v>
      </c>
      <c r="AA190" s="1769" t="e">
        <v>#N/A</v>
      </c>
      <c r="AB190" s="1770" t="e">
        <v>#N/A</v>
      </c>
      <c r="AC190" s="47"/>
      <c r="AE190" s="10"/>
      <c r="AF190" s="218"/>
      <c r="AG190" s="10"/>
      <c r="AH190" s="10"/>
    </row>
    <row r="191" spans="1:34" s="5" customFormat="1" ht="10.15" hidden="1" customHeight="1" x14ac:dyDescent="0.2">
      <c r="A191" s="10" t="s">
        <v>461</v>
      </c>
      <c r="C191" s="41"/>
      <c r="J191" s="2037"/>
      <c r="K191" s="2038"/>
      <c r="L191" s="2038"/>
      <c r="M191" s="2039"/>
      <c r="N191" s="1011" t="s">
        <v>22</v>
      </c>
      <c r="O191" s="991"/>
      <c r="P191" s="991"/>
      <c r="Q191" s="991"/>
      <c r="R191" s="991"/>
      <c r="S191" s="1388" t="s">
        <v>1212</v>
      </c>
      <c r="T191" s="1771">
        <v>0</v>
      </c>
      <c r="U191" s="1692">
        <v>0</v>
      </c>
      <c r="V191" s="1692">
        <v>0</v>
      </c>
      <c r="W191" s="1692">
        <v>0</v>
      </c>
      <c r="X191" s="1692">
        <v>0</v>
      </c>
      <c r="Y191" s="1692">
        <v>0</v>
      </c>
      <c r="Z191" s="1692">
        <v>0</v>
      </c>
      <c r="AA191" s="1692">
        <v>0</v>
      </c>
      <c r="AB191" s="1772">
        <v>0</v>
      </c>
      <c r="AC191" s="47"/>
      <c r="AE191" s="10"/>
      <c r="AF191" s="218"/>
      <c r="AG191" s="10"/>
      <c r="AH191" s="10"/>
    </row>
    <row r="192" spans="1:34" s="5" customFormat="1" ht="10.15" hidden="1" customHeight="1" x14ac:dyDescent="0.2">
      <c r="A192" s="10" t="s">
        <v>461</v>
      </c>
      <c r="C192" s="41"/>
      <c r="J192" s="2040"/>
      <c r="K192" s="2041"/>
      <c r="L192" s="2041"/>
      <c r="M192" s="2042"/>
      <c r="N192" s="1020" t="s">
        <v>82</v>
      </c>
      <c r="O192" s="1029"/>
      <c r="P192" s="1029"/>
      <c r="Q192" s="1029"/>
      <c r="R192" s="1029"/>
      <c r="S192" s="1389" t="s">
        <v>1213</v>
      </c>
      <c r="T192" s="1773">
        <v>0</v>
      </c>
      <c r="U192" s="1693">
        <v>0</v>
      </c>
      <c r="V192" s="1693">
        <v>0</v>
      </c>
      <c r="W192" s="1693">
        <v>0</v>
      </c>
      <c r="X192" s="1693">
        <v>0</v>
      </c>
      <c r="Y192" s="1693">
        <v>0</v>
      </c>
      <c r="Z192" s="1693">
        <v>0</v>
      </c>
      <c r="AA192" s="1693">
        <v>0</v>
      </c>
      <c r="AB192" s="1774">
        <v>0</v>
      </c>
      <c r="AC192" s="47"/>
      <c r="AE192" s="10"/>
      <c r="AF192" s="218"/>
      <c r="AG192" s="10"/>
      <c r="AH192" s="10"/>
    </row>
    <row r="193" spans="1:34" s="5" customFormat="1" ht="10.15" hidden="1" customHeight="1" x14ac:dyDescent="0.2">
      <c r="A193" s="10" t="s">
        <v>459</v>
      </c>
      <c r="C193" s="41"/>
      <c r="J193" s="2034" t="s">
        <v>23</v>
      </c>
      <c r="K193" s="2035"/>
      <c r="L193" s="2035"/>
      <c r="M193" s="2036"/>
      <c r="N193" s="1010" t="s">
        <v>73</v>
      </c>
      <c r="O193" s="1028"/>
      <c r="P193" s="1028"/>
      <c r="Q193" s="1028"/>
      <c r="R193" s="1028"/>
      <c r="S193" s="1377" t="s">
        <v>1214</v>
      </c>
      <c r="T193" s="1656" cm="1">
        <f t="array" ref="T193">[1]!LLPA_PN_000050_30_Day</f>
        <v>0</v>
      </c>
      <c r="U193" s="1657" cm="1">
        <f t="array" ref="U193">[1]!LLPA_PN_000050_30_Day</f>
        <v>0</v>
      </c>
      <c r="V193" s="1657" cm="1">
        <f t="array" ref="V193">[1]!LLPA_PN_000050_30_Day</f>
        <v>0</v>
      </c>
      <c r="W193" s="1657" cm="1">
        <f t="array" ref="W193">[1]!LLPA_PN_000050_30_Day</f>
        <v>0</v>
      </c>
      <c r="X193" s="1657" cm="1">
        <f t="array" ref="X193">[1]!LLPA_PN_000050_30_Day</f>
        <v>0</v>
      </c>
      <c r="Y193" s="1657" cm="1">
        <f t="array" ref="Y193">[1]!LLPA_PN_000050_30_Day</f>
        <v>0</v>
      </c>
      <c r="Z193" s="1657" cm="1">
        <f t="array" ref="Z193">[1]!LLPA_PN_000050_30_Day</f>
        <v>0</v>
      </c>
      <c r="AA193" s="1657" cm="1">
        <f t="array" ref="AA193">[1]!LLPA_PN_000050_30_Day</f>
        <v>0</v>
      </c>
      <c r="AB193" s="1658" cm="1">
        <f t="array" ref="AB193">[1]!LLPA_PN_000050_30_Day</f>
        <v>0</v>
      </c>
      <c r="AC193" s="47"/>
      <c r="AE193" s="10"/>
      <c r="AF193" s="218"/>
      <c r="AG193" s="10"/>
      <c r="AH193" s="10"/>
    </row>
    <row r="194" spans="1:34" s="5" customFormat="1" ht="10.15" hidden="1" customHeight="1" x14ac:dyDescent="0.2">
      <c r="A194" s="10" t="s">
        <v>459</v>
      </c>
      <c r="C194" s="41"/>
      <c r="J194" s="2037"/>
      <c r="K194" s="2038"/>
      <c r="L194" s="2038"/>
      <c r="M194" s="2039"/>
      <c r="N194" s="990" t="s">
        <v>74</v>
      </c>
      <c r="O194" s="986"/>
      <c r="P194" s="986"/>
      <c r="Q194" s="986"/>
      <c r="R194" s="986"/>
      <c r="S194" s="1375" t="s">
        <v>1215</v>
      </c>
      <c r="T194" s="1662" cm="1">
        <f t="array" ref="T194">[1]!LLPA_PN_000050_45_Day</f>
        <v>-0.25</v>
      </c>
      <c r="U194" s="1663" cm="1">
        <f t="array" ref="U194">[1]!LLPA_PN_000050_45_Day</f>
        <v>-0.25</v>
      </c>
      <c r="V194" s="1663" cm="1">
        <f t="array" ref="V194">[1]!LLPA_PN_000050_45_Day</f>
        <v>-0.25</v>
      </c>
      <c r="W194" s="1663" cm="1">
        <f t="array" ref="W194">[1]!LLPA_PN_000050_45_Day</f>
        <v>-0.25</v>
      </c>
      <c r="X194" s="1663" cm="1">
        <f t="array" ref="X194">[1]!LLPA_PN_000050_45_Day</f>
        <v>-0.25</v>
      </c>
      <c r="Y194" s="1663" cm="1">
        <f t="array" ref="Y194">[1]!LLPA_PN_000050_45_Day</f>
        <v>-0.25</v>
      </c>
      <c r="Z194" s="1663" cm="1">
        <f t="array" ref="Z194">[1]!LLPA_PN_000050_45_Day</f>
        <v>-0.25</v>
      </c>
      <c r="AA194" s="1663" cm="1">
        <f t="array" ref="AA194">[1]!LLPA_PN_000050_45_Day</f>
        <v>-0.25</v>
      </c>
      <c r="AB194" s="1664" cm="1">
        <f t="array" ref="AB194">[1]!LLPA_PN_000050_45_Day</f>
        <v>-0.25</v>
      </c>
      <c r="AC194" s="47"/>
      <c r="AE194" s="10"/>
      <c r="AF194" s="218"/>
      <c r="AG194" s="10"/>
      <c r="AH194" s="10"/>
    </row>
    <row r="195" spans="1:34" s="5" customFormat="1" ht="10.15" hidden="1" customHeight="1" x14ac:dyDescent="0.2">
      <c r="A195" s="10" t="s">
        <v>459</v>
      </c>
      <c r="C195" s="41"/>
      <c r="J195" s="2037"/>
      <c r="K195" s="2038"/>
      <c r="L195" s="2038"/>
      <c r="M195" s="2039"/>
      <c r="N195" s="1021" t="s">
        <v>75</v>
      </c>
      <c r="O195" s="1037"/>
      <c r="P195" s="1037"/>
      <c r="Q195" s="1037"/>
      <c r="R195" s="1037"/>
      <c r="S195" s="1390" t="s">
        <v>1216</v>
      </c>
      <c r="T195" s="1775" cm="1">
        <f t="array" ref="T195">[1]!LLPA_PN_000050_60_Day</f>
        <v>-0.5</v>
      </c>
      <c r="U195" s="1741" cm="1">
        <f t="array" ref="U195">[1]!LLPA_PN_000050_60_Day</f>
        <v>-0.5</v>
      </c>
      <c r="V195" s="1741" cm="1">
        <f t="array" ref="V195">[1]!LLPA_PN_000050_60_Day</f>
        <v>-0.5</v>
      </c>
      <c r="W195" s="1741" cm="1">
        <f t="array" ref="W195">[1]!LLPA_PN_000050_60_Day</f>
        <v>-0.5</v>
      </c>
      <c r="X195" s="1741" cm="1">
        <f t="array" ref="X195">[1]!LLPA_PN_000050_60_Day</f>
        <v>-0.5</v>
      </c>
      <c r="Y195" s="1741" cm="1">
        <f t="array" ref="Y195">[1]!LLPA_PN_000050_60_Day</f>
        <v>-0.5</v>
      </c>
      <c r="Z195" s="1741" cm="1">
        <f t="array" ref="Z195">[1]!LLPA_PN_000050_60_Day</f>
        <v>-0.5</v>
      </c>
      <c r="AA195" s="1741" cm="1">
        <f t="array" ref="AA195">[1]!LLPA_PN_000050_60_Day</f>
        <v>-0.5</v>
      </c>
      <c r="AB195" s="1776" cm="1">
        <f t="array" ref="AB195">[1]!LLPA_PN_000050_60_Day</f>
        <v>-0.5</v>
      </c>
      <c r="AC195" s="47"/>
      <c r="AE195" s="10"/>
      <c r="AF195" s="218"/>
      <c r="AG195" s="10"/>
      <c r="AH195" s="10"/>
    </row>
    <row r="196" spans="1:34" s="5" customFormat="1" ht="10.15" hidden="1" customHeight="1" x14ac:dyDescent="0.2">
      <c r="A196" s="10" t="s">
        <v>461</v>
      </c>
      <c r="C196" s="41"/>
      <c r="J196" s="2024" t="s">
        <v>359</v>
      </c>
      <c r="K196" s="2025"/>
      <c r="L196" s="2025"/>
      <c r="M196" s="2026"/>
      <c r="N196" s="1010" t="s">
        <v>360</v>
      </c>
      <c r="O196" s="1028"/>
      <c r="P196" s="1028"/>
      <c r="Q196" s="1028"/>
      <c r="R196" s="1028"/>
      <c r="S196" s="1378" t="s">
        <v>1217</v>
      </c>
      <c r="T196" s="1671" cm="1">
        <f t="array" ref="T196">[1]!LLPA_PN_000050_Mandatory</f>
        <v>0</v>
      </c>
      <c r="U196" s="1672" cm="1">
        <f t="array" ref="U196">[1]!LLPA_PN_000050_Mandatory</f>
        <v>0</v>
      </c>
      <c r="V196" s="1672" cm="1">
        <f t="array" ref="V196">[1]!LLPA_PN_000050_Mandatory</f>
        <v>0</v>
      </c>
      <c r="W196" s="1672" cm="1">
        <f t="array" ref="W196">[1]!LLPA_PN_000050_Mandatory</f>
        <v>0</v>
      </c>
      <c r="X196" s="1672" cm="1">
        <f t="array" ref="X196">[1]!LLPA_PN_000050_Mandatory</f>
        <v>0</v>
      </c>
      <c r="Y196" s="1672" cm="1">
        <f t="array" ref="Y196">[1]!LLPA_PN_000050_Mandatory</f>
        <v>0</v>
      </c>
      <c r="Z196" s="1672" cm="1">
        <f t="array" ref="Z196">[1]!LLPA_PN_000050_Mandatory</f>
        <v>0</v>
      </c>
      <c r="AA196" s="1672" cm="1">
        <f t="array" ref="AA196">[1]!LLPA_PN_000050_Mandatory</f>
        <v>0</v>
      </c>
      <c r="AB196" s="1673" cm="1">
        <f t="array" ref="AB196">[1]!LLPA_PN_000050_Mandatory</f>
        <v>0</v>
      </c>
      <c r="AC196" s="47"/>
      <c r="AE196" s="10"/>
      <c r="AF196" s="218"/>
      <c r="AG196" s="10"/>
      <c r="AH196" s="10"/>
    </row>
    <row r="197" spans="1:34" s="5" customFormat="1" ht="10.15" hidden="1" customHeight="1" x14ac:dyDescent="0.2">
      <c r="A197" s="10" t="s">
        <v>461</v>
      </c>
      <c r="C197" s="41"/>
      <c r="J197" s="2027"/>
      <c r="K197" s="2028"/>
      <c r="L197" s="2028"/>
      <c r="M197" s="2029"/>
      <c r="N197" s="1011" t="s">
        <v>361</v>
      </c>
      <c r="O197" s="991"/>
      <c r="P197" s="991"/>
      <c r="Q197" s="991"/>
      <c r="R197" s="991"/>
      <c r="S197" s="1391" t="s">
        <v>1218</v>
      </c>
      <c r="T197" s="1679" cm="1">
        <f t="array" ref="T197">[1]!LLPA_PN_000050_Best_Efforts</f>
        <v>0</v>
      </c>
      <c r="U197" s="1680" cm="1">
        <f t="array" ref="U197">[1]!LLPA_PN_000050_Best_Efforts</f>
        <v>0</v>
      </c>
      <c r="V197" s="1680" cm="1">
        <f t="array" ref="V197">[1]!LLPA_PN_000050_Best_Efforts</f>
        <v>0</v>
      </c>
      <c r="W197" s="1680" cm="1">
        <f t="array" ref="W197">[1]!LLPA_PN_000050_Best_Efforts</f>
        <v>0</v>
      </c>
      <c r="X197" s="1680" cm="1">
        <f t="array" ref="X197">[1]!LLPA_PN_000050_Best_Efforts</f>
        <v>0</v>
      </c>
      <c r="Y197" s="1680" cm="1">
        <f t="array" ref="Y197">[1]!LLPA_PN_000050_Best_Efforts</f>
        <v>0</v>
      </c>
      <c r="Z197" s="1680" cm="1">
        <f t="array" ref="Z197">[1]!LLPA_PN_000050_Best_Efforts</f>
        <v>0</v>
      </c>
      <c r="AA197" s="1680" cm="1">
        <f t="array" ref="AA197">[1]!LLPA_PN_000050_Best_Efforts</f>
        <v>0</v>
      </c>
      <c r="AB197" s="1681" cm="1">
        <f t="array" ref="AB197">[1]!LLPA_PN_000050_Best_Efforts</f>
        <v>0</v>
      </c>
      <c r="AC197" s="47"/>
      <c r="AE197" s="10"/>
      <c r="AF197" s="218"/>
      <c r="AG197" s="10"/>
      <c r="AH197" s="10"/>
    </row>
    <row r="198" spans="1:34" s="5" customFormat="1" ht="10.15" hidden="1" customHeight="1" x14ac:dyDescent="0.2">
      <c r="A198" s="10" t="s">
        <v>460</v>
      </c>
      <c r="C198" s="41"/>
      <c r="J198" s="75"/>
      <c r="K198" s="75"/>
      <c r="L198" s="75"/>
      <c r="M198" s="75"/>
      <c r="N198" s="75"/>
      <c r="O198" s="75"/>
      <c r="P198" s="75"/>
      <c r="Q198" s="75"/>
      <c r="R198" s="75"/>
      <c r="S198" s="77"/>
      <c r="T198" s="78"/>
      <c r="U198" s="78"/>
      <c r="V198" s="78"/>
      <c r="W198" s="78"/>
      <c r="X198" s="78"/>
      <c r="Y198" s="78"/>
      <c r="Z198" s="78"/>
      <c r="AA198" s="78"/>
      <c r="AB198" s="79"/>
      <c r="AC198" s="47"/>
      <c r="AE198" s="10"/>
      <c r="AF198" s="218"/>
      <c r="AG198" s="10"/>
      <c r="AH198" s="10"/>
    </row>
    <row r="199" spans="1:34" s="5" customFormat="1" ht="10.15" hidden="1" customHeight="1" x14ac:dyDescent="0.2">
      <c r="A199" s="10" t="s">
        <v>459</v>
      </c>
      <c r="C199" s="241"/>
      <c r="D199" s="2030"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199" s="2030"/>
      <c r="F199" s="2030"/>
      <c r="G199" s="2030"/>
      <c r="H199" s="2030"/>
      <c r="I199" s="2030"/>
      <c r="J199" s="2030"/>
      <c r="K199" s="2030"/>
      <c r="L199" s="2030"/>
      <c r="M199" s="2030"/>
      <c r="N199" s="2030"/>
      <c r="O199" s="2030"/>
      <c r="P199" s="2030"/>
      <c r="Q199" s="2030"/>
      <c r="R199" s="2030"/>
      <c r="S199" s="2030"/>
      <c r="T199" s="2030"/>
      <c r="U199" s="2030"/>
      <c r="V199" s="2030"/>
      <c r="W199" s="2030"/>
      <c r="X199" s="2030"/>
      <c r="Y199" s="2030"/>
      <c r="Z199" s="2030"/>
      <c r="AA199" s="2030"/>
      <c r="AB199" s="2030"/>
      <c r="AC199" s="2031"/>
      <c r="AE199" s="10"/>
      <c r="AF199" s="218"/>
      <c r="AG199" s="10"/>
      <c r="AH199" s="10"/>
    </row>
    <row r="200" spans="1:34" s="5" customFormat="1" ht="10.15" hidden="1" customHeight="1" x14ac:dyDescent="0.2">
      <c r="A200" s="10" t="s">
        <v>459</v>
      </c>
      <c r="C200" s="242"/>
      <c r="D200" s="2032"/>
      <c r="E200" s="2032"/>
      <c r="F200" s="2032"/>
      <c r="G200" s="2032"/>
      <c r="H200" s="2032"/>
      <c r="I200" s="2032"/>
      <c r="J200" s="2032"/>
      <c r="K200" s="2032"/>
      <c r="L200" s="2032"/>
      <c r="M200" s="2032"/>
      <c r="N200" s="2032"/>
      <c r="O200" s="2032"/>
      <c r="P200" s="2032"/>
      <c r="Q200" s="2032"/>
      <c r="R200" s="2032"/>
      <c r="S200" s="2032"/>
      <c r="T200" s="2032"/>
      <c r="U200" s="2032"/>
      <c r="V200" s="2032"/>
      <c r="W200" s="2032"/>
      <c r="X200" s="2032"/>
      <c r="Y200" s="2032"/>
      <c r="Z200" s="2032"/>
      <c r="AA200" s="2032"/>
      <c r="AB200" s="2032"/>
      <c r="AC200" s="2033"/>
      <c r="AE200" s="10"/>
      <c r="AF200" s="218"/>
      <c r="AG200" s="10"/>
      <c r="AH200" s="10"/>
    </row>
    <row r="201" spans="1:34" ht="14.45" hidden="1" customHeight="1" x14ac:dyDescent="0.25">
      <c r="A201" s="10" t="s">
        <v>460</v>
      </c>
      <c r="B201" s="5"/>
      <c r="AF201" s="218"/>
    </row>
    <row r="202" spans="1:34" ht="14.45" hidden="1" customHeight="1" x14ac:dyDescent="0.25">
      <c r="A202" s="10" t="s">
        <v>459</v>
      </c>
      <c r="C202" s="1830"/>
      <c r="D202" s="1831"/>
      <c r="E202" s="1831"/>
      <c r="F202" s="1831"/>
      <c r="G202" s="1832"/>
      <c r="H202" s="1832"/>
      <c r="I202" s="1832"/>
      <c r="J202" s="2157" t="str">
        <f>Input_Name_Product5</f>
        <v>Second NOO</v>
      </c>
      <c r="K202" s="2157"/>
      <c r="L202" s="2157"/>
      <c r="M202" s="2157"/>
      <c r="N202" s="2157"/>
      <c r="O202" s="2157"/>
      <c r="P202" s="2157"/>
      <c r="Q202" s="2157"/>
      <c r="R202" s="2157"/>
      <c r="S202" s="2157"/>
      <c r="T202" s="1832"/>
      <c r="U202" s="1832"/>
      <c r="V202" s="1832"/>
      <c r="W202" s="1833" t="str">
        <f>Input_Header01</f>
        <v xml:space="preserve"> </v>
      </c>
      <c r="X202" s="1834"/>
      <c r="Y202" s="1834"/>
      <c r="Z202" s="1834" t="str">
        <f>$Z$2</f>
        <v xml:space="preserve"> </v>
      </c>
      <c r="AA202" s="1834"/>
      <c r="AB202" s="1834"/>
      <c r="AC202" s="1835"/>
      <c r="AF202" s="218"/>
    </row>
    <row r="203" spans="1:34" ht="14.45" hidden="1" customHeight="1" x14ac:dyDescent="0.25">
      <c r="A203" s="10" t="s">
        <v>459</v>
      </c>
      <c r="C203" s="1836"/>
      <c r="D203" s="1837"/>
      <c r="E203" s="1837"/>
      <c r="F203" s="1837"/>
      <c r="G203" s="1837"/>
      <c r="H203" s="1837"/>
      <c r="I203" s="1837"/>
      <c r="J203" s="2158"/>
      <c r="K203" s="2158"/>
      <c r="L203" s="2158"/>
      <c r="M203" s="2158"/>
      <c r="N203" s="2158"/>
      <c r="O203" s="2158"/>
      <c r="P203" s="2158"/>
      <c r="Q203" s="2158"/>
      <c r="R203" s="2158"/>
      <c r="S203" s="2158"/>
      <c r="T203" s="1837"/>
      <c r="U203" s="1837"/>
      <c r="V203" s="1837"/>
      <c r="W203" s="1841" t="str">
        <f>Input_Header02</f>
        <v xml:space="preserve"> </v>
      </c>
      <c r="X203" s="1838"/>
      <c r="Y203" s="1838"/>
      <c r="Z203" s="1838" t="str">
        <f>$Z$3</f>
        <v xml:space="preserve"> </v>
      </c>
      <c r="AA203" s="1838"/>
      <c r="AB203" s="1838"/>
      <c r="AC203" s="1840"/>
      <c r="AF203" s="218"/>
    </row>
    <row r="204" spans="1:34" ht="14.45" hidden="1" customHeight="1" x14ac:dyDescent="0.25">
      <c r="A204" s="10" t="s">
        <v>459</v>
      </c>
      <c r="C204" s="1836"/>
      <c r="D204" s="1837"/>
      <c r="E204" s="1837"/>
      <c r="F204" s="1837"/>
      <c r="G204" s="1837"/>
      <c r="H204" s="1837"/>
      <c r="I204" s="1837"/>
      <c r="J204" s="2158"/>
      <c r="K204" s="2158"/>
      <c r="L204" s="2158"/>
      <c r="M204" s="2158"/>
      <c r="N204" s="2158"/>
      <c r="O204" s="2158"/>
      <c r="P204" s="2158"/>
      <c r="Q204" s="2158"/>
      <c r="R204" s="2158"/>
      <c r="S204" s="2158"/>
      <c r="T204" s="1837"/>
      <c r="U204" s="1837"/>
      <c r="V204" s="1837"/>
      <c r="W204" s="1841" t="str">
        <f>Input_Header03</f>
        <v xml:space="preserve"> </v>
      </c>
      <c r="X204" s="1838"/>
      <c r="Y204" s="1838"/>
      <c r="Z204" s="1838"/>
      <c r="AA204" s="1839"/>
      <c r="AB204" s="1839"/>
      <c r="AC204" s="1840"/>
      <c r="AF204" s="218"/>
    </row>
    <row r="205" spans="1:34" ht="14.45" hidden="1" customHeight="1" x14ac:dyDescent="0.25">
      <c r="A205" s="10" t="s">
        <v>459</v>
      </c>
      <c r="C205" s="1836"/>
      <c r="D205" s="1837"/>
      <c r="E205" s="1837"/>
      <c r="F205" s="1837"/>
      <c r="G205" s="1837"/>
      <c r="H205" s="1837"/>
      <c r="I205" s="1837"/>
      <c r="J205" s="2158"/>
      <c r="K205" s="2158"/>
      <c r="L205" s="2158"/>
      <c r="M205" s="2158"/>
      <c r="N205" s="2158"/>
      <c r="O205" s="2158"/>
      <c r="P205" s="2158"/>
      <c r="Q205" s="2158"/>
      <c r="R205" s="2158"/>
      <c r="S205" s="2158"/>
      <c r="T205" s="1837"/>
      <c r="U205" s="1837"/>
      <c r="V205" s="1837"/>
      <c r="W205" s="1842" t="str">
        <f>Input_Header04</f>
        <v xml:space="preserve"> </v>
      </c>
      <c r="X205" s="1837"/>
      <c r="Y205" s="1838"/>
      <c r="Z205" s="1838"/>
      <c r="AA205" s="1986"/>
      <c r="AB205" s="1986" t="str">
        <f>Input_Version</f>
        <v>#1</v>
      </c>
      <c r="AC205" s="1840"/>
      <c r="AF205" s="218"/>
    </row>
    <row r="206" spans="1:34" ht="14.45" hidden="1" customHeight="1" x14ac:dyDescent="0.25">
      <c r="A206" s="10" t="s">
        <v>459</v>
      </c>
      <c r="C206" s="1843"/>
      <c r="D206" s="1844"/>
      <c r="E206" s="1844"/>
      <c r="F206" s="1844"/>
      <c r="G206" s="1845"/>
      <c r="H206" s="1845"/>
      <c r="I206" s="1845"/>
      <c r="J206" s="2159"/>
      <c r="K206" s="2159"/>
      <c r="L206" s="2159"/>
      <c r="M206" s="2159"/>
      <c r="N206" s="2159"/>
      <c r="O206" s="2159"/>
      <c r="P206" s="2159"/>
      <c r="Q206" s="2159"/>
      <c r="R206" s="2159"/>
      <c r="S206" s="2159"/>
      <c r="T206" s="1845"/>
      <c r="U206" s="1845"/>
      <c r="V206" s="1845"/>
      <c r="W206" s="1846" t="str">
        <f>Input_Header05</f>
        <v xml:space="preserve"> </v>
      </c>
      <c r="X206" s="1847"/>
      <c r="Y206" s="1847"/>
      <c r="Z206" s="1847"/>
      <c r="AA206" s="2049">
        <f ca="1">Input_Date</f>
        <v>45869</v>
      </c>
      <c r="AB206" s="2049"/>
      <c r="AC206" s="1848"/>
      <c r="AF206" s="218"/>
    </row>
    <row r="207" spans="1:34" ht="14.45" hidden="1" customHeight="1" x14ac:dyDescent="0.25">
      <c r="A207" s="10" t="s">
        <v>460</v>
      </c>
      <c r="B207" s="5"/>
      <c r="C207" s="41"/>
      <c r="I207" s="5"/>
      <c r="J207" s="80"/>
      <c r="K207" s="81"/>
      <c r="L207" s="80"/>
      <c r="M207" s="80"/>
      <c r="N207" s="80"/>
      <c r="O207" s="80"/>
      <c r="P207" s="80"/>
      <c r="Q207" s="80"/>
      <c r="R207" s="80"/>
      <c r="S207" s="80"/>
      <c r="T207" s="80"/>
      <c r="U207" s="80"/>
      <c r="V207" s="80"/>
      <c r="W207" s="80"/>
      <c r="X207" s="80"/>
      <c r="Y207" s="80"/>
      <c r="Z207" s="80"/>
      <c r="AA207" s="80"/>
      <c r="AB207" s="82"/>
      <c r="AC207" s="47"/>
      <c r="AF207" s="218"/>
    </row>
    <row r="208" spans="1:34" ht="14.45" hidden="1" customHeight="1" x14ac:dyDescent="0.25">
      <c r="A208" s="10" t="s">
        <v>459</v>
      </c>
      <c r="B208" s="5"/>
      <c r="C208" s="41"/>
      <c r="D208" s="2120" t="s">
        <v>0</v>
      </c>
      <c r="E208" s="2121"/>
      <c r="F208" s="2122"/>
      <c r="G208" s="48"/>
      <c r="H208" s="48"/>
      <c r="I208" s="49"/>
      <c r="J208" s="2050" t="s">
        <v>103</v>
      </c>
      <c r="K208" s="2051"/>
      <c r="L208" s="2051"/>
      <c r="M208" s="2051"/>
      <c r="N208" s="2051"/>
      <c r="O208" s="2051"/>
      <c r="P208" s="2051"/>
      <c r="Q208" s="2051"/>
      <c r="R208" s="2051"/>
      <c r="S208" s="2051"/>
      <c r="T208" s="2051"/>
      <c r="U208" s="2051"/>
      <c r="V208" s="2051"/>
      <c r="W208" s="2051"/>
      <c r="X208" s="2051"/>
      <c r="Y208" s="2051"/>
      <c r="Z208" s="2051"/>
      <c r="AA208" s="2051"/>
      <c r="AB208" s="2052"/>
      <c r="AC208" s="47"/>
      <c r="AF208" s="218"/>
    </row>
    <row r="209" spans="1:32" ht="14.45" hidden="1" customHeight="1" x14ac:dyDescent="0.25">
      <c r="A209" s="10" t="s">
        <v>459</v>
      </c>
      <c r="B209" s="5"/>
      <c r="C209" s="41"/>
      <c r="D209" s="8" t="s">
        <v>125</v>
      </c>
      <c r="E209" s="9"/>
      <c r="F209" s="9" t="s">
        <v>1334</v>
      </c>
      <c r="G209" s="48"/>
      <c r="H209" s="48"/>
      <c r="I209" s="49"/>
      <c r="J209" s="83"/>
      <c r="K209" s="81"/>
      <c r="L209" s="81"/>
      <c r="M209" s="81"/>
      <c r="N209" s="286"/>
      <c r="O209" s="286"/>
      <c r="P209" s="286"/>
      <c r="Q209" s="286"/>
      <c r="R209" s="1039"/>
      <c r="S209" s="1359" t="s">
        <v>88</v>
      </c>
      <c r="T209" s="2082" t="s">
        <v>1120</v>
      </c>
      <c r="U209" s="2082"/>
      <c r="V209" s="2082"/>
      <c r="W209" s="2082"/>
      <c r="X209" s="2082"/>
      <c r="Y209" s="2082"/>
      <c r="Z209" s="2083"/>
      <c r="AA209" s="56"/>
      <c r="AB209" s="84"/>
      <c r="AC209" s="85"/>
      <c r="AF209" s="218"/>
    </row>
    <row r="210" spans="1:32" ht="14.45" hidden="1" customHeight="1" x14ac:dyDescent="0.25">
      <c r="A210" s="10" t="s">
        <v>459</v>
      </c>
      <c r="B210" s="5"/>
      <c r="C210" s="41"/>
      <c r="D210" s="53">
        <f>Structure!AY72</f>
        <v>13.375</v>
      </c>
      <c r="E210" s="54"/>
      <c r="F210" s="55">
        <f t="shared" ref="F210" si="7">INDEX(Lookup_NoteRateAll,MATCH("IT_"&amp;RIGHT("000"&amp;TRUNC(D210),3)&amp;TEXT(D210-TRUNC(D210),".0000000000"),Lookup_NoteRateText,0),4)</f>
        <v>111</v>
      </c>
      <c r="G210" s="48"/>
      <c r="H210" s="48"/>
      <c r="I210" s="5"/>
      <c r="J210" s="229"/>
      <c r="K210" s="230" t="s">
        <v>211</v>
      </c>
      <c r="L210" s="231"/>
      <c r="M210" s="232" t="s">
        <v>71</v>
      </c>
      <c r="N210" s="1061" t="s">
        <v>25</v>
      </c>
      <c r="O210" s="1024"/>
      <c r="P210" s="1024"/>
      <c r="Q210" s="1024"/>
      <c r="R210" s="233"/>
      <c r="S210" s="228"/>
      <c r="T210" s="1229" t="s">
        <v>248</v>
      </c>
      <c r="U210" s="1230" t="s">
        <v>15</v>
      </c>
      <c r="V210" s="1231" t="s">
        <v>84</v>
      </c>
      <c r="W210" s="1231" t="s">
        <v>31</v>
      </c>
      <c r="X210" s="1231" t="s">
        <v>30</v>
      </c>
      <c r="Y210" s="1231" t="s">
        <v>29</v>
      </c>
      <c r="Z210" s="1521" t="s">
        <v>28</v>
      </c>
      <c r="AA210" s="1520"/>
      <c r="AB210" s="84"/>
      <c r="AC210" s="47"/>
      <c r="AF210" s="218"/>
    </row>
    <row r="211" spans="1:32" ht="14.45" hidden="1" customHeight="1" x14ac:dyDescent="0.25">
      <c r="A211" s="10" t="s">
        <v>459</v>
      </c>
      <c r="B211" s="5"/>
      <c r="C211" s="41"/>
      <c r="D211" s="53">
        <f>Structure!AY73</f>
        <v>13.25</v>
      </c>
      <c r="E211" s="54"/>
      <c r="F211" s="55">
        <f t="shared" ref="F211:F218" si="8">INDEX(Lookup_NoteRateAll,MATCH("IT_"&amp;RIGHT("000"&amp;TRUNC(D211),3)&amp;TEXT(D211-TRUNC(D211),".0000000000"),Lookup_NoteRateText,0),4)</f>
        <v>110.875</v>
      </c>
      <c r="G211" s="48"/>
      <c r="H211" s="48"/>
      <c r="I211" s="5"/>
      <c r="J211" s="2067" t="s">
        <v>205</v>
      </c>
      <c r="K211" s="58"/>
      <c r="L211" s="59"/>
      <c r="M211" s="60"/>
      <c r="N211" s="998" t="s">
        <v>1101</v>
      </c>
      <c r="O211" s="1042"/>
      <c r="P211" s="1042"/>
      <c r="Q211" s="1042"/>
      <c r="R211" s="1042"/>
      <c r="S211" s="1360" t="s">
        <v>1219</v>
      </c>
      <c r="T211" s="1604">
        <v>1.625</v>
      </c>
      <c r="U211" s="1605">
        <v>1.625</v>
      </c>
      <c r="V211" s="1605">
        <v>1.375</v>
      </c>
      <c r="W211" s="1605">
        <v>1.125</v>
      </c>
      <c r="X211" s="1605">
        <v>0.875</v>
      </c>
      <c r="Y211" s="1605">
        <v>0</v>
      </c>
      <c r="Z211" s="1910">
        <v>-0.75</v>
      </c>
      <c r="AA211" s="1522" t="e">
        <v>#N/A</v>
      </c>
      <c r="AB211" s="1523" t="e">
        <v>#N/A</v>
      </c>
      <c r="AC211" s="47"/>
      <c r="AF211" s="218"/>
    </row>
    <row r="212" spans="1:32" ht="14.45" hidden="1" customHeight="1" x14ac:dyDescent="0.25">
      <c r="A212" s="10" t="s">
        <v>459</v>
      </c>
      <c r="B212" s="5"/>
      <c r="C212" s="41"/>
      <c r="D212" s="53">
        <f>Structure!AY74</f>
        <v>13.125</v>
      </c>
      <c r="E212" s="54"/>
      <c r="F212" s="55">
        <f t="shared" si="8"/>
        <v>110.75</v>
      </c>
      <c r="G212" s="48"/>
      <c r="H212" s="48"/>
      <c r="I212" s="5"/>
      <c r="J212" s="2068"/>
      <c r="K212" s="206"/>
      <c r="L212" s="207"/>
      <c r="M212" s="208"/>
      <c r="N212" s="999" t="s">
        <v>1100</v>
      </c>
      <c r="O212" s="977"/>
      <c r="P212" s="977"/>
      <c r="Q212" s="977"/>
      <c r="R212" s="977"/>
      <c r="S212" s="1361" t="s">
        <v>1220</v>
      </c>
      <c r="T212" s="1607">
        <v>1.625</v>
      </c>
      <c r="U212" s="1608">
        <v>1.625</v>
      </c>
      <c r="V212" s="1608">
        <v>1.375</v>
      </c>
      <c r="W212" s="1608">
        <v>1.125</v>
      </c>
      <c r="X212" s="1608">
        <v>0.875</v>
      </c>
      <c r="Y212" s="1608">
        <v>-0.125</v>
      </c>
      <c r="Z212" s="1608">
        <v>-0.875</v>
      </c>
      <c r="AA212" s="1526" t="e">
        <v>#N/A</v>
      </c>
      <c r="AB212" s="1527" t="e">
        <v>#N/A</v>
      </c>
      <c r="AC212" s="47"/>
      <c r="AF212" s="218"/>
    </row>
    <row r="213" spans="1:32" ht="14.45" hidden="1" customHeight="1" x14ac:dyDescent="0.25">
      <c r="A213" s="10" t="s">
        <v>459</v>
      </c>
      <c r="B213" s="5"/>
      <c r="C213" s="41"/>
      <c r="D213" s="53">
        <f>Structure!AY75</f>
        <v>13</v>
      </c>
      <c r="E213" s="54"/>
      <c r="F213" s="55">
        <f t="shared" si="8"/>
        <v>110.625</v>
      </c>
      <c r="G213" s="48"/>
      <c r="H213" s="48"/>
      <c r="I213" s="5"/>
      <c r="J213" s="2068"/>
      <c r="K213" s="61" t="s">
        <v>1410</v>
      </c>
      <c r="L213" s="62"/>
      <c r="M213" s="63">
        <v>1</v>
      </c>
      <c r="N213" s="978" t="s">
        <v>254</v>
      </c>
      <c r="O213" s="978"/>
      <c r="P213" s="978"/>
      <c r="Q213" s="978"/>
      <c r="R213" s="978"/>
      <c r="S213" s="1362" t="s">
        <v>1221</v>
      </c>
      <c r="T213" s="1607">
        <v>1.125</v>
      </c>
      <c r="U213" s="1608">
        <v>1.125</v>
      </c>
      <c r="V213" s="1608">
        <v>0.875</v>
      </c>
      <c r="W213" s="1608">
        <v>0.625</v>
      </c>
      <c r="X213" s="1608">
        <v>0.375</v>
      </c>
      <c r="Y213" s="1608">
        <v>-0.75</v>
      </c>
      <c r="Z213" s="1608">
        <v>-1.625</v>
      </c>
      <c r="AA213" s="1526" t="e">
        <v>#N/A</v>
      </c>
      <c r="AB213" s="1527" t="e">
        <v>#N/A</v>
      </c>
      <c r="AC213" s="47"/>
      <c r="AF213" s="218"/>
    </row>
    <row r="214" spans="1:32" ht="14.45" hidden="1" customHeight="1" x14ac:dyDescent="0.25">
      <c r="A214" s="10" t="s">
        <v>459</v>
      </c>
      <c r="B214" s="5"/>
      <c r="C214" s="41"/>
      <c r="D214" s="53">
        <f>Structure!AY76</f>
        <v>12.875</v>
      </c>
      <c r="E214" s="54"/>
      <c r="F214" s="55">
        <f t="shared" si="8"/>
        <v>110.5</v>
      </c>
      <c r="G214" s="48"/>
      <c r="H214" s="48"/>
      <c r="I214" s="5"/>
      <c r="J214" s="2068"/>
      <c r="K214" s="61" t="s">
        <v>1409</v>
      </c>
      <c r="L214" s="65"/>
      <c r="M214" s="63">
        <v>2</v>
      </c>
      <c r="N214" s="978" t="s">
        <v>253</v>
      </c>
      <c r="O214" s="978"/>
      <c r="P214" s="978"/>
      <c r="Q214" s="978"/>
      <c r="R214" s="978"/>
      <c r="S214" s="1362" t="s">
        <v>1222</v>
      </c>
      <c r="T214" s="1607">
        <v>0.75</v>
      </c>
      <c r="U214" s="1608">
        <v>0.75</v>
      </c>
      <c r="V214" s="1608">
        <v>0.375</v>
      </c>
      <c r="W214" s="1608">
        <v>0.125</v>
      </c>
      <c r="X214" s="1608">
        <v>-0.125</v>
      </c>
      <c r="Y214" s="1608">
        <v>-1.375</v>
      </c>
      <c r="Z214" s="1608">
        <v>-2.875</v>
      </c>
      <c r="AA214" s="1526" t="e">
        <v>#N/A</v>
      </c>
      <c r="AB214" s="1527" t="e">
        <v>#N/A</v>
      </c>
      <c r="AC214" s="47"/>
      <c r="AF214" s="218"/>
    </row>
    <row r="215" spans="1:32" ht="14.45" hidden="1" customHeight="1" x14ac:dyDescent="0.25">
      <c r="A215" s="10" t="s">
        <v>459</v>
      </c>
      <c r="B215" s="5"/>
      <c r="C215" s="41"/>
      <c r="D215" s="53">
        <f>Structure!AY77</f>
        <v>12.75</v>
      </c>
      <c r="E215" s="54"/>
      <c r="F215" s="55">
        <f t="shared" si="8"/>
        <v>110.375</v>
      </c>
      <c r="G215" s="48"/>
      <c r="H215" s="48"/>
      <c r="I215" s="5"/>
      <c r="J215" s="2068"/>
      <c r="K215" s="86"/>
      <c r="L215" s="19"/>
      <c r="M215" s="63"/>
      <c r="N215" s="978" t="s">
        <v>3</v>
      </c>
      <c r="O215" s="978"/>
      <c r="P215" s="978"/>
      <c r="Q215" s="978"/>
      <c r="R215" s="978"/>
      <c r="S215" s="1362" t="s">
        <v>1223</v>
      </c>
      <c r="T215" s="1607">
        <v>0.125</v>
      </c>
      <c r="U215" s="1608">
        <v>0.125</v>
      </c>
      <c r="V215" s="1608">
        <v>-0.375</v>
      </c>
      <c r="W215" s="1608">
        <v>-0.75</v>
      </c>
      <c r="X215" s="1608">
        <v>-1</v>
      </c>
      <c r="Y215" s="1608">
        <v>-2</v>
      </c>
      <c r="Z215" s="1608">
        <v>-4</v>
      </c>
      <c r="AA215" s="1526" t="e">
        <v>#N/A</v>
      </c>
      <c r="AB215" s="1527" t="e">
        <v>#N/A</v>
      </c>
      <c r="AC215" s="47"/>
      <c r="AF215" s="218"/>
    </row>
    <row r="216" spans="1:32" ht="14.45" hidden="1" customHeight="1" x14ac:dyDescent="0.25">
      <c r="A216" s="10" t="s">
        <v>459</v>
      </c>
      <c r="B216" s="5"/>
      <c r="C216" s="41"/>
      <c r="D216" s="53">
        <f>Structure!AY78</f>
        <v>12.625</v>
      </c>
      <c r="E216" s="54"/>
      <c r="F216" s="55">
        <f t="shared" si="8"/>
        <v>110.125</v>
      </c>
      <c r="G216" s="48"/>
      <c r="H216" s="48"/>
      <c r="I216" s="5"/>
      <c r="J216" s="2068"/>
      <c r="K216" s="66"/>
      <c r="L216" s="44"/>
      <c r="M216" s="63"/>
      <c r="N216" s="978" t="s">
        <v>5</v>
      </c>
      <c r="O216" s="978"/>
      <c r="P216" s="978"/>
      <c r="Q216" s="978"/>
      <c r="R216" s="978"/>
      <c r="S216" s="1362" t="s">
        <v>1224</v>
      </c>
      <c r="T216" s="1607">
        <v>-0.75</v>
      </c>
      <c r="U216" s="1608">
        <v>-0.75</v>
      </c>
      <c r="V216" s="1608">
        <v>-1.375</v>
      </c>
      <c r="W216" s="1608">
        <v>-1.875</v>
      </c>
      <c r="X216" s="1608">
        <v>-2.375</v>
      </c>
      <c r="Y216" s="1608">
        <v>-3.125</v>
      </c>
      <c r="Z216" s="1608">
        <v>-5.5</v>
      </c>
      <c r="AA216" s="1526" t="e">
        <v>#N/A</v>
      </c>
      <c r="AB216" s="1527" t="e">
        <v>#N/A</v>
      </c>
      <c r="AC216" s="47"/>
      <c r="AF216" s="218"/>
    </row>
    <row r="217" spans="1:32" ht="14.45" hidden="1" customHeight="1" x14ac:dyDescent="0.25">
      <c r="A217" s="10" t="s">
        <v>459</v>
      </c>
      <c r="B217" s="5"/>
      <c r="C217" s="41"/>
      <c r="D217" s="53">
        <f>Structure!AY79</f>
        <v>12.5</v>
      </c>
      <c r="E217" s="54"/>
      <c r="F217" s="55">
        <f t="shared" si="8"/>
        <v>109.875</v>
      </c>
      <c r="G217" s="48"/>
      <c r="H217" s="48"/>
      <c r="I217" s="5"/>
      <c r="J217" s="2068"/>
      <c r="K217" s="66"/>
      <c r="L217" s="44"/>
      <c r="M217" s="63"/>
      <c r="N217" s="978" t="s">
        <v>6</v>
      </c>
      <c r="O217" s="978"/>
      <c r="P217" s="978"/>
      <c r="Q217" s="978"/>
      <c r="R217" s="978"/>
      <c r="S217" s="1362" t="s">
        <v>1225</v>
      </c>
      <c r="T217" s="1607">
        <v>-3</v>
      </c>
      <c r="U217" s="1608">
        <v>-3</v>
      </c>
      <c r="V217" s="1608">
        <v>-3.75</v>
      </c>
      <c r="W217" s="1608">
        <v>-4.125</v>
      </c>
      <c r="X217" s="1608">
        <v>-4.75</v>
      </c>
      <c r="Y217" s="1608">
        <v>-5.75</v>
      </c>
      <c r="Z217" s="1745" t="e">
        <v>#N/A</v>
      </c>
      <c r="AA217" s="1526" t="e">
        <v>#N/A</v>
      </c>
      <c r="AB217" s="1527" t="e">
        <v>#N/A</v>
      </c>
      <c r="AC217" s="47"/>
      <c r="AF217" s="218"/>
    </row>
    <row r="218" spans="1:32" ht="14.45" hidden="1" customHeight="1" x14ac:dyDescent="0.25">
      <c r="A218" s="10" t="s">
        <v>459</v>
      </c>
      <c r="B218" s="5"/>
      <c r="C218" s="41"/>
      <c r="D218" s="53">
        <f>Structure!AY80</f>
        <v>12.375</v>
      </c>
      <c r="E218" s="54"/>
      <c r="F218" s="55">
        <f t="shared" si="8"/>
        <v>109.625</v>
      </c>
      <c r="G218" s="48"/>
      <c r="H218" s="48"/>
      <c r="I218" s="5"/>
      <c r="J218" s="2068"/>
      <c r="K218" s="66"/>
      <c r="L218" s="44"/>
      <c r="M218" s="63"/>
      <c r="N218" s="978" t="s">
        <v>7</v>
      </c>
      <c r="O218" s="978"/>
      <c r="P218" s="978"/>
      <c r="Q218" s="978"/>
      <c r="R218" s="978"/>
      <c r="S218" s="1362" t="s">
        <v>1226</v>
      </c>
      <c r="T218" s="1610">
        <v>-4.25</v>
      </c>
      <c r="U218" s="1611">
        <v>-4.375</v>
      </c>
      <c r="V218" s="1611">
        <v>-4.875</v>
      </c>
      <c r="W218" s="1611">
        <v>-5.5</v>
      </c>
      <c r="X218" s="1611">
        <v>-6</v>
      </c>
      <c r="Y218" s="1743" t="e">
        <v>#N/A</v>
      </c>
      <c r="Z218" s="1743" t="e">
        <v>#N/A</v>
      </c>
      <c r="AA218" s="1526" t="e">
        <v>#N/A</v>
      </c>
      <c r="AB218" s="1527" t="e">
        <v>#N/A</v>
      </c>
      <c r="AC218" s="47"/>
      <c r="AF218" s="218"/>
    </row>
    <row r="219" spans="1:32" ht="14.45" hidden="1" customHeight="1" x14ac:dyDescent="0.25">
      <c r="A219" s="10" t="s">
        <v>461</v>
      </c>
      <c r="B219" s="5"/>
      <c r="C219" s="41"/>
      <c r="G219" s="48"/>
      <c r="H219" s="48"/>
      <c r="I219" s="5"/>
      <c r="J219" s="2068"/>
      <c r="K219" s="66"/>
      <c r="L219" s="44"/>
      <c r="M219" s="63"/>
      <c r="N219" s="992" t="s">
        <v>9</v>
      </c>
      <c r="O219" s="992"/>
      <c r="P219" s="992"/>
      <c r="Q219" s="992"/>
      <c r="R219" s="992"/>
      <c r="S219" s="1395" t="s">
        <v>1227</v>
      </c>
      <c r="T219" s="1511" t="e">
        <v>#N/A</v>
      </c>
      <c r="U219" s="1358" t="e">
        <v>#N/A</v>
      </c>
      <c r="V219" s="1358" t="e">
        <v>#N/A</v>
      </c>
      <c r="W219" s="1358" t="e">
        <v>#N/A</v>
      </c>
      <c r="X219" s="1358" t="e">
        <v>#N/A</v>
      </c>
      <c r="Y219" s="1358" t="e">
        <v>#N/A</v>
      </c>
      <c r="Z219" s="1512" t="e">
        <v>#N/A</v>
      </c>
      <c r="AA219" s="1526" t="e">
        <v>#N/A</v>
      </c>
      <c r="AB219" s="1527" t="e">
        <v>#N/A</v>
      </c>
      <c r="AC219" s="47"/>
      <c r="AF219" s="218"/>
    </row>
    <row r="220" spans="1:32" ht="14.45" hidden="1" customHeight="1" x14ac:dyDescent="0.25">
      <c r="A220" s="10" t="s">
        <v>461</v>
      </c>
      <c r="B220" s="5"/>
      <c r="C220" s="41"/>
      <c r="G220" s="48"/>
      <c r="H220" s="48"/>
      <c r="I220" s="5"/>
      <c r="J220" s="2069"/>
      <c r="K220" s="87"/>
      <c r="L220" s="88"/>
      <c r="M220" s="89"/>
      <c r="N220" s="999" t="s">
        <v>10</v>
      </c>
      <c r="O220" s="977"/>
      <c r="P220" s="977"/>
      <c r="Q220" s="977"/>
      <c r="R220" s="977"/>
      <c r="S220" s="1396" t="s">
        <v>1228</v>
      </c>
      <c r="T220" s="1511" t="e">
        <v>#N/A</v>
      </c>
      <c r="U220" s="1358" t="e">
        <v>#N/A</v>
      </c>
      <c r="V220" s="1358" t="e">
        <v>#N/A</v>
      </c>
      <c r="W220" s="1358" t="e">
        <v>#N/A</v>
      </c>
      <c r="X220" s="1358" t="e">
        <v>#N/A</v>
      </c>
      <c r="Y220" s="1358" t="e">
        <v>#N/A</v>
      </c>
      <c r="Z220" s="1512" t="e">
        <v>#N/A</v>
      </c>
      <c r="AA220" s="1526" t="e">
        <v>#N/A</v>
      </c>
      <c r="AB220" s="1527" t="e">
        <v>#N/A</v>
      </c>
      <c r="AC220" s="47"/>
      <c r="AF220" s="218"/>
    </row>
    <row r="221" spans="1:32" ht="14.45" hidden="1" customHeight="1" x14ac:dyDescent="0.25">
      <c r="A221" s="10" t="s">
        <v>459</v>
      </c>
      <c r="B221" s="5"/>
      <c r="C221" s="41"/>
      <c r="D221" s="53">
        <f>Structure!AY81</f>
        <v>12.25</v>
      </c>
      <c r="E221" s="54"/>
      <c r="F221" s="55">
        <f t="shared" ref="F221:F228" si="9">INDEX(Lookup_NoteRateAll,MATCH("IT_"&amp;RIGHT("000"&amp;TRUNC(D221),3)&amp;TEXT(D221-TRUNC(D221),".0000000000"),Lookup_NoteRateText,0),4)</f>
        <v>109.375</v>
      </c>
      <c r="G221" s="48"/>
      <c r="H221" s="48"/>
      <c r="I221" s="5"/>
      <c r="J221" s="2067" t="s">
        <v>206</v>
      </c>
      <c r="K221" s="58"/>
      <c r="L221" s="59"/>
      <c r="M221" s="67"/>
      <c r="N221" s="998" t="s">
        <v>1101</v>
      </c>
      <c r="O221" s="1042"/>
      <c r="P221" s="1042"/>
      <c r="Q221" s="1042"/>
      <c r="R221" s="1042"/>
      <c r="S221" s="1392" t="s">
        <v>1229</v>
      </c>
      <c r="T221" s="1604">
        <v>0.875</v>
      </c>
      <c r="U221" s="1605">
        <v>0.875</v>
      </c>
      <c r="V221" s="1605">
        <v>0.625</v>
      </c>
      <c r="W221" s="1605">
        <v>0.25</v>
      </c>
      <c r="X221" s="1605">
        <v>0</v>
      </c>
      <c r="Y221" s="1605">
        <v>-1</v>
      </c>
      <c r="Z221" s="1605">
        <v>-1.875</v>
      </c>
      <c r="AA221" s="1526" t="e">
        <v>#N/A</v>
      </c>
      <c r="AB221" s="1527" t="e">
        <v>#N/A</v>
      </c>
      <c r="AC221" s="47"/>
      <c r="AF221" s="218"/>
    </row>
    <row r="222" spans="1:32" ht="14.45" hidden="1" customHeight="1" x14ac:dyDescent="0.25">
      <c r="A222" s="10" t="s">
        <v>459</v>
      </c>
      <c r="B222" s="5"/>
      <c r="C222" s="41"/>
      <c r="D222" s="53">
        <f>Structure!AY82</f>
        <v>12.125</v>
      </c>
      <c r="E222" s="54"/>
      <c r="F222" s="55">
        <f t="shared" si="9"/>
        <v>109.125</v>
      </c>
      <c r="G222" s="48"/>
      <c r="H222" s="48"/>
      <c r="I222" s="5"/>
      <c r="J222" s="2068"/>
      <c r="K222" s="206"/>
      <c r="L222" s="207"/>
      <c r="M222" s="209"/>
      <c r="N222" s="999" t="s">
        <v>1100</v>
      </c>
      <c r="O222" s="977"/>
      <c r="P222" s="977"/>
      <c r="Q222" s="977"/>
      <c r="R222" s="977"/>
      <c r="S222" s="1361" t="s">
        <v>1230</v>
      </c>
      <c r="T222" s="1607">
        <v>0.875</v>
      </c>
      <c r="U222" s="1608">
        <v>0.875</v>
      </c>
      <c r="V222" s="1608">
        <v>0.625</v>
      </c>
      <c r="W222" s="1608">
        <v>0.25</v>
      </c>
      <c r="X222" s="1608">
        <v>0</v>
      </c>
      <c r="Y222" s="1608">
        <v>-1.125</v>
      </c>
      <c r="Z222" s="1608">
        <v>-2</v>
      </c>
      <c r="AA222" s="1526" t="e">
        <v>#N/A</v>
      </c>
      <c r="AB222" s="1527" t="e">
        <v>#N/A</v>
      </c>
      <c r="AC222" s="47"/>
      <c r="AF222" s="218"/>
    </row>
    <row r="223" spans="1:32" ht="14.45" hidden="1" customHeight="1" x14ac:dyDescent="0.25">
      <c r="A223" s="10" t="s">
        <v>459</v>
      </c>
      <c r="B223" s="5"/>
      <c r="C223" s="41"/>
      <c r="D223" s="53">
        <f>Structure!AY83</f>
        <v>12</v>
      </c>
      <c r="E223" s="54"/>
      <c r="F223" s="55">
        <f t="shared" si="9"/>
        <v>108.875</v>
      </c>
      <c r="G223" s="48"/>
      <c r="H223" s="48"/>
      <c r="I223" s="5"/>
      <c r="J223" s="2068"/>
      <c r="K223" s="64" t="s">
        <v>80</v>
      </c>
      <c r="L223" s="68" t="s">
        <v>424</v>
      </c>
      <c r="M223" s="63">
        <v>3</v>
      </c>
      <c r="N223" s="978" t="s">
        <v>254</v>
      </c>
      <c r="O223" s="978"/>
      <c r="P223" s="978"/>
      <c r="Q223" s="978"/>
      <c r="R223" s="978"/>
      <c r="S223" s="1362" t="s">
        <v>1231</v>
      </c>
      <c r="T223" s="1607">
        <v>0.375</v>
      </c>
      <c r="U223" s="1608">
        <v>0.375</v>
      </c>
      <c r="V223" s="1608">
        <v>0.125</v>
      </c>
      <c r="W223" s="1608">
        <v>-0.25</v>
      </c>
      <c r="X223" s="1608">
        <v>-0.5</v>
      </c>
      <c r="Y223" s="1608">
        <v>-1.75</v>
      </c>
      <c r="Z223" s="1608">
        <v>-2.75</v>
      </c>
      <c r="AA223" s="1526" t="e">
        <v>#N/A</v>
      </c>
      <c r="AB223" s="1527" t="e">
        <v>#N/A</v>
      </c>
      <c r="AC223" s="47"/>
      <c r="AF223" s="218"/>
    </row>
    <row r="224" spans="1:32" ht="14.45" hidden="1" customHeight="1" x14ac:dyDescent="0.25">
      <c r="A224" s="10" t="s">
        <v>459</v>
      </c>
      <c r="B224" s="5"/>
      <c r="C224" s="41"/>
      <c r="D224" s="53">
        <f>Structure!AY84</f>
        <v>11.875</v>
      </c>
      <c r="E224" s="54"/>
      <c r="F224" s="55">
        <f t="shared" si="9"/>
        <v>108.625</v>
      </c>
      <c r="G224" s="48"/>
      <c r="H224" s="48"/>
      <c r="I224" s="5"/>
      <c r="J224" s="2068"/>
      <c r="K224" s="61">
        <v>1099</v>
      </c>
      <c r="L224" s="62"/>
      <c r="M224" s="63">
        <v>14</v>
      </c>
      <c r="N224" s="978" t="s">
        <v>253</v>
      </c>
      <c r="O224" s="978"/>
      <c r="P224" s="978"/>
      <c r="Q224" s="978"/>
      <c r="R224" s="978"/>
      <c r="S224" s="1362" t="s">
        <v>1232</v>
      </c>
      <c r="T224" s="1607">
        <v>0</v>
      </c>
      <c r="U224" s="1608">
        <v>0</v>
      </c>
      <c r="V224" s="1608">
        <v>-0.375</v>
      </c>
      <c r="W224" s="1608">
        <v>-0.75</v>
      </c>
      <c r="X224" s="1608">
        <v>-1</v>
      </c>
      <c r="Y224" s="1608">
        <v>-2.375</v>
      </c>
      <c r="Z224" s="1608">
        <v>-4</v>
      </c>
      <c r="AA224" s="1526" t="e">
        <v>#N/A</v>
      </c>
      <c r="AB224" s="1527" t="e">
        <v>#N/A</v>
      </c>
      <c r="AC224" s="47"/>
      <c r="AF224" s="218"/>
    </row>
    <row r="225" spans="1:32" ht="14.45" hidden="1" customHeight="1" x14ac:dyDescent="0.25">
      <c r="A225" s="10" t="s">
        <v>459</v>
      </c>
      <c r="B225" s="5"/>
      <c r="C225" s="41"/>
      <c r="D225" s="53">
        <f>Structure!AY85</f>
        <v>11.75</v>
      </c>
      <c r="E225" s="54"/>
      <c r="F225" s="55">
        <f t="shared" si="9"/>
        <v>108.375</v>
      </c>
      <c r="G225" s="48"/>
      <c r="H225" s="48"/>
      <c r="I225" s="5"/>
      <c r="J225" s="2068"/>
      <c r="K225" s="64"/>
      <c r="L225" s="65"/>
      <c r="M225" s="63"/>
      <c r="N225" s="978" t="s">
        <v>3</v>
      </c>
      <c r="O225" s="978"/>
      <c r="P225" s="978"/>
      <c r="Q225" s="978"/>
      <c r="R225" s="978"/>
      <c r="S225" s="1362" t="s">
        <v>1233</v>
      </c>
      <c r="T225" s="1607">
        <v>-0.625</v>
      </c>
      <c r="U225" s="1608">
        <v>-0.625</v>
      </c>
      <c r="V225" s="1608">
        <v>-1.125</v>
      </c>
      <c r="W225" s="1608">
        <v>-1.625</v>
      </c>
      <c r="X225" s="1608">
        <v>-1.875</v>
      </c>
      <c r="Y225" s="1608">
        <v>-3</v>
      </c>
      <c r="Z225" s="1608">
        <v>-5.125</v>
      </c>
      <c r="AA225" s="1526" t="e">
        <v>#N/A</v>
      </c>
      <c r="AB225" s="1527" t="e">
        <v>#N/A</v>
      </c>
      <c r="AC225" s="47"/>
      <c r="AF225" s="218"/>
    </row>
    <row r="226" spans="1:32" ht="14.45" hidden="1" customHeight="1" x14ac:dyDescent="0.25">
      <c r="A226" s="10" t="s">
        <v>459</v>
      </c>
      <c r="B226" s="5"/>
      <c r="C226" s="41"/>
      <c r="D226" s="53">
        <f>Structure!AY86</f>
        <v>11.625</v>
      </c>
      <c r="E226" s="54"/>
      <c r="F226" s="55">
        <f t="shared" si="9"/>
        <v>108.125</v>
      </c>
      <c r="G226" s="48"/>
      <c r="H226" s="48"/>
      <c r="I226" s="5"/>
      <c r="J226" s="2068"/>
      <c r="K226" s="64"/>
      <c r="L226" s="65"/>
      <c r="M226" s="63"/>
      <c r="N226" s="978" t="s">
        <v>5</v>
      </c>
      <c r="O226" s="978"/>
      <c r="P226" s="978"/>
      <c r="Q226" s="978"/>
      <c r="R226" s="978"/>
      <c r="S226" s="1362" t="s">
        <v>1234</v>
      </c>
      <c r="T226" s="1607">
        <v>-1.625</v>
      </c>
      <c r="U226" s="1608">
        <v>-1.625</v>
      </c>
      <c r="V226" s="1608">
        <v>-2.25</v>
      </c>
      <c r="W226" s="1608">
        <v>-2.875</v>
      </c>
      <c r="X226" s="1608">
        <v>-3.375</v>
      </c>
      <c r="Y226" s="1608">
        <v>-4.25</v>
      </c>
      <c r="Z226" s="1745" t="e">
        <v>#N/A</v>
      </c>
      <c r="AA226" s="1526" t="e">
        <v>#N/A</v>
      </c>
      <c r="AB226" s="1527" t="e">
        <v>#N/A</v>
      </c>
      <c r="AC226" s="47"/>
      <c r="AF226" s="218"/>
    </row>
    <row r="227" spans="1:32" ht="14.45" hidden="1" customHeight="1" x14ac:dyDescent="0.25">
      <c r="A227" s="10" t="s">
        <v>459</v>
      </c>
      <c r="B227" s="5"/>
      <c r="C227" s="41"/>
      <c r="D227" s="53">
        <f>Structure!AY87</f>
        <v>11.5</v>
      </c>
      <c r="E227" s="54"/>
      <c r="F227" s="55">
        <f t="shared" si="9"/>
        <v>107.875</v>
      </c>
      <c r="G227" s="48"/>
      <c r="H227" s="48"/>
      <c r="I227" s="5"/>
      <c r="J227" s="2068"/>
      <c r="K227" s="90"/>
      <c r="L227" s="91"/>
      <c r="M227" s="63"/>
      <c r="N227" s="978" t="s">
        <v>6</v>
      </c>
      <c r="O227" s="978"/>
      <c r="P227" s="978"/>
      <c r="Q227" s="978"/>
      <c r="R227" s="978"/>
      <c r="S227" s="1362" t="s">
        <v>1235</v>
      </c>
      <c r="T227" s="1607">
        <v>-4</v>
      </c>
      <c r="U227" s="1608">
        <v>-4</v>
      </c>
      <c r="V227" s="1608">
        <v>-4.75</v>
      </c>
      <c r="W227" s="1608">
        <v>-5.25</v>
      </c>
      <c r="X227" s="1608">
        <v>-5.875</v>
      </c>
      <c r="Y227" s="1745" t="e">
        <v>#N/A</v>
      </c>
      <c r="Z227" s="1745" t="e">
        <v>#N/A</v>
      </c>
      <c r="AA227" s="1526" t="e">
        <v>#N/A</v>
      </c>
      <c r="AB227" s="1527" t="e">
        <v>#N/A</v>
      </c>
      <c r="AC227" s="47"/>
      <c r="AF227" s="218"/>
    </row>
    <row r="228" spans="1:32" ht="14.45" hidden="1" customHeight="1" x14ac:dyDescent="0.25">
      <c r="A228" s="10" t="s">
        <v>459</v>
      </c>
      <c r="B228" s="5"/>
      <c r="C228" s="41"/>
      <c r="D228" s="53">
        <f>Structure!AY88</f>
        <v>11.375</v>
      </c>
      <c r="E228" s="54"/>
      <c r="F228" s="55">
        <f t="shared" si="9"/>
        <v>107.625</v>
      </c>
      <c r="G228" s="48"/>
      <c r="H228" s="48"/>
      <c r="I228" s="5"/>
      <c r="J228" s="2068"/>
      <c r="K228" s="90"/>
      <c r="L228" s="91"/>
      <c r="M228" s="63"/>
      <c r="N228" s="978" t="s">
        <v>7</v>
      </c>
      <c r="O228" s="978"/>
      <c r="P228" s="978"/>
      <c r="Q228" s="978"/>
      <c r="R228" s="978"/>
      <c r="S228" s="1362" t="s">
        <v>1236</v>
      </c>
      <c r="T228" s="1610">
        <v>-5.75</v>
      </c>
      <c r="U228" s="1611">
        <v>-5.875</v>
      </c>
      <c r="V228" s="1611">
        <v>-6.375</v>
      </c>
      <c r="W228" s="1743" t="e">
        <v>#N/A</v>
      </c>
      <c r="X228" s="1743" t="e">
        <v>#N/A</v>
      </c>
      <c r="Y228" s="1743" t="e">
        <v>#N/A</v>
      </c>
      <c r="Z228" s="1743" t="e">
        <v>#N/A</v>
      </c>
      <c r="AA228" s="1526" t="e">
        <v>#N/A</v>
      </c>
      <c r="AB228" s="1527" t="e">
        <v>#N/A</v>
      </c>
      <c r="AC228" s="47"/>
      <c r="AF228" s="218"/>
    </row>
    <row r="229" spans="1:32" ht="14.45" hidden="1" customHeight="1" x14ac:dyDescent="0.25">
      <c r="A229" s="10" t="s">
        <v>461</v>
      </c>
      <c r="B229" s="5"/>
      <c r="C229" s="41"/>
      <c r="G229" s="48"/>
      <c r="H229" s="48"/>
      <c r="I229" s="5"/>
      <c r="J229" s="2068"/>
      <c r="K229" s="90"/>
      <c r="L229" s="91"/>
      <c r="M229" s="63"/>
      <c r="N229" s="992" t="s">
        <v>9</v>
      </c>
      <c r="O229" s="992"/>
      <c r="P229" s="992"/>
      <c r="Q229" s="992"/>
      <c r="R229" s="992"/>
      <c r="S229" s="1395" t="s">
        <v>1237</v>
      </c>
      <c r="T229" s="1511" t="e">
        <v>#N/A</v>
      </c>
      <c r="U229" s="1358" t="e">
        <v>#N/A</v>
      </c>
      <c r="V229" s="1358" t="e">
        <v>#N/A</v>
      </c>
      <c r="W229" s="1358" t="e">
        <v>#N/A</v>
      </c>
      <c r="X229" s="1358" t="e">
        <v>#N/A</v>
      </c>
      <c r="Y229" s="1358" t="e">
        <v>#N/A</v>
      </c>
      <c r="Z229" s="1512" t="e">
        <v>#N/A</v>
      </c>
      <c r="AA229" s="1526" t="e">
        <v>#N/A</v>
      </c>
      <c r="AB229" s="1527" t="e">
        <v>#N/A</v>
      </c>
      <c r="AC229" s="47"/>
      <c r="AF229" s="218"/>
    </row>
    <row r="230" spans="1:32" ht="14.45" hidden="1" customHeight="1" x14ac:dyDescent="0.25">
      <c r="A230" s="10" t="s">
        <v>461</v>
      </c>
      <c r="B230" s="5"/>
      <c r="C230" s="41"/>
      <c r="G230" s="48"/>
      <c r="H230" s="48"/>
      <c r="I230" s="5"/>
      <c r="J230" s="2069"/>
      <c r="K230" s="92"/>
      <c r="L230" s="93"/>
      <c r="M230" s="89"/>
      <c r="N230" s="999" t="s">
        <v>10</v>
      </c>
      <c r="O230" s="977"/>
      <c r="P230" s="977"/>
      <c r="Q230" s="977"/>
      <c r="R230" s="977"/>
      <c r="S230" s="1396" t="s">
        <v>1238</v>
      </c>
      <c r="T230" s="1511" t="e">
        <v>#N/A</v>
      </c>
      <c r="U230" s="1358" t="e">
        <v>#N/A</v>
      </c>
      <c r="V230" s="1358" t="e">
        <v>#N/A</v>
      </c>
      <c r="W230" s="1358" t="e">
        <v>#N/A</v>
      </c>
      <c r="X230" s="1358" t="e">
        <v>#N/A</v>
      </c>
      <c r="Y230" s="1358" t="e">
        <v>#N/A</v>
      </c>
      <c r="Z230" s="1512" t="e">
        <v>#N/A</v>
      </c>
      <c r="AA230" s="1526" t="e">
        <v>#N/A</v>
      </c>
      <c r="AB230" s="1527" t="e">
        <v>#N/A</v>
      </c>
      <c r="AC230" s="47"/>
      <c r="AF230" s="218"/>
    </row>
    <row r="231" spans="1:32" ht="14.45" hidden="1" customHeight="1" x14ac:dyDescent="0.25">
      <c r="A231" s="10" t="s">
        <v>459</v>
      </c>
      <c r="B231" s="5"/>
      <c r="C231" s="41"/>
      <c r="D231" s="53">
        <f>Structure!AY89</f>
        <v>11.25</v>
      </c>
      <c r="E231" s="54"/>
      <c r="F231" s="55">
        <f t="shared" ref="F231:F238" si="10">INDEX(Lookup_NoteRateAll,MATCH("IT_"&amp;RIGHT("000"&amp;TRUNC(D231),3)&amp;TEXT(D231-TRUNC(D231),".0000000000"),Lookup_NoteRateText,0),4)</f>
        <v>107.375</v>
      </c>
      <c r="G231" s="48"/>
      <c r="H231" s="48"/>
      <c r="I231" s="5"/>
      <c r="J231" s="2067" t="s">
        <v>349</v>
      </c>
      <c r="K231" s="59"/>
      <c r="L231" s="59"/>
      <c r="M231" s="67"/>
      <c r="N231" s="998" t="s">
        <v>1101</v>
      </c>
      <c r="O231" s="1042"/>
      <c r="P231" s="1042"/>
      <c r="Q231" s="1042"/>
      <c r="R231" s="1042"/>
      <c r="S231" s="1392" t="s">
        <v>1922</v>
      </c>
      <c r="T231" s="1604">
        <v>-0.5</v>
      </c>
      <c r="U231" s="1605">
        <v>-0.5</v>
      </c>
      <c r="V231" s="1605">
        <v>-0.75</v>
      </c>
      <c r="W231" s="1605">
        <v>-1.375</v>
      </c>
      <c r="X231" s="1605">
        <v>-1.625</v>
      </c>
      <c r="Y231" s="1605">
        <v>-2.75</v>
      </c>
      <c r="Z231" s="1605">
        <v>-3.75</v>
      </c>
      <c r="AA231" s="1526" t="e">
        <v>#N/A</v>
      </c>
      <c r="AB231" s="1527" t="e">
        <v>#N/A</v>
      </c>
      <c r="AC231" s="47"/>
      <c r="AF231" s="218"/>
    </row>
    <row r="232" spans="1:32" ht="14.45" hidden="1" customHeight="1" x14ac:dyDescent="0.25">
      <c r="A232" s="10" t="s">
        <v>459</v>
      </c>
      <c r="B232" s="5"/>
      <c r="C232" s="41"/>
      <c r="D232" s="53">
        <f>Structure!AY90</f>
        <v>11.125</v>
      </c>
      <c r="E232" s="54"/>
      <c r="F232" s="55">
        <f t="shared" si="10"/>
        <v>107.125</v>
      </c>
      <c r="G232" s="48"/>
      <c r="H232" s="48"/>
      <c r="I232" s="5"/>
      <c r="J232" s="2068"/>
      <c r="K232" s="207"/>
      <c r="L232" s="207"/>
      <c r="M232" s="209"/>
      <c r="N232" s="999" t="s">
        <v>1100</v>
      </c>
      <c r="O232" s="977"/>
      <c r="P232" s="977"/>
      <c r="Q232" s="977"/>
      <c r="R232" s="977"/>
      <c r="S232" s="1361" t="s">
        <v>1923</v>
      </c>
      <c r="T232" s="1607">
        <v>-0.5</v>
      </c>
      <c r="U232" s="1608">
        <v>-0.5</v>
      </c>
      <c r="V232" s="1608">
        <v>-0.75</v>
      </c>
      <c r="W232" s="1608">
        <v>-1.375</v>
      </c>
      <c r="X232" s="1608">
        <v>-1.625</v>
      </c>
      <c r="Y232" s="1608">
        <v>-2.875</v>
      </c>
      <c r="Z232" s="1608">
        <v>-4</v>
      </c>
      <c r="AA232" s="1526" t="e">
        <v>#N/A</v>
      </c>
      <c r="AB232" s="1527" t="e">
        <v>#N/A</v>
      </c>
      <c r="AC232" s="47"/>
      <c r="AF232" s="218"/>
    </row>
    <row r="233" spans="1:32" ht="14.45" hidden="1" customHeight="1" x14ac:dyDescent="0.25">
      <c r="A233" s="10" t="s">
        <v>459</v>
      </c>
      <c r="B233" s="5"/>
      <c r="C233" s="41"/>
      <c r="D233" s="53">
        <f>Structure!AY91</f>
        <v>11</v>
      </c>
      <c r="E233" s="54"/>
      <c r="F233" s="55">
        <f t="shared" si="10"/>
        <v>106.875</v>
      </c>
      <c r="G233" s="48"/>
      <c r="H233" s="48"/>
      <c r="I233" s="5"/>
      <c r="J233" s="2068"/>
      <c r="K233" s="65" t="s">
        <v>348</v>
      </c>
      <c r="L233" s="62"/>
      <c r="M233" s="63">
        <v>7</v>
      </c>
      <c r="N233" s="978" t="s">
        <v>254</v>
      </c>
      <c r="O233" s="978"/>
      <c r="P233" s="978"/>
      <c r="Q233" s="978"/>
      <c r="R233" s="978"/>
      <c r="S233" s="1362" t="s">
        <v>1924</v>
      </c>
      <c r="T233" s="1607">
        <v>-1</v>
      </c>
      <c r="U233" s="1608">
        <v>-1</v>
      </c>
      <c r="V233" s="1608">
        <v>-1.25</v>
      </c>
      <c r="W233" s="1608">
        <v>-1.875</v>
      </c>
      <c r="X233" s="1608">
        <v>-2.125</v>
      </c>
      <c r="Y233" s="1608">
        <v>-3.5</v>
      </c>
      <c r="Z233" s="1608">
        <v>-4.75</v>
      </c>
      <c r="AA233" s="1526" t="e">
        <v>#N/A</v>
      </c>
      <c r="AB233" s="1527" t="e">
        <v>#N/A</v>
      </c>
      <c r="AC233" s="47"/>
      <c r="AF233" s="218"/>
    </row>
    <row r="234" spans="1:32" ht="14.45" hidden="1" customHeight="1" x14ac:dyDescent="0.25">
      <c r="A234" s="10" t="s">
        <v>459</v>
      </c>
      <c r="B234" s="5"/>
      <c r="C234" s="41"/>
      <c r="D234" s="53">
        <f>Structure!AY92</f>
        <v>10.875</v>
      </c>
      <c r="E234" s="54"/>
      <c r="F234" s="55">
        <f t="shared" si="10"/>
        <v>106.625</v>
      </c>
      <c r="G234" s="48"/>
      <c r="H234" s="48"/>
      <c r="I234" s="5"/>
      <c r="J234" s="2068"/>
      <c r="K234" s="62" t="s">
        <v>468</v>
      </c>
      <c r="L234" s="91"/>
      <c r="M234" s="63">
        <v>15</v>
      </c>
      <c r="N234" s="978" t="s">
        <v>253</v>
      </c>
      <c r="O234" s="978"/>
      <c r="P234" s="978"/>
      <c r="Q234" s="978"/>
      <c r="R234" s="978"/>
      <c r="S234" s="1362" t="s">
        <v>1925</v>
      </c>
      <c r="T234" s="1607">
        <v>-1.375</v>
      </c>
      <c r="U234" s="1608">
        <v>-1.375</v>
      </c>
      <c r="V234" s="1608">
        <v>-1.75</v>
      </c>
      <c r="W234" s="1608">
        <v>-2.375</v>
      </c>
      <c r="X234" s="1608">
        <v>-2.625</v>
      </c>
      <c r="Y234" s="1608">
        <v>-4.125</v>
      </c>
      <c r="Z234" s="1608">
        <v>-6</v>
      </c>
      <c r="AA234" s="1526" t="e">
        <v>#N/A</v>
      </c>
      <c r="AB234" s="1527" t="e">
        <v>#N/A</v>
      </c>
      <c r="AC234" s="47"/>
      <c r="AF234" s="218"/>
    </row>
    <row r="235" spans="1:32" ht="14.45" hidden="1" customHeight="1" x14ac:dyDescent="0.25">
      <c r="A235" s="10" t="s">
        <v>459</v>
      </c>
      <c r="B235" s="5"/>
      <c r="C235" s="41"/>
      <c r="D235" s="53">
        <f>Structure!AY93</f>
        <v>10.75</v>
      </c>
      <c r="E235" s="54"/>
      <c r="F235" s="55">
        <f t="shared" si="10"/>
        <v>106.375</v>
      </c>
      <c r="G235" s="48"/>
      <c r="H235" s="48"/>
      <c r="I235" s="5"/>
      <c r="J235" s="2068"/>
      <c r="K235" s="91"/>
      <c r="L235" s="91"/>
      <c r="M235" s="63"/>
      <c r="N235" s="978" t="s">
        <v>3</v>
      </c>
      <c r="O235" s="978"/>
      <c r="P235" s="978"/>
      <c r="Q235" s="978"/>
      <c r="R235" s="978"/>
      <c r="S235" s="1362" t="s">
        <v>1926</v>
      </c>
      <c r="T235" s="1607">
        <v>-2.125</v>
      </c>
      <c r="U235" s="1608">
        <v>-2.125</v>
      </c>
      <c r="V235" s="1608">
        <v>-2.625</v>
      </c>
      <c r="W235" s="1608">
        <v>-3.375</v>
      </c>
      <c r="X235" s="1608">
        <v>-3.625</v>
      </c>
      <c r="Y235" s="1608">
        <v>-4.875</v>
      </c>
      <c r="Z235" s="1608">
        <v>-7.25</v>
      </c>
      <c r="AA235" s="1526" t="e">
        <v>#N/A</v>
      </c>
      <c r="AB235" s="1527" t="e">
        <v>#N/A</v>
      </c>
      <c r="AC235" s="47"/>
      <c r="AF235" s="218"/>
    </row>
    <row r="236" spans="1:32" ht="14.45" hidden="1" customHeight="1" x14ac:dyDescent="0.25">
      <c r="A236" s="10" t="s">
        <v>459</v>
      </c>
      <c r="B236" s="5"/>
      <c r="C236" s="41"/>
      <c r="D236" s="53">
        <f>Structure!AY94</f>
        <v>10.625</v>
      </c>
      <c r="E236" s="54"/>
      <c r="F236" s="55">
        <f t="shared" si="10"/>
        <v>106.125</v>
      </c>
      <c r="G236" s="48"/>
      <c r="H236" s="48"/>
      <c r="I236" s="5"/>
      <c r="J236" s="2068"/>
      <c r="K236" s="91"/>
      <c r="L236" s="91"/>
      <c r="M236" s="63"/>
      <c r="N236" s="978" t="s">
        <v>5</v>
      </c>
      <c r="O236" s="978"/>
      <c r="P236" s="978"/>
      <c r="Q236" s="978"/>
      <c r="R236" s="978"/>
      <c r="S236" s="1362" t="s">
        <v>1927</v>
      </c>
      <c r="T236" s="1607">
        <v>-3.375</v>
      </c>
      <c r="U236" s="1608">
        <v>-3.375</v>
      </c>
      <c r="V236" s="1608">
        <v>-4</v>
      </c>
      <c r="W236" s="1608">
        <v>-4.75</v>
      </c>
      <c r="X236" s="1608">
        <v>-5.25</v>
      </c>
      <c r="Y236" s="1745" t="e">
        <v>#N/A</v>
      </c>
      <c r="Z236" s="1745" t="e">
        <v>#N/A</v>
      </c>
      <c r="AA236" s="1526" t="e">
        <v>#N/A</v>
      </c>
      <c r="AB236" s="1527" t="e">
        <v>#N/A</v>
      </c>
      <c r="AC236" s="47"/>
      <c r="AF236" s="218"/>
    </row>
    <row r="237" spans="1:32" ht="14.45" hidden="1" customHeight="1" x14ac:dyDescent="0.25">
      <c r="A237" s="10" t="s">
        <v>459</v>
      </c>
      <c r="B237" s="5"/>
      <c r="C237" s="41"/>
      <c r="D237" s="53">
        <f>Structure!AY95</f>
        <v>10.5</v>
      </c>
      <c r="E237" s="54"/>
      <c r="F237" s="55">
        <f t="shared" si="10"/>
        <v>105.875</v>
      </c>
      <c r="G237" s="48"/>
      <c r="H237" s="48"/>
      <c r="I237" s="5"/>
      <c r="J237" s="2068"/>
      <c r="K237" s="44"/>
      <c r="L237" s="44"/>
      <c r="M237" s="63"/>
      <c r="N237" s="978" t="s">
        <v>6</v>
      </c>
      <c r="O237" s="978"/>
      <c r="P237" s="978"/>
      <c r="Q237" s="978"/>
      <c r="R237" s="978"/>
      <c r="S237" s="1362" t="s">
        <v>1928</v>
      </c>
      <c r="T237" s="1607">
        <v>-5.75</v>
      </c>
      <c r="U237" s="1608">
        <v>-5.75</v>
      </c>
      <c r="V237" s="1608">
        <v>-6.5</v>
      </c>
      <c r="W237" s="1608">
        <v>-7.125</v>
      </c>
      <c r="X237" s="1745" t="e">
        <v>#N/A</v>
      </c>
      <c r="Y237" s="1745" t="e">
        <v>#N/A</v>
      </c>
      <c r="Z237" s="1745" t="e">
        <v>#N/A</v>
      </c>
      <c r="AA237" s="1526" t="e">
        <v>#N/A</v>
      </c>
      <c r="AB237" s="1527" t="e">
        <v>#N/A</v>
      </c>
      <c r="AC237" s="47"/>
      <c r="AF237" s="218"/>
    </row>
    <row r="238" spans="1:32" ht="14.45" hidden="1" customHeight="1" x14ac:dyDescent="0.25">
      <c r="A238" s="10" t="s">
        <v>459</v>
      </c>
      <c r="B238" s="5"/>
      <c r="C238" s="41"/>
      <c r="D238" s="53">
        <f>Structure!AY96</f>
        <v>10.375</v>
      </c>
      <c r="E238" s="54"/>
      <c r="F238" s="55">
        <f t="shared" si="10"/>
        <v>105.625</v>
      </c>
      <c r="G238" s="48"/>
      <c r="H238" s="48"/>
      <c r="I238" s="5"/>
      <c r="J238" s="2068"/>
      <c r="K238" s="91"/>
      <c r="L238" s="91"/>
      <c r="M238" s="63"/>
      <c r="N238" s="978" t="s">
        <v>7</v>
      </c>
      <c r="O238" s="978"/>
      <c r="P238" s="978"/>
      <c r="Q238" s="978"/>
      <c r="R238" s="978"/>
      <c r="S238" s="1362" t="s">
        <v>1929</v>
      </c>
      <c r="T238" s="1610">
        <v>-7.75</v>
      </c>
      <c r="U238" s="1611">
        <v>-7.875</v>
      </c>
      <c r="V238" s="1611">
        <v>-8.375</v>
      </c>
      <c r="W238" s="1743" t="e">
        <v>#N/A</v>
      </c>
      <c r="X238" s="1743" t="e">
        <v>#N/A</v>
      </c>
      <c r="Y238" s="1743" t="e">
        <v>#N/A</v>
      </c>
      <c r="Z238" s="1743" t="e">
        <v>#N/A</v>
      </c>
      <c r="AA238" s="1526" t="e">
        <v>#N/A</v>
      </c>
      <c r="AB238" s="1527" t="e">
        <v>#N/A</v>
      </c>
      <c r="AC238" s="47"/>
      <c r="AF238" s="218"/>
    </row>
    <row r="239" spans="1:32" ht="14.45" hidden="1" customHeight="1" x14ac:dyDescent="0.25">
      <c r="A239" s="10" t="s">
        <v>461</v>
      </c>
      <c r="B239" s="5"/>
      <c r="C239" s="41"/>
      <c r="G239" s="48"/>
      <c r="H239" s="48"/>
      <c r="I239" s="5"/>
      <c r="J239" s="2068"/>
      <c r="K239" s="44"/>
      <c r="L239" s="44"/>
      <c r="M239" s="63"/>
      <c r="N239" s="992" t="s">
        <v>9</v>
      </c>
      <c r="O239" s="992"/>
      <c r="P239" s="992"/>
      <c r="Q239" s="992"/>
      <c r="R239" s="992"/>
      <c r="S239" s="1395" t="s">
        <v>1932</v>
      </c>
      <c r="T239" s="1511" t="e">
        <v>#N/A</v>
      </c>
      <c r="U239" s="1358" t="e">
        <v>#N/A</v>
      </c>
      <c r="V239" s="1358" t="e">
        <v>#N/A</v>
      </c>
      <c r="W239" s="1358" t="e">
        <v>#N/A</v>
      </c>
      <c r="X239" s="1358" t="e">
        <v>#N/A</v>
      </c>
      <c r="Y239" s="1358" t="e">
        <v>#N/A</v>
      </c>
      <c r="Z239" s="1512" t="e">
        <v>#N/A</v>
      </c>
      <c r="AA239" s="1526" t="e">
        <v>#N/A</v>
      </c>
      <c r="AB239" s="1527" t="e">
        <v>#N/A</v>
      </c>
      <c r="AC239" s="47"/>
      <c r="AF239" s="218"/>
    </row>
    <row r="240" spans="1:32" ht="14.45" hidden="1" customHeight="1" x14ac:dyDescent="0.25">
      <c r="A240" s="10" t="s">
        <v>461</v>
      </c>
      <c r="B240" s="5"/>
      <c r="C240" s="41"/>
      <c r="G240" s="48"/>
      <c r="H240" s="48"/>
      <c r="I240" s="5"/>
      <c r="J240" s="2069"/>
      <c r="K240" s="267"/>
      <c r="L240" s="267"/>
      <c r="M240" s="89"/>
      <c r="N240" s="999" t="s">
        <v>10</v>
      </c>
      <c r="O240" s="977"/>
      <c r="P240" s="977"/>
      <c r="Q240" s="977"/>
      <c r="R240" s="977"/>
      <c r="S240" s="1396" t="s">
        <v>1933</v>
      </c>
      <c r="T240" s="1511" t="e">
        <v>#N/A</v>
      </c>
      <c r="U240" s="1358" t="e">
        <v>#N/A</v>
      </c>
      <c r="V240" s="1358" t="e">
        <v>#N/A</v>
      </c>
      <c r="W240" s="1358" t="e">
        <v>#N/A</v>
      </c>
      <c r="X240" s="1358" t="e">
        <v>#N/A</v>
      </c>
      <c r="Y240" s="1358" t="e">
        <v>#N/A</v>
      </c>
      <c r="Z240" s="1512" t="e">
        <v>#N/A</v>
      </c>
      <c r="AA240" s="1526" t="e">
        <v>#N/A</v>
      </c>
      <c r="AB240" s="1527" t="e">
        <v>#N/A</v>
      </c>
      <c r="AC240" s="47"/>
      <c r="AF240" s="218"/>
    </row>
    <row r="241" spans="1:32" ht="14.45" hidden="1" customHeight="1" x14ac:dyDescent="0.25">
      <c r="A241" s="10" t="s">
        <v>459</v>
      </c>
      <c r="B241" s="5"/>
      <c r="C241" s="41"/>
      <c r="D241" s="53">
        <f>Structure!AY97</f>
        <v>10.25</v>
      </c>
      <c r="E241" s="54"/>
      <c r="F241" s="55">
        <f t="shared" ref="F241" si="11">INDEX(Lookup_NoteRateAll,MATCH("IT_"&amp;RIGHT("000"&amp;TRUNC(D241),3)&amp;TEXT(D241-TRUNC(D241),".0000000000"),Lookup_NoteRateText,0),4)</f>
        <v>105.375</v>
      </c>
      <c r="G241" s="48"/>
      <c r="H241" s="48"/>
      <c r="I241" s="5"/>
      <c r="J241" s="2067" t="s">
        <v>207</v>
      </c>
      <c r="K241" s="58"/>
      <c r="L241" s="59"/>
      <c r="M241" s="67"/>
      <c r="N241" s="998" t="s">
        <v>1101</v>
      </c>
      <c r="O241" s="1042"/>
      <c r="P241" s="1042"/>
      <c r="Q241" s="1042"/>
      <c r="R241" s="1042"/>
      <c r="S241" s="1392" t="s">
        <v>1999</v>
      </c>
      <c r="T241" s="1604">
        <v>-1</v>
      </c>
      <c r="U241" s="1605">
        <v>-1</v>
      </c>
      <c r="V241" s="1605">
        <v>-1.25</v>
      </c>
      <c r="W241" s="1605">
        <v>-1.875</v>
      </c>
      <c r="X241" s="1605">
        <v>-2.125</v>
      </c>
      <c r="Y241" s="1605">
        <v>-3.25</v>
      </c>
      <c r="Z241" s="1605">
        <v>-4.25</v>
      </c>
      <c r="AA241" s="1526" t="e">
        <v>#N/A</v>
      </c>
      <c r="AB241" s="1527" t="e">
        <v>#N/A</v>
      </c>
      <c r="AC241" s="47"/>
      <c r="AF241" s="218"/>
    </row>
    <row r="242" spans="1:32" ht="14.45" hidden="1" customHeight="1" x14ac:dyDescent="0.25">
      <c r="A242" s="10" t="s">
        <v>459</v>
      </c>
      <c r="B242" s="5"/>
      <c r="C242" s="41"/>
      <c r="D242" s="53">
        <f>Structure!AY98</f>
        <v>10.125</v>
      </c>
      <c r="E242" s="54"/>
      <c r="F242" s="55">
        <f t="shared" ref="F242:F247" si="12">INDEX(Lookup_NoteRateAll,MATCH("IT_"&amp;RIGHT("000"&amp;TRUNC(D242),3)&amp;TEXT(D242-TRUNC(D242),".0000000000"),Lookup_NoteRateText,0),4)</f>
        <v>105</v>
      </c>
      <c r="G242" s="48"/>
      <c r="H242" s="48"/>
      <c r="I242" s="5"/>
      <c r="J242" s="2068"/>
      <c r="K242" s="206"/>
      <c r="L242" s="207"/>
      <c r="M242" s="209"/>
      <c r="N242" s="999" t="s">
        <v>1100</v>
      </c>
      <c r="O242" s="977"/>
      <c r="P242" s="977"/>
      <c r="Q242" s="977"/>
      <c r="R242" s="977"/>
      <c r="S242" s="1361" t="s">
        <v>2000</v>
      </c>
      <c r="T242" s="1607">
        <v>-1</v>
      </c>
      <c r="U242" s="1608">
        <v>-1</v>
      </c>
      <c r="V242" s="1608">
        <v>-1.25</v>
      </c>
      <c r="W242" s="1608">
        <v>-1.875</v>
      </c>
      <c r="X242" s="1608">
        <v>-2.125</v>
      </c>
      <c r="Y242" s="1608">
        <v>-3.375</v>
      </c>
      <c r="Z242" s="1608">
        <v>-4.5</v>
      </c>
      <c r="AA242" s="1526" t="e">
        <v>#N/A</v>
      </c>
      <c r="AB242" s="1527" t="e">
        <v>#N/A</v>
      </c>
      <c r="AC242" s="47"/>
      <c r="AF242" s="218"/>
    </row>
    <row r="243" spans="1:32" ht="14.45" hidden="1" customHeight="1" x14ac:dyDescent="0.25">
      <c r="A243" s="10" t="s">
        <v>459</v>
      </c>
      <c r="B243" s="5"/>
      <c r="C243" s="41"/>
      <c r="D243" s="53">
        <f>Structure!AY99</f>
        <v>10</v>
      </c>
      <c r="E243" s="54"/>
      <c r="F243" s="55">
        <f t="shared" si="12"/>
        <v>104.625</v>
      </c>
      <c r="G243" s="48"/>
      <c r="H243" s="48"/>
      <c r="I243" s="5"/>
      <c r="J243" s="2068"/>
      <c r="K243" s="206"/>
      <c r="L243" s="62"/>
      <c r="M243" s="63">
        <v>9</v>
      </c>
      <c r="N243" s="978" t="s">
        <v>254</v>
      </c>
      <c r="O243" s="978"/>
      <c r="P243" s="978"/>
      <c r="Q243" s="978"/>
      <c r="R243" s="978"/>
      <c r="S243" s="1362" t="s">
        <v>2001</v>
      </c>
      <c r="T243" s="1607">
        <v>-1.5</v>
      </c>
      <c r="U243" s="1608">
        <v>-1.5</v>
      </c>
      <c r="V243" s="1608">
        <v>-1.75</v>
      </c>
      <c r="W243" s="1608">
        <v>-2.375</v>
      </c>
      <c r="X243" s="1608">
        <v>-2.625</v>
      </c>
      <c r="Y243" s="1608">
        <v>-4</v>
      </c>
      <c r="Z243" s="1608">
        <v>-5.25</v>
      </c>
      <c r="AA243" s="1526" t="e">
        <v>#N/A</v>
      </c>
      <c r="AB243" s="1527" t="e">
        <v>#N/A</v>
      </c>
      <c r="AC243" s="47"/>
      <c r="AF243" s="218"/>
    </row>
    <row r="244" spans="1:32" ht="14.45" hidden="1" customHeight="1" x14ac:dyDescent="0.25">
      <c r="A244" s="10" t="s">
        <v>459</v>
      </c>
      <c r="B244" s="5"/>
      <c r="C244" s="41"/>
      <c r="D244" s="53">
        <f>Structure!AY100</f>
        <v>9.875</v>
      </c>
      <c r="E244" s="54"/>
      <c r="F244" s="55">
        <f t="shared" si="12"/>
        <v>104.25</v>
      </c>
      <c r="G244" s="48"/>
      <c r="H244" s="48"/>
      <c r="I244" s="5"/>
      <c r="J244" s="2068"/>
      <c r="K244" s="94"/>
      <c r="L244" s="95"/>
      <c r="M244" s="63"/>
      <c r="N244" s="978" t="s">
        <v>253</v>
      </c>
      <c r="O244" s="978"/>
      <c r="P244" s="978"/>
      <c r="Q244" s="978"/>
      <c r="R244" s="978"/>
      <c r="S244" s="1362" t="s">
        <v>2002</v>
      </c>
      <c r="T244" s="1607">
        <v>-1.875</v>
      </c>
      <c r="U244" s="1608">
        <v>-1.875</v>
      </c>
      <c r="V244" s="1608">
        <v>-2.25</v>
      </c>
      <c r="W244" s="1608">
        <v>-2.875</v>
      </c>
      <c r="X244" s="1608">
        <v>-3.125</v>
      </c>
      <c r="Y244" s="1608">
        <v>-4.625</v>
      </c>
      <c r="Z244" s="1608">
        <v>-6.5</v>
      </c>
      <c r="AA244" s="1526" t="e">
        <v>#N/A</v>
      </c>
      <c r="AB244" s="1527" t="e">
        <v>#N/A</v>
      </c>
      <c r="AC244" s="47"/>
      <c r="AF244" s="218"/>
    </row>
    <row r="245" spans="1:32" ht="14.45" hidden="1" customHeight="1" x14ac:dyDescent="0.25">
      <c r="A245" s="10" t="s">
        <v>459</v>
      </c>
      <c r="B245" s="5"/>
      <c r="C245" s="41"/>
      <c r="D245" s="53">
        <f>Structure!AY101</f>
        <v>9.75</v>
      </c>
      <c r="E245" s="54"/>
      <c r="F245" s="55">
        <f t="shared" si="12"/>
        <v>103.875</v>
      </c>
      <c r="G245" s="48"/>
      <c r="H245" s="48"/>
      <c r="I245" s="5"/>
      <c r="J245" s="2068"/>
      <c r="K245" s="61" t="s">
        <v>62</v>
      </c>
      <c r="L245" s="19"/>
      <c r="M245" s="96"/>
      <c r="N245" s="978" t="s">
        <v>3</v>
      </c>
      <c r="O245" s="978"/>
      <c r="P245" s="978"/>
      <c r="Q245" s="978"/>
      <c r="R245" s="978"/>
      <c r="S245" s="1362" t="s">
        <v>2003</v>
      </c>
      <c r="T245" s="1607">
        <v>-2.625</v>
      </c>
      <c r="U245" s="1608">
        <v>-2.625</v>
      </c>
      <c r="V245" s="1608">
        <v>-3.125</v>
      </c>
      <c r="W245" s="1608">
        <v>-3.875</v>
      </c>
      <c r="X245" s="1608">
        <v>-4.125</v>
      </c>
      <c r="Y245" s="1608">
        <v>-5.375</v>
      </c>
      <c r="Z245" s="1608">
        <v>-7.75</v>
      </c>
      <c r="AA245" s="1526" t="e">
        <v>#N/A</v>
      </c>
      <c r="AB245" s="1527" t="e">
        <v>#N/A</v>
      </c>
      <c r="AC245" s="47"/>
      <c r="AF245" s="218"/>
    </row>
    <row r="246" spans="1:32" ht="14.45" hidden="1" customHeight="1" x14ac:dyDescent="0.25">
      <c r="A246" s="10" t="s">
        <v>459</v>
      </c>
      <c r="B246" s="5"/>
      <c r="C246" s="41"/>
      <c r="D246" s="53">
        <f>Structure!AY102</f>
        <v>9.625</v>
      </c>
      <c r="E246" s="54"/>
      <c r="F246" s="55">
        <f t="shared" si="12"/>
        <v>103.5</v>
      </c>
      <c r="G246" s="48"/>
      <c r="H246" s="48"/>
      <c r="I246" s="5"/>
      <c r="J246" s="2068"/>
      <c r="K246" s="86"/>
      <c r="L246" s="19"/>
      <c r="M246" s="96"/>
      <c r="N246" s="978" t="s">
        <v>5</v>
      </c>
      <c r="O246" s="978"/>
      <c r="P246" s="978"/>
      <c r="Q246" s="978"/>
      <c r="R246" s="978"/>
      <c r="S246" s="1362" t="s">
        <v>2004</v>
      </c>
      <c r="T246" s="1607">
        <v>-3.875</v>
      </c>
      <c r="U246" s="1608">
        <v>-3.875</v>
      </c>
      <c r="V246" s="1608">
        <v>-4.5</v>
      </c>
      <c r="W246" s="1608">
        <v>-5.25</v>
      </c>
      <c r="X246" s="1608">
        <v>-5.75</v>
      </c>
      <c r="Y246" s="1608">
        <v>-6.75</v>
      </c>
      <c r="Z246" s="1745" t="e">
        <v>#N/A</v>
      </c>
      <c r="AA246" s="1526" t="e">
        <v>#N/A</v>
      </c>
      <c r="AB246" s="1527" t="e">
        <v>#N/A</v>
      </c>
      <c r="AC246" s="47"/>
      <c r="AF246" s="218"/>
    </row>
    <row r="247" spans="1:32" ht="14.45" hidden="1" customHeight="1" x14ac:dyDescent="0.25">
      <c r="A247" s="10" t="s">
        <v>459</v>
      </c>
      <c r="B247" s="5"/>
      <c r="C247" s="41"/>
      <c r="D247" s="53">
        <f>Structure!AY103</f>
        <v>9.5</v>
      </c>
      <c r="E247" s="54"/>
      <c r="F247" s="55">
        <f t="shared" si="12"/>
        <v>103.125</v>
      </c>
      <c r="G247" s="48"/>
      <c r="H247" s="48"/>
      <c r="I247" s="5"/>
      <c r="J247" s="2068"/>
      <c r="K247" s="97"/>
      <c r="L247" s="98"/>
      <c r="M247" s="96"/>
      <c r="N247" s="978" t="s">
        <v>6</v>
      </c>
      <c r="O247" s="978"/>
      <c r="P247" s="978"/>
      <c r="Q247" s="978"/>
      <c r="R247" s="978"/>
      <c r="S247" s="1362" t="s">
        <v>2005</v>
      </c>
      <c r="T247" s="1607">
        <v>-6.25</v>
      </c>
      <c r="U247" s="1608">
        <v>-6.25</v>
      </c>
      <c r="V247" s="1608">
        <v>-7</v>
      </c>
      <c r="W247" s="1608">
        <v>-7.625</v>
      </c>
      <c r="X247" s="1608">
        <v>-8.25</v>
      </c>
      <c r="Y247" s="1745" t="e">
        <v>#N/A</v>
      </c>
      <c r="Z247" s="1745" t="e">
        <v>#N/A</v>
      </c>
      <c r="AA247" s="1526" t="e">
        <v>#N/A</v>
      </c>
      <c r="AB247" s="1527" t="e">
        <v>#N/A</v>
      </c>
      <c r="AC247" s="47"/>
      <c r="AF247" s="218"/>
    </row>
    <row r="248" spans="1:32" ht="14.45" hidden="1" customHeight="1" x14ac:dyDescent="0.25">
      <c r="A248" s="10" t="s">
        <v>461</v>
      </c>
      <c r="B248" s="5"/>
      <c r="C248" s="41"/>
      <c r="G248" s="48"/>
      <c r="H248" s="48"/>
      <c r="I248" s="5"/>
      <c r="J248" s="2068"/>
      <c r="K248" s="97"/>
      <c r="L248" s="98"/>
      <c r="M248" s="96"/>
      <c r="N248" s="992" t="s">
        <v>7</v>
      </c>
      <c r="O248" s="992"/>
      <c r="P248" s="992"/>
      <c r="Q248" s="992"/>
      <c r="R248" s="992"/>
      <c r="S248" s="1395" t="s">
        <v>2006</v>
      </c>
      <c r="T248" s="1747" t="e">
        <v>#N/A</v>
      </c>
      <c r="U248" s="1748" t="e">
        <v>#N/A</v>
      </c>
      <c r="V248" s="1748" t="e">
        <v>#N/A</v>
      </c>
      <c r="W248" s="1748" t="e">
        <v>#N/A</v>
      </c>
      <c r="X248" s="1748" t="e">
        <v>#N/A</v>
      </c>
      <c r="Y248" s="1748" t="e">
        <v>#N/A</v>
      </c>
      <c r="Z248" s="1748" t="e">
        <v>#N/A</v>
      </c>
      <c r="AA248" s="1526" t="e">
        <v>#N/A</v>
      </c>
      <c r="AB248" s="1527" t="e">
        <v>#N/A</v>
      </c>
      <c r="AC248" s="47"/>
      <c r="AF248" s="218"/>
    </row>
    <row r="249" spans="1:32" ht="14.45" hidden="1" customHeight="1" x14ac:dyDescent="0.25">
      <c r="A249" s="10" t="s">
        <v>461</v>
      </c>
      <c r="B249" s="5"/>
      <c r="C249" s="41"/>
      <c r="G249" s="48"/>
      <c r="H249" s="48"/>
      <c r="I249" s="5"/>
      <c r="J249" s="2068"/>
      <c r="K249" s="44"/>
      <c r="L249" s="44"/>
      <c r="M249" s="63"/>
      <c r="N249" s="992" t="s">
        <v>9</v>
      </c>
      <c r="O249" s="992"/>
      <c r="P249" s="992"/>
      <c r="Q249" s="992"/>
      <c r="R249" s="992"/>
      <c r="S249" s="1395" t="s">
        <v>2007</v>
      </c>
      <c r="T249" s="1554" t="e">
        <v>#N/A</v>
      </c>
      <c r="U249" s="1555" t="e">
        <v>#N/A</v>
      </c>
      <c r="V249" s="1555" t="e">
        <v>#N/A</v>
      </c>
      <c r="W249" s="1555" t="e">
        <v>#N/A</v>
      </c>
      <c r="X249" s="1555" t="e">
        <v>#N/A</v>
      </c>
      <c r="Y249" s="1555" t="e">
        <v>#N/A</v>
      </c>
      <c r="Z249" s="1513" t="e">
        <v>#N/A</v>
      </c>
      <c r="AA249" s="1526" t="e">
        <v>#N/A</v>
      </c>
      <c r="AB249" s="1527" t="e">
        <v>#N/A</v>
      </c>
      <c r="AC249" s="47"/>
      <c r="AF249" s="218"/>
    </row>
    <row r="250" spans="1:32" ht="14.45" hidden="1" customHeight="1" x14ac:dyDescent="0.25">
      <c r="A250" s="10" t="s">
        <v>461</v>
      </c>
      <c r="B250" s="5"/>
      <c r="C250" s="41"/>
      <c r="G250" s="48"/>
      <c r="H250" s="48"/>
      <c r="I250" s="5"/>
      <c r="J250" s="2069"/>
      <c r="K250" s="267"/>
      <c r="L250" s="267"/>
      <c r="M250" s="89"/>
      <c r="N250" s="999" t="s">
        <v>10</v>
      </c>
      <c r="O250" s="977"/>
      <c r="P250" s="977"/>
      <c r="Q250" s="977"/>
      <c r="R250" s="977"/>
      <c r="S250" s="1396" t="s">
        <v>2008</v>
      </c>
      <c r="T250" s="1511" t="e">
        <v>#N/A</v>
      </c>
      <c r="U250" s="1358" t="e">
        <v>#N/A</v>
      </c>
      <c r="V250" s="1358" t="e">
        <v>#N/A</v>
      </c>
      <c r="W250" s="1358" t="e">
        <v>#N/A</v>
      </c>
      <c r="X250" s="1358" t="e">
        <v>#N/A</v>
      </c>
      <c r="Y250" s="1358" t="e">
        <v>#N/A</v>
      </c>
      <c r="Z250" s="1512" t="e">
        <v>#N/A</v>
      </c>
      <c r="AA250" s="1526" t="e">
        <v>#N/A</v>
      </c>
      <c r="AB250" s="1527" t="e">
        <v>#N/A</v>
      </c>
      <c r="AC250" s="47"/>
      <c r="AF250" s="218"/>
    </row>
    <row r="251" spans="1:32" ht="14.45" hidden="1" customHeight="1" x14ac:dyDescent="0.25">
      <c r="A251" s="10" t="s">
        <v>459</v>
      </c>
      <c r="B251" s="5"/>
      <c r="C251" s="41"/>
      <c r="D251" s="53">
        <f>Structure!AY104</f>
        <v>9.375</v>
      </c>
      <c r="E251" s="54"/>
      <c r="F251" s="55">
        <f t="shared" ref="F251:F258" si="13">INDEX(Lookup_NoteRateAll,MATCH("IT_"&amp;RIGHT("000"&amp;TRUNC(D251),3)&amp;TEXT(D251-TRUNC(D251),".0000000000"),Lookup_NoteRateText,0),4)</f>
        <v>102.75</v>
      </c>
      <c r="G251" s="48"/>
      <c r="I251" s="5"/>
      <c r="J251" s="2160" t="s">
        <v>209</v>
      </c>
      <c r="K251" s="2161"/>
      <c r="L251" s="2161"/>
      <c r="M251" s="2162"/>
      <c r="N251" s="1025" t="s">
        <v>135</v>
      </c>
      <c r="O251" s="1025"/>
      <c r="P251" s="1025"/>
      <c r="Q251" s="1025"/>
      <c r="R251" s="1025"/>
      <c r="S251" s="1397" t="s">
        <v>1239</v>
      </c>
      <c r="T251" s="1656">
        <v>0</v>
      </c>
      <c r="U251" s="1657">
        <v>0</v>
      </c>
      <c r="V251" s="1657">
        <v>0</v>
      </c>
      <c r="W251" s="1657">
        <v>0</v>
      </c>
      <c r="X251" s="1657">
        <v>0</v>
      </c>
      <c r="Y251" s="1657">
        <v>0</v>
      </c>
      <c r="Z251" s="1682">
        <v>0</v>
      </c>
      <c r="AA251" s="1528" t="e">
        <v>#N/A</v>
      </c>
      <c r="AB251" s="1529" t="e">
        <v>#N/A</v>
      </c>
      <c r="AC251" s="47"/>
      <c r="AF251" s="218"/>
    </row>
    <row r="252" spans="1:32" ht="14.45" hidden="1" customHeight="1" x14ac:dyDescent="0.25">
      <c r="A252" s="10" t="s">
        <v>459</v>
      </c>
      <c r="B252" s="5"/>
      <c r="C252" s="41"/>
      <c r="D252" s="53">
        <f>Structure!AY105</f>
        <v>9.25</v>
      </c>
      <c r="E252" s="54"/>
      <c r="F252" s="55">
        <f t="shared" si="13"/>
        <v>102.25</v>
      </c>
      <c r="G252" s="48"/>
      <c r="I252" s="5"/>
      <c r="J252" s="2163"/>
      <c r="K252" s="2164"/>
      <c r="L252" s="2164"/>
      <c r="M252" s="2165"/>
      <c r="N252" s="980" t="s">
        <v>78</v>
      </c>
      <c r="O252" s="980"/>
      <c r="P252" s="980"/>
      <c r="Q252" s="980"/>
      <c r="R252" s="980"/>
      <c r="S252" s="1366" t="s">
        <v>1240</v>
      </c>
      <c r="T252" s="1662">
        <v>0</v>
      </c>
      <c r="U252" s="1663">
        <v>0</v>
      </c>
      <c r="V252" s="1663">
        <v>0</v>
      </c>
      <c r="W252" s="1663">
        <v>0</v>
      </c>
      <c r="X252" s="1663">
        <v>0</v>
      </c>
      <c r="Y252" s="1663">
        <v>0</v>
      </c>
      <c r="Z252" s="1684">
        <v>0</v>
      </c>
      <c r="AA252" s="1528" t="e">
        <v>#N/A</v>
      </c>
      <c r="AB252" s="1529" t="e">
        <v>#N/A</v>
      </c>
      <c r="AC252" s="47"/>
      <c r="AF252" s="218"/>
    </row>
    <row r="253" spans="1:32" ht="14.45" hidden="1" customHeight="1" x14ac:dyDescent="0.25">
      <c r="A253" s="10" t="s">
        <v>459</v>
      </c>
      <c r="B253" s="5"/>
      <c r="C253" s="41"/>
      <c r="D253" s="53">
        <f>Structure!AY106</f>
        <v>9.125</v>
      </c>
      <c r="E253" s="54"/>
      <c r="F253" s="55">
        <f t="shared" si="13"/>
        <v>101.75</v>
      </c>
      <c r="G253" s="48"/>
      <c r="H253" s="48"/>
      <c r="J253" s="2166"/>
      <c r="K253" s="2167"/>
      <c r="L253" s="2167"/>
      <c r="M253" s="2168"/>
      <c r="N253" s="1026" t="s">
        <v>77</v>
      </c>
      <c r="O253" s="1026"/>
      <c r="P253" s="1026"/>
      <c r="Q253" s="1026"/>
      <c r="R253" s="1026"/>
      <c r="S253" s="1372" t="s">
        <v>1241</v>
      </c>
      <c r="T253" s="1665">
        <v>0</v>
      </c>
      <c r="U253" s="1666">
        <v>0</v>
      </c>
      <c r="V253" s="1666">
        <v>0</v>
      </c>
      <c r="W253" s="1666">
        <v>0</v>
      </c>
      <c r="X253" s="1666">
        <v>0</v>
      </c>
      <c r="Y253" s="1666">
        <v>0</v>
      </c>
      <c r="Z253" s="1685">
        <v>0</v>
      </c>
      <c r="AA253" s="1528" t="e">
        <v>#N/A</v>
      </c>
      <c r="AB253" s="1529" t="e">
        <v>#N/A</v>
      </c>
      <c r="AC253" s="47"/>
      <c r="AF253" s="218"/>
    </row>
    <row r="254" spans="1:32" ht="14.45" hidden="1" customHeight="1" x14ac:dyDescent="0.25">
      <c r="A254" s="10" t="s">
        <v>459</v>
      </c>
      <c r="B254" s="5"/>
      <c r="C254" s="41"/>
      <c r="D254" s="53">
        <f>Structure!AY107</f>
        <v>9</v>
      </c>
      <c r="E254" s="54"/>
      <c r="F254" s="55">
        <f t="shared" si="13"/>
        <v>101.25</v>
      </c>
      <c r="J254" s="2034" t="s">
        <v>2</v>
      </c>
      <c r="K254" s="2035"/>
      <c r="L254" s="2035"/>
      <c r="M254" s="2036"/>
      <c r="N254" s="981" t="s">
        <v>1074</v>
      </c>
      <c r="O254" s="1043"/>
      <c r="P254" s="1043"/>
      <c r="Q254" s="1043"/>
      <c r="R254" s="1043"/>
      <c r="S254" s="1364" t="s">
        <v>1242</v>
      </c>
      <c r="T254" s="1604">
        <v>0.5</v>
      </c>
      <c r="U254" s="1605">
        <v>0.5</v>
      </c>
      <c r="V254" s="1605">
        <v>0.5</v>
      </c>
      <c r="W254" s="1605">
        <v>0.5</v>
      </c>
      <c r="X254" s="1605">
        <v>0.5</v>
      </c>
      <c r="Y254" s="1605">
        <v>0.5</v>
      </c>
      <c r="Z254" s="1605">
        <v>0.5</v>
      </c>
      <c r="AA254" s="1530" t="e">
        <v>#N/A</v>
      </c>
      <c r="AB254" s="1531" t="e">
        <v>#N/A</v>
      </c>
      <c r="AC254" s="47"/>
      <c r="AF254" s="218"/>
    </row>
    <row r="255" spans="1:32" ht="14.45" hidden="1" customHeight="1" x14ac:dyDescent="0.25">
      <c r="A255" s="10" t="s">
        <v>459</v>
      </c>
      <c r="B255" s="5"/>
      <c r="C255" s="41"/>
      <c r="D255" s="53">
        <f>Structure!AY108</f>
        <v>8.875</v>
      </c>
      <c r="E255" s="54"/>
      <c r="F255" s="55">
        <f t="shared" si="13"/>
        <v>100.75</v>
      </c>
      <c r="J255" s="2037"/>
      <c r="K255" s="2038"/>
      <c r="L255" s="2038"/>
      <c r="M255" s="2039"/>
      <c r="N255" s="982" t="s">
        <v>455</v>
      </c>
      <c r="O255" s="1044"/>
      <c r="P255" s="1044"/>
      <c r="Q255" s="1044"/>
      <c r="R255" s="1044"/>
      <c r="S255" s="1365" t="s">
        <v>1243</v>
      </c>
      <c r="T255" s="1607">
        <v>0.5</v>
      </c>
      <c r="U255" s="1608">
        <v>0.5</v>
      </c>
      <c r="V255" s="1608">
        <v>0.5</v>
      </c>
      <c r="W255" s="1608">
        <v>0.5</v>
      </c>
      <c r="X255" s="1608">
        <v>0.5</v>
      </c>
      <c r="Y255" s="1608">
        <v>0.5</v>
      </c>
      <c r="Z255" s="1608">
        <v>0.5</v>
      </c>
      <c r="AA255" s="1530" t="e">
        <v>#N/A</v>
      </c>
      <c r="AB255" s="1531" t="e">
        <v>#N/A</v>
      </c>
      <c r="AC255" s="47"/>
      <c r="AF255" s="218"/>
    </row>
    <row r="256" spans="1:32" ht="14.45" hidden="1" customHeight="1" x14ac:dyDescent="0.25">
      <c r="A256" s="10" t="s">
        <v>459</v>
      </c>
      <c r="B256" s="5"/>
      <c r="C256" s="41"/>
      <c r="D256" s="53">
        <f>Structure!AY109</f>
        <v>8.75</v>
      </c>
      <c r="E256" s="54"/>
      <c r="F256" s="55">
        <f t="shared" si="13"/>
        <v>100</v>
      </c>
      <c r="J256" s="2037"/>
      <c r="K256" s="2038"/>
      <c r="L256" s="2038"/>
      <c r="M256" s="2039"/>
      <c r="N256" s="982" t="s">
        <v>458</v>
      </c>
      <c r="O256" s="1044"/>
      <c r="P256" s="1044"/>
      <c r="Q256" s="1044"/>
      <c r="R256" s="1044"/>
      <c r="S256" s="1365" t="s">
        <v>1244</v>
      </c>
      <c r="T256" s="1607">
        <v>0.375</v>
      </c>
      <c r="U256" s="1608">
        <v>0.375</v>
      </c>
      <c r="V256" s="1608">
        <v>0.375</v>
      </c>
      <c r="W256" s="1608">
        <v>0.375</v>
      </c>
      <c r="X256" s="1608">
        <v>0.375</v>
      </c>
      <c r="Y256" s="1608">
        <v>0.375</v>
      </c>
      <c r="Z256" s="1608">
        <v>0.375</v>
      </c>
      <c r="AA256" s="1530" t="e">
        <v>#N/A</v>
      </c>
      <c r="AB256" s="1531" t="e">
        <v>#N/A</v>
      </c>
      <c r="AC256" s="47"/>
      <c r="AF256" s="218"/>
    </row>
    <row r="257" spans="1:32" ht="14.45" hidden="1" customHeight="1" x14ac:dyDescent="0.25">
      <c r="A257" s="10" t="s">
        <v>459</v>
      </c>
      <c r="B257" s="5"/>
      <c r="C257" s="41"/>
      <c r="D257" s="53">
        <f>Structure!AY110</f>
        <v>8.625</v>
      </c>
      <c r="E257" s="54"/>
      <c r="F257" s="55">
        <f t="shared" si="13"/>
        <v>99.25</v>
      </c>
      <c r="J257" s="2037"/>
      <c r="K257" s="2038"/>
      <c r="L257" s="2038"/>
      <c r="M257" s="2039"/>
      <c r="N257" s="983" t="s">
        <v>1</v>
      </c>
      <c r="O257" s="985"/>
      <c r="P257" s="985"/>
      <c r="Q257" s="985"/>
      <c r="R257" s="985"/>
      <c r="S257" s="1366" t="s">
        <v>1330</v>
      </c>
      <c r="T257" s="1607">
        <v>0</v>
      </c>
      <c r="U257" s="1608">
        <v>0</v>
      </c>
      <c r="V257" s="1608">
        <v>0</v>
      </c>
      <c r="W257" s="1608">
        <v>0</v>
      </c>
      <c r="X257" s="1608">
        <v>0</v>
      </c>
      <c r="Y257" s="1608">
        <v>0</v>
      </c>
      <c r="Z257" s="1608">
        <v>0</v>
      </c>
      <c r="AA257" s="1530" t="e">
        <v>#N/A</v>
      </c>
      <c r="AB257" s="1531" t="e">
        <v>#N/A</v>
      </c>
      <c r="AC257" s="47"/>
      <c r="AF257" s="218"/>
    </row>
    <row r="258" spans="1:32" ht="14.45" hidden="1" customHeight="1" x14ac:dyDescent="0.25">
      <c r="A258" s="10" t="s">
        <v>459</v>
      </c>
      <c r="B258" s="5"/>
      <c r="C258" s="41"/>
      <c r="D258" s="53">
        <f>Structure!AY111</f>
        <v>8.5</v>
      </c>
      <c r="E258" s="54"/>
      <c r="F258" s="55">
        <f t="shared" si="13"/>
        <v>98.5</v>
      </c>
      <c r="J258" s="2037"/>
      <c r="K258" s="2038"/>
      <c r="L258" s="2038"/>
      <c r="M258" s="2039"/>
      <c r="N258" s="983" t="s">
        <v>1070</v>
      </c>
      <c r="O258" s="985"/>
      <c r="P258" s="985"/>
      <c r="Q258" s="985"/>
      <c r="R258" s="985"/>
      <c r="S258" s="1366" t="s">
        <v>1245</v>
      </c>
      <c r="T258" s="1607">
        <v>-0.375</v>
      </c>
      <c r="U258" s="1608">
        <v>-0.375</v>
      </c>
      <c r="V258" s="1608">
        <v>-0.375</v>
      </c>
      <c r="W258" s="1608">
        <v>-0.375</v>
      </c>
      <c r="X258" s="1608">
        <v>-0.375</v>
      </c>
      <c r="Y258" s="1608">
        <v>-0.375</v>
      </c>
      <c r="Z258" s="1608">
        <v>-0.375</v>
      </c>
      <c r="AA258" s="1530" t="e">
        <v>#N/A</v>
      </c>
      <c r="AB258" s="1531" t="e">
        <v>#N/A</v>
      </c>
      <c r="AC258" s="47"/>
      <c r="AF258" s="218"/>
    </row>
    <row r="259" spans="1:32" ht="14.45" hidden="1" customHeight="1" x14ac:dyDescent="0.25">
      <c r="A259" s="10" t="s">
        <v>459</v>
      </c>
      <c r="B259" s="5"/>
      <c r="C259" s="41"/>
      <c r="J259" s="2037"/>
      <c r="K259" s="2038"/>
      <c r="L259" s="2038"/>
      <c r="M259" s="2039"/>
      <c r="N259" s="1023" t="s">
        <v>1072</v>
      </c>
      <c r="O259" s="1048"/>
      <c r="P259" s="1048"/>
      <c r="Q259" s="1048"/>
      <c r="R259" s="1048"/>
      <c r="S259" s="1367" t="s">
        <v>1246</v>
      </c>
      <c r="T259" s="1610">
        <v>-0.75</v>
      </c>
      <c r="U259" s="1611">
        <v>-0.75</v>
      </c>
      <c r="V259" s="1611">
        <v>-0.75</v>
      </c>
      <c r="W259" s="1611">
        <v>-0.75</v>
      </c>
      <c r="X259" s="1611">
        <v>-0.75</v>
      </c>
      <c r="Y259" s="1611">
        <v>-0.75</v>
      </c>
      <c r="Z259" s="1611">
        <v>-0.75</v>
      </c>
      <c r="AA259" s="1530" t="e">
        <v>#N/A</v>
      </c>
      <c r="AB259" s="1531" t="e">
        <v>#N/A</v>
      </c>
      <c r="AC259" s="47"/>
      <c r="AF259" s="218"/>
    </row>
    <row r="260" spans="1:32" ht="14.45" hidden="1" customHeight="1" x14ac:dyDescent="0.25">
      <c r="A260" s="10" t="s">
        <v>459</v>
      </c>
      <c r="B260" s="5"/>
      <c r="C260" s="41"/>
      <c r="J260" s="2037"/>
      <c r="K260" s="2038"/>
      <c r="L260" s="2038"/>
      <c r="M260" s="2039"/>
      <c r="N260" s="995" t="s">
        <v>98</v>
      </c>
      <c r="O260" s="995"/>
      <c r="P260" s="995"/>
      <c r="Q260" s="995"/>
      <c r="R260" s="995"/>
      <c r="S260" s="1368" t="s">
        <v>1247</v>
      </c>
      <c r="T260" s="1656">
        <v>0</v>
      </c>
      <c r="U260" s="1657">
        <v>0</v>
      </c>
      <c r="V260" s="1657">
        <v>0</v>
      </c>
      <c r="W260" s="1657">
        <v>0</v>
      </c>
      <c r="X260" s="1657">
        <v>0</v>
      </c>
      <c r="Y260" s="1657">
        <v>0</v>
      </c>
      <c r="Z260" s="1682">
        <v>0</v>
      </c>
      <c r="AA260" s="1528" t="e">
        <v>#N/A</v>
      </c>
      <c r="AB260" s="1529" t="e">
        <v>#N/A</v>
      </c>
      <c r="AC260" s="47"/>
      <c r="AF260" s="218"/>
    </row>
    <row r="261" spans="1:32" ht="14.45" hidden="1" customHeight="1" x14ac:dyDescent="0.25">
      <c r="A261" s="10" t="s">
        <v>461</v>
      </c>
      <c r="B261" s="5"/>
      <c r="C261" s="41"/>
      <c r="D261" s="53">
        <f>Structure!AY112</f>
        <v>8.375</v>
      </c>
      <c r="E261" s="54"/>
      <c r="F261" s="55">
        <f t="shared" ref="F261" si="14">INDEX(Lookup_NoteRateAll,MATCH("IT_"&amp;RIGHT("000"&amp;TRUNC(D261),3)&amp;TEXT(D261-TRUNC(D261),".0000000000"),Lookup_NoteRateText,0),4)</f>
        <v>97.75</v>
      </c>
      <c r="J261" s="2040"/>
      <c r="K261" s="2041"/>
      <c r="L261" s="2041"/>
      <c r="M261" s="2042"/>
      <c r="N261" s="997" t="s">
        <v>4</v>
      </c>
      <c r="O261" s="997"/>
      <c r="P261" s="997"/>
      <c r="Q261" s="997"/>
      <c r="R261" s="997"/>
      <c r="S261" s="1369" t="s">
        <v>1248</v>
      </c>
      <c r="T261" s="1502" t="e">
        <v>#N/A</v>
      </c>
      <c r="U261" s="1503" t="e">
        <v>#N/A</v>
      </c>
      <c r="V261" s="1503" t="e">
        <v>#N/A</v>
      </c>
      <c r="W261" s="1503" t="e">
        <v>#N/A</v>
      </c>
      <c r="X261" s="1503" t="e">
        <v>#N/A</v>
      </c>
      <c r="Y261" s="1503" t="e">
        <v>#N/A</v>
      </c>
      <c r="Z261" s="1515" t="e">
        <v>#N/A</v>
      </c>
      <c r="AA261" s="1528" t="e">
        <v>#N/A</v>
      </c>
      <c r="AB261" s="1529" t="e">
        <v>#N/A</v>
      </c>
      <c r="AC261" s="47"/>
      <c r="AE261"/>
      <c r="AF261" s="218"/>
    </row>
    <row r="262" spans="1:32" ht="14.45" hidden="1" customHeight="1" x14ac:dyDescent="0.25">
      <c r="A262" s="10" t="s">
        <v>461</v>
      </c>
      <c r="B262" s="5"/>
      <c r="C262" s="41"/>
      <c r="J262" s="2034" t="s">
        <v>8</v>
      </c>
      <c r="K262" s="2035"/>
      <c r="L262" s="2035"/>
      <c r="M262" s="2036"/>
      <c r="N262" s="1005" t="s">
        <v>1782</v>
      </c>
      <c r="O262" s="1005"/>
      <c r="P262" s="1005"/>
      <c r="Q262" s="1005"/>
      <c r="R262" s="1005"/>
      <c r="S262" s="1368" t="s">
        <v>2314</v>
      </c>
      <c r="T262" s="1505" t="e">
        <v>#N/A</v>
      </c>
      <c r="U262" s="1506" t="e">
        <v>#N/A</v>
      </c>
      <c r="V262" s="1506" t="e">
        <v>#N/A</v>
      </c>
      <c r="W262" s="1506" t="e">
        <v>#N/A</v>
      </c>
      <c r="X262" s="1506" t="e">
        <v>#N/A</v>
      </c>
      <c r="Y262" s="1506" t="e">
        <v>#N/A</v>
      </c>
      <c r="Z262" s="1516" t="e">
        <v>#N/A</v>
      </c>
      <c r="AA262" s="1528" t="e">
        <v>#N/A</v>
      </c>
      <c r="AB262" s="1529" t="e">
        <v>#N/A</v>
      </c>
      <c r="AC262" s="47"/>
      <c r="AE262"/>
    </row>
    <row r="263" spans="1:32" ht="14.45" hidden="1" customHeight="1" x14ac:dyDescent="0.25">
      <c r="A263" s="10" t="s">
        <v>459</v>
      </c>
      <c r="B263" s="5"/>
      <c r="C263" s="41"/>
      <c r="J263" s="2037"/>
      <c r="K263" s="2038"/>
      <c r="L263" s="2038"/>
      <c r="M263" s="2039"/>
      <c r="N263" s="984" t="s">
        <v>1783</v>
      </c>
      <c r="O263" s="984"/>
      <c r="P263" s="984"/>
      <c r="Q263" s="984"/>
      <c r="R263" s="984"/>
      <c r="S263" s="1370" t="s">
        <v>2357</v>
      </c>
      <c r="T263" s="1607">
        <v>-0.25</v>
      </c>
      <c r="U263" s="1608">
        <v>-0.25</v>
      </c>
      <c r="V263" s="1608">
        <v>-0.25</v>
      </c>
      <c r="W263" s="1608">
        <v>-0.25</v>
      </c>
      <c r="X263" s="1608">
        <v>-0.25</v>
      </c>
      <c r="Y263" s="1608">
        <v>-0.25</v>
      </c>
      <c r="Z263" s="1608">
        <v>-0.25</v>
      </c>
      <c r="AA263" s="1528" t="e">
        <v>#N/A</v>
      </c>
      <c r="AB263" s="1529" t="e">
        <v>#N/A</v>
      </c>
      <c r="AC263" s="47"/>
      <c r="AE263"/>
    </row>
    <row r="264" spans="1:32" ht="14.45" hidden="1" customHeight="1" x14ac:dyDescent="0.25">
      <c r="A264" s="10" t="s">
        <v>459</v>
      </c>
      <c r="B264" s="5"/>
      <c r="C264" s="41"/>
      <c r="J264" s="2037"/>
      <c r="K264" s="2038"/>
      <c r="L264" s="2038"/>
      <c r="M264" s="2039"/>
      <c r="N264" s="984" t="s">
        <v>1132</v>
      </c>
      <c r="O264" s="984"/>
      <c r="P264" s="984"/>
      <c r="Q264" s="984"/>
      <c r="R264" s="984"/>
      <c r="S264" s="1370" t="s">
        <v>2358</v>
      </c>
      <c r="T264" s="1607">
        <v>-0.25</v>
      </c>
      <c r="U264" s="1608">
        <v>-0.25</v>
      </c>
      <c r="V264" s="1608">
        <v>-0.25</v>
      </c>
      <c r="W264" s="1608">
        <v>-0.25</v>
      </c>
      <c r="X264" s="1608">
        <v>-0.25</v>
      </c>
      <c r="Y264" s="1608">
        <v>-0.25</v>
      </c>
      <c r="Z264" s="1608">
        <v>-0.25</v>
      </c>
      <c r="AA264" s="1528" t="e">
        <v>#N/A</v>
      </c>
      <c r="AB264" s="1529" t="e">
        <v>#N/A</v>
      </c>
      <c r="AC264" s="47"/>
      <c r="AE264"/>
    </row>
    <row r="265" spans="1:32" ht="14.45" hidden="1" customHeight="1" x14ac:dyDescent="0.25">
      <c r="A265" s="10" t="s">
        <v>459</v>
      </c>
      <c r="B265" s="5"/>
      <c r="C265" s="41"/>
      <c r="J265" s="2037"/>
      <c r="K265" s="2038"/>
      <c r="L265" s="2038"/>
      <c r="M265" s="2039"/>
      <c r="N265" s="984" t="s">
        <v>1133</v>
      </c>
      <c r="O265" s="984"/>
      <c r="P265" s="984"/>
      <c r="Q265" s="984"/>
      <c r="R265" s="984"/>
      <c r="S265" s="1370" t="s">
        <v>2359</v>
      </c>
      <c r="T265" s="1607">
        <v>-0.125</v>
      </c>
      <c r="U265" s="1608">
        <v>-0.125</v>
      </c>
      <c r="V265" s="1608">
        <v>-0.125</v>
      </c>
      <c r="W265" s="1608">
        <v>-0.125</v>
      </c>
      <c r="X265" s="1608">
        <v>-0.125</v>
      </c>
      <c r="Y265" s="1608">
        <v>-0.125</v>
      </c>
      <c r="Z265" s="1608">
        <v>-0.125</v>
      </c>
      <c r="AA265" s="1528" t="e">
        <v>#N/A</v>
      </c>
      <c r="AB265" s="1529" t="e">
        <v>#N/A</v>
      </c>
      <c r="AC265" s="47"/>
      <c r="AE265"/>
    </row>
    <row r="266" spans="1:32" ht="14.45" hidden="1" customHeight="1" x14ac:dyDescent="0.25">
      <c r="A266" s="10" t="s">
        <v>459</v>
      </c>
      <c r="B266" s="5"/>
      <c r="C266" s="41"/>
      <c r="J266" s="2037"/>
      <c r="K266" s="2038"/>
      <c r="L266" s="2038"/>
      <c r="M266" s="2039"/>
      <c r="N266" s="984" t="s">
        <v>1134</v>
      </c>
      <c r="O266" s="984"/>
      <c r="P266" s="984"/>
      <c r="Q266" s="984"/>
      <c r="R266" s="984"/>
      <c r="S266" s="1370" t="s">
        <v>2360</v>
      </c>
      <c r="T266" s="1607">
        <v>0</v>
      </c>
      <c r="U266" s="1608">
        <v>0</v>
      </c>
      <c r="V266" s="1608">
        <v>0</v>
      </c>
      <c r="W266" s="1608">
        <v>0</v>
      </c>
      <c r="X266" s="1608">
        <v>0</v>
      </c>
      <c r="Y266" s="1608">
        <v>0</v>
      </c>
      <c r="Z266" s="1608">
        <v>0</v>
      </c>
      <c r="AA266" s="1528" t="e">
        <v>#N/A</v>
      </c>
      <c r="AB266" s="1529" t="e">
        <v>#N/A</v>
      </c>
      <c r="AC266" s="47"/>
      <c r="AE266"/>
    </row>
    <row r="267" spans="1:32" ht="14.45" hidden="1" customHeight="1" x14ac:dyDescent="0.25">
      <c r="A267" s="10" t="s">
        <v>459</v>
      </c>
      <c r="B267" s="5"/>
      <c r="C267" s="41"/>
      <c r="J267" s="2037"/>
      <c r="K267" s="2038"/>
      <c r="L267" s="2038"/>
      <c r="M267" s="2039"/>
      <c r="N267" s="984" t="s">
        <v>1135</v>
      </c>
      <c r="O267" s="984"/>
      <c r="P267" s="984"/>
      <c r="Q267" s="984"/>
      <c r="R267" s="984"/>
      <c r="S267" s="1370" t="s">
        <v>2361</v>
      </c>
      <c r="T267" s="1607">
        <v>0</v>
      </c>
      <c r="U267" s="1608">
        <v>0</v>
      </c>
      <c r="V267" s="1608">
        <v>0</v>
      </c>
      <c r="W267" s="1608">
        <v>0</v>
      </c>
      <c r="X267" s="1608">
        <v>0</v>
      </c>
      <c r="Y267" s="1608">
        <v>0</v>
      </c>
      <c r="Z267" s="1608">
        <v>0</v>
      </c>
      <c r="AA267" s="1528" t="e">
        <v>#N/A</v>
      </c>
      <c r="AB267" s="1529" t="e">
        <v>#N/A</v>
      </c>
      <c r="AC267" s="47"/>
      <c r="AE267"/>
    </row>
    <row r="268" spans="1:32" ht="14.45" hidden="1" customHeight="1" x14ac:dyDescent="0.25">
      <c r="A268" s="10" t="s">
        <v>459</v>
      </c>
      <c r="B268" s="5"/>
      <c r="C268" s="41"/>
      <c r="J268" s="2037"/>
      <c r="K268" s="2038"/>
      <c r="L268" s="2038"/>
      <c r="M268" s="2039"/>
      <c r="N268" s="983" t="s">
        <v>1136</v>
      </c>
      <c r="O268" s="985"/>
      <c r="P268" s="985"/>
      <c r="Q268" s="985"/>
      <c r="R268" s="985"/>
      <c r="S268" s="1370" t="s">
        <v>2362</v>
      </c>
      <c r="T268" s="1607">
        <v>0</v>
      </c>
      <c r="U268" s="1608">
        <v>0</v>
      </c>
      <c r="V268" s="1608">
        <v>0</v>
      </c>
      <c r="W268" s="1608">
        <v>0</v>
      </c>
      <c r="X268" s="1608">
        <v>0</v>
      </c>
      <c r="Y268" s="1608">
        <v>0</v>
      </c>
      <c r="Z268" s="1608">
        <v>0</v>
      </c>
      <c r="AA268" s="1528" t="e">
        <v>#N/A</v>
      </c>
      <c r="AB268" s="1529" t="e">
        <v>#N/A</v>
      </c>
      <c r="AC268" s="47"/>
      <c r="AE268"/>
    </row>
    <row r="269" spans="1:32" ht="14.45" hidden="1" customHeight="1" x14ac:dyDescent="0.25">
      <c r="A269" s="10" t="s">
        <v>459</v>
      </c>
      <c r="B269" s="5"/>
      <c r="C269" s="41"/>
      <c r="I269" s="5"/>
      <c r="J269" s="2037"/>
      <c r="K269" s="2038"/>
      <c r="L269" s="2038"/>
      <c r="M269" s="2039"/>
      <c r="N269" s="983" t="s">
        <v>310</v>
      </c>
      <c r="O269" s="985"/>
      <c r="P269" s="985"/>
      <c r="Q269" s="985"/>
      <c r="R269" s="985"/>
      <c r="S269" s="1366" t="s">
        <v>2363</v>
      </c>
      <c r="T269" s="1607">
        <v>0</v>
      </c>
      <c r="U269" s="1608">
        <v>0</v>
      </c>
      <c r="V269" s="1608">
        <v>0</v>
      </c>
      <c r="W269" s="1608">
        <v>0</v>
      </c>
      <c r="X269" s="1608">
        <v>0</v>
      </c>
      <c r="Y269" s="1608">
        <v>0</v>
      </c>
      <c r="Z269" s="1608">
        <v>0</v>
      </c>
      <c r="AA269" s="1528" t="e">
        <v>#N/A</v>
      </c>
      <c r="AB269" s="1529" t="e">
        <v>#N/A</v>
      </c>
      <c r="AC269" s="47"/>
      <c r="AE269"/>
    </row>
    <row r="270" spans="1:32" ht="14.45" hidden="1" customHeight="1" x14ac:dyDescent="0.25">
      <c r="A270" s="10" t="s">
        <v>459</v>
      </c>
      <c r="B270" s="5"/>
      <c r="C270" s="41"/>
      <c r="I270" s="5"/>
      <c r="J270" s="2037"/>
      <c r="K270" s="2038"/>
      <c r="L270" s="2038"/>
      <c r="M270" s="2039"/>
      <c r="N270" s="983" t="s">
        <v>250</v>
      </c>
      <c r="O270" s="985"/>
      <c r="P270" s="985"/>
      <c r="Q270" s="985"/>
      <c r="R270" s="985"/>
      <c r="S270" s="1366" t="s">
        <v>2364</v>
      </c>
      <c r="T270" s="1607">
        <v>0</v>
      </c>
      <c r="U270" s="1608">
        <v>0</v>
      </c>
      <c r="V270" s="1608">
        <v>0</v>
      </c>
      <c r="W270" s="1608">
        <v>0</v>
      </c>
      <c r="X270" s="1608">
        <v>0</v>
      </c>
      <c r="Y270" s="1608">
        <v>0</v>
      </c>
      <c r="Z270" s="1608">
        <v>0</v>
      </c>
      <c r="AA270" s="1528" t="e">
        <v>#N/A</v>
      </c>
      <c r="AB270" s="1529" t="e">
        <v>#N/A</v>
      </c>
      <c r="AC270" s="47"/>
      <c r="AE270"/>
    </row>
    <row r="271" spans="1:32" ht="14.45" hidden="1" customHeight="1" x14ac:dyDescent="0.25">
      <c r="A271" s="10" t="s">
        <v>459</v>
      </c>
      <c r="B271" s="5"/>
      <c r="C271" s="41"/>
      <c r="I271" s="5"/>
      <c r="J271" s="2037"/>
      <c r="K271" s="2038"/>
      <c r="L271" s="2038"/>
      <c r="M271" s="2039"/>
      <c r="N271" s="983" t="s">
        <v>12</v>
      </c>
      <c r="O271" s="985"/>
      <c r="P271" s="985"/>
      <c r="Q271" s="985"/>
      <c r="R271" s="985"/>
      <c r="S271" s="1366" t="s">
        <v>2365</v>
      </c>
      <c r="T271" s="1607">
        <v>0</v>
      </c>
      <c r="U271" s="1608">
        <v>0</v>
      </c>
      <c r="V271" s="1608">
        <v>0</v>
      </c>
      <c r="W271" s="1608">
        <v>0</v>
      </c>
      <c r="X271" s="1608">
        <v>0</v>
      </c>
      <c r="Y271" s="1608">
        <v>0</v>
      </c>
      <c r="Z271" s="1608">
        <v>0</v>
      </c>
      <c r="AA271" s="1528" t="e">
        <v>#N/A</v>
      </c>
      <c r="AB271" s="1529" t="e">
        <v>#N/A</v>
      </c>
      <c r="AC271" s="47"/>
      <c r="AE271"/>
    </row>
    <row r="272" spans="1:32" ht="14.45" hidden="1" customHeight="1" x14ac:dyDescent="0.25">
      <c r="A272" s="10" t="s">
        <v>459</v>
      </c>
      <c r="C272" s="42"/>
      <c r="I272" s="5"/>
      <c r="J272" s="2037"/>
      <c r="K272" s="2038"/>
      <c r="L272" s="2038"/>
      <c r="M272" s="2039"/>
      <c r="N272" s="1006" t="s">
        <v>13</v>
      </c>
      <c r="O272" s="1027"/>
      <c r="P272" s="1027"/>
      <c r="Q272" s="1027"/>
      <c r="R272" s="1793"/>
      <c r="S272" s="1366" t="s">
        <v>2366</v>
      </c>
      <c r="T272" s="1610">
        <v>0</v>
      </c>
      <c r="U272" s="1611">
        <v>0</v>
      </c>
      <c r="V272" s="1611">
        <v>0</v>
      </c>
      <c r="W272" s="1611">
        <v>0</v>
      </c>
      <c r="X272" s="1611">
        <v>0</v>
      </c>
      <c r="Y272" s="1611">
        <v>0</v>
      </c>
      <c r="Z272" s="1611">
        <v>0</v>
      </c>
      <c r="AA272" s="1528" t="e">
        <v>#N/A</v>
      </c>
      <c r="AB272" s="1529" t="e">
        <v>#N/A</v>
      </c>
      <c r="AC272" s="47"/>
      <c r="AE272"/>
    </row>
    <row r="273" spans="1:32" ht="14.45" hidden="1" customHeight="1" x14ac:dyDescent="0.25">
      <c r="A273" s="10" t="s">
        <v>461</v>
      </c>
      <c r="C273" s="42"/>
      <c r="J273" s="2037"/>
      <c r="K273" s="2038"/>
      <c r="L273" s="2038"/>
      <c r="M273" s="2039"/>
      <c r="N273" s="984" t="s">
        <v>89</v>
      </c>
      <c r="O273" s="984"/>
      <c r="P273" s="984"/>
      <c r="Q273" s="984"/>
      <c r="R273" s="984"/>
      <c r="S273" s="1366" t="s">
        <v>2367</v>
      </c>
      <c r="T273" s="1499" t="e">
        <v>#N/A</v>
      </c>
      <c r="U273" s="1500" t="e">
        <v>#N/A</v>
      </c>
      <c r="V273" s="1500" t="e">
        <v>#N/A</v>
      </c>
      <c r="W273" s="1500" t="e">
        <v>#N/A</v>
      </c>
      <c r="X273" s="1500" t="e">
        <v>#N/A</v>
      </c>
      <c r="Y273" s="1500" t="e">
        <v>#N/A</v>
      </c>
      <c r="Z273" s="1514" t="e">
        <v>#N/A</v>
      </c>
      <c r="AA273" s="1528" t="e">
        <v>#N/A</v>
      </c>
      <c r="AB273" s="1529" t="e">
        <v>#N/A</v>
      </c>
      <c r="AC273" s="43"/>
      <c r="AE273"/>
    </row>
    <row r="274" spans="1:32" ht="14.45" hidden="1" customHeight="1" x14ac:dyDescent="0.25">
      <c r="A274" s="10" t="s">
        <v>461</v>
      </c>
      <c r="C274" s="42"/>
      <c r="J274" s="2037"/>
      <c r="K274" s="2038"/>
      <c r="L274" s="2038"/>
      <c r="M274" s="2039"/>
      <c r="N274" s="985" t="s">
        <v>86</v>
      </c>
      <c r="O274" s="985"/>
      <c r="P274" s="985"/>
      <c r="Q274" s="985"/>
      <c r="R274" s="985"/>
      <c r="S274" s="1366" t="s">
        <v>2368</v>
      </c>
      <c r="T274" s="1499" t="e">
        <v>#N/A</v>
      </c>
      <c r="U274" s="1500" t="e">
        <v>#N/A</v>
      </c>
      <c r="V274" s="1500" t="e">
        <v>#N/A</v>
      </c>
      <c r="W274" s="1500" t="e">
        <v>#N/A</v>
      </c>
      <c r="X274" s="1500" t="e">
        <v>#N/A</v>
      </c>
      <c r="Y274" s="1500" t="e">
        <v>#N/A</v>
      </c>
      <c r="Z274" s="1514" t="e">
        <v>#N/A</v>
      </c>
      <c r="AA274" s="1528" t="e">
        <v>#N/A</v>
      </c>
      <c r="AB274" s="1529" t="e">
        <v>#N/A</v>
      </c>
      <c r="AC274" s="43"/>
      <c r="AE274"/>
    </row>
    <row r="275" spans="1:32" ht="14.45" hidden="1" customHeight="1" x14ac:dyDescent="0.25">
      <c r="A275" s="10" t="s">
        <v>461</v>
      </c>
      <c r="C275" s="42"/>
      <c r="J275" s="2037"/>
      <c r="K275" s="2038"/>
      <c r="L275" s="2038"/>
      <c r="M275" s="2039"/>
      <c r="N275" s="985" t="s">
        <v>87</v>
      </c>
      <c r="O275" s="985"/>
      <c r="P275" s="985"/>
      <c r="Q275" s="985"/>
      <c r="R275" s="985"/>
      <c r="S275" s="1366" t="s">
        <v>2369</v>
      </c>
      <c r="T275" s="1499" t="e">
        <v>#N/A</v>
      </c>
      <c r="U275" s="1500" t="e">
        <v>#N/A</v>
      </c>
      <c r="V275" s="1500" t="e">
        <v>#N/A</v>
      </c>
      <c r="W275" s="1500" t="e">
        <v>#N/A</v>
      </c>
      <c r="X275" s="1500" t="e">
        <v>#N/A</v>
      </c>
      <c r="Y275" s="1500" t="e">
        <v>#N/A</v>
      </c>
      <c r="Z275" s="1514" t="e">
        <v>#N/A</v>
      </c>
      <c r="AA275" s="1528" t="e">
        <v>#N/A</v>
      </c>
      <c r="AB275" s="1529" t="e">
        <v>#N/A</v>
      </c>
      <c r="AC275" s="43"/>
      <c r="AE275"/>
    </row>
    <row r="276" spans="1:32" ht="14.45" hidden="1" customHeight="1" x14ac:dyDescent="0.25">
      <c r="A276" s="10" t="s">
        <v>461</v>
      </c>
      <c r="C276" s="42"/>
      <c r="J276" s="2037"/>
      <c r="K276" s="2038"/>
      <c r="L276" s="2038"/>
      <c r="M276" s="2039"/>
      <c r="N276" s="985" t="s">
        <v>144</v>
      </c>
      <c r="O276" s="985"/>
      <c r="P276" s="985"/>
      <c r="Q276" s="985"/>
      <c r="R276" s="985"/>
      <c r="S276" s="1366" t="s">
        <v>2370</v>
      </c>
      <c r="T276" s="1499" t="e">
        <v>#N/A</v>
      </c>
      <c r="U276" s="1500" t="e">
        <v>#N/A</v>
      </c>
      <c r="V276" s="1500" t="e">
        <v>#N/A</v>
      </c>
      <c r="W276" s="1500" t="e">
        <v>#N/A</v>
      </c>
      <c r="X276" s="1500" t="e">
        <v>#N/A</v>
      </c>
      <c r="Y276" s="1500" t="e">
        <v>#N/A</v>
      </c>
      <c r="Z276" s="1514" t="e">
        <v>#N/A</v>
      </c>
      <c r="AA276" s="1528" t="e">
        <v>#N/A</v>
      </c>
      <c r="AB276" s="1529" t="e">
        <v>#N/A</v>
      </c>
      <c r="AC276" s="43"/>
      <c r="AE276"/>
    </row>
    <row r="277" spans="1:32" ht="14.45" hidden="1" customHeight="1" x14ac:dyDescent="0.25">
      <c r="A277" s="10" t="s">
        <v>461</v>
      </c>
      <c r="C277" s="42"/>
      <c r="J277" s="2037"/>
      <c r="K277" s="2038"/>
      <c r="L277" s="2038"/>
      <c r="M277" s="2039"/>
      <c r="N277" s="985" t="s">
        <v>145</v>
      </c>
      <c r="O277" s="985"/>
      <c r="P277" s="985"/>
      <c r="Q277" s="985"/>
      <c r="R277" s="985"/>
      <c r="S277" s="1366" t="s">
        <v>2371</v>
      </c>
      <c r="T277" s="1499" t="e">
        <v>#N/A</v>
      </c>
      <c r="U277" s="1500" t="e">
        <v>#N/A</v>
      </c>
      <c r="V277" s="1500" t="e">
        <v>#N/A</v>
      </c>
      <c r="W277" s="1500" t="e">
        <v>#N/A</v>
      </c>
      <c r="X277" s="1500" t="e">
        <v>#N/A</v>
      </c>
      <c r="Y277" s="1500" t="e">
        <v>#N/A</v>
      </c>
      <c r="Z277" s="1514" t="e">
        <v>#N/A</v>
      </c>
      <c r="AA277" s="1528" t="e">
        <v>#N/A</v>
      </c>
      <c r="AB277" s="1529" t="e">
        <v>#N/A</v>
      </c>
      <c r="AC277" s="43"/>
      <c r="AE277"/>
    </row>
    <row r="278" spans="1:32" ht="14.45" hidden="1" customHeight="1" x14ac:dyDescent="0.25">
      <c r="A278" s="10" t="s">
        <v>461</v>
      </c>
      <c r="C278" s="42"/>
      <c r="J278" s="2037"/>
      <c r="K278" s="2038"/>
      <c r="L278" s="2038"/>
      <c r="M278" s="2039"/>
      <c r="N278" s="985" t="s">
        <v>123</v>
      </c>
      <c r="O278" s="985"/>
      <c r="P278" s="985"/>
      <c r="Q278" s="985"/>
      <c r="R278" s="985"/>
      <c r="S278" s="1366" t="s">
        <v>2372</v>
      </c>
      <c r="T278" s="1499" t="e">
        <v>#N/A</v>
      </c>
      <c r="U278" s="1500" t="e">
        <v>#N/A</v>
      </c>
      <c r="V278" s="1500" t="e">
        <v>#N/A</v>
      </c>
      <c r="W278" s="1500" t="e">
        <v>#N/A</v>
      </c>
      <c r="X278" s="1500" t="e">
        <v>#N/A</v>
      </c>
      <c r="Y278" s="1500" t="e">
        <v>#N/A</v>
      </c>
      <c r="Z278" s="1514" t="e">
        <v>#N/A</v>
      </c>
      <c r="AA278" s="1528" t="e">
        <v>#N/A</v>
      </c>
      <c r="AB278" s="1529" t="e">
        <v>#N/A</v>
      </c>
      <c r="AC278" s="43"/>
      <c r="AE278"/>
    </row>
    <row r="279" spans="1:32" ht="14.45" hidden="1" customHeight="1" x14ac:dyDescent="0.25">
      <c r="A279" s="10" t="s">
        <v>461</v>
      </c>
      <c r="C279" s="42"/>
      <c r="J279" s="2037"/>
      <c r="K279" s="2038"/>
      <c r="L279" s="2038"/>
      <c r="M279" s="2039"/>
      <c r="N279" s="985" t="s">
        <v>229</v>
      </c>
      <c r="O279" s="985"/>
      <c r="P279" s="985"/>
      <c r="Q279" s="985"/>
      <c r="R279" s="985"/>
      <c r="S279" s="1366" t="s">
        <v>2373</v>
      </c>
      <c r="T279" s="1499" t="e">
        <v>#N/A</v>
      </c>
      <c r="U279" s="1500" t="e">
        <v>#N/A</v>
      </c>
      <c r="V279" s="1500" t="e">
        <v>#N/A</v>
      </c>
      <c r="W279" s="1500" t="e">
        <v>#N/A</v>
      </c>
      <c r="X279" s="1500" t="e">
        <v>#N/A</v>
      </c>
      <c r="Y279" s="1500" t="e">
        <v>#N/A</v>
      </c>
      <c r="Z279" s="1514" t="e">
        <v>#N/A</v>
      </c>
      <c r="AA279" s="1528" t="e">
        <v>#N/A</v>
      </c>
      <c r="AB279" s="1529" t="e">
        <v>#N/A</v>
      </c>
      <c r="AC279" s="43"/>
      <c r="AE279"/>
    </row>
    <row r="280" spans="1:32" ht="14.45" hidden="1" customHeight="1" x14ac:dyDescent="0.25">
      <c r="A280" s="10" t="s">
        <v>461</v>
      </c>
      <c r="C280" s="42"/>
      <c r="J280" s="2037"/>
      <c r="K280" s="2038"/>
      <c r="L280" s="2038"/>
      <c r="M280" s="2039"/>
      <c r="N280" s="985" t="s">
        <v>230</v>
      </c>
      <c r="O280" s="985"/>
      <c r="P280" s="985"/>
      <c r="Q280" s="985"/>
      <c r="R280" s="985"/>
      <c r="S280" s="1394" t="s">
        <v>2374</v>
      </c>
      <c r="T280" s="1499" t="e">
        <v>#N/A</v>
      </c>
      <c r="U280" s="1500" t="e">
        <v>#N/A</v>
      </c>
      <c r="V280" s="1500" t="e">
        <v>#N/A</v>
      </c>
      <c r="W280" s="1500" t="e">
        <v>#N/A</v>
      </c>
      <c r="X280" s="1500" t="e">
        <v>#N/A</v>
      </c>
      <c r="Y280" s="1500" t="e">
        <v>#N/A</v>
      </c>
      <c r="Z280" s="1514" t="e">
        <v>#N/A</v>
      </c>
      <c r="AA280" s="1528" t="e">
        <v>#N/A</v>
      </c>
      <c r="AB280" s="1529" t="e">
        <v>#N/A</v>
      </c>
      <c r="AC280" s="43"/>
      <c r="AE280"/>
    </row>
    <row r="281" spans="1:32" ht="14.45" hidden="1" customHeight="1" x14ac:dyDescent="0.25">
      <c r="A281" s="10" t="s">
        <v>461</v>
      </c>
      <c r="C281" s="42"/>
      <c r="J281" s="2037"/>
      <c r="K281" s="2038"/>
      <c r="L281" s="2038"/>
      <c r="M281" s="2039"/>
      <c r="N281" s="985" t="s">
        <v>231</v>
      </c>
      <c r="O281" s="985"/>
      <c r="P281" s="985"/>
      <c r="Q281" s="985"/>
      <c r="R281" s="985"/>
      <c r="S281" s="1394" t="s">
        <v>2375</v>
      </c>
      <c r="T281" s="1499" t="e">
        <v>#N/A</v>
      </c>
      <c r="U281" s="1500" t="e">
        <v>#N/A</v>
      </c>
      <c r="V281" s="1500" t="e">
        <v>#N/A</v>
      </c>
      <c r="W281" s="1500" t="e">
        <v>#N/A</v>
      </c>
      <c r="X281" s="1500" t="e">
        <v>#N/A</v>
      </c>
      <c r="Y281" s="1500" t="e">
        <v>#N/A</v>
      </c>
      <c r="Z281" s="1514" t="e">
        <v>#N/A</v>
      </c>
      <c r="AA281" s="1528" t="e">
        <v>#N/A</v>
      </c>
      <c r="AB281" s="1529" t="e">
        <v>#N/A</v>
      </c>
      <c r="AC281" s="43"/>
      <c r="AE281"/>
    </row>
    <row r="282" spans="1:32" ht="14.45" hidden="1" customHeight="1" x14ac:dyDescent="0.25">
      <c r="A282" s="10" t="s">
        <v>461</v>
      </c>
      <c r="C282" s="42"/>
      <c r="J282" s="2040"/>
      <c r="K282" s="2041"/>
      <c r="L282" s="2041"/>
      <c r="M282" s="2042"/>
      <c r="N282" s="1027" t="s">
        <v>228</v>
      </c>
      <c r="O282" s="1027"/>
      <c r="P282" s="1027"/>
      <c r="Q282" s="1027"/>
      <c r="R282" s="1027"/>
      <c r="S282" s="1372" t="s">
        <v>2376</v>
      </c>
      <c r="T282" s="1502" t="e">
        <v>#N/A</v>
      </c>
      <c r="U282" s="1503" t="e">
        <v>#N/A</v>
      </c>
      <c r="V282" s="1503" t="e">
        <v>#N/A</v>
      </c>
      <c r="W282" s="1503" t="e">
        <v>#N/A</v>
      </c>
      <c r="X282" s="1503" t="e">
        <v>#N/A</v>
      </c>
      <c r="Y282" s="1503" t="e">
        <v>#N/A</v>
      </c>
      <c r="Z282" s="1515" t="e">
        <v>#N/A</v>
      </c>
      <c r="AA282" s="1528" t="e">
        <v>#N/A</v>
      </c>
      <c r="AB282" s="1529" t="e">
        <v>#N/A</v>
      </c>
      <c r="AC282" s="43"/>
      <c r="AE282"/>
    </row>
    <row r="283" spans="1:32" ht="14.45" hidden="1" customHeight="1" x14ac:dyDescent="0.25">
      <c r="A283" s="10" t="s">
        <v>461</v>
      </c>
      <c r="C283" s="42"/>
      <c r="J283" s="2034" t="s">
        <v>14</v>
      </c>
      <c r="K283" s="2035"/>
      <c r="L283" s="2035"/>
      <c r="M283" s="2036"/>
      <c r="N283" s="1005" t="s">
        <v>111</v>
      </c>
      <c r="O283" s="1005"/>
      <c r="P283" s="1005"/>
      <c r="Q283" s="1005"/>
      <c r="R283" s="1005"/>
      <c r="S283" s="1368" t="s">
        <v>1249</v>
      </c>
      <c r="T283" s="1674">
        <v>0</v>
      </c>
      <c r="U283" s="1675">
        <v>0</v>
      </c>
      <c r="V283" s="1675">
        <v>0</v>
      </c>
      <c r="W283" s="1675">
        <v>0</v>
      </c>
      <c r="X283" s="1675">
        <v>0</v>
      </c>
      <c r="Y283" s="1675">
        <v>0</v>
      </c>
      <c r="Z283" s="1688">
        <v>0</v>
      </c>
      <c r="AA283" s="1528" t="e">
        <v>#N/A</v>
      </c>
      <c r="AB283" s="1529" t="e">
        <v>#N/A</v>
      </c>
      <c r="AC283" s="43"/>
      <c r="AF283" s="218"/>
    </row>
    <row r="284" spans="1:32" ht="14.45" hidden="1" customHeight="1" x14ac:dyDescent="0.25">
      <c r="A284" s="10" t="s">
        <v>459</v>
      </c>
      <c r="C284" s="42"/>
      <c r="D284" s="4" t="s">
        <v>289</v>
      </c>
      <c r="J284" s="2037"/>
      <c r="K284" s="2038"/>
      <c r="L284" s="2038"/>
      <c r="M284" s="2039"/>
      <c r="N284" s="985" t="s">
        <v>32</v>
      </c>
      <c r="O284" s="985"/>
      <c r="P284" s="985"/>
      <c r="Q284" s="985"/>
      <c r="R284" s="985"/>
      <c r="S284" s="1366" t="s">
        <v>1250</v>
      </c>
      <c r="T284" s="1604">
        <v>0</v>
      </c>
      <c r="U284" s="1605">
        <v>0</v>
      </c>
      <c r="V284" s="1605">
        <v>0</v>
      </c>
      <c r="W284" s="1605">
        <v>0</v>
      </c>
      <c r="X284" s="1605">
        <v>0</v>
      </c>
      <c r="Y284" s="1605">
        <v>0</v>
      </c>
      <c r="Z284" s="1605">
        <v>0</v>
      </c>
      <c r="AA284" s="1528" t="e">
        <v>#N/A</v>
      </c>
      <c r="AB284" s="1529" t="e">
        <v>#N/A</v>
      </c>
      <c r="AC284" s="43"/>
      <c r="AF284" s="218"/>
    </row>
    <row r="285" spans="1:32" ht="14.45" hidden="1" customHeight="1" x14ac:dyDescent="0.25">
      <c r="A285" s="10" t="s">
        <v>459</v>
      </c>
      <c r="C285" s="42"/>
      <c r="D285" s="11" t="s">
        <v>217</v>
      </c>
      <c r="E285" s="12"/>
      <c r="F285" s="99">
        <f>Input_PL_MaxPriceFinal_IR_NoPP</f>
        <v>102</v>
      </c>
      <c r="J285" s="2037"/>
      <c r="K285" s="2038"/>
      <c r="L285" s="2038"/>
      <c r="M285" s="2039"/>
      <c r="N285" s="983" t="s">
        <v>1319</v>
      </c>
      <c r="O285" s="985"/>
      <c r="P285" s="985"/>
      <c r="Q285" s="985"/>
      <c r="R285" s="985"/>
      <c r="S285" s="1366" t="s">
        <v>1323</v>
      </c>
      <c r="T285" s="1607">
        <v>-0.25</v>
      </c>
      <c r="U285" s="1608">
        <v>-0.25</v>
      </c>
      <c r="V285" s="1608">
        <v>-0.25</v>
      </c>
      <c r="W285" s="1608">
        <v>-0.375</v>
      </c>
      <c r="X285" s="1608">
        <v>-0.375</v>
      </c>
      <c r="Y285" s="1608">
        <v>-0.375</v>
      </c>
      <c r="Z285" s="1608">
        <v>-0.5</v>
      </c>
      <c r="AA285" s="1528" t="e">
        <v>#N/A</v>
      </c>
      <c r="AB285" s="1529" t="e">
        <v>#N/A</v>
      </c>
      <c r="AC285" s="43"/>
      <c r="AF285" s="218"/>
    </row>
    <row r="286" spans="1:32" ht="14.45" hidden="1" customHeight="1" x14ac:dyDescent="0.25">
      <c r="A286" s="10" t="s">
        <v>459</v>
      </c>
      <c r="C286" s="42"/>
      <c r="D286" s="13" t="s">
        <v>218</v>
      </c>
      <c r="E286" s="14"/>
      <c r="F286" s="100">
        <f>_xlfn.SINGLE(Input_PL_MaxPriceFinal_IR_01PP)</f>
        <v>102</v>
      </c>
      <c r="J286" s="2037"/>
      <c r="K286" s="2038"/>
      <c r="L286" s="2038"/>
      <c r="M286" s="2039"/>
      <c r="N286" s="1006" t="s">
        <v>1320</v>
      </c>
      <c r="O286" s="1027"/>
      <c r="P286" s="1027"/>
      <c r="Q286" s="1027"/>
      <c r="R286" s="1793"/>
      <c r="S286" s="1366" t="s">
        <v>1324</v>
      </c>
      <c r="T286" s="1610">
        <v>-0.75</v>
      </c>
      <c r="U286" s="1611">
        <v>-0.75</v>
      </c>
      <c r="V286" s="1611">
        <v>-0.75</v>
      </c>
      <c r="W286" s="1611">
        <v>-0.75</v>
      </c>
      <c r="X286" s="1611">
        <v>-0.75</v>
      </c>
      <c r="Y286" s="1611">
        <v>-0.75</v>
      </c>
      <c r="Z286" s="1611">
        <v>-1</v>
      </c>
      <c r="AA286" s="1528" t="e">
        <v>#N/A</v>
      </c>
      <c r="AB286" s="1529" t="e">
        <v>#N/A</v>
      </c>
      <c r="AC286" s="43"/>
      <c r="AF286" s="218"/>
    </row>
    <row r="287" spans="1:32" ht="14.45" hidden="1" customHeight="1" x14ac:dyDescent="0.25">
      <c r="A287" s="10" t="s">
        <v>461</v>
      </c>
      <c r="C287" s="42"/>
      <c r="J287" s="2040"/>
      <c r="K287" s="2041"/>
      <c r="L287" s="2041"/>
      <c r="M287" s="2042"/>
      <c r="N287" s="1048" t="s">
        <v>15</v>
      </c>
      <c r="O287" s="1048"/>
      <c r="P287" s="1048"/>
      <c r="Q287" s="1048"/>
      <c r="R287" s="1048"/>
      <c r="S287" s="1372" t="s">
        <v>1251</v>
      </c>
      <c r="T287" s="1502" t="e">
        <v>#N/A</v>
      </c>
      <c r="U287" s="1503" t="e">
        <v>#N/A</v>
      </c>
      <c r="V287" s="1503" t="e">
        <v>#N/A</v>
      </c>
      <c r="W287" s="1503" t="e">
        <v>#N/A</v>
      </c>
      <c r="X287" s="1503" t="e">
        <v>#N/A</v>
      </c>
      <c r="Y287" s="1503" t="e">
        <v>#N/A</v>
      </c>
      <c r="Z287" s="1515" t="e">
        <v>#N/A</v>
      </c>
      <c r="AA287" s="1528" t="e">
        <v>#N/A</v>
      </c>
      <c r="AB287" s="1529" t="e">
        <v>#N/A</v>
      </c>
      <c r="AC287" s="43"/>
      <c r="AF287" s="218"/>
    </row>
    <row r="288" spans="1:32" ht="14.45" hidden="1" customHeight="1" x14ac:dyDescent="0.25">
      <c r="A288" s="10" t="s">
        <v>461</v>
      </c>
      <c r="C288" s="42"/>
      <c r="J288" s="2034" t="s">
        <v>62</v>
      </c>
      <c r="K288" s="2035"/>
      <c r="L288" s="2035"/>
      <c r="M288" s="2036"/>
      <c r="N288" s="1005" t="s">
        <v>99</v>
      </c>
      <c r="O288" s="1005"/>
      <c r="P288" s="1005"/>
      <c r="Q288" s="1005"/>
      <c r="R288" s="1005"/>
      <c r="S288" s="1368" t="s">
        <v>1252</v>
      </c>
      <c r="T288" s="1613">
        <v>0</v>
      </c>
      <c r="U288" s="1614">
        <v>0</v>
      </c>
      <c r="V288" s="1614">
        <v>0</v>
      </c>
      <c r="W288" s="1614">
        <v>0</v>
      </c>
      <c r="X288" s="1614">
        <v>0</v>
      </c>
      <c r="Y288" s="1614">
        <v>0</v>
      </c>
      <c r="Z288" s="1614">
        <v>0</v>
      </c>
      <c r="AA288" s="1528" t="e">
        <v>#N/A</v>
      </c>
      <c r="AB288" s="1529" t="e">
        <v>#N/A</v>
      </c>
      <c r="AC288" s="43"/>
      <c r="AF288" s="218"/>
    </row>
    <row r="289" spans="1:32" ht="14.45" hidden="1" customHeight="1" x14ac:dyDescent="0.25">
      <c r="A289" s="10" t="s">
        <v>459</v>
      </c>
      <c r="C289" s="42"/>
      <c r="D289" s="20" t="s">
        <v>219</v>
      </c>
      <c r="E289" s="21"/>
      <c r="F289" s="101">
        <f>_xlfn.SINGLE(Input_PL_MaxPriceFinal_IR_02PP)</f>
        <v>102</v>
      </c>
      <c r="J289" s="2037"/>
      <c r="K289" s="2038"/>
      <c r="L289" s="2038"/>
      <c r="M289" s="2039"/>
      <c r="N289" s="306" t="s">
        <v>1143</v>
      </c>
      <c r="O289" s="306"/>
      <c r="P289" s="306"/>
      <c r="Q289" s="306"/>
      <c r="R289" s="306"/>
      <c r="S289" s="1382" t="s">
        <v>2011</v>
      </c>
      <c r="T289" s="1607">
        <v>0.25</v>
      </c>
      <c r="U289" s="1608">
        <v>0.25</v>
      </c>
      <c r="V289" s="1608">
        <v>0.25</v>
      </c>
      <c r="W289" s="1608">
        <v>0.25</v>
      </c>
      <c r="X289" s="1608">
        <v>0.25</v>
      </c>
      <c r="Y289" s="1608">
        <v>0.25</v>
      </c>
      <c r="Z289" s="1608">
        <v>0.25</v>
      </c>
      <c r="AA289" s="1528" t="e">
        <v>#N/A</v>
      </c>
      <c r="AB289" s="1529" t="e">
        <v>#N/A</v>
      </c>
      <c r="AC289" s="43"/>
      <c r="AF289" s="218"/>
    </row>
    <row r="290" spans="1:32" ht="14.45" hidden="1" customHeight="1" x14ac:dyDescent="0.25">
      <c r="A290" s="10" t="s">
        <v>459</v>
      </c>
      <c r="C290" s="42"/>
      <c r="D290" s="20" t="s">
        <v>220</v>
      </c>
      <c r="E290" s="21"/>
      <c r="F290" s="101">
        <f>_xlfn.SINGLE(Input_PL_MaxPriceFinal_IR_03PP)</f>
        <v>102.5</v>
      </c>
      <c r="J290" s="2037"/>
      <c r="K290" s="2038"/>
      <c r="L290" s="2038"/>
      <c r="M290" s="2039"/>
      <c r="N290" s="306" t="s">
        <v>299</v>
      </c>
      <c r="O290" s="306"/>
      <c r="P290" s="306"/>
      <c r="Q290" s="306"/>
      <c r="R290" s="306"/>
      <c r="S290" s="1382" t="s">
        <v>2012</v>
      </c>
      <c r="T290" s="1607">
        <v>0</v>
      </c>
      <c r="U290" s="1608">
        <v>0</v>
      </c>
      <c r="V290" s="1608">
        <v>0</v>
      </c>
      <c r="W290" s="1608">
        <v>0</v>
      </c>
      <c r="X290" s="1608">
        <v>0</v>
      </c>
      <c r="Y290" s="1608">
        <v>0</v>
      </c>
      <c r="Z290" s="1608">
        <v>0</v>
      </c>
      <c r="AA290" s="1528" t="e">
        <v>#N/A</v>
      </c>
      <c r="AB290" s="1529" t="e">
        <v>#N/A</v>
      </c>
      <c r="AC290" s="43"/>
      <c r="AF290" s="218"/>
    </row>
    <row r="291" spans="1:32" ht="14.45" hidden="1" customHeight="1" x14ac:dyDescent="0.25">
      <c r="A291" s="10" t="s">
        <v>459</v>
      </c>
      <c r="C291" s="42"/>
      <c r="D291" s="20" t="s">
        <v>440</v>
      </c>
      <c r="E291" s="21"/>
      <c r="F291" s="101">
        <f>_xlfn.SINGLE(Input_PL_MaxPriceFinal_IR_04PP)</f>
        <v>102.5</v>
      </c>
      <c r="J291" s="2037"/>
      <c r="K291" s="2038"/>
      <c r="L291" s="2038"/>
      <c r="M291" s="2039"/>
      <c r="N291" s="306" t="s">
        <v>298</v>
      </c>
      <c r="O291" s="306"/>
      <c r="P291" s="306"/>
      <c r="Q291" s="306"/>
      <c r="R291" s="306"/>
      <c r="S291" s="1382" t="s">
        <v>2013</v>
      </c>
      <c r="T291" s="1607">
        <v>-0.25</v>
      </c>
      <c r="U291" s="1608">
        <v>-0.25</v>
      </c>
      <c r="V291" s="1608">
        <v>-0.25</v>
      </c>
      <c r="W291" s="1608">
        <v>-0.375</v>
      </c>
      <c r="X291" s="1608">
        <v>-0.375</v>
      </c>
      <c r="Y291" s="1608">
        <v>-0.375</v>
      </c>
      <c r="Z291" s="1608">
        <v>-0.5</v>
      </c>
      <c r="AA291" s="1528" t="e">
        <v>#N/A</v>
      </c>
      <c r="AB291" s="1529" t="e">
        <v>#N/A</v>
      </c>
      <c r="AC291" s="43"/>
      <c r="AF291" s="218"/>
    </row>
    <row r="292" spans="1:32" ht="14.45" hidden="1" customHeight="1" x14ac:dyDescent="0.25">
      <c r="A292" s="10" t="s">
        <v>459</v>
      </c>
      <c r="C292" s="42"/>
      <c r="D292" s="15" t="s">
        <v>441</v>
      </c>
      <c r="E292" s="16"/>
      <c r="F292" s="102">
        <f>_xlfn.SINGLE(Input_PL_MaxPriceFinal_IR_05PP)</f>
        <v>102.5</v>
      </c>
      <c r="J292" s="2037"/>
      <c r="K292" s="2038"/>
      <c r="L292" s="2038"/>
      <c r="M292" s="2039"/>
      <c r="N292" s="306" t="s">
        <v>350</v>
      </c>
      <c r="O292" s="306"/>
      <c r="P292" s="306"/>
      <c r="Q292" s="306"/>
      <c r="R292" s="306"/>
      <c r="S292" s="1382" t="s">
        <v>2014</v>
      </c>
      <c r="T292" s="1607">
        <v>-0.75</v>
      </c>
      <c r="U292" s="1608">
        <v>-0.75</v>
      </c>
      <c r="V292" s="1608">
        <v>-0.75</v>
      </c>
      <c r="W292" s="1608">
        <v>-0.75</v>
      </c>
      <c r="X292" s="1608">
        <v>-0.75</v>
      </c>
      <c r="Y292" s="1608">
        <v>-0.75</v>
      </c>
      <c r="Z292" s="1608">
        <v>-1</v>
      </c>
      <c r="AA292" s="1528" t="e">
        <v>#N/A</v>
      </c>
      <c r="AB292" s="1529" t="e">
        <v>#N/A</v>
      </c>
      <c r="AC292" s="43"/>
      <c r="AF292" s="218"/>
    </row>
    <row r="293" spans="1:32" ht="14.45" hidden="1" customHeight="1" x14ac:dyDescent="0.25">
      <c r="A293" s="10" t="s">
        <v>461</v>
      </c>
      <c r="C293" s="42"/>
      <c r="J293" s="2037"/>
      <c r="K293" s="2038"/>
      <c r="L293" s="2038"/>
      <c r="M293" s="2039"/>
      <c r="N293" s="306" t="s">
        <v>351</v>
      </c>
      <c r="O293" s="306"/>
      <c r="P293" s="306"/>
      <c r="Q293" s="306"/>
      <c r="R293" s="306"/>
      <c r="S293" s="1382" t="s">
        <v>2015</v>
      </c>
      <c r="T293" s="1747" t="e">
        <v>#N/A</v>
      </c>
      <c r="U293" s="1748" t="e">
        <v>#N/A</v>
      </c>
      <c r="V293" s="1748" t="e">
        <v>#N/A</v>
      </c>
      <c r="W293" s="1748" t="e">
        <v>#N/A</v>
      </c>
      <c r="X293" s="1748" t="e">
        <v>#N/A</v>
      </c>
      <c r="Y293" s="1748" t="e">
        <v>#N/A</v>
      </c>
      <c r="Z293" s="1748" t="e">
        <v>#N/A</v>
      </c>
      <c r="AA293" s="1528" t="e">
        <v>#N/A</v>
      </c>
      <c r="AB293" s="1529" t="e">
        <v>#N/A</v>
      </c>
      <c r="AC293" s="43"/>
      <c r="AF293" s="218"/>
    </row>
    <row r="294" spans="1:32" ht="14.45" hidden="1" customHeight="1" x14ac:dyDescent="0.25">
      <c r="A294" s="10" t="s">
        <v>461</v>
      </c>
      <c r="C294" s="42"/>
      <c r="J294" s="2040"/>
      <c r="K294" s="2041"/>
      <c r="L294" s="2041"/>
      <c r="M294" s="2042"/>
      <c r="N294" s="306" t="s">
        <v>352</v>
      </c>
      <c r="O294" s="306"/>
      <c r="P294" s="306"/>
      <c r="Q294" s="306"/>
      <c r="R294" s="306"/>
      <c r="S294" s="1372" t="s">
        <v>2016</v>
      </c>
      <c r="T294" s="1349" t="e">
        <v>#N/A</v>
      </c>
      <c r="U294" s="1201" t="e">
        <v>#N/A</v>
      </c>
      <c r="V294" s="1201" t="e">
        <v>#N/A</v>
      </c>
      <c r="W294" s="1201" t="e">
        <v>#N/A</v>
      </c>
      <c r="X294" s="1201" t="e">
        <v>#N/A</v>
      </c>
      <c r="Y294" s="1201" t="e">
        <v>#N/A</v>
      </c>
      <c r="Z294" s="1350" t="e">
        <v>#N/A</v>
      </c>
      <c r="AA294" s="1528" t="e">
        <v>#N/A</v>
      </c>
      <c r="AB294" s="1529" t="e">
        <v>#N/A</v>
      </c>
      <c r="AC294" s="43"/>
      <c r="AF294" s="218"/>
    </row>
    <row r="295" spans="1:32" ht="14.45" hidden="1" customHeight="1" x14ac:dyDescent="0.25">
      <c r="A295" s="10" t="s">
        <v>461</v>
      </c>
      <c r="C295" s="42"/>
      <c r="J295" s="2034" t="s">
        <v>33</v>
      </c>
      <c r="K295" s="2035"/>
      <c r="L295" s="2035"/>
      <c r="M295" s="2036"/>
      <c r="N295" s="1028" t="s">
        <v>34</v>
      </c>
      <c r="O295" s="1028"/>
      <c r="P295" s="1028"/>
      <c r="Q295" s="1028"/>
      <c r="R295" s="1028"/>
      <c r="S295" s="1374" t="s">
        <v>1253</v>
      </c>
      <c r="T295" s="1671">
        <v>0</v>
      </c>
      <c r="U295" s="1672">
        <v>0</v>
      </c>
      <c r="V295" s="1672">
        <v>0</v>
      </c>
      <c r="W295" s="1672">
        <v>0</v>
      </c>
      <c r="X295" s="1672">
        <v>0</v>
      </c>
      <c r="Y295" s="1672">
        <v>0</v>
      </c>
      <c r="Z295" s="1687">
        <v>0</v>
      </c>
      <c r="AA295" s="1528" t="e">
        <v>#N/A</v>
      </c>
      <c r="AB295" s="1529" t="e">
        <v>#N/A</v>
      </c>
      <c r="AC295" s="43"/>
      <c r="AF295" s="218"/>
    </row>
    <row r="296" spans="1:32" ht="14.45" hidden="1" customHeight="1" x14ac:dyDescent="0.25">
      <c r="A296" s="10" t="s">
        <v>461</v>
      </c>
      <c r="C296" s="42"/>
      <c r="J296" s="2037"/>
      <c r="K296" s="2038"/>
      <c r="L296" s="2038"/>
      <c r="M296" s="2039"/>
      <c r="N296" s="986" t="s">
        <v>35</v>
      </c>
      <c r="O296" s="986"/>
      <c r="P296" s="986"/>
      <c r="Q296" s="986"/>
      <c r="R296" s="986"/>
      <c r="S296" s="1375" t="s">
        <v>1254</v>
      </c>
      <c r="T296" s="1659">
        <v>0</v>
      </c>
      <c r="U296" s="1660">
        <v>0</v>
      </c>
      <c r="V296" s="1660">
        <v>0</v>
      </c>
      <c r="W296" s="1660">
        <v>0</v>
      </c>
      <c r="X296" s="1660">
        <v>0</v>
      </c>
      <c r="Y296" s="1660">
        <v>0</v>
      </c>
      <c r="Z296" s="1683">
        <v>0</v>
      </c>
      <c r="AA296" s="1528" t="e">
        <v>#N/A</v>
      </c>
      <c r="AB296" s="1529" t="e">
        <v>#N/A</v>
      </c>
      <c r="AC296" s="43"/>
      <c r="AF296" s="218"/>
    </row>
    <row r="297" spans="1:32" ht="14.45" hidden="1" customHeight="1" x14ac:dyDescent="0.25">
      <c r="A297" s="10" t="s">
        <v>461</v>
      </c>
      <c r="C297" s="42"/>
      <c r="J297" s="2040"/>
      <c r="K297" s="2041"/>
      <c r="L297" s="2041"/>
      <c r="M297" s="2042"/>
      <c r="N297" s="991" t="s">
        <v>16</v>
      </c>
      <c r="O297" s="991"/>
      <c r="P297" s="991"/>
      <c r="Q297" s="991"/>
      <c r="R297" s="991"/>
      <c r="S297" s="1376" t="s">
        <v>1255</v>
      </c>
      <c r="T297" s="1668">
        <v>0</v>
      </c>
      <c r="U297" s="1669">
        <v>0</v>
      </c>
      <c r="V297" s="1669">
        <v>0</v>
      </c>
      <c r="W297" s="1669">
        <v>0</v>
      </c>
      <c r="X297" s="1669">
        <v>0</v>
      </c>
      <c r="Y297" s="1669">
        <v>0</v>
      </c>
      <c r="Z297" s="1686">
        <v>0</v>
      </c>
      <c r="AA297" s="1528" t="e">
        <v>#N/A</v>
      </c>
      <c r="AB297" s="1529" t="e">
        <v>#N/A</v>
      </c>
      <c r="AC297" s="43"/>
      <c r="AF297" s="218"/>
    </row>
    <row r="298" spans="1:32" ht="14.45" hidden="1" customHeight="1" x14ac:dyDescent="0.25">
      <c r="A298" s="10" t="s">
        <v>461</v>
      </c>
      <c r="C298" s="42"/>
      <c r="J298" s="2176" t="s">
        <v>39</v>
      </c>
      <c r="K298" s="2177"/>
      <c r="L298" s="2177"/>
      <c r="M298" s="2178"/>
      <c r="N298" s="1029" t="s">
        <v>38</v>
      </c>
      <c r="O298" s="1029"/>
      <c r="P298" s="1029"/>
      <c r="Q298" s="1029"/>
      <c r="R298" s="1029"/>
      <c r="S298" s="1376" t="s">
        <v>1256</v>
      </c>
      <c r="T298" s="1674">
        <v>0</v>
      </c>
      <c r="U298" s="1675">
        <v>0</v>
      </c>
      <c r="V298" s="1675">
        <v>0</v>
      </c>
      <c r="W298" s="1675">
        <v>0</v>
      </c>
      <c r="X298" s="1675">
        <v>0</v>
      </c>
      <c r="Y298" s="1675">
        <v>0</v>
      </c>
      <c r="Z298" s="1688">
        <v>0</v>
      </c>
      <c r="AA298" s="1528" t="e">
        <v>#N/A</v>
      </c>
      <c r="AB298" s="1529" t="e">
        <v>#N/A</v>
      </c>
      <c r="AC298" s="43"/>
      <c r="AF298" s="218"/>
    </row>
    <row r="299" spans="1:32" ht="14.45" hidden="1" customHeight="1" x14ac:dyDescent="0.25">
      <c r="A299" s="10" t="s">
        <v>461</v>
      </c>
      <c r="C299" s="42"/>
      <c r="J299" s="2024" t="s">
        <v>426</v>
      </c>
      <c r="K299" s="2025"/>
      <c r="L299" s="2025"/>
      <c r="M299" s="2026"/>
      <c r="N299" s="1010" t="s">
        <v>425</v>
      </c>
      <c r="O299" s="1028"/>
      <c r="P299" s="1028"/>
      <c r="Q299" s="1028"/>
      <c r="R299" s="1028"/>
      <c r="S299" s="1378" t="s">
        <v>1257</v>
      </c>
      <c r="T299" s="1671">
        <v>0</v>
      </c>
      <c r="U299" s="1672">
        <v>0</v>
      </c>
      <c r="V299" s="1672">
        <v>0</v>
      </c>
      <c r="W299" s="1672">
        <v>0</v>
      </c>
      <c r="X299" s="1672">
        <v>0</v>
      </c>
      <c r="Y299" s="1672">
        <v>0</v>
      </c>
      <c r="Z299" s="1687">
        <v>0</v>
      </c>
      <c r="AA299" s="1528" t="e">
        <v>#N/A</v>
      </c>
      <c r="AB299" s="1529" t="e">
        <v>#N/A</v>
      </c>
      <c r="AC299" s="43"/>
      <c r="AF299" s="218"/>
    </row>
    <row r="300" spans="1:32" ht="14.45" hidden="1" customHeight="1" x14ac:dyDescent="0.25">
      <c r="A300" s="10" t="s">
        <v>461</v>
      </c>
      <c r="C300" s="42"/>
      <c r="J300" s="2027"/>
      <c r="K300" s="2028"/>
      <c r="L300" s="2028"/>
      <c r="M300" s="2029"/>
      <c r="N300" s="1011" t="s">
        <v>422</v>
      </c>
      <c r="O300" s="991"/>
      <c r="P300" s="991"/>
      <c r="Q300" s="991"/>
      <c r="R300" s="991"/>
      <c r="S300" s="1379" t="s">
        <v>1258</v>
      </c>
      <c r="T300" s="1668">
        <v>0</v>
      </c>
      <c r="U300" s="1669">
        <v>0</v>
      </c>
      <c r="V300" s="1669">
        <v>0</v>
      </c>
      <c r="W300" s="1669">
        <v>0</v>
      </c>
      <c r="X300" s="1669">
        <v>0</v>
      </c>
      <c r="Y300" s="1669">
        <v>0</v>
      </c>
      <c r="Z300" s="1686">
        <v>0</v>
      </c>
      <c r="AA300" s="1528" t="e">
        <v>#N/A</v>
      </c>
      <c r="AB300" s="1529" t="e">
        <v>#N/A</v>
      </c>
      <c r="AC300" s="43"/>
      <c r="AF300" s="218"/>
    </row>
    <row r="301" spans="1:32" ht="14.45" hidden="1" customHeight="1" x14ac:dyDescent="0.25">
      <c r="A301" s="10" t="s">
        <v>461</v>
      </c>
      <c r="C301" s="42"/>
      <c r="J301" s="2034" t="s">
        <v>40</v>
      </c>
      <c r="K301" s="2035"/>
      <c r="L301" s="2035"/>
      <c r="M301" s="2036"/>
      <c r="N301" s="1030" t="s">
        <v>41</v>
      </c>
      <c r="O301" s="1030"/>
      <c r="P301" s="1030"/>
      <c r="Q301" s="1030"/>
      <c r="R301" s="1030"/>
      <c r="S301" s="1380" t="s">
        <v>1259</v>
      </c>
      <c r="T301" s="1671">
        <v>0</v>
      </c>
      <c r="U301" s="1672">
        <v>0</v>
      </c>
      <c r="V301" s="1672">
        <v>0</v>
      </c>
      <c r="W301" s="1672">
        <v>0</v>
      </c>
      <c r="X301" s="1672">
        <v>0</v>
      </c>
      <c r="Y301" s="1672">
        <v>0</v>
      </c>
      <c r="Z301" s="1687">
        <v>0</v>
      </c>
      <c r="AA301" s="1528" t="e">
        <v>#N/A</v>
      </c>
      <c r="AB301" s="1529" t="e">
        <v>#N/A</v>
      </c>
      <c r="AC301" s="43"/>
      <c r="AF301" s="218"/>
    </row>
    <row r="302" spans="1:32" ht="14.45" hidden="1" customHeight="1" x14ac:dyDescent="0.25">
      <c r="A302" s="10" t="s">
        <v>461</v>
      </c>
      <c r="C302" s="42"/>
      <c r="J302" s="2037"/>
      <c r="K302" s="2038"/>
      <c r="L302" s="2038"/>
      <c r="M302" s="2039"/>
      <c r="N302" s="986" t="s">
        <v>374</v>
      </c>
      <c r="O302" s="986"/>
      <c r="P302" s="986"/>
      <c r="Q302" s="986"/>
      <c r="R302" s="986"/>
      <c r="S302" s="1381" t="s">
        <v>1426</v>
      </c>
      <c r="T302" s="1659">
        <v>0</v>
      </c>
      <c r="U302" s="1660">
        <v>0</v>
      </c>
      <c r="V302" s="1660">
        <v>0</v>
      </c>
      <c r="W302" s="1660">
        <v>0</v>
      </c>
      <c r="X302" s="1660">
        <v>0</v>
      </c>
      <c r="Y302" s="1660">
        <v>0</v>
      </c>
      <c r="Z302" s="1683">
        <v>0</v>
      </c>
      <c r="AA302" s="1528" t="e">
        <v>#N/A</v>
      </c>
      <c r="AB302" s="1529" t="e">
        <v>#N/A</v>
      </c>
      <c r="AC302" s="43"/>
      <c r="AF302" s="218"/>
    </row>
    <row r="303" spans="1:32" ht="14.45" hidden="1" customHeight="1" x14ac:dyDescent="0.25">
      <c r="A303" s="10" t="s">
        <v>461</v>
      </c>
      <c r="C303" s="42"/>
      <c r="J303" s="2037"/>
      <c r="K303" s="2038"/>
      <c r="L303" s="2038"/>
      <c r="M303" s="2039"/>
      <c r="N303" s="986" t="s">
        <v>367</v>
      </c>
      <c r="O303" s="986"/>
      <c r="P303" s="986"/>
      <c r="Q303" s="986"/>
      <c r="R303" s="986"/>
      <c r="S303" s="1381" t="s">
        <v>1430</v>
      </c>
      <c r="T303" s="1659">
        <v>0</v>
      </c>
      <c r="U303" s="1660">
        <v>0</v>
      </c>
      <c r="V303" s="1660">
        <v>0</v>
      </c>
      <c r="W303" s="1660">
        <v>0</v>
      </c>
      <c r="X303" s="1660">
        <v>0</v>
      </c>
      <c r="Y303" s="1660">
        <v>0</v>
      </c>
      <c r="Z303" s="1683">
        <v>0</v>
      </c>
      <c r="AA303" s="1528" t="e">
        <v>#N/A</v>
      </c>
      <c r="AB303" s="1529" t="e">
        <v>#N/A</v>
      </c>
      <c r="AC303" s="43"/>
      <c r="AF303" s="218"/>
    </row>
    <row r="304" spans="1:32" ht="14.45" hidden="1" customHeight="1" x14ac:dyDescent="0.25">
      <c r="A304" s="10" t="s">
        <v>461</v>
      </c>
      <c r="C304" s="42"/>
      <c r="J304" s="2040"/>
      <c r="K304" s="2041"/>
      <c r="L304" s="2041"/>
      <c r="M304" s="2042"/>
      <c r="N304" s="991" t="s">
        <v>320</v>
      </c>
      <c r="O304" s="991"/>
      <c r="P304" s="991"/>
      <c r="Q304" s="991"/>
      <c r="R304" s="991"/>
      <c r="S304" s="1388" t="s">
        <v>1260</v>
      </c>
      <c r="T304" s="1668">
        <v>0</v>
      </c>
      <c r="U304" s="1669">
        <v>0</v>
      </c>
      <c r="V304" s="1669">
        <v>0</v>
      </c>
      <c r="W304" s="1669">
        <v>0</v>
      </c>
      <c r="X304" s="1669">
        <v>0</v>
      </c>
      <c r="Y304" s="1669">
        <v>0</v>
      </c>
      <c r="Z304" s="1686">
        <v>0</v>
      </c>
      <c r="AA304" s="1528" t="e">
        <v>#N/A</v>
      </c>
      <c r="AB304" s="1529" t="e">
        <v>#N/A</v>
      </c>
      <c r="AC304" s="43"/>
      <c r="AF304" s="218"/>
    </row>
    <row r="305" spans="1:32" ht="14.45" hidden="1" customHeight="1" x14ac:dyDescent="0.25">
      <c r="A305" s="10" t="s">
        <v>459</v>
      </c>
      <c r="C305" s="42"/>
      <c r="J305" s="278" t="s">
        <v>91</v>
      </c>
      <c r="K305" s="279"/>
      <c r="L305" s="279"/>
      <c r="M305" s="280"/>
      <c r="N305" s="1031" t="s">
        <v>83</v>
      </c>
      <c r="O305" s="1031"/>
      <c r="P305" s="1031"/>
      <c r="Q305" s="1031"/>
      <c r="R305" s="1031"/>
      <c r="S305" s="1378" t="s">
        <v>1261</v>
      </c>
      <c r="T305" s="1615">
        <v>0</v>
      </c>
      <c r="U305" s="1616">
        <v>0</v>
      </c>
      <c r="V305" s="1616">
        <v>0</v>
      </c>
      <c r="W305" s="1616">
        <v>0</v>
      </c>
      <c r="X305" s="1616">
        <v>0</v>
      </c>
      <c r="Y305" s="1616">
        <v>0</v>
      </c>
      <c r="Z305" s="1616">
        <v>0</v>
      </c>
      <c r="AA305" s="1528" t="e">
        <v>#N/A</v>
      </c>
      <c r="AB305" s="1529" t="e">
        <v>#N/A</v>
      </c>
      <c r="AC305" s="43"/>
      <c r="AF305" s="218"/>
    </row>
    <row r="306" spans="1:32" ht="14.45" hidden="1" customHeight="1" x14ac:dyDescent="0.25">
      <c r="A306" s="10" t="s">
        <v>459</v>
      </c>
      <c r="C306" s="42"/>
      <c r="J306" s="281"/>
      <c r="K306" s="287"/>
      <c r="L306" s="287"/>
      <c r="M306" s="282"/>
      <c r="N306" s="988" t="s">
        <v>1402</v>
      </c>
      <c r="O306" s="988"/>
      <c r="P306" s="988"/>
      <c r="Q306" s="988"/>
      <c r="R306" s="988"/>
      <c r="S306" s="1375" t="s">
        <v>1404</v>
      </c>
      <c r="T306" s="1640">
        <v>0</v>
      </c>
      <c r="U306" s="1641">
        <v>0</v>
      </c>
      <c r="V306" s="1641">
        <v>0</v>
      </c>
      <c r="W306" s="1641">
        <v>0</v>
      </c>
      <c r="X306" s="1641">
        <v>0</v>
      </c>
      <c r="Y306" s="1641">
        <v>0</v>
      </c>
      <c r="Z306" s="1641">
        <v>0</v>
      </c>
      <c r="AA306" s="1528" t="e">
        <v>#N/A</v>
      </c>
      <c r="AB306" s="1529" t="e">
        <v>#N/A</v>
      </c>
      <c r="AC306" s="43"/>
      <c r="AF306" s="218"/>
    </row>
    <row r="307" spans="1:32" ht="14.45" hidden="1" customHeight="1" x14ac:dyDescent="0.25">
      <c r="A307" s="10" t="s">
        <v>459</v>
      </c>
      <c r="C307" s="42"/>
      <c r="J307" s="281"/>
      <c r="K307" s="287"/>
      <c r="L307" s="287"/>
      <c r="M307" s="282"/>
      <c r="N307" s="988" t="s">
        <v>2308</v>
      </c>
      <c r="O307" s="988"/>
      <c r="P307" s="988"/>
      <c r="Q307" s="988"/>
      <c r="R307" s="988"/>
      <c r="S307" s="1375" t="s">
        <v>2310</v>
      </c>
      <c r="T307" s="1640">
        <v>0</v>
      </c>
      <c r="U307" s="1641">
        <v>0</v>
      </c>
      <c r="V307" s="1641">
        <v>0</v>
      </c>
      <c r="W307" s="1641">
        <v>0</v>
      </c>
      <c r="X307" s="1641">
        <v>0</v>
      </c>
      <c r="Y307" s="1641">
        <v>0</v>
      </c>
      <c r="Z307" s="1641">
        <v>0</v>
      </c>
      <c r="AA307" s="1528" t="e">
        <v>#N/A</v>
      </c>
      <c r="AB307" s="1529" t="e">
        <v>#N/A</v>
      </c>
      <c r="AC307" s="43"/>
      <c r="AF307" s="218"/>
    </row>
    <row r="308" spans="1:32" ht="14.45" hidden="1" customHeight="1" x14ac:dyDescent="0.25">
      <c r="A308" s="10" t="s">
        <v>459</v>
      </c>
      <c r="C308" s="42"/>
      <c r="D308" s="5"/>
      <c r="E308" s="5"/>
      <c r="F308" s="5"/>
      <c r="G308" s="5"/>
      <c r="H308" s="5"/>
      <c r="J308" s="281"/>
      <c r="K308" s="287"/>
      <c r="L308" s="287"/>
      <c r="M308" s="282"/>
      <c r="N308" s="307" t="s">
        <v>154</v>
      </c>
      <c r="O308" s="307"/>
      <c r="P308" s="307"/>
      <c r="Q308" s="307"/>
      <c r="R308" s="307"/>
      <c r="S308" s="1381" t="s">
        <v>1262</v>
      </c>
      <c r="T308" s="1640">
        <v>0</v>
      </c>
      <c r="U308" s="1641">
        <v>0</v>
      </c>
      <c r="V308" s="1641">
        <v>0</v>
      </c>
      <c r="W308" s="1641">
        <v>0</v>
      </c>
      <c r="X308" s="1641">
        <v>0</v>
      </c>
      <c r="Y308" s="1641">
        <v>0</v>
      </c>
      <c r="Z308" s="1641">
        <v>0</v>
      </c>
      <c r="AA308" s="1528" t="e">
        <v>#N/A</v>
      </c>
      <c r="AB308" s="1529" t="e">
        <v>#N/A</v>
      </c>
      <c r="AC308" s="43"/>
      <c r="AF308" s="218"/>
    </row>
    <row r="309" spans="1:32" ht="14.45" hidden="1" customHeight="1" x14ac:dyDescent="0.25">
      <c r="A309" s="10" t="s">
        <v>459</v>
      </c>
      <c r="C309" s="42"/>
      <c r="D309" s="5"/>
      <c r="E309" s="5"/>
      <c r="F309" s="5"/>
      <c r="G309" s="5"/>
      <c r="H309" s="5"/>
      <c r="J309" s="281"/>
      <c r="K309" s="287"/>
      <c r="L309" s="287"/>
      <c r="M309" s="282"/>
      <c r="N309" s="986" t="s">
        <v>127</v>
      </c>
      <c r="O309" s="986"/>
      <c r="P309" s="986"/>
      <c r="Q309" s="986"/>
      <c r="R309" s="986"/>
      <c r="S309" s="1381" t="s">
        <v>1263</v>
      </c>
      <c r="T309" s="1617">
        <v>0</v>
      </c>
      <c r="U309" s="1618">
        <v>0</v>
      </c>
      <c r="V309" s="1618">
        <v>0</v>
      </c>
      <c r="W309" s="1618">
        <v>0</v>
      </c>
      <c r="X309" s="1618">
        <v>0</v>
      </c>
      <c r="Y309" s="1618">
        <v>0</v>
      </c>
      <c r="Z309" s="1618">
        <v>0</v>
      </c>
      <c r="AA309" s="1528" t="e">
        <v>#N/A</v>
      </c>
      <c r="AB309" s="1529" t="e">
        <v>#N/A</v>
      </c>
      <c r="AC309" s="43"/>
      <c r="AF309" s="218"/>
    </row>
    <row r="310" spans="1:32" ht="14.45" hidden="1" customHeight="1" x14ac:dyDescent="0.25">
      <c r="A310" s="10" t="s">
        <v>459</v>
      </c>
      <c r="C310" s="42"/>
      <c r="D310" s="5"/>
      <c r="E310" s="5"/>
      <c r="F310" s="5"/>
      <c r="G310" s="5"/>
      <c r="H310" s="5"/>
      <c r="J310" s="281"/>
      <c r="K310" s="287"/>
      <c r="L310" s="287"/>
      <c r="M310" s="282"/>
      <c r="N310" s="307" t="s">
        <v>152</v>
      </c>
      <c r="O310" s="307"/>
      <c r="P310" s="307"/>
      <c r="Q310" s="307"/>
      <c r="R310" s="307"/>
      <c r="S310" s="1381" t="s">
        <v>1264</v>
      </c>
      <c r="T310" s="1617">
        <v>0</v>
      </c>
      <c r="U310" s="1618">
        <v>0</v>
      </c>
      <c r="V310" s="1618">
        <v>0</v>
      </c>
      <c r="W310" s="1618">
        <v>0</v>
      </c>
      <c r="X310" s="1618">
        <v>0</v>
      </c>
      <c r="Y310" s="1618">
        <v>0</v>
      </c>
      <c r="Z310" s="1618">
        <v>0</v>
      </c>
      <c r="AA310" s="1528" t="e">
        <v>#N/A</v>
      </c>
      <c r="AB310" s="1529" t="e">
        <v>#N/A</v>
      </c>
      <c r="AC310" s="43"/>
      <c r="AF310" s="218"/>
    </row>
    <row r="311" spans="1:32" ht="14.45" hidden="1" customHeight="1" x14ac:dyDescent="0.25">
      <c r="A311" s="10" t="s">
        <v>459</v>
      </c>
      <c r="C311" s="42"/>
      <c r="D311" s="5"/>
      <c r="E311" s="5"/>
      <c r="F311" s="5"/>
      <c r="G311" s="5"/>
      <c r="H311" s="5"/>
      <c r="J311" s="281"/>
      <c r="K311" s="287"/>
      <c r="L311" s="287"/>
      <c r="M311" s="282"/>
      <c r="N311" s="307" t="s">
        <v>153</v>
      </c>
      <c r="O311" s="307"/>
      <c r="P311" s="307"/>
      <c r="Q311" s="307"/>
      <c r="R311" s="307"/>
      <c r="S311" s="1381" t="s">
        <v>1265</v>
      </c>
      <c r="T311" s="1617">
        <v>0</v>
      </c>
      <c r="U311" s="1618">
        <v>0</v>
      </c>
      <c r="V311" s="1618">
        <v>0</v>
      </c>
      <c r="W311" s="1618">
        <v>0</v>
      </c>
      <c r="X311" s="1618">
        <v>0</v>
      </c>
      <c r="Y311" s="1618">
        <v>0</v>
      </c>
      <c r="Z311" s="1618">
        <v>0</v>
      </c>
      <c r="AA311" s="1528" t="e">
        <v>#N/A</v>
      </c>
      <c r="AB311" s="1529" t="e">
        <v>#N/A</v>
      </c>
      <c r="AC311" s="43"/>
      <c r="AF311" s="218"/>
    </row>
    <row r="312" spans="1:32" ht="14.45" hidden="1" customHeight="1" x14ac:dyDescent="0.25">
      <c r="A312" s="10" t="s">
        <v>459</v>
      </c>
      <c r="C312" s="42"/>
      <c r="D312" s="5"/>
      <c r="E312" s="5"/>
      <c r="F312" s="5"/>
      <c r="G312" s="5"/>
      <c r="H312" s="5"/>
      <c r="J312" s="281"/>
      <c r="K312" s="287"/>
      <c r="L312" s="287"/>
      <c r="M312" s="282"/>
      <c r="N312" s="986" t="s">
        <v>221</v>
      </c>
      <c r="O312" s="986"/>
      <c r="P312" s="986"/>
      <c r="Q312" s="986"/>
      <c r="R312" s="986"/>
      <c r="S312" s="1381" t="s">
        <v>1266</v>
      </c>
      <c r="T312" s="1617">
        <v>0</v>
      </c>
      <c r="U312" s="1618">
        <v>0</v>
      </c>
      <c r="V312" s="1618">
        <v>0</v>
      </c>
      <c r="W312" s="1618">
        <v>0</v>
      </c>
      <c r="X312" s="1618">
        <v>0</v>
      </c>
      <c r="Y312" s="1618">
        <v>0</v>
      </c>
      <c r="Z312" s="1618">
        <v>0</v>
      </c>
      <c r="AA312" s="1528" t="e">
        <v>#N/A</v>
      </c>
      <c r="AB312" s="1529" t="e">
        <v>#N/A</v>
      </c>
      <c r="AC312" s="43"/>
      <c r="AF312" s="218"/>
    </row>
    <row r="313" spans="1:32" ht="14.45" hidden="1" customHeight="1" x14ac:dyDescent="0.25">
      <c r="A313" s="10" t="s">
        <v>459</v>
      </c>
      <c r="C313" s="42"/>
      <c r="D313" s="5"/>
      <c r="E313" s="5"/>
      <c r="F313" s="5"/>
      <c r="G313" s="5"/>
      <c r="H313" s="5"/>
      <c r="J313" s="281"/>
      <c r="K313" s="287"/>
      <c r="L313" s="287"/>
      <c r="M313" s="282"/>
      <c r="N313" s="986" t="s">
        <v>130</v>
      </c>
      <c r="O313" s="986"/>
      <c r="P313" s="986"/>
      <c r="Q313" s="986"/>
      <c r="R313" s="986"/>
      <c r="S313" s="1375" t="s">
        <v>1267</v>
      </c>
      <c r="T313" s="1617">
        <v>-0.25</v>
      </c>
      <c r="U313" s="1618">
        <v>-0.25</v>
      </c>
      <c r="V313" s="1618">
        <v>-0.25</v>
      </c>
      <c r="W313" s="1618">
        <v>-0.375</v>
      </c>
      <c r="X313" s="1618">
        <v>-0.375</v>
      </c>
      <c r="Y313" s="1618">
        <v>-0.5</v>
      </c>
      <c r="Z313" s="1749" t="e">
        <v>#N/A</v>
      </c>
      <c r="AA313" s="1528" t="e">
        <v>#N/A</v>
      </c>
      <c r="AB313" s="1529" t="e">
        <v>#N/A</v>
      </c>
      <c r="AC313" s="43"/>
      <c r="AF313" s="218"/>
    </row>
    <row r="314" spans="1:32" ht="14.45" hidden="1" customHeight="1" x14ac:dyDescent="0.25">
      <c r="A314" s="10" t="s">
        <v>461</v>
      </c>
      <c r="C314" s="42"/>
      <c r="D314" s="5"/>
      <c r="E314" s="5"/>
      <c r="F314" s="5"/>
      <c r="G314" s="5"/>
      <c r="H314" s="5"/>
      <c r="J314" s="281"/>
      <c r="K314" s="287"/>
      <c r="L314" s="287"/>
      <c r="M314" s="282"/>
      <c r="N314" s="986" t="s">
        <v>131</v>
      </c>
      <c r="O314" s="986"/>
      <c r="P314" s="986"/>
      <c r="Q314" s="986"/>
      <c r="R314" s="986"/>
      <c r="S314" s="1375" t="s">
        <v>1268</v>
      </c>
      <c r="T314" s="1750" t="e">
        <v>#N/A</v>
      </c>
      <c r="U314" s="1751" t="e">
        <v>#N/A</v>
      </c>
      <c r="V314" s="1751" t="e">
        <v>#N/A</v>
      </c>
      <c r="W314" s="1751" t="e">
        <v>#N/A</v>
      </c>
      <c r="X314" s="1751" t="e">
        <v>#N/A</v>
      </c>
      <c r="Y314" s="1751" t="e">
        <v>#N/A</v>
      </c>
      <c r="Z314" s="1751" t="e">
        <v>#N/A</v>
      </c>
      <c r="AA314" s="1528" t="e">
        <v>#N/A</v>
      </c>
      <c r="AB314" s="1529" t="e">
        <v>#N/A</v>
      </c>
      <c r="AC314" s="43"/>
      <c r="AF314" s="218"/>
    </row>
    <row r="315" spans="1:32" ht="14.45" hidden="1" customHeight="1" x14ac:dyDescent="0.25">
      <c r="A315" s="10" t="s">
        <v>459</v>
      </c>
      <c r="C315" s="42"/>
      <c r="J315" s="281"/>
      <c r="K315" s="287"/>
      <c r="L315" s="287"/>
      <c r="M315" s="282"/>
      <c r="N315" s="986" t="s">
        <v>132</v>
      </c>
      <c r="O315" s="986"/>
      <c r="P315" s="986"/>
      <c r="Q315" s="986"/>
      <c r="R315" s="986"/>
      <c r="S315" s="1375" t="s">
        <v>1269</v>
      </c>
      <c r="T315" s="1617">
        <v>-0.375</v>
      </c>
      <c r="U315" s="1618">
        <v>-0.375</v>
      </c>
      <c r="V315" s="1618">
        <v>-0.375</v>
      </c>
      <c r="W315" s="1618">
        <v>-0.5</v>
      </c>
      <c r="X315" s="1618">
        <v>-0.5</v>
      </c>
      <c r="Y315" s="1749" t="e">
        <v>#N/A</v>
      </c>
      <c r="Z315" s="1749" t="e">
        <v>#N/A</v>
      </c>
      <c r="AA315" s="1528" t="e">
        <v>#N/A</v>
      </c>
      <c r="AB315" s="1529" t="e">
        <v>#N/A</v>
      </c>
      <c r="AC315" s="43"/>
      <c r="AF315" s="218"/>
    </row>
    <row r="316" spans="1:32" ht="14.45" hidden="1" customHeight="1" x14ac:dyDescent="0.25">
      <c r="A316" s="10" t="s">
        <v>459</v>
      </c>
      <c r="C316" s="42"/>
      <c r="J316" s="281"/>
      <c r="K316" s="287"/>
      <c r="L316" s="287"/>
      <c r="M316" s="282"/>
      <c r="N316" s="986" t="s">
        <v>133</v>
      </c>
      <c r="O316" s="986"/>
      <c r="P316" s="986"/>
      <c r="Q316" s="986"/>
      <c r="R316" s="986"/>
      <c r="S316" s="1375" t="s">
        <v>1270</v>
      </c>
      <c r="T316" s="1617">
        <v>-0.375</v>
      </c>
      <c r="U316" s="1618">
        <v>-0.375</v>
      </c>
      <c r="V316" s="1618">
        <v>-0.375</v>
      </c>
      <c r="W316" s="1618">
        <v>-0.5</v>
      </c>
      <c r="X316" s="1618">
        <v>-0.5</v>
      </c>
      <c r="Y316" s="1749" t="e">
        <v>#N/A</v>
      </c>
      <c r="Z316" s="1749" t="e">
        <v>#N/A</v>
      </c>
      <c r="AA316" s="1528" t="e">
        <v>#N/A</v>
      </c>
      <c r="AB316" s="1529" t="e">
        <v>#N/A</v>
      </c>
      <c r="AC316" s="43"/>
      <c r="AF316" s="218"/>
    </row>
    <row r="317" spans="1:32" ht="14.45" hidden="1" customHeight="1" x14ac:dyDescent="0.25">
      <c r="A317" s="10" t="s">
        <v>459</v>
      </c>
      <c r="C317" s="42"/>
      <c r="J317" s="281"/>
      <c r="K317" s="287"/>
      <c r="L317" s="287"/>
      <c r="M317" s="282"/>
      <c r="N317" s="986" t="s">
        <v>134</v>
      </c>
      <c r="O317" s="986"/>
      <c r="P317" s="986"/>
      <c r="Q317" s="986"/>
      <c r="R317" s="986"/>
      <c r="S317" s="1375" t="s">
        <v>1271</v>
      </c>
      <c r="T317" s="1617">
        <v>-0.375</v>
      </c>
      <c r="U317" s="1618">
        <v>-0.375</v>
      </c>
      <c r="V317" s="1618">
        <v>-0.375</v>
      </c>
      <c r="W317" s="1618">
        <v>-0.5</v>
      </c>
      <c r="X317" s="1618">
        <v>-0.5</v>
      </c>
      <c r="Y317" s="1749" t="e">
        <v>#N/A</v>
      </c>
      <c r="Z317" s="1749" t="e">
        <v>#N/A</v>
      </c>
      <c r="AA317" s="1528" t="e">
        <v>#N/A</v>
      </c>
      <c r="AB317" s="1529" t="e">
        <v>#N/A</v>
      </c>
      <c r="AC317" s="43"/>
      <c r="AF317" s="218"/>
    </row>
    <row r="318" spans="1:32" ht="14.45" hidden="1" customHeight="1" x14ac:dyDescent="0.25">
      <c r="A318" s="10" t="s">
        <v>459</v>
      </c>
      <c r="C318" s="42"/>
      <c r="J318" s="281"/>
      <c r="K318" s="287"/>
      <c r="L318" s="287"/>
      <c r="M318" s="282"/>
      <c r="N318" s="986" t="s">
        <v>19</v>
      </c>
      <c r="O318" s="986"/>
      <c r="P318" s="986"/>
      <c r="Q318" s="986"/>
      <c r="R318" s="986"/>
      <c r="S318" s="1375" t="s">
        <v>1272</v>
      </c>
      <c r="T318" s="1617">
        <v>-2</v>
      </c>
      <c r="U318" s="1618">
        <v>-2</v>
      </c>
      <c r="V318" s="1618">
        <v>-2</v>
      </c>
      <c r="W318" s="1618">
        <v>-2</v>
      </c>
      <c r="X318" s="1618">
        <v>-2</v>
      </c>
      <c r="Y318" s="1618">
        <v>-2</v>
      </c>
      <c r="Z318" s="1618">
        <v>-2</v>
      </c>
      <c r="AA318" s="1528" t="e">
        <v>#N/A</v>
      </c>
      <c r="AB318" s="1529" t="e">
        <v>#N/A</v>
      </c>
      <c r="AC318" s="43"/>
      <c r="AF318" s="218"/>
    </row>
    <row r="319" spans="1:32" ht="14.45" hidden="1" customHeight="1" x14ac:dyDescent="0.25">
      <c r="A319" s="10" t="s">
        <v>461</v>
      </c>
      <c r="C319" s="42"/>
      <c r="J319" s="283"/>
      <c r="K319" s="284"/>
      <c r="L319" s="284"/>
      <c r="M319" s="285"/>
      <c r="N319" s="991" t="s">
        <v>129</v>
      </c>
      <c r="O319" s="991"/>
      <c r="P319" s="991"/>
      <c r="Q319" s="991"/>
      <c r="R319" s="991"/>
      <c r="S319" s="1376" t="s">
        <v>1273</v>
      </c>
      <c r="T319" s="1502" t="e">
        <v>#N/A</v>
      </c>
      <c r="U319" s="1503" t="e">
        <v>#N/A</v>
      </c>
      <c r="V319" s="1503" t="e">
        <v>#N/A</v>
      </c>
      <c r="W319" s="1503" t="e">
        <v>#N/A</v>
      </c>
      <c r="X319" s="1508" t="e">
        <v>#N/A</v>
      </c>
      <c r="Y319" s="1508" t="e">
        <v>#N/A</v>
      </c>
      <c r="Z319" s="1517" t="e">
        <v>#N/A</v>
      </c>
      <c r="AA319" s="1530" t="e">
        <v>#N/A</v>
      </c>
      <c r="AB319" s="1531" t="e">
        <v>#N/A</v>
      </c>
      <c r="AC319" s="43"/>
      <c r="AF319" s="218"/>
    </row>
    <row r="320" spans="1:32" ht="14.45" hidden="1" customHeight="1" x14ac:dyDescent="0.25">
      <c r="A320" s="10" t="s">
        <v>459</v>
      </c>
      <c r="C320" s="42"/>
      <c r="J320" s="2024" t="s">
        <v>46</v>
      </c>
      <c r="K320" s="2025"/>
      <c r="L320" s="2025"/>
      <c r="M320" s="2026"/>
      <c r="N320" s="1031" t="s">
        <v>216</v>
      </c>
      <c r="O320" s="1031"/>
      <c r="P320" s="1031"/>
      <c r="Q320" s="1031"/>
      <c r="R320" s="1031"/>
      <c r="S320" s="1378" t="s">
        <v>1274</v>
      </c>
      <c r="T320" s="1656">
        <v>0</v>
      </c>
      <c r="U320" s="1657">
        <v>0</v>
      </c>
      <c r="V320" s="1657">
        <v>0</v>
      </c>
      <c r="W320" s="1657">
        <v>0</v>
      </c>
      <c r="X320" s="1657">
        <v>0</v>
      </c>
      <c r="Y320" s="1657">
        <v>0</v>
      </c>
      <c r="Z320" s="1682">
        <v>0</v>
      </c>
      <c r="AA320" s="1528" t="e">
        <v>#N/A</v>
      </c>
      <c r="AB320" s="1531" t="e">
        <v>#N/A</v>
      </c>
      <c r="AC320" s="43"/>
      <c r="AF320" s="218"/>
    </row>
    <row r="321" spans="1:32" ht="14.45" hidden="1" customHeight="1" x14ac:dyDescent="0.25">
      <c r="A321" s="10" t="s">
        <v>459</v>
      </c>
      <c r="C321" s="42"/>
      <c r="J321" s="2145"/>
      <c r="K321" s="2146"/>
      <c r="L321" s="2146"/>
      <c r="M321" s="2147"/>
      <c r="N321" s="989" t="s">
        <v>214</v>
      </c>
      <c r="O321" s="989"/>
      <c r="P321" s="989"/>
      <c r="Q321" s="989"/>
      <c r="R321" s="989"/>
      <c r="S321" s="1382" t="s">
        <v>1275</v>
      </c>
      <c r="T321" s="1662">
        <v>0</v>
      </c>
      <c r="U321" s="1663">
        <v>0</v>
      </c>
      <c r="V321" s="1663">
        <v>0</v>
      </c>
      <c r="W321" s="1663">
        <v>0</v>
      </c>
      <c r="X321" s="1663">
        <v>0</v>
      </c>
      <c r="Y321" s="1663">
        <v>0</v>
      </c>
      <c r="Z321" s="1684">
        <v>0</v>
      </c>
      <c r="AA321" s="1528" t="e">
        <v>#N/A</v>
      </c>
      <c r="AB321" s="1531" t="e">
        <v>#N/A</v>
      </c>
      <c r="AC321" s="43"/>
      <c r="AF321" s="218"/>
    </row>
    <row r="322" spans="1:32" ht="14.45" hidden="1" customHeight="1" x14ac:dyDescent="0.25">
      <c r="A322" s="10" t="s">
        <v>459</v>
      </c>
      <c r="C322" s="42"/>
      <c r="J322" s="2145"/>
      <c r="K322" s="2146"/>
      <c r="L322" s="2146"/>
      <c r="M322" s="2147"/>
      <c r="N322" s="989" t="s">
        <v>236</v>
      </c>
      <c r="O322" s="989"/>
      <c r="P322" s="989"/>
      <c r="Q322" s="989"/>
      <c r="R322" s="989"/>
      <c r="S322" s="1382" t="s">
        <v>1276</v>
      </c>
      <c r="T322" s="1662">
        <v>0</v>
      </c>
      <c r="U322" s="1663">
        <v>0</v>
      </c>
      <c r="V322" s="1663">
        <v>0</v>
      </c>
      <c r="W322" s="1663">
        <v>0</v>
      </c>
      <c r="X322" s="1663">
        <v>0</v>
      </c>
      <c r="Y322" s="1663">
        <v>0</v>
      </c>
      <c r="Z322" s="1684">
        <v>0</v>
      </c>
      <c r="AA322" s="1528" t="e">
        <v>#N/A</v>
      </c>
      <c r="AB322" s="1531" t="e">
        <v>#N/A</v>
      </c>
      <c r="AC322" s="43"/>
      <c r="AF322" s="218"/>
    </row>
    <row r="323" spans="1:32" ht="14.45" hidden="1" customHeight="1" x14ac:dyDescent="0.25">
      <c r="A323" s="10" t="s">
        <v>461</v>
      </c>
      <c r="C323" s="42"/>
      <c r="J323" s="2027"/>
      <c r="K323" s="2028"/>
      <c r="L323" s="2028"/>
      <c r="M323" s="2029"/>
      <c r="N323" s="1032" t="s">
        <v>45</v>
      </c>
      <c r="O323" s="1032"/>
      <c r="P323" s="1032"/>
      <c r="Q323" s="1032"/>
      <c r="R323" s="1032"/>
      <c r="S323" s="1383" t="s">
        <v>1277</v>
      </c>
      <c r="T323" s="1502" t="e">
        <v>#N/A</v>
      </c>
      <c r="U323" s="1503" t="e">
        <v>#N/A</v>
      </c>
      <c r="V323" s="1503" t="e">
        <v>#N/A</v>
      </c>
      <c r="W323" s="1503" t="e">
        <v>#N/A</v>
      </c>
      <c r="X323" s="1503" t="e">
        <v>#N/A</v>
      </c>
      <c r="Y323" s="1503" t="e">
        <v>#N/A</v>
      </c>
      <c r="Z323" s="1515" t="e">
        <v>#N/A</v>
      </c>
      <c r="AA323" s="1528" t="e">
        <v>#N/A</v>
      </c>
      <c r="AB323" s="1531" t="e">
        <v>#N/A</v>
      </c>
      <c r="AC323" s="43"/>
      <c r="AF323" s="218"/>
    </row>
    <row r="324" spans="1:32" ht="14.45" hidden="1" customHeight="1" x14ac:dyDescent="0.25">
      <c r="A324" s="10" t="s">
        <v>461</v>
      </c>
      <c r="C324" s="42"/>
      <c r="J324" s="2024" t="s">
        <v>1434</v>
      </c>
      <c r="K324" s="2025"/>
      <c r="L324" s="2025"/>
      <c r="M324" s="2026"/>
      <c r="N324" s="1031" t="s">
        <v>1811</v>
      </c>
      <c r="O324" s="1031"/>
      <c r="P324" s="1031"/>
      <c r="Q324" s="1031"/>
      <c r="R324" s="1031"/>
      <c r="S324" s="1378" t="s">
        <v>2406</v>
      </c>
      <c r="T324" s="1696">
        <v>0</v>
      </c>
      <c r="U324" s="1697">
        <v>0</v>
      </c>
      <c r="V324" s="1697">
        <v>0</v>
      </c>
      <c r="W324" s="1697">
        <v>0</v>
      </c>
      <c r="X324" s="1697">
        <v>0</v>
      </c>
      <c r="Y324" s="1719">
        <v>0</v>
      </c>
      <c r="Z324" s="1720">
        <v>0</v>
      </c>
      <c r="AA324" s="1528" t="e">
        <v>#N/A</v>
      </c>
      <c r="AB324" s="1531" t="e">
        <v>#N/A</v>
      </c>
      <c r="AC324" s="43"/>
    </row>
    <row r="325" spans="1:32" ht="14.45" hidden="1" customHeight="1" x14ac:dyDescent="0.25">
      <c r="A325" s="10" t="s">
        <v>461</v>
      </c>
      <c r="C325" s="42"/>
      <c r="J325" s="2145"/>
      <c r="K325" s="2146"/>
      <c r="L325" s="2146"/>
      <c r="M325" s="2147"/>
      <c r="N325" s="989" t="s">
        <v>1435</v>
      </c>
      <c r="O325" s="989"/>
      <c r="P325" s="989"/>
      <c r="Q325" s="989"/>
      <c r="R325" s="989"/>
      <c r="S325" s="1382" t="s">
        <v>2407</v>
      </c>
      <c r="T325" s="1699">
        <v>0</v>
      </c>
      <c r="U325" s="1700">
        <v>0</v>
      </c>
      <c r="V325" s="1700">
        <v>0</v>
      </c>
      <c r="W325" s="1700">
        <v>0</v>
      </c>
      <c r="X325" s="1700">
        <v>0</v>
      </c>
      <c r="Y325" s="1721">
        <v>0</v>
      </c>
      <c r="Z325" s="1722">
        <v>0</v>
      </c>
      <c r="AA325" s="1528" t="e">
        <v>#N/A</v>
      </c>
      <c r="AB325" s="1531" t="e">
        <v>#N/A</v>
      </c>
      <c r="AC325" s="43"/>
      <c r="AF325" s="218"/>
    </row>
    <row r="326" spans="1:32" ht="14.45" hidden="1" customHeight="1" x14ac:dyDescent="0.25">
      <c r="A326" s="10" t="s">
        <v>461</v>
      </c>
      <c r="C326" s="42"/>
      <c r="J326" s="2145"/>
      <c r="K326" s="2146"/>
      <c r="L326" s="2146"/>
      <c r="M326" s="2147"/>
      <c r="N326" s="989" t="s">
        <v>2409</v>
      </c>
      <c r="O326" s="989"/>
      <c r="P326" s="989"/>
      <c r="Q326" s="989"/>
      <c r="R326" s="989"/>
      <c r="S326" s="1382" t="s">
        <v>2410</v>
      </c>
      <c r="T326" s="1699">
        <v>0</v>
      </c>
      <c r="U326" s="1700">
        <v>0</v>
      </c>
      <c r="V326" s="1700">
        <v>0</v>
      </c>
      <c r="W326" s="1700">
        <v>0</v>
      </c>
      <c r="X326" s="1700">
        <v>0</v>
      </c>
      <c r="Y326" s="1721">
        <v>0</v>
      </c>
      <c r="Z326" s="1722">
        <v>0</v>
      </c>
      <c r="AA326" s="1528" t="e">
        <v>#N/A</v>
      </c>
      <c r="AB326" s="1531" t="e">
        <v>#N/A</v>
      </c>
      <c r="AC326" s="43"/>
      <c r="AF326" s="218"/>
    </row>
    <row r="327" spans="1:32" ht="14.45" hidden="1" customHeight="1" x14ac:dyDescent="0.25">
      <c r="A327" s="10" t="s">
        <v>461</v>
      </c>
      <c r="C327" s="42"/>
      <c r="J327" s="2145"/>
      <c r="K327" s="2146"/>
      <c r="L327" s="2146"/>
      <c r="M327" s="2147"/>
      <c r="N327" s="989" t="s">
        <v>2414</v>
      </c>
      <c r="O327" s="989"/>
      <c r="P327" s="989"/>
      <c r="Q327" s="989"/>
      <c r="R327" s="989"/>
      <c r="S327" s="1382" t="s">
        <v>2418</v>
      </c>
      <c r="T327" s="1699">
        <v>0</v>
      </c>
      <c r="U327" s="1700">
        <v>0</v>
      </c>
      <c r="V327" s="1700">
        <v>0</v>
      </c>
      <c r="W327" s="1700">
        <v>0</v>
      </c>
      <c r="X327" s="1700">
        <v>0</v>
      </c>
      <c r="Y327" s="1721">
        <v>0</v>
      </c>
      <c r="Z327" s="1722">
        <v>0</v>
      </c>
      <c r="AA327" s="1528" t="e">
        <v>#N/A</v>
      </c>
      <c r="AB327" s="1531" t="e">
        <v>#N/A</v>
      </c>
      <c r="AC327" s="43"/>
      <c r="AF327" s="218"/>
    </row>
    <row r="328" spans="1:32" ht="14.45" hidden="1" customHeight="1" x14ac:dyDescent="0.25">
      <c r="A328" s="10" t="s">
        <v>461</v>
      </c>
      <c r="C328" s="42"/>
      <c r="J328" s="2145"/>
      <c r="K328" s="2146"/>
      <c r="L328" s="2146"/>
      <c r="M328" s="2147"/>
      <c r="N328" s="1890" t="s">
        <v>1860</v>
      </c>
      <c r="O328" s="1890"/>
      <c r="P328" s="1890"/>
      <c r="Q328" s="1890"/>
      <c r="R328" s="1890"/>
      <c r="S328" s="1891" t="s">
        <v>2408</v>
      </c>
      <c r="T328" s="1892">
        <v>0</v>
      </c>
      <c r="U328" s="1893">
        <v>0</v>
      </c>
      <c r="V328" s="1893">
        <v>0</v>
      </c>
      <c r="W328" s="1893">
        <v>0</v>
      </c>
      <c r="X328" s="1893">
        <v>0</v>
      </c>
      <c r="Y328" s="1894">
        <v>0</v>
      </c>
      <c r="Z328" s="1655">
        <v>0</v>
      </c>
      <c r="AA328" s="1528" t="e">
        <v>#N/A</v>
      </c>
      <c r="AB328" s="1531" t="e">
        <v>#N/A</v>
      </c>
      <c r="AC328" s="43"/>
      <c r="AF328" s="218"/>
    </row>
    <row r="329" spans="1:32" ht="14.45" hidden="1" customHeight="1" x14ac:dyDescent="0.25">
      <c r="A329" s="10" t="s">
        <v>461</v>
      </c>
      <c r="C329" s="42"/>
      <c r="J329" s="1870" t="s">
        <v>2399</v>
      </c>
      <c r="K329" s="1871"/>
      <c r="L329" s="1871"/>
      <c r="M329" s="1872"/>
      <c r="N329" s="1895" t="s">
        <v>2422</v>
      </c>
      <c r="O329" s="1895"/>
      <c r="P329" s="1895"/>
      <c r="Q329" s="1895"/>
      <c r="R329" s="1895"/>
      <c r="S329" s="1896" t="s">
        <v>2443</v>
      </c>
      <c r="T329" s="1696">
        <v>0</v>
      </c>
      <c r="U329" s="1697">
        <v>0</v>
      </c>
      <c r="V329" s="1697">
        <v>0</v>
      </c>
      <c r="W329" s="1697">
        <v>0</v>
      </c>
      <c r="X329" s="1697">
        <v>0</v>
      </c>
      <c r="Y329" s="1719">
        <v>0</v>
      </c>
      <c r="Z329" s="1720">
        <v>0</v>
      </c>
      <c r="AA329" s="1528" t="e">
        <v>#N/A</v>
      </c>
      <c r="AB329" s="1531" t="e">
        <v>#N/A</v>
      </c>
      <c r="AC329" s="43"/>
      <c r="AF329" s="218"/>
    </row>
    <row r="330" spans="1:32" ht="14.45" hidden="1" customHeight="1" x14ac:dyDescent="0.25">
      <c r="A330" s="10" t="s">
        <v>461</v>
      </c>
      <c r="C330" s="42"/>
      <c r="J330" s="1873"/>
      <c r="K330" s="1888"/>
      <c r="L330" s="1888"/>
      <c r="M330" s="1874"/>
      <c r="N330" s="1889" t="s">
        <v>2431</v>
      </c>
      <c r="O330" s="1889"/>
      <c r="P330" s="1889"/>
      <c r="Q330" s="1889"/>
      <c r="R330" s="1889"/>
      <c r="S330" s="1386" t="s">
        <v>2444</v>
      </c>
      <c r="T330" s="1699">
        <v>0</v>
      </c>
      <c r="U330" s="1700">
        <v>0</v>
      </c>
      <c r="V330" s="1700">
        <v>0</v>
      </c>
      <c r="W330" s="1700">
        <v>0</v>
      </c>
      <c r="X330" s="1700">
        <v>0</v>
      </c>
      <c r="Y330" s="1721">
        <v>0</v>
      </c>
      <c r="Z330" s="1722">
        <v>0</v>
      </c>
      <c r="AA330" s="1528" t="e">
        <v>#N/A</v>
      </c>
      <c r="AB330" s="1531" t="e">
        <v>#N/A</v>
      </c>
      <c r="AC330" s="43"/>
      <c r="AF330" s="218"/>
    </row>
    <row r="331" spans="1:32" ht="14.45" hidden="1" customHeight="1" x14ac:dyDescent="0.25">
      <c r="A331" s="10" t="s">
        <v>461</v>
      </c>
      <c r="C331" s="42"/>
      <c r="J331" s="1873"/>
      <c r="K331" s="1888"/>
      <c r="L331" s="1888"/>
      <c r="M331" s="1874"/>
      <c r="N331" s="1889" t="s">
        <v>2423</v>
      </c>
      <c r="O331" s="1889"/>
      <c r="P331" s="1889"/>
      <c r="Q331" s="1889"/>
      <c r="R331" s="1889"/>
      <c r="S331" s="1382" t="s">
        <v>2445</v>
      </c>
      <c r="T331" s="1699">
        <v>0</v>
      </c>
      <c r="U331" s="1700">
        <v>0</v>
      </c>
      <c r="V331" s="1700">
        <v>0</v>
      </c>
      <c r="W331" s="1700">
        <v>0</v>
      </c>
      <c r="X331" s="1700">
        <v>0</v>
      </c>
      <c r="Y331" s="1721">
        <v>0</v>
      </c>
      <c r="Z331" s="1722">
        <v>0</v>
      </c>
      <c r="AA331" s="1528" t="e">
        <v>#N/A</v>
      </c>
      <c r="AB331" s="1531" t="e">
        <v>#N/A</v>
      </c>
      <c r="AC331" s="43"/>
      <c r="AF331" s="218"/>
    </row>
    <row r="332" spans="1:32" ht="14.45" hidden="1" customHeight="1" x14ac:dyDescent="0.25">
      <c r="A332" s="10" t="s">
        <v>461</v>
      </c>
      <c r="C332" s="42"/>
      <c r="J332" s="1873"/>
      <c r="K332" s="1888"/>
      <c r="L332" s="1888"/>
      <c r="M332" s="1874"/>
      <c r="N332" s="1889" t="s">
        <v>2425</v>
      </c>
      <c r="O332" s="1889"/>
      <c r="P332" s="1889"/>
      <c r="Q332" s="1889"/>
      <c r="R332" s="1889"/>
      <c r="S332" s="1382" t="s">
        <v>2446</v>
      </c>
      <c r="T332" s="1699">
        <v>0</v>
      </c>
      <c r="U332" s="1700">
        <v>0</v>
      </c>
      <c r="V332" s="1700">
        <v>0</v>
      </c>
      <c r="W332" s="1700">
        <v>0</v>
      </c>
      <c r="X332" s="1700">
        <v>0</v>
      </c>
      <c r="Y332" s="1721">
        <v>0</v>
      </c>
      <c r="Z332" s="1722">
        <v>0</v>
      </c>
      <c r="AA332" s="1528" t="e">
        <v>#N/A</v>
      </c>
      <c r="AB332" s="1531" t="e">
        <v>#N/A</v>
      </c>
      <c r="AC332" s="43"/>
      <c r="AF332" s="218"/>
    </row>
    <row r="333" spans="1:32" ht="14.45" hidden="1" customHeight="1" x14ac:dyDescent="0.25">
      <c r="A333" s="10" t="s">
        <v>461</v>
      </c>
      <c r="C333" s="42"/>
      <c r="J333" s="1873"/>
      <c r="K333" s="1888"/>
      <c r="L333" s="1888"/>
      <c r="M333" s="1874"/>
      <c r="N333" s="1889" t="s">
        <v>2427</v>
      </c>
      <c r="O333" s="1889"/>
      <c r="P333" s="1889"/>
      <c r="Q333" s="1889"/>
      <c r="R333" s="1889"/>
      <c r="S333" s="1382" t="s">
        <v>2447</v>
      </c>
      <c r="T333" s="1699">
        <v>0</v>
      </c>
      <c r="U333" s="1700">
        <v>0</v>
      </c>
      <c r="V333" s="1700">
        <v>0</v>
      </c>
      <c r="W333" s="1700">
        <v>0</v>
      </c>
      <c r="X333" s="1700">
        <v>0</v>
      </c>
      <c r="Y333" s="1721">
        <v>0</v>
      </c>
      <c r="Z333" s="1722">
        <v>0</v>
      </c>
      <c r="AA333" s="1528" t="e">
        <v>#N/A</v>
      </c>
      <c r="AB333" s="1531" t="e">
        <v>#N/A</v>
      </c>
      <c r="AC333" s="43"/>
      <c r="AF333" s="218"/>
    </row>
    <row r="334" spans="1:32" ht="14.45" hidden="1" customHeight="1" x14ac:dyDescent="0.25">
      <c r="A334" s="10" t="s">
        <v>461</v>
      </c>
      <c r="C334" s="42"/>
      <c r="J334" s="1873"/>
      <c r="K334" s="1888"/>
      <c r="L334" s="1888"/>
      <c r="M334" s="1874"/>
      <c r="N334" s="1889" t="s">
        <v>2429</v>
      </c>
      <c r="O334" s="1889"/>
      <c r="P334" s="1889"/>
      <c r="Q334" s="1889"/>
      <c r="R334" s="1889"/>
      <c r="S334" s="1822" t="s">
        <v>2448</v>
      </c>
      <c r="T334" s="1702">
        <v>0</v>
      </c>
      <c r="U334" s="1691">
        <v>0</v>
      </c>
      <c r="V334" s="1691">
        <v>0</v>
      </c>
      <c r="W334" s="1691">
        <v>0</v>
      </c>
      <c r="X334" s="1691">
        <v>0</v>
      </c>
      <c r="Y334" s="1723">
        <v>0</v>
      </c>
      <c r="Z334" s="1647">
        <v>0</v>
      </c>
      <c r="AA334" s="1528" t="e">
        <v>#N/A</v>
      </c>
      <c r="AB334" s="1531" t="e">
        <v>#N/A</v>
      </c>
      <c r="AC334" s="43"/>
      <c r="AF334" s="218"/>
    </row>
    <row r="335" spans="1:32" ht="14.45" hidden="1" customHeight="1" x14ac:dyDescent="0.25">
      <c r="A335" s="10" t="s">
        <v>461</v>
      </c>
      <c r="C335" s="42"/>
      <c r="J335" s="212" t="s">
        <v>44</v>
      </c>
      <c r="K335" s="213"/>
      <c r="L335" s="213"/>
      <c r="M335" s="214"/>
      <c r="N335" s="1031" t="s">
        <v>283</v>
      </c>
      <c r="O335" s="1031"/>
      <c r="P335" s="1031"/>
      <c r="Q335" s="1031"/>
      <c r="R335" s="1031"/>
      <c r="S335" s="1378" t="s">
        <v>1278</v>
      </c>
      <c r="T335" s="1656">
        <v>0</v>
      </c>
      <c r="U335" s="1657">
        <v>0</v>
      </c>
      <c r="V335" s="1657">
        <v>0</v>
      </c>
      <c r="W335" s="1657">
        <v>0</v>
      </c>
      <c r="X335" s="1657">
        <v>0</v>
      </c>
      <c r="Y335" s="1657">
        <v>0</v>
      </c>
      <c r="Z335" s="1682">
        <v>0</v>
      </c>
      <c r="AA335" s="1528" t="e">
        <v>#N/A</v>
      </c>
      <c r="AB335" s="1531" t="e">
        <v>#N/A</v>
      </c>
      <c r="AC335" s="43"/>
      <c r="AF335" s="218"/>
    </row>
    <row r="336" spans="1:32" ht="14.45" hidden="1" customHeight="1" x14ac:dyDescent="0.25">
      <c r="A336" s="10" t="s">
        <v>461</v>
      </c>
      <c r="C336" s="42"/>
      <c r="J336" s="215"/>
      <c r="K336" s="216"/>
      <c r="L336" s="216"/>
      <c r="M336" s="217"/>
      <c r="N336" s="989" t="s">
        <v>124</v>
      </c>
      <c r="O336" s="989"/>
      <c r="P336" s="989"/>
      <c r="Q336" s="989"/>
      <c r="R336" s="989"/>
      <c r="S336" s="1384" t="s">
        <v>1279</v>
      </c>
      <c r="T336" s="1662">
        <v>0</v>
      </c>
      <c r="U336" s="1663">
        <v>0</v>
      </c>
      <c r="V336" s="1663">
        <v>0</v>
      </c>
      <c r="W336" s="1663">
        <v>0</v>
      </c>
      <c r="X336" s="1663">
        <v>0</v>
      </c>
      <c r="Y336" s="1663">
        <v>0</v>
      </c>
      <c r="Z336" s="1684">
        <v>0</v>
      </c>
      <c r="AA336" s="1528" t="e">
        <v>#N/A</v>
      </c>
      <c r="AB336" s="1531" t="e">
        <v>#N/A</v>
      </c>
      <c r="AC336" s="43"/>
      <c r="AF336" s="218"/>
    </row>
    <row r="337" spans="1:32" ht="14.45" hidden="1" customHeight="1" x14ac:dyDescent="0.25">
      <c r="A337" s="10" t="s">
        <v>461</v>
      </c>
      <c r="C337" s="42"/>
      <c r="J337" s="215"/>
      <c r="K337" s="216"/>
      <c r="L337" s="216"/>
      <c r="M337" s="217"/>
      <c r="N337" s="989" t="s">
        <v>18</v>
      </c>
      <c r="O337" s="989"/>
      <c r="P337" s="989"/>
      <c r="Q337" s="989"/>
      <c r="R337" s="989"/>
      <c r="S337" s="1384" t="s">
        <v>1280</v>
      </c>
      <c r="T337" s="1499" t="e">
        <v>#N/A</v>
      </c>
      <c r="U337" s="1500" t="e">
        <v>#N/A</v>
      </c>
      <c r="V337" s="1500" t="e">
        <v>#N/A</v>
      </c>
      <c r="W337" s="1500" t="e">
        <v>#N/A</v>
      </c>
      <c r="X337" s="1500" t="e">
        <v>#N/A</v>
      </c>
      <c r="Y337" s="1500" t="e">
        <v>#N/A</v>
      </c>
      <c r="Z337" s="1514" t="e">
        <v>#N/A</v>
      </c>
      <c r="AA337" s="1528" t="e">
        <v>#N/A</v>
      </c>
      <c r="AB337" s="1529" t="e">
        <v>#N/A</v>
      </c>
      <c r="AC337" s="43"/>
      <c r="AF337" s="218"/>
    </row>
    <row r="338" spans="1:32" ht="14.45" hidden="1" customHeight="1" x14ac:dyDescent="0.25">
      <c r="A338" s="10" t="s">
        <v>461</v>
      </c>
      <c r="C338" s="42"/>
      <c r="J338" s="215"/>
      <c r="K338" s="216"/>
      <c r="L338" s="216"/>
      <c r="M338" s="217"/>
      <c r="N338" s="989" t="s">
        <v>237</v>
      </c>
      <c r="O338" s="989"/>
      <c r="P338" s="989"/>
      <c r="Q338" s="989"/>
      <c r="R338" s="989"/>
      <c r="S338" s="1384" t="s">
        <v>1281</v>
      </c>
      <c r="T338" s="1499" t="e">
        <v>#N/A</v>
      </c>
      <c r="U338" s="1500" t="e">
        <v>#N/A</v>
      </c>
      <c r="V338" s="1500" t="e">
        <v>#N/A</v>
      </c>
      <c r="W338" s="1500" t="e">
        <v>#N/A</v>
      </c>
      <c r="X338" s="1500" t="e">
        <v>#N/A</v>
      </c>
      <c r="Y338" s="1500" t="e">
        <v>#N/A</v>
      </c>
      <c r="Z338" s="1514" t="e">
        <v>#N/A</v>
      </c>
      <c r="AA338" s="1528" t="e">
        <v>#N/A</v>
      </c>
      <c r="AB338" s="1529" t="e">
        <v>#N/A</v>
      </c>
      <c r="AC338" s="43"/>
      <c r="AF338" s="218"/>
    </row>
    <row r="339" spans="1:32" ht="14.45" hidden="1" customHeight="1" x14ac:dyDescent="0.25">
      <c r="A339" s="10" t="s">
        <v>461</v>
      </c>
      <c r="C339" s="42"/>
      <c r="J339" s="215"/>
      <c r="K339" s="216"/>
      <c r="L339" s="216"/>
      <c r="M339" s="217"/>
      <c r="N339" s="989" t="s">
        <v>151</v>
      </c>
      <c r="O339" s="989"/>
      <c r="P339" s="989"/>
      <c r="Q339" s="989"/>
      <c r="R339" s="989"/>
      <c r="S339" s="1384" t="s">
        <v>1282</v>
      </c>
      <c r="T339" s="1509" t="e">
        <v>#N/A</v>
      </c>
      <c r="U339" s="1508" t="e">
        <v>#N/A</v>
      </c>
      <c r="V339" s="1508" t="e">
        <v>#N/A</v>
      </c>
      <c r="W339" s="1508" t="e">
        <v>#N/A</v>
      </c>
      <c r="X339" s="1508" t="e">
        <v>#N/A</v>
      </c>
      <c r="Y339" s="1508" t="e">
        <v>#N/A</v>
      </c>
      <c r="Z339" s="1517" t="e">
        <v>#N/A</v>
      </c>
      <c r="AA339" s="1528" t="e">
        <v>#N/A</v>
      </c>
      <c r="AB339" s="1529" t="e">
        <v>#N/A</v>
      </c>
      <c r="AC339" s="43"/>
      <c r="AF339" s="218"/>
    </row>
    <row r="340" spans="1:32" ht="14.45" hidden="1" customHeight="1" x14ac:dyDescent="0.25">
      <c r="A340" s="10" t="s">
        <v>461</v>
      </c>
      <c r="C340" s="42"/>
      <c r="J340" s="262"/>
      <c r="K340" s="263"/>
      <c r="L340" s="263"/>
      <c r="M340" s="264"/>
      <c r="N340" s="1033" t="s">
        <v>2021</v>
      </c>
      <c r="O340" s="1033"/>
      <c r="P340" s="1033"/>
      <c r="Q340" s="1033"/>
      <c r="R340" s="1033"/>
      <c r="S340" s="1383" t="s">
        <v>2022</v>
      </c>
      <c r="T340" s="1502" t="e">
        <v>#N/A</v>
      </c>
      <c r="U340" s="1503" t="e">
        <v>#N/A</v>
      </c>
      <c r="V340" s="1503" t="e">
        <v>#N/A</v>
      </c>
      <c r="W340" s="1503" t="e">
        <v>#N/A</v>
      </c>
      <c r="X340" s="1503" t="e">
        <v>#N/A</v>
      </c>
      <c r="Y340" s="1503" t="e">
        <v>#N/A</v>
      </c>
      <c r="Z340" s="1515" t="e">
        <v>#N/A</v>
      </c>
      <c r="AA340" s="1528" t="e">
        <v>#N/A</v>
      </c>
      <c r="AB340" s="1529" t="e">
        <v>#N/A</v>
      </c>
      <c r="AC340" s="43"/>
      <c r="AF340" s="218"/>
    </row>
    <row r="341" spans="1:32" ht="14.45" hidden="1" customHeight="1" x14ac:dyDescent="0.25">
      <c r="A341" s="10" t="s">
        <v>461</v>
      </c>
      <c r="C341" s="42"/>
      <c r="J341" s="215" t="s">
        <v>43</v>
      </c>
      <c r="K341" s="216"/>
      <c r="L341" s="1200"/>
      <c r="M341" s="217"/>
      <c r="N341" s="1015" t="s">
        <v>1827</v>
      </c>
      <c r="O341" s="1031"/>
      <c r="P341" s="1031"/>
      <c r="Q341" s="1031"/>
      <c r="R341" s="1031"/>
      <c r="S341" s="1386" t="s">
        <v>1832</v>
      </c>
      <c r="T341" s="1656">
        <v>0</v>
      </c>
      <c r="U341" s="1657">
        <v>0</v>
      </c>
      <c r="V341" s="1657">
        <v>0</v>
      </c>
      <c r="W341" s="1657">
        <v>0</v>
      </c>
      <c r="X341" s="1657">
        <v>0</v>
      </c>
      <c r="Y341" s="1657">
        <v>0</v>
      </c>
      <c r="Z341" s="1682">
        <v>0</v>
      </c>
      <c r="AA341" s="1528" t="e">
        <v>#N/A</v>
      </c>
      <c r="AB341" s="1529" t="e">
        <v>#N/A</v>
      </c>
      <c r="AC341" s="43"/>
      <c r="AF341" s="218"/>
    </row>
    <row r="342" spans="1:32" ht="14.45" hidden="1" customHeight="1" x14ac:dyDescent="0.25">
      <c r="A342" s="10" t="s">
        <v>461</v>
      </c>
      <c r="C342" s="42"/>
      <c r="J342" s="215"/>
      <c r="K342" s="216"/>
      <c r="L342" s="1200"/>
      <c r="M342" s="217"/>
      <c r="N342" s="1013" t="s">
        <v>2260</v>
      </c>
      <c r="O342" s="307"/>
      <c r="P342" s="307"/>
      <c r="Q342" s="307"/>
      <c r="R342" s="307"/>
      <c r="S342" s="1386" t="s">
        <v>2271</v>
      </c>
      <c r="T342" s="1499" t="e">
        <v>#N/A</v>
      </c>
      <c r="U342" s="1500" t="e">
        <v>#N/A</v>
      </c>
      <c r="V342" s="1500" t="e">
        <v>#N/A</v>
      </c>
      <c r="W342" s="1500" t="e">
        <v>#N/A</v>
      </c>
      <c r="X342" s="1500" t="e">
        <v>#N/A</v>
      </c>
      <c r="Y342" s="1500" t="e">
        <v>#N/A</v>
      </c>
      <c r="Z342" s="1514" t="e">
        <v>#N/A</v>
      </c>
      <c r="AA342" s="1528" t="e">
        <v>#N/A</v>
      </c>
      <c r="AB342" s="1529" t="e">
        <v>#N/A</v>
      </c>
      <c r="AC342" s="43"/>
      <c r="AF342" s="218"/>
    </row>
    <row r="343" spans="1:32" ht="14.45" hidden="1" customHeight="1" x14ac:dyDescent="0.25">
      <c r="A343" s="10" t="s">
        <v>461</v>
      </c>
      <c r="C343" s="42"/>
      <c r="J343" s="215"/>
      <c r="K343" s="216"/>
      <c r="L343" s="1200"/>
      <c r="M343" s="217"/>
      <c r="N343" s="1013" t="s">
        <v>2259</v>
      </c>
      <c r="O343" s="307"/>
      <c r="P343" s="307"/>
      <c r="Q343" s="307"/>
      <c r="R343" s="307"/>
      <c r="S343" s="1387" t="s">
        <v>2272</v>
      </c>
      <c r="T343" s="1499" t="e">
        <v>#N/A</v>
      </c>
      <c r="U343" s="1500" t="e">
        <v>#N/A</v>
      </c>
      <c r="V343" s="1500" t="e">
        <v>#N/A</v>
      </c>
      <c r="W343" s="1500" t="e">
        <v>#N/A</v>
      </c>
      <c r="X343" s="1500" t="e">
        <v>#N/A</v>
      </c>
      <c r="Y343" s="1500" t="e">
        <v>#N/A</v>
      </c>
      <c r="Z343" s="1514" t="e">
        <v>#N/A</v>
      </c>
      <c r="AA343" s="1528" t="e">
        <v>#N/A</v>
      </c>
      <c r="AB343" s="1529" t="e">
        <v>#N/A</v>
      </c>
      <c r="AC343" s="43"/>
      <c r="AF343" s="218"/>
    </row>
    <row r="344" spans="1:32" ht="14.45" hidden="1" customHeight="1" x14ac:dyDescent="0.25">
      <c r="A344" s="10" t="s">
        <v>461</v>
      </c>
      <c r="C344" s="42"/>
      <c r="J344" s="215"/>
      <c r="K344" s="216"/>
      <c r="L344" s="1200"/>
      <c r="M344" s="217"/>
      <c r="N344" s="1014" t="s">
        <v>2261</v>
      </c>
      <c r="O344" s="987"/>
      <c r="P344" s="987"/>
      <c r="Q344" s="987"/>
      <c r="R344" s="987"/>
      <c r="S344" s="1387" t="s">
        <v>2273</v>
      </c>
      <c r="T344" s="1499" t="e">
        <v>#N/A</v>
      </c>
      <c r="U344" s="1500" t="e">
        <v>#N/A</v>
      </c>
      <c r="V344" s="1500" t="e">
        <v>#N/A</v>
      </c>
      <c r="W344" s="1500" t="e">
        <v>#N/A</v>
      </c>
      <c r="X344" s="1500" t="e">
        <v>#N/A</v>
      </c>
      <c r="Y344" s="1500" t="e">
        <v>#N/A</v>
      </c>
      <c r="Z344" s="1514" t="e">
        <v>#N/A</v>
      </c>
      <c r="AA344" s="1528" t="e">
        <v>#N/A</v>
      </c>
      <c r="AB344" s="1529" t="e">
        <v>#N/A</v>
      </c>
      <c r="AC344" s="43"/>
      <c r="AF344" s="218"/>
    </row>
    <row r="345" spans="1:32" ht="14.45" hidden="1" customHeight="1" x14ac:dyDescent="0.25">
      <c r="A345" s="10" t="s">
        <v>461</v>
      </c>
      <c r="C345" s="42"/>
      <c r="J345" s="215"/>
      <c r="K345" s="216"/>
      <c r="L345" s="1200"/>
      <c r="M345" s="217"/>
      <c r="N345" s="1013" t="s">
        <v>2262</v>
      </c>
      <c r="O345" s="307"/>
      <c r="P345" s="307"/>
      <c r="Q345" s="307"/>
      <c r="R345" s="307"/>
      <c r="S345" s="1386" t="s">
        <v>2274</v>
      </c>
      <c r="T345" s="1499" t="e">
        <v>#N/A</v>
      </c>
      <c r="U345" s="1500" t="e">
        <v>#N/A</v>
      </c>
      <c r="V345" s="1500" t="e">
        <v>#N/A</v>
      </c>
      <c r="W345" s="1500" t="e">
        <v>#N/A</v>
      </c>
      <c r="X345" s="1500" t="e">
        <v>#N/A</v>
      </c>
      <c r="Y345" s="1500" t="e">
        <v>#N/A</v>
      </c>
      <c r="Z345" s="1514" t="e">
        <v>#N/A</v>
      </c>
      <c r="AA345" s="1528" t="e">
        <v>#N/A</v>
      </c>
      <c r="AB345" s="1529" t="e">
        <v>#N/A</v>
      </c>
      <c r="AC345" s="43"/>
      <c r="AF345" s="218"/>
    </row>
    <row r="346" spans="1:32" ht="14.45" hidden="1" customHeight="1" x14ac:dyDescent="0.25">
      <c r="A346" s="10" t="s">
        <v>461</v>
      </c>
      <c r="C346" s="42"/>
      <c r="J346" s="215"/>
      <c r="K346" s="216"/>
      <c r="L346" s="1200"/>
      <c r="M346" s="217"/>
      <c r="N346" s="1013" t="s">
        <v>2263</v>
      </c>
      <c r="O346" s="307"/>
      <c r="P346" s="307"/>
      <c r="Q346" s="307"/>
      <c r="R346" s="307"/>
      <c r="S346" s="1387" t="s">
        <v>2275</v>
      </c>
      <c r="T346" s="1499" t="e">
        <v>#N/A</v>
      </c>
      <c r="U346" s="1500" t="e">
        <v>#N/A</v>
      </c>
      <c r="V346" s="1500" t="e">
        <v>#N/A</v>
      </c>
      <c r="W346" s="1500" t="e">
        <v>#N/A</v>
      </c>
      <c r="X346" s="1500" t="e">
        <v>#N/A</v>
      </c>
      <c r="Y346" s="1500" t="e">
        <v>#N/A</v>
      </c>
      <c r="Z346" s="1514" t="e">
        <v>#N/A</v>
      </c>
      <c r="AA346" s="1528" t="e">
        <v>#N/A</v>
      </c>
      <c r="AB346" s="1529" t="e">
        <v>#N/A</v>
      </c>
      <c r="AC346" s="43"/>
      <c r="AF346" s="218"/>
    </row>
    <row r="347" spans="1:32" ht="14.45" hidden="1" customHeight="1" x14ac:dyDescent="0.25">
      <c r="A347" s="10" t="s">
        <v>461</v>
      </c>
      <c r="C347" s="42"/>
      <c r="J347" s="215"/>
      <c r="K347" s="216"/>
      <c r="L347" s="1200"/>
      <c r="M347" s="217"/>
      <c r="N347" s="1014" t="s">
        <v>2264</v>
      </c>
      <c r="O347" s="987"/>
      <c r="P347" s="987"/>
      <c r="Q347" s="987"/>
      <c r="R347" s="987"/>
      <c r="S347" s="1387" t="s">
        <v>2276</v>
      </c>
      <c r="T347" s="1499" t="e">
        <v>#N/A</v>
      </c>
      <c r="U347" s="1500" t="e">
        <v>#N/A</v>
      </c>
      <c r="V347" s="1500" t="e">
        <v>#N/A</v>
      </c>
      <c r="W347" s="1500" t="e">
        <v>#N/A</v>
      </c>
      <c r="X347" s="1500" t="e">
        <v>#N/A</v>
      </c>
      <c r="Y347" s="1500" t="e">
        <v>#N/A</v>
      </c>
      <c r="Z347" s="1514" t="e">
        <v>#N/A</v>
      </c>
      <c r="AA347" s="1528" t="e">
        <v>#N/A</v>
      </c>
      <c r="AB347" s="1529" t="e">
        <v>#N/A</v>
      </c>
      <c r="AC347" s="43"/>
      <c r="AF347" s="218"/>
    </row>
    <row r="348" spans="1:32" ht="14.45" hidden="1" customHeight="1" x14ac:dyDescent="0.25">
      <c r="A348" s="10" t="s">
        <v>459</v>
      </c>
      <c r="C348" s="42"/>
      <c r="J348" s="2148" t="s">
        <v>90</v>
      </c>
      <c r="K348" s="2149"/>
      <c r="L348" s="2149"/>
      <c r="M348" s="2150"/>
      <c r="N348" s="1030" t="s">
        <v>50</v>
      </c>
      <c r="O348" s="1030"/>
      <c r="P348" s="1030"/>
      <c r="Q348" s="1030"/>
      <c r="R348" s="1030"/>
      <c r="S348" s="1377" t="s">
        <v>1283</v>
      </c>
      <c r="T348" s="1656">
        <v>0</v>
      </c>
      <c r="U348" s="1657">
        <v>0</v>
      </c>
      <c r="V348" s="1657">
        <v>0</v>
      </c>
      <c r="W348" s="1657">
        <v>0</v>
      </c>
      <c r="X348" s="1657">
        <v>0</v>
      </c>
      <c r="Y348" s="1657">
        <v>0</v>
      </c>
      <c r="Z348" s="1682">
        <v>0</v>
      </c>
      <c r="AA348" s="1528" t="e">
        <v>#N/A</v>
      </c>
      <c r="AB348" s="1529" t="e">
        <v>#N/A</v>
      </c>
      <c r="AC348" s="43"/>
      <c r="AF348" s="218"/>
    </row>
    <row r="349" spans="1:32" ht="14.45" hidden="1" customHeight="1" x14ac:dyDescent="0.25">
      <c r="A349" s="10" t="s">
        <v>459</v>
      </c>
      <c r="C349" s="42"/>
      <c r="J349" s="2151"/>
      <c r="K349" s="2152"/>
      <c r="L349" s="2152"/>
      <c r="M349" s="2153"/>
      <c r="N349" s="991" t="s">
        <v>20</v>
      </c>
      <c r="O349" s="991"/>
      <c r="P349" s="991"/>
      <c r="Q349" s="991"/>
      <c r="R349" s="991"/>
      <c r="S349" s="1376" t="s">
        <v>1284</v>
      </c>
      <c r="T349" s="1665">
        <v>0.125</v>
      </c>
      <c r="U349" s="1666">
        <v>0.125</v>
      </c>
      <c r="V349" s="1666">
        <v>0.125</v>
      </c>
      <c r="W349" s="1666">
        <v>0.125</v>
      </c>
      <c r="X349" s="1666">
        <v>0.125</v>
      </c>
      <c r="Y349" s="1666">
        <v>0.125</v>
      </c>
      <c r="Z349" s="1685">
        <v>0.125</v>
      </c>
      <c r="AA349" s="1528" t="e">
        <v>#N/A</v>
      </c>
      <c r="AB349" s="1529" t="e">
        <v>#N/A</v>
      </c>
      <c r="AC349" s="43"/>
      <c r="AF349" s="218"/>
    </row>
    <row r="350" spans="1:32" ht="14.45" hidden="1" customHeight="1" x14ac:dyDescent="0.25">
      <c r="A350" s="10" t="s">
        <v>461</v>
      </c>
      <c r="C350" s="42"/>
      <c r="J350" s="2151"/>
      <c r="K350" s="2152"/>
      <c r="L350" s="2152"/>
      <c r="M350" s="2153"/>
      <c r="N350" s="1030" t="s">
        <v>49</v>
      </c>
      <c r="O350" s="1030"/>
      <c r="P350" s="1030"/>
      <c r="Q350" s="1030"/>
      <c r="R350" s="1030"/>
      <c r="S350" s="1374" t="s">
        <v>1285</v>
      </c>
      <c r="T350" s="1505" t="e">
        <v>#N/A</v>
      </c>
      <c r="U350" s="1506" t="e">
        <v>#N/A</v>
      </c>
      <c r="V350" s="1506" t="e">
        <v>#N/A</v>
      </c>
      <c r="W350" s="1506" t="e">
        <v>#N/A</v>
      </c>
      <c r="X350" s="1506" t="e">
        <v>#N/A</v>
      </c>
      <c r="Y350" s="1506" t="e">
        <v>#N/A</v>
      </c>
      <c r="Z350" s="1516" t="e">
        <v>#N/A</v>
      </c>
      <c r="AA350" s="1528" t="e">
        <v>#N/A</v>
      </c>
      <c r="AB350" s="1529" t="e">
        <v>#N/A</v>
      </c>
      <c r="AC350" s="43"/>
      <c r="AF350" s="218"/>
    </row>
    <row r="351" spans="1:32" ht="14.45" hidden="1" customHeight="1" x14ac:dyDescent="0.25">
      <c r="A351" s="10" t="s">
        <v>461</v>
      </c>
      <c r="C351" s="42"/>
      <c r="J351" s="2154"/>
      <c r="K351" s="2155"/>
      <c r="L351" s="2155"/>
      <c r="M351" s="2156"/>
      <c r="N351" s="991" t="s">
        <v>22</v>
      </c>
      <c r="O351" s="991"/>
      <c r="P351" s="991"/>
      <c r="Q351" s="991"/>
      <c r="R351" s="991"/>
      <c r="S351" s="1388" t="s">
        <v>1286</v>
      </c>
      <c r="T351" s="1668">
        <v>0</v>
      </c>
      <c r="U351" s="1669">
        <v>0</v>
      </c>
      <c r="V351" s="1669">
        <v>0</v>
      </c>
      <c r="W351" s="1669">
        <v>0</v>
      </c>
      <c r="X351" s="1669">
        <v>0</v>
      </c>
      <c r="Y351" s="1669">
        <v>0</v>
      </c>
      <c r="Z351" s="1686">
        <v>0</v>
      </c>
      <c r="AA351" s="1528" t="e">
        <v>#N/A</v>
      </c>
      <c r="AB351" s="1529" t="e">
        <v>#N/A</v>
      </c>
      <c r="AC351" s="43"/>
      <c r="AF351" s="218"/>
    </row>
    <row r="352" spans="1:32" ht="14.45" hidden="1" customHeight="1" x14ac:dyDescent="0.25">
      <c r="A352" s="10" t="s">
        <v>459</v>
      </c>
      <c r="C352" s="42"/>
      <c r="J352" s="2034" t="s">
        <v>64</v>
      </c>
      <c r="K352" s="2035"/>
      <c r="L352" s="2035"/>
      <c r="M352" s="2036"/>
      <c r="N352" s="1030" t="s">
        <v>82</v>
      </c>
      <c r="O352" s="1030"/>
      <c r="P352" s="1030"/>
      <c r="Q352" s="1030"/>
      <c r="R352" s="1030"/>
      <c r="S352" s="1378" t="s">
        <v>1287</v>
      </c>
      <c r="T352" s="1656">
        <v>0</v>
      </c>
      <c r="U352" s="1657">
        <v>0</v>
      </c>
      <c r="V352" s="1657">
        <v>0</v>
      </c>
      <c r="W352" s="1657">
        <v>0</v>
      </c>
      <c r="X352" s="1657">
        <v>0</v>
      </c>
      <c r="Y352" s="1657">
        <v>0</v>
      </c>
      <c r="Z352" s="1682">
        <v>0</v>
      </c>
      <c r="AA352" s="1528" t="e">
        <v>#N/A</v>
      </c>
      <c r="AB352" s="1529" t="e">
        <v>#N/A</v>
      </c>
      <c r="AC352" s="43"/>
      <c r="AF352" s="218"/>
    </row>
    <row r="353" spans="1:32" ht="14.45" hidden="1" customHeight="1" x14ac:dyDescent="0.25">
      <c r="A353" s="10" t="s">
        <v>459</v>
      </c>
      <c r="C353" s="42"/>
      <c r="J353" s="2037"/>
      <c r="K353" s="2038"/>
      <c r="L353" s="2038"/>
      <c r="M353" s="2039"/>
      <c r="N353" s="1034" t="s">
        <v>1817</v>
      </c>
      <c r="O353" s="993"/>
      <c r="P353" s="993"/>
      <c r="Q353" s="993"/>
      <c r="R353" s="993"/>
      <c r="S353" s="1398" t="s">
        <v>1812</v>
      </c>
      <c r="T353" s="1607">
        <v>0.25</v>
      </c>
      <c r="U353" s="1608">
        <v>0.25</v>
      </c>
      <c r="V353" s="1608">
        <v>0.25</v>
      </c>
      <c r="W353" s="1608">
        <v>0.25</v>
      </c>
      <c r="X353" s="1608">
        <v>0.25</v>
      </c>
      <c r="Y353" s="1608">
        <v>0.25</v>
      </c>
      <c r="Z353" s="1608">
        <v>0.25</v>
      </c>
      <c r="AA353" s="1528" t="e">
        <v>#N/A</v>
      </c>
      <c r="AB353" s="1529" t="e">
        <v>#N/A</v>
      </c>
      <c r="AC353" s="43"/>
      <c r="AF353" s="218"/>
    </row>
    <row r="354" spans="1:32" ht="14.45" hidden="1" customHeight="1" x14ac:dyDescent="0.25">
      <c r="A354" s="10" t="s">
        <v>459</v>
      </c>
      <c r="C354" s="42"/>
      <c r="J354" s="2037"/>
      <c r="K354" s="2038"/>
      <c r="L354" s="2038"/>
      <c r="M354" s="2039"/>
      <c r="N354" s="1034" t="s">
        <v>1818</v>
      </c>
      <c r="O354" s="993"/>
      <c r="P354" s="993"/>
      <c r="Q354" s="993"/>
      <c r="R354" s="993"/>
      <c r="S354" s="1398" t="s">
        <v>1813</v>
      </c>
      <c r="T354" s="1607">
        <v>0.5</v>
      </c>
      <c r="U354" s="1608">
        <v>0.5</v>
      </c>
      <c r="V354" s="1608">
        <v>0.5</v>
      </c>
      <c r="W354" s="1608">
        <v>0.5</v>
      </c>
      <c r="X354" s="1608">
        <v>0.5</v>
      </c>
      <c r="Y354" s="1608">
        <v>0.5</v>
      </c>
      <c r="Z354" s="1608">
        <v>0.5</v>
      </c>
      <c r="AA354" s="1528" t="e">
        <v>#N/A</v>
      </c>
      <c r="AB354" s="1529" t="e">
        <v>#N/A</v>
      </c>
      <c r="AC354" s="43"/>
      <c r="AF354" s="218"/>
    </row>
    <row r="355" spans="1:32" ht="14.45" hidden="1" customHeight="1" x14ac:dyDescent="0.25">
      <c r="A355" s="10" t="s">
        <v>459</v>
      </c>
      <c r="C355" s="42"/>
      <c r="J355" s="2037"/>
      <c r="K355" s="2038"/>
      <c r="L355" s="2038"/>
      <c r="M355" s="2039"/>
      <c r="N355" s="1034" t="s">
        <v>1819</v>
      </c>
      <c r="O355" s="993"/>
      <c r="P355" s="993"/>
      <c r="Q355" s="993"/>
      <c r="R355" s="993"/>
      <c r="S355" s="1399" t="s">
        <v>1814</v>
      </c>
      <c r="T355" s="1607">
        <v>1.25</v>
      </c>
      <c r="U355" s="1608">
        <v>1.25</v>
      </c>
      <c r="V355" s="1608">
        <v>1.25</v>
      </c>
      <c r="W355" s="1608">
        <v>1.25</v>
      </c>
      <c r="X355" s="1608">
        <v>1.25</v>
      </c>
      <c r="Y355" s="1608">
        <v>1.25</v>
      </c>
      <c r="Z355" s="1608">
        <v>1.25</v>
      </c>
      <c r="AA355" s="1528" t="e">
        <v>#N/A</v>
      </c>
      <c r="AB355" s="1529" t="e">
        <v>#N/A</v>
      </c>
      <c r="AC355" s="43"/>
      <c r="AF355" s="218"/>
    </row>
    <row r="356" spans="1:32" ht="14.45" hidden="1" customHeight="1" x14ac:dyDescent="0.25">
      <c r="A356" s="10" t="s">
        <v>459</v>
      </c>
      <c r="C356" s="42"/>
      <c r="J356" s="2037"/>
      <c r="K356" s="2038"/>
      <c r="L356" s="2038"/>
      <c r="M356" s="2039"/>
      <c r="N356" s="1034" t="s">
        <v>1820</v>
      </c>
      <c r="O356" s="993"/>
      <c r="P356" s="993"/>
      <c r="Q356" s="993"/>
      <c r="R356" s="993"/>
      <c r="S356" s="1400" t="s">
        <v>1815</v>
      </c>
      <c r="T356" s="1607">
        <v>1.625</v>
      </c>
      <c r="U356" s="1608">
        <v>1.625</v>
      </c>
      <c r="V356" s="1608">
        <v>1.625</v>
      </c>
      <c r="W356" s="1608">
        <v>1.625</v>
      </c>
      <c r="X356" s="1608">
        <v>1.625</v>
      </c>
      <c r="Y356" s="1608">
        <v>1.625</v>
      </c>
      <c r="Z356" s="1608">
        <v>1.625</v>
      </c>
      <c r="AA356" s="1528" t="e">
        <v>#N/A</v>
      </c>
      <c r="AB356" s="1529" t="e">
        <v>#N/A</v>
      </c>
      <c r="AC356" s="43"/>
      <c r="AF356" s="218"/>
    </row>
    <row r="357" spans="1:32" ht="14.45" hidden="1" customHeight="1" x14ac:dyDescent="0.25">
      <c r="A357" s="10" t="s">
        <v>459</v>
      </c>
      <c r="C357" s="42"/>
      <c r="J357" s="2037"/>
      <c r="K357" s="2038"/>
      <c r="L357" s="2038"/>
      <c r="M357" s="2039"/>
      <c r="N357" s="1035" t="s">
        <v>1821</v>
      </c>
      <c r="O357" s="1036"/>
      <c r="P357" s="1036"/>
      <c r="Q357" s="1036"/>
      <c r="R357" s="1036"/>
      <c r="S357" s="1401" t="s">
        <v>1816</v>
      </c>
      <c r="T357" s="1610">
        <v>1.875</v>
      </c>
      <c r="U357" s="1611">
        <v>1.875</v>
      </c>
      <c r="V357" s="1611">
        <v>1.875</v>
      </c>
      <c r="W357" s="1611">
        <v>1.875</v>
      </c>
      <c r="X357" s="1611">
        <v>1.875</v>
      </c>
      <c r="Y357" s="1611">
        <v>1.875</v>
      </c>
      <c r="Z357" s="1611">
        <v>1.875</v>
      </c>
      <c r="AA357" s="1528" t="e">
        <v>#N/A</v>
      </c>
      <c r="AB357" s="1529" t="e">
        <v>#N/A</v>
      </c>
      <c r="AC357" s="43"/>
      <c r="AF357" s="218"/>
    </row>
    <row r="358" spans="1:32" ht="14.45" hidden="1" customHeight="1" x14ac:dyDescent="0.25">
      <c r="A358" s="10" t="s">
        <v>459</v>
      </c>
      <c r="C358" s="42"/>
      <c r="J358" s="2037"/>
      <c r="K358" s="2038"/>
      <c r="L358" s="2038"/>
      <c r="M358" s="2039"/>
      <c r="N358" s="993" t="s">
        <v>2293</v>
      </c>
      <c r="O358" s="993"/>
      <c r="P358" s="993"/>
      <c r="Q358" s="993"/>
      <c r="R358" s="993"/>
      <c r="S358" s="1402" t="s">
        <v>2294</v>
      </c>
      <c r="T358" s="1619">
        <v>0.25</v>
      </c>
      <c r="U358" s="1620">
        <v>0.25</v>
      </c>
      <c r="V358" s="1620">
        <v>0.25</v>
      </c>
      <c r="W358" s="1620">
        <v>0.25</v>
      </c>
      <c r="X358" s="1620">
        <v>0.25</v>
      </c>
      <c r="Y358" s="1620">
        <v>0.25</v>
      </c>
      <c r="Z358" s="1620">
        <v>0.25</v>
      </c>
      <c r="AA358" s="1528" t="e">
        <v>#N/A</v>
      </c>
      <c r="AB358" s="1532" t="e">
        <v>#N/A</v>
      </c>
      <c r="AC358" s="43"/>
      <c r="AF358" s="218"/>
    </row>
    <row r="359" spans="1:32" ht="14.45" hidden="1" customHeight="1" x14ac:dyDescent="0.25">
      <c r="A359" s="10" t="s">
        <v>459</v>
      </c>
      <c r="C359" s="42"/>
      <c r="J359" s="2037"/>
      <c r="K359" s="2038"/>
      <c r="L359" s="2038"/>
      <c r="M359" s="2039"/>
      <c r="N359" s="993" t="s">
        <v>2295</v>
      </c>
      <c r="O359" s="993"/>
      <c r="P359" s="993"/>
      <c r="Q359" s="993"/>
      <c r="R359" s="993"/>
      <c r="S359" s="1402" t="s">
        <v>2296</v>
      </c>
      <c r="T359" s="1607">
        <v>0.5</v>
      </c>
      <c r="U359" s="1608">
        <v>0.5</v>
      </c>
      <c r="V359" s="1608">
        <v>0.5</v>
      </c>
      <c r="W359" s="1608">
        <v>0.5</v>
      </c>
      <c r="X359" s="1608">
        <v>0.5</v>
      </c>
      <c r="Y359" s="1608">
        <v>0.5</v>
      </c>
      <c r="Z359" s="1608">
        <v>0.5</v>
      </c>
      <c r="AA359" s="1528" t="e">
        <v>#N/A</v>
      </c>
      <c r="AB359" s="1532" t="e">
        <v>#N/A</v>
      </c>
      <c r="AC359" s="43"/>
      <c r="AF359" s="218"/>
    </row>
    <row r="360" spans="1:32" ht="14.45" hidden="1" customHeight="1" x14ac:dyDescent="0.25">
      <c r="A360" s="10" t="s">
        <v>459</v>
      </c>
      <c r="C360" s="42"/>
      <c r="J360" s="2037"/>
      <c r="K360" s="2038"/>
      <c r="L360" s="2038"/>
      <c r="M360" s="2039"/>
      <c r="N360" s="993" t="s">
        <v>2297</v>
      </c>
      <c r="O360" s="993"/>
      <c r="P360" s="993"/>
      <c r="Q360" s="993"/>
      <c r="R360" s="993"/>
      <c r="S360" s="1399" t="s">
        <v>2298</v>
      </c>
      <c r="T360" s="1607">
        <v>1.25</v>
      </c>
      <c r="U360" s="1608">
        <v>1.25</v>
      </c>
      <c r="V360" s="1608">
        <v>1.25</v>
      </c>
      <c r="W360" s="1608">
        <v>1.25</v>
      </c>
      <c r="X360" s="1608">
        <v>1.25</v>
      </c>
      <c r="Y360" s="1608">
        <v>1.25</v>
      </c>
      <c r="Z360" s="1608">
        <v>1.25</v>
      </c>
      <c r="AA360" s="1528" t="e">
        <v>#N/A</v>
      </c>
      <c r="AB360" s="1532" t="e">
        <v>#N/A</v>
      </c>
      <c r="AC360" s="43"/>
      <c r="AF360" s="218"/>
    </row>
    <row r="361" spans="1:32" ht="14.45" hidden="1" customHeight="1" x14ac:dyDescent="0.25">
      <c r="A361" s="10" t="s">
        <v>459</v>
      </c>
      <c r="C361" s="42"/>
      <c r="J361" s="2037"/>
      <c r="K361" s="2038"/>
      <c r="L361" s="2038"/>
      <c r="M361" s="2039"/>
      <c r="N361" s="993" t="s">
        <v>2299</v>
      </c>
      <c r="O361" s="993"/>
      <c r="P361" s="993"/>
      <c r="Q361" s="993"/>
      <c r="R361" s="993"/>
      <c r="S361" s="1399" t="s">
        <v>2300</v>
      </c>
      <c r="T361" s="1607">
        <v>1.625</v>
      </c>
      <c r="U361" s="1608">
        <v>1.625</v>
      </c>
      <c r="V361" s="1608">
        <v>1.625</v>
      </c>
      <c r="W361" s="1608">
        <v>1.625</v>
      </c>
      <c r="X361" s="1608">
        <v>1.625</v>
      </c>
      <c r="Y361" s="1608">
        <v>1.625</v>
      </c>
      <c r="Z361" s="1608">
        <v>1.625</v>
      </c>
      <c r="AA361" s="1528" t="e">
        <v>#N/A</v>
      </c>
      <c r="AB361" s="1532" t="e">
        <v>#N/A</v>
      </c>
      <c r="AC361" s="43"/>
      <c r="AF361" s="218"/>
    </row>
    <row r="362" spans="1:32" ht="14.45" hidden="1" customHeight="1" x14ac:dyDescent="0.25">
      <c r="A362" s="10" t="s">
        <v>459</v>
      </c>
      <c r="C362" s="42"/>
      <c r="J362" s="2037"/>
      <c r="K362" s="2038"/>
      <c r="L362" s="2038"/>
      <c r="M362" s="2039"/>
      <c r="N362" s="1036" t="s">
        <v>2301</v>
      </c>
      <c r="O362" s="1036"/>
      <c r="P362" s="1036"/>
      <c r="Q362" s="1036"/>
      <c r="R362" s="1036"/>
      <c r="S362" s="1403" t="s">
        <v>2302</v>
      </c>
      <c r="T362" s="1610">
        <v>1.875</v>
      </c>
      <c r="U362" s="1611">
        <v>1.875</v>
      </c>
      <c r="V362" s="1611">
        <v>1.875</v>
      </c>
      <c r="W362" s="1611">
        <v>1.875</v>
      </c>
      <c r="X362" s="1611">
        <v>1.875</v>
      </c>
      <c r="Y362" s="1611">
        <v>1.875</v>
      </c>
      <c r="Z362" s="1611">
        <v>1.875</v>
      </c>
      <c r="AA362" s="1528" t="e">
        <v>#N/A</v>
      </c>
      <c r="AB362" s="1532" t="e">
        <v>#N/A</v>
      </c>
      <c r="AC362" s="43"/>
      <c r="AF362" s="218"/>
    </row>
    <row r="363" spans="1:32" ht="14.45" hidden="1" customHeight="1" x14ac:dyDescent="0.25">
      <c r="A363" s="10" t="s">
        <v>459</v>
      </c>
      <c r="C363" s="42"/>
      <c r="J363" s="2037"/>
      <c r="K363" s="2038"/>
      <c r="L363" s="2038"/>
      <c r="M363" s="2039"/>
      <c r="N363" s="993" t="s">
        <v>693</v>
      </c>
      <c r="O363" s="993"/>
      <c r="P363" s="993"/>
      <c r="Q363" s="993"/>
      <c r="R363" s="993"/>
      <c r="S363" s="1402" t="s">
        <v>1288</v>
      </c>
      <c r="T363" s="1619">
        <v>0.25</v>
      </c>
      <c r="U363" s="1620">
        <v>0.25</v>
      </c>
      <c r="V363" s="1620">
        <v>0.25</v>
      </c>
      <c r="W363" s="1620">
        <v>0.25</v>
      </c>
      <c r="X363" s="1620">
        <v>0.25</v>
      </c>
      <c r="Y363" s="1620">
        <v>0.25</v>
      </c>
      <c r="Z363" s="1620">
        <v>0.25</v>
      </c>
      <c r="AA363" s="1528" t="e">
        <v>#N/A</v>
      </c>
      <c r="AB363" s="1532" t="e">
        <v>#N/A</v>
      </c>
      <c r="AC363" s="43"/>
      <c r="AF363" s="218"/>
    </row>
    <row r="364" spans="1:32" ht="14.45" hidden="1" customHeight="1" x14ac:dyDescent="0.25">
      <c r="A364" s="10" t="s">
        <v>459</v>
      </c>
      <c r="C364" s="42"/>
      <c r="J364" s="2037"/>
      <c r="K364" s="2038"/>
      <c r="L364" s="2038"/>
      <c r="M364" s="2039"/>
      <c r="N364" s="993" t="s">
        <v>692</v>
      </c>
      <c r="O364" s="993"/>
      <c r="P364" s="993"/>
      <c r="Q364" s="993"/>
      <c r="R364" s="993"/>
      <c r="S364" s="1402" t="s">
        <v>1289</v>
      </c>
      <c r="T364" s="1607">
        <v>0.5</v>
      </c>
      <c r="U364" s="1608">
        <v>0.5</v>
      </c>
      <c r="V364" s="1608">
        <v>0.5</v>
      </c>
      <c r="W364" s="1608">
        <v>0.5</v>
      </c>
      <c r="X364" s="1608">
        <v>0.5</v>
      </c>
      <c r="Y364" s="1608">
        <v>0.5</v>
      </c>
      <c r="Z364" s="1608">
        <v>0.5</v>
      </c>
      <c r="AA364" s="1528" t="e">
        <v>#N/A</v>
      </c>
      <c r="AB364" s="1532" t="e">
        <v>#N/A</v>
      </c>
      <c r="AC364" s="43"/>
      <c r="AF364" s="218"/>
    </row>
    <row r="365" spans="1:32" ht="14.45" hidden="1" customHeight="1" x14ac:dyDescent="0.25">
      <c r="A365" s="10" t="s">
        <v>459</v>
      </c>
      <c r="C365" s="42"/>
      <c r="J365" s="2037"/>
      <c r="K365" s="2038"/>
      <c r="L365" s="2038"/>
      <c r="M365" s="2039"/>
      <c r="N365" s="993" t="s">
        <v>691</v>
      </c>
      <c r="O365" s="993"/>
      <c r="P365" s="993"/>
      <c r="Q365" s="993"/>
      <c r="R365" s="993"/>
      <c r="S365" s="1399" t="s">
        <v>1290</v>
      </c>
      <c r="T365" s="1607">
        <v>1.5</v>
      </c>
      <c r="U365" s="1608">
        <v>1.5</v>
      </c>
      <c r="V365" s="1608">
        <v>1.5</v>
      </c>
      <c r="W365" s="1608">
        <v>1.5</v>
      </c>
      <c r="X365" s="1608">
        <v>1.5</v>
      </c>
      <c r="Y365" s="1608">
        <v>1.5</v>
      </c>
      <c r="Z365" s="1608">
        <v>1.5</v>
      </c>
      <c r="AA365" s="1528" t="e">
        <v>#N/A</v>
      </c>
      <c r="AB365" s="1532" t="e">
        <v>#N/A</v>
      </c>
      <c r="AC365" s="43"/>
      <c r="AF365" s="218"/>
    </row>
    <row r="366" spans="1:32" ht="14.45" hidden="1" customHeight="1" x14ac:dyDescent="0.25">
      <c r="A366" s="10" t="s">
        <v>459</v>
      </c>
      <c r="C366" s="42"/>
      <c r="J366" s="2037"/>
      <c r="K366" s="2038"/>
      <c r="L366" s="2038"/>
      <c r="M366" s="2039"/>
      <c r="N366" s="993" t="s">
        <v>690</v>
      </c>
      <c r="O366" s="993"/>
      <c r="P366" s="993"/>
      <c r="Q366" s="993"/>
      <c r="R366" s="993"/>
      <c r="S366" s="1399" t="s">
        <v>1291</v>
      </c>
      <c r="T366" s="1607">
        <v>1.875</v>
      </c>
      <c r="U366" s="1608">
        <v>1.875</v>
      </c>
      <c r="V366" s="1608">
        <v>1.875</v>
      </c>
      <c r="W366" s="1608">
        <v>1.875</v>
      </c>
      <c r="X366" s="1608">
        <v>1.875</v>
      </c>
      <c r="Y366" s="1608">
        <v>1.875</v>
      </c>
      <c r="Z366" s="1608">
        <v>1.875</v>
      </c>
      <c r="AA366" s="1528" t="e">
        <v>#N/A</v>
      </c>
      <c r="AB366" s="1532" t="e">
        <v>#N/A</v>
      </c>
      <c r="AC366" s="43"/>
      <c r="AF366" s="218"/>
    </row>
    <row r="367" spans="1:32" ht="14.45" hidden="1" customHeight="1" x14ac:dyDescent="0.25">
      <c r="A367" s="10" t="s">
        <v>459</v>
      </c>
      <c r="C367" s="42"/>
      <c r="J367" s="2037"/>
      <c r="K367" s="2038"/>
      <c r="L367" s="2038"/>
      <c r="M367" s="2039"/>
      <c r="N367" s="1036" t="s">
        <v>689</v>
      </c>
      <c r="O367" s="1036"/>
      <c r="P367" s="1036"/>
      <c r="Q367" s="1036"/>
      <c r="R367" s="1036"/>
      <c r="S367" s="1403" t="s">
        <v>1292</v>
      </c>
      <c r="T367" s="1610">
        <v>2.125</v>
      </c>
      <c r="U367" s="1611">
        <v>2.125</v>
      </c>
      <c r="V367" s="1611">
        <v>2.125</v>
      </c>
      <c r="W367" s="1611">
        <v>2.125</v>
      </c>
      <c r="X367" s="1611">
        <v>2.125</v>
      </c>
      <c r="Y367" s="1611">
        <v>2.125</v>
      </c>
      <c r="Z367" s="1611">
        <v>2.125</v>
      </c>
      <c r="AA367" s="1528" t="e">
        <v>#N/A</v>
      </c>
      <c r="AB367" s="1532" t="e">
        <v>#N/A</v>
      </c>
      <c r="AC367" s="43"/>
      <c r="AF367" s="218"/>
    </row>
    <row r="368" spans="1:32" ht="14.45" hidden="1" customHeight="1" x14ac:dyDescent="0.25">
      <c r="A368" s="10" t="s">
        <v>459</v>
      </c>
      <c r="C368" s="42"/>
      <c r="J368" s="2037"/>
      <c r="K368" s="2038"/>
      <c r="L368" s="2038"/>
      <c r="M368" s="2039"/>
      <c r="N368" s="993" t="s">
        <v>698</v>
      </c>
      <c r="O368" s="993"/>
      <c r="P368" s="993"/>
      <c r="Q368" s="993"/>
      <c r="R368" s="993"/>
      <c r="S368" s="1402" t="s">
        <v>1293</v>
      </c>
      <c r="T368" s="1619">
        <v>0.25</v>
      </c>
      <c r="U368" s="1620">
        <v>0.25</v>
      </c>
      <c r="V368" s="1620">
        <v>0.25</v>
      </c>
      <c r="W368" s="1620">
        <v>0.25</v>
      </c>
      <c r="X368" s="1620">
        <v>0.25</v>
      </c>
      <c r="Y368" s="1620">
        <v>0.25</v>
      </c>
      <c r="Z368" s="1620">
        <v>0.25</v>
      </c>
      <c r="AA368" s="1528" t="e">
        <v>#N/A</v>
      </c>
      <c r="AB368" s="1532" t="e">
        <v>#N/A</v>
      </c>
      <c r="AC368" s="43"/>
      <c r="AF368" s="218"/>
    </row>
    <row r="369" spans="1:32" ht="14.45" hidden="1" customHeight="1" x14ac:dyDescent="0.25">
      <c r="A369" s="10" t="s">
        <v>459</v>
      </c>
      <c r="C369" s="42"/>
      <c r="J369" s="2037"/>
      <c r="K369" s="2038"/>
      <c r="L369" s="2038"/>
      <c r="M369" s="2039"/>
      <c r="N369" s="993" t="s">
        <v>697</v>
      </c>
      <c r="O369" s="993"/>
      <c r="P369" s="993"/>
      <c r="Q369" s="993"/>
      <c r="R369" s="993"/>
      <c r="S369" s="1402" t="s">
        <v>1294</v>
      </c>
      <c r="T369" s="1607">
        <v>0.5</v>
      </c>
      <c r="U369" s="1608">
        <v>0.5</v>
      </c>
      <c r="V369" s="1608">
        <v>0.5</v>
      </c>
      <c r="W369" s="1608">
        <v>0.5</v>
      </c>
      <c r="X369" s="1608">
        <v>0.5</v>
      </c>
      <c r="Y369" s="1608">
        <v>0.5</v>
      </c>
      <c r="Z369" s="1608">
        <v>0.5</v>
      </c>
      <c r="AA369" s="1528" t="e">
        <v>#N/A</v>
      </c>
      <c r="AB369" s="1532" t="e">
        <v>#N/A</v>
      </c>
      <c r="AC369" s="43"/>
      <c r="AF369" s="218"/>
    </row>
    <row r="370" spans="1:32" ht="14.45" hidden="1" customHeight="1" x14ac:dyDescent="0.25">
      <c r="A370" s="10" t="s">
        <v>459</v>
      </c>
      <c r="C370" s="42"/>
      <c r="J370" s="2037"/>
      <c r="K370" s="2038"/>
      <c r="L370" s="2038"/>
      <c r="M370" s="2039"/>
      <c r="N370" s="993" t="s">
        <v>696</v>
      </c>
      <c r="O370" s="993"/>
      <c r="P370" s="993"/>
      <c r="Q370" s="993"/>
      <c r="R370" s="993"/>
      <c r="S370" s="1399" t="s">
        <v>1295</v>
      </c>
      <c r="T370" s="1607">
        <v>1</v>
      </c>
      <c r="U370" s="1608">
        <v>1</v>
      </c>
      <c r="V370" s="1608">
        <v>1</v>
      </c>
      <c r="W370" s="1608">
        <v>1</v>
      </c>
      <c r="X370" s="1608">
        <v>1</v>
      </c>
      <c r="Y370" s="1608">
        <v>1</v>
      </c>
      <c r="Z370" s="1608">
        <v>1</v>
      </c>
      <c r="AA370" s="1528" t="e">
        <v>#N/A</v>
      </c>
      <c r="AB370" s="1532" t="e">
        <v>#N/A</v>
      </c>
      <c r="AC370" s="43"/>
      <c r="AF370" s="218"/>
    </row>
    <row r="371" spans="1:32" ht="14.45" hidden="1" customHeight="1" x14ac:dyDescent="0.25">
      <c r="A371" s="10" t="s">
        <v>459</v>
      </c>
      <c r="C371" s="42"/>
      <c r="J371" s="2037"/>
      <c r="K371" s="2038"/>
      <c r="L371" s="2038"/>
      <c r="M371" s="2039"/>
      <c r="N371" s="993" t="s">
        <v>695</v>
      </c>
      <c r="O371" s="993"/>
      <c r="P371" s="993"/>
      <c r="Q371" s="993"/>
      <c r="R371" s="993"/>
      <c r="S371" s="1399" t="s">
        <v>1296</v>
      </c>
      <c r="T371" s="1607">
        <v>1.625</v>
      </c>
      <c r="U371" s="1608">
        <v>1.625</v>
      </c>
      <c r="V371" s="1608">
        <v>1.625</v>
      </c>
      <c r="W371" s="1608">
        <v>1.625</v>
      </c>
      <c r="X371" s="1608">
        <v>1.625</v>
      </c>
      <c r="Y371" s="1608">
        <v>1.625</v>
      </c>
      <c r="Z371" s="1608">
        <v>1.625</v>
      </c>
      <c r="AA371" s="1528" t="e">
        <v>#N/A</v>
      </c>
      <c r="AB371" s="1532" t="e">
        <v>#N/A</v>
      </c>
      <c r="AC371" s="43"/>
      <c r="AF371" s="218"/>
    </row>
    <row r="372" spans="1:32" ht="14.45" hidden="1" customHeight="1" x14ac:dyDescent="0.25">
      <c r="A372" s="10" t="s">
        <v>459</v>
      </c>
      <c r="C372" s="42"/>
      <c r="J372" s="2040"/>
      <c r="K372" s="2041"/>
      <c r="L372" s="2041"/>
      <c r="M372" s="2042"/>
      <c r="N372" s="1036" t="s">
        <v>694</v>
      </c>
      <c r="O372" s="1036"/>
      <c r="P372" s="1036"/>
      <c r="Q372" s="1036"/>
      <c r="R372" s="1036"/>
      <c r="S372" s="1403" t="s">
        <v>1297</v>
      </c>
      <c r="T372" s="1610">
        <v>1.875</v>
      </c>
      <c r="U372" s="1611">
        <v>1.875</v>
      </c>
      <c r="V372" s="1611">
        <v>1.875</v>
      </c>
      <c r="W372" s="1611">
        <v>1.875</v>
      </c>
      <c r="X372" s="1611">
        <v>1.875</v>
      </c>
      <c r="Y372" s="1611">
        <v>1.875</v>
      </c>
      <c r="Z372" s="1611">
        <v>1.875</v>
      </c>
      <c r="AA372" s="1528" t="e">
        <v>#N/A</v>
      </c>
      <c r="AB372" s="1532" t="e">
        <v>#N/A</v>
      </c>
      <c r="AC372" s="43"/>
      <c r="AF372" s="218"/>
    </row>
    <row r="373" spans="1:32" ht="14.45" hidden="1" customHeight="1" x14ac:dyDescent="0.25">
      <c r="A373" s="10" t="s">
        <v>459</v>
      </c>
      <c r="C373" s="42"/>
      <c r="J373" s="2034" t="s">
        <v>23</v>
      </c>
      <c r="K373" s="2035"/>
      <c r="L373" s="2035"/>
      <c r="M373" s="2036"/>
      <c r="N373" s="1028" t="s">
        <v>73</v>
      </c>
      <c r="O373" s="1028"/>
      <c r="P373" s="1028"/>
      <c r="Q373" s="1028"/>
      <c r="R373" s="1028"/>
      <c r="S373" s="1377" t="s">
        <v>1298</v>
      </c>
      <c r="T373" s="1656" cm="1">
        <f t="array" ref="T373">[1]!LLPA_PN_000050_30_Day</f>
        <v>0</v>
      </c>
      <c r="U373" s="1657" cm="1">
        <f t="array" ref="U373">[1]!LLPA_PN_000050_30_Day</f>
        <v>0</v>
      </c>
      <c r="V373" s="1657" cm="1">
        <f t="array" ref="V373">[1]!LLPA_PN_000050_30_Day</f>
        <v>0</v>
      </c>
      <c r="W373" s="1657" cm="1">
        <f t="array" ref="W373">[1]!LLPA_PN_000050_30_Day</f>
        <v>0</v>
      </c>
      <c r="X373" s="1657" cm="1">
        <f t="array" ref="X373">[1]!LLPA_PN_000050_30_Day</f>
        <v>0</v>
      </c>
      <c r="Y373" s="1657" cm="1">
        <f t="array" ref="Y373">[1]!LLPA_PN_000050_30_Day</f>
        <v>0</v>
      </c>
      <c r="Z373" s="1682" cm="1">
        <f t="array" ref="Z373">[1]!LLPA_PN_000050_30_Day</f>
        <v>0</v>
      </c>
      <c r="AA373" s="1528" t="e">
        <v>#N/A</v>
      </c>
      <c r="AB373" s="1529" t="e">
        <v>#N/A</v>
      </c>
      <c r="AC373" s="43"/>
      <c r="AF373" s="218"/>
    </row>
    <row r="374" spans="1:32" ht="14.45" hidden="1" customHeight="1" x14ac:dyDescent="0.25">
      <c r="A374" s="10" t="s">
        <v>459</v>
      </c>
      <c r="C374" s="42"/>
      <c r="J374" s="2037"/>
      <c r="K374" s="2038"/>
      <c r="L374" s="2038"/>
      <c r="M374" s="2039"/>
      <c r="N374" s="990" t="s">
        <v>74</v>
      </c>
      <c r="O374" s="986"/>
      <c r="P374" s="986"/>
      <c r="Q374" s="986"/>
      <c r="R374" s="986"/>
      <c r="S374" s="1399" t="s">
        <v>1299</v>
      </c>
      <c r="T374" s="1662" cm="1">
        <f t="array" ref="T374">[1]!LLPA_PN_000050_45_Day</f>
        <v>-0.25</v>
      </c>
      <c r="U374" s="1663" cm="1">
        <f t="array" ref="U374">[1]!LLPA_PN_000050_45_Day</f>
        <v>-0.25</v>
      </c>
      <c r="V374" s="1663" cm="1">
        <f t="array" ref="V374">[1]!LLPA_PN_000050_45_Day</f>
        <v>-0.25</v>
      </c>
      <c r="W374" s="1663" cm="1">
        <f t="array" ref="W374">[1]!LLPA_PN_000050_45_Day</f>
        <v>-0.25</v>
      </c>
      <c r="X374" s="1663" cm="1">
        <f t="array" ref="X374">[1]!LLPA_PN_000050_45_Day</f>
        <v>-0.25</v>
      </c>
      <c r="Y374" s="1663" cm="1">
        <f t="array" ref="Y374">[1]!LLPA_PN_000050_45_Day</f>
        <v>-0.25</v>
      </c>
      <c r="Z374" s="1684" cm="1">
        <f t="array" ref="Z374">[1]!LLPA_PN_000050_45_Day</f>
        <v>-0.25</v>
      </c>
      <c r="AA374" s="1528" t="e">
        <v>#N/A</v>
      </c>
      <c r="AB374" s="1529" t="e">
        <v>#N/A</v>
      </c>
      <c r="AC374" s="43"/>
      <c r="AF374" s="218"/>
    </row>
    <row r="375" spans="1:32" ht="14.45" hidden="1" customHeight="1" x14ac:dyDescent="0.25">
      <c r="A375" s="10" t="s">
        <v>459</v>
      </c>
      <c r="C375" s="42"/>
      <c r="J375" s="2040"/>
      <c r="K375" s="2041"/>
      <c r="L375" s="2041"/>
      <c r="M375" s="2042"/>
      <c r="N375" s="1037" t="s">
        <v>75</v>
      </c>
      <c r="O375" s="1037"/>
      <c r="P375" s="1037"/>
      <c r="Q375" s="1037"/>
      <c r="R375" s="1037"/>
      <c r="S375" s="1403" t="s">
        <v>1300</v>
      </c>
      <c r="T375" s="1665" cm="1">
        <f t="array" ref="T375">[1]!LLPA_PN_000050_60_Day</f>
        <v>-0.5</v>
      </c>
      <c r="U375" s="1666" cm="1">
        <f t="array" ref="U375">[1]!LLPA_PN_000050_60_Day</f>
        <v>-0.5</v>
      </c>
      <c r="V375" s="1666" cm="1">
        <f t="array" ref="V375">[1]!LLPA_PN_000050_60_Day</f>
        <v>-0.5</v>
      </c>
      <c r="W375" s="1666" cm="1">
        <f t="array" ref="W375">[1]!LLPA_PN_000050_60_Day</f>
        <v>-0.5</v>
      </c>
      <c r="X375" s="1666" cm="1">
        <f t="array" ref="X375">[1]!LLPA_PN_000050_60_Day</f>
        <v>-0.5</v>
      </c>
      <c r="Y375" s="1666" cm="1">
        <f t="array" ref="Y375">[1]!LLPA_PN_000050_60_Day</f>
        <v>-0.5</v>
      </c>
      <c r="Z375" s="1685" cm="1">
        <f t="array" ref="Z375">[1]!LLPA_PN_000050_60_Day</f>
        <v>-0.5</v>
      </c>
      <c r="AA375" s="1528" t="e">
        <v>#N/A</v>
      </c>
      <c r="AB375" s="1529" t="e">
        <v>#N/A</v>
      </c>
      <c r="AC375" s="43"/>
      <c r="AF375" s="218"/>
    </row>
    <row r="376" spans="1:32" ht="14.45" hidden="1" customHeight="1" x14ac:dyDescent="0.25">
      <c r="A376" s="10" t="s">
        <v>461</v>
      </c>
      <c r="C376" s="42"/>
      <c r="J376" s="2024" t="s">
        <v>359</v>
      </c>
      <c r="K376" s="2025"/>
      <c r="L376" s="2025"/>
      <c r="M376" s="2026"/>
      <c r="N376" s="1010" t="s">
        <v>360</v>
      </c>
      <c r="O376" s="1028"/>
      <c r="P376" s="1028"/>
      <c r="Q376" s="1028"/>
      <c r="R376" s="1028"/>
      <c r="S376" s="1378" t="s">
        <v>1301</v>
      </c>
      <c r="T376" s="1671" cm="1">
        <f t="array" ref="T376">[1]!LLPA_PN_000050_Mandatory</f>
        <v>0</v>
      </c>
      <c r="U376" s="1672" cm="1">
        <f t="array" ref="U376">[1]!LLPA_PN_000050_Mandatory</f>
        <v>0</v>
      </c>
      <c r="V376" s="1672" cm="1">
        <f t="array" ref="V376">[1]!LLPA_PN_000050_Mandatory</f>
        <v>0</v>
      </c>
      <c r="W376" s="1672" cm="1">
        <f t="array" ref="W376">[1]!LLPA_PN_000050_Mandatory</f>
        <v>0</v>
      </c>
      <c r="X376" s="1672" cm="1">
        <f t="array" ref="X376">[1]!LLPA_PN_000050_Mandatory</f>
        <v>0</v>
      </c>
      <c r="Y376" s="1672" cm="1">
        <f t="array" ref="Y376">[1]!LLPA_PN_000050_Mandatory</f>
        <v>0</v>
      </c>
      <c r="Z376" s="1687" cm="1">
        <f t="array" ref="Z376">[1]!LLPA_PN_000050_Mandatory</f>
        <v>0</v>
      </c>
      <c r="AA376" s="1528" t="e">
        <v>#N/A</v>
      </c>
      <c r="AB376" s="1529" t="e">
        <v>#N/A</v>
      </c>
      <c r="AC376" s="43"/>
      <c r="AF376" s="218"/>
    </row>
    <row r="377" spans="1:32" ht="14.45" hidden="1" customHeight="1" x14ac:dyDescent="0.25">
      <c r="A377" s="10" t="s">
        <v>461</v>
      </c>
      <c r="C377" s="42"/>
      <c r="J377" s="2027"/>
      <c r="K377" s="2028"/>
      <c r="L377" s="2028"/>
      <c r="M377" s="2029"/>
      <c r="N377" s="1011" t="s">
        <v>361</v>
      </c>
      <c r="O377" s="991"/>
      <c r="P377" s="991"/>
      <c r="Q377" s="991"/>
      <c r="R377" s="991"/>
      <c r="S377" s="1391" t="s">
        <v>1302</v>
      </c>
      <c r="T377" s="1679" cm="1">
        <f t="array" ref="T377">[1]!LLPA_PN_000050_Best_Efforts</f>
        <v>0</v>
      </c>
      <c r="U377" s="1680" cm="1">
        <f t="array" ref="U377">[1]!LLPA_PN_000050_Best_Efforts</f>
        <v>0</v>
      </c>
      <c r="V377" s="1680" cm="1">
        <f t="array" ref="V377">[1]!LLPA_PN_000050_Best_Efforts</f>
        <v>0</v>
      </c>
      <c r="W377" s="1680" cm="1">
        <f t="array" ref="W377">[1]!LLPA_PN_000050_Best_Efforts</f>
        <v>0</v>
      </c>
      <c r="X377" s="1680" cm="1">
        <f t="array" ref="X377">[1]!LLPA_PN_000050_Best_Efforts</f>
        <v>0</v>
      </c>
      <c r="Y377" s="1680" cm="1">
        <f t="array" ref="Y377">[1]!LLPA_PN_000050_Best_Efforts</f>
        <v>0</v>
      </c>
      <c r="Z377" s="1689" cm="1">
        <f t="array" ref="Z377">[1]!LLPA_PN_000050_Best_Efforts</f>
        <v>0</v>
      </c>
      <c r="AA377" s="1524" t="e">
        <v>#N/A</v>
      </c>
      <c r="AB377" s="1525" t="e">
        <v>#N/A</v>
      </c>
      <c r="AC377" s="43"/>
      <c r="AF377" s="218"/>
    </row>
    <row r="378" spans="1:32" ht="14.45" hidden="1" customHeight="1" x14ac:dyDescent="0.25">
      <c r="A378" s="10" t="s">
        <v>460</v>
      </c>
      <c r="C378" s="42"/>
      <c r="J378" s="75"/>
      <c r="K378" s="75"/>
      <c r="L378" s="75"/>
      <c r="M378" s="75"/>
      <c r="N378" s="75"/>
      <c r="O378" s="75"/>
      <c r="P378" s="75"/>
      <c r="Q378" s="75"/>
      <c r="R378" s="75"/>
      <c r="S378" s="103"/>
      <c r="T378" s="78"/>
      <c r="U378" s="78"/>
      <c r="V378" s="78"/>
      <c r="W378" s="78"/>
      <c r="X378" s="78"/>
      <c r="Y378" s="78"/>
      <c r="Z378" s="78"/>
      <c r="AA378" s="78"/>
      <c r="AB378" s="79"/>
      <c r="AC378" s="43"/>
      <c r="AF378" s="218"/>
    </row>
    <row r="379" spans="1:32" ht="14.45" hidden="1" customHeight="1" x14ac:dyDescent="0.25">
      <c r="A379" s="10" t="s">
        <v>459</v>
      </c>
      <c r="C379" s="239"/>
      <c r="D379" s="2030"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379" s="2030"/>
      <c r="F379" s="2030"/>
      <c r="G379" s="2030"/>
      <c r="H379" s="2030"/>
      <c r="I379" s="2030"/>
      <c r="J379" s="2030"/>
      <c r="K379" s="2030"/>
      <c r="L379" s="2030"/>
      <c r="M379" s="2030"/>
      <c r="N379" s="2030"/>
      <c r="O379" s="2030"/>
      <c r="P379" s="2030"/>
      <c r="Q379" s="2030"/>
      <c r="R379" s="2030"/>
      <c r="S379" s="2030"/>
      <c r="T379" s="2030"/>
      <c r="U379" s="2030"/>
      <c r="V379" s="2030"/>
      <c r="W379" s="2030"/>
      <c r="X379" s="2030"/>
      <c r="Y379" s="2030"/>
      <c r="Z379" s="2030"/>
      <c r="AA379" s="2030"/>
      <c r="AB379" s="2030"/>
      <c r="AC379" s="2031"/>
      <c r="AF379" s="218"/>
    </row>
    <row r="380" spans="1:32" ht="14.45" hidden="1" customHeight="1" x14ac:dyDescent="0.25">
      <c r="A380" s="10" t="s">
        <v>459</v>
      </c>
      <c r="C380" s="240"/>
      <c r="D380" s="2032"/>
      <c r="E380" s="2032"/>
      <c r="F380" s="2032"/>
      <c r="G380" s="2032"/>
      <c r="H380" s="2032"/>
      <c r="I380" s="2032"/>
      <c r="J380" s="2032"/>
      <c r="K380" s="2032"/>
      <c r="L380" s="2032"/>
      <c r="M380" s="2032"/>
      <c r="N380" s="2032"/>
      <c r="O380" s="2032"/>
      <c r="P380" s="2032"/>
      <c r="Q380" s="2032"/>
      <c r="R380" s="2032"/>
      <c r="S380" s="2032"/>
      <c r="T380" s="2032"/>
      <c r="U380" s="2032"/>
      <c r="V380" s="2032"/>
      <c r="W380" s="2032"/>
      <c r="X380" s="2032"/>
      <c r="Y380" s="2032"/>
      <c r="Z380" s="2032"/>
      <c r="AA380" s="2032"/>
      <c r="AB380" s="2032"/>
      <c r="AC380" s="2033"/>
      <c r="AF380" s="218"/>
    </row>
    <row r="381" spans="1:32" ht="14.45" hidden="1" customHeight="1" x14ac:dyDescent="0.25">
      <c r="A381" s="10" t="s">
        <v>460</v>
      </c>
      <c r="B381" s="5"/>
      <c r="AF381" s="218"/>
    </row>
    <row r="382" spans="1:32" ht="14.45" hidden="1" customHeight="1" x14ac:dyDescent="0.25">
      <c r="A382" s="10" t="s">
        <v>459</v>
      </c>
      <c r="C382" s="1830"/>
      <c r="D382" s="1831"/>
      <c r="E382" s="1831"/>
      <c r="F382" s="1831"/>
      <c r="G382" s="1832"/>
      <c r="H382" s="1832"/>
      <c r="I382" s="1832"/>
      <c r="J382" s="2157" t="str">
        <f>Input_Name_Product1</f>
        <v>NonQM OO</v>
      </c>
      <c r="K382" s="2157"/>
      <c r="L382" s="2157"/>
      <c r="M382" s="2157"/>
      <c r="N382" s="2157"/>
      <c r="O382" s="2157"/>
      <c r="P382" s="2157"/>
      <c r="Q382" s="2157"/>
      <c r="R382" s="2157"/>
      <c r="S382" s="2157"/>
      <c r="T382" s="1832"/>
      <c r="U382" s="1832"/>
      <c r="V382" s="1832"/>
      <c r="W382" s="1833" t="str">
        <f>Input_Header01</f>
        <v xml:space="preserve"> </v>
      </c>
      <c r="X382" s="1834"/>
      <c r="Y382" s="1834"/>
      <c r="Z382" s="1834" t="str">
        <f>$Z$2</f>
        <v xml:space="preserve"> </v>
      </c>
      <c r="AA382" s="1834"/>
      <c r="AB382" s="1834"/>
      <c r="AC382" s="1835"/>
      <c r="AF382" s="218"/>
    </row>
    <row r="383" spans="1:32" ht="14.45" hidden="1" customHeight="1" x14ac:dyDescent="0.25">
      <c r="A383" s="10" t="s">
        <v>459</v>
      </c>
      <c r="C383" s="1836"/>
      <c r="D383" s="1837"/>
      <c r="E383" s="1837"/>
      <c r="F383" s="1837"/>
      <c r="G383" s="1837"/>
      <c r="H383" s="1837"/>
      <c r="I383" s="1837"/>
      <c r="J383" s="2158"/>
      <c r="K383" s="2158"/>
      <c r="L383" s="2158"/>
      <c r="M383" s="2158"/>
      <c r="N383" s="2158"/>
      <c r="O383" s="2158"/>
      <c r="P383" s="2158"/>
      <c r="Q383" s="2158"/>
      <c r="R383" s="2158"/>
      <c r="S383" s="2158"/>
      <c r="T383" s="1837"/>
      <c r="U383" s="1837"/>
      <c r="V383" s="1837"/>
      <c r="W383" s="1841" t="str">
        <f>Input_Header02</f>
        <v xml:space="preserve"> </v>
      </c>
      <c r="X383" s="1838"/>
      <c r="Y383" s="1838"/>
      <c r="Z383" s="1838" t="str">
        <f>$Z$3</f>
        <v xml:space="preserve"> </v>
      </c>
      <c r="AA383" s="1838"/>
      <c r="AB383" s="1838"/>
      <c r="AC383" s="1840"/>
      <c r="AF383" s="218"/>
    </row>
    <row r="384" spans="1:32" ht="14.45" hidden="1" customHeight="1" x14ac:dyDescent="0.25">
      <c r="A384" s="10" t="s">
        <v>459</v>
      </c>
      <c r="C384" s="1836"/>
      <c r="D384" s="1837"/>
      <c r="E384" s="1837"/>
      <c r="F384" s="1837"/>
      <c r="G384" s="1837"/>
      <c r="H384" s="1837"/>
      <c r="I384" s="1837"/>
      <c r="J384" s="2158"/>
      <c r="K384" s="2158"/>
      <c r="L384" s="2158"/>
      <c r="M384" s="2158"/>
      <c r="N384" s="2158"/>
      <c r="O384" s="2158"/>
      <c r="P384" s="2158"/>
      <c r="Q384" s="2158"/>
      <c r="R384" s="2158"/>
      <c r="S384" s="2158"/>
      <c r="T384" s="1837"/>
      <c r="U384" s="1837"/>
      <c r="V384" s="1837"/>
      <c r="W384" s="1841" t="str">
        <f>Input_Header03</f>
        <v xml:space="preserve"> </v>
      </c>
      <c r="X384" s="1838"/>
      <c r="Y384" s="1838"/>
      <c r="Z384" s="1838"/>
      <c r="AA384" s="1839"/>
      <c r="AB384" s="1839"/>
      <c r="AC384" s="1840"/>
      <c r="AF384" s="218"/>
    </row>
    <row r="385" spans="1:34" ht="14.45" hidden="1" customHeight="1" x14ac:dyDescent="0.25">
      <c r="A385" s="10" t="s">
        <v>459</v>
      </c>
      <c r="C385" s="1836"/>
      <c r="D385" s="1837"/>
      <c r="E385" s="1837"/>
      <c r="F385" s="1837"/>
      <c r="G385" s="1837"/>
      <c r="H385" s="1837"/>
      <c r="I385" s="1837"/>
      <c r="J385" s="2158"/>
      <c r="K385" s="2158"/>
      <c r="L385" s="2158"/>
      <c r="M385" s="2158"/>
      <c r="N385" s="2158"/>
      <c r="O385" s="2158"/>
      <c r="P385" s="2158"/>
      <c r="Q385" s="2158"/>
      <c r="R385" s="2158"/>
      <c r="S385" s="2158"/>
      <c r="T385" s="1837"/>
      <c r="U385" s="1837"/>
      <c r="V385" s="1837"/>
      <c r="W385" s="1842" t="str">
        <f>Input_Header04</f>
        <v xml:space="preserve"> </v>
      </c>
      <c r="X385" s="1837"/>
      <c r="Y385" s="1838"/>
      <c r="Z385" s="1838"/>
      <c r="AA385" s="1986"/>
      <c r="AB385" s="1986" t="str">
        <f>Input_Version</f>
        <v>#1</v>
      </c>
      <c r="AC385" s="1840"/>
      <c r="AF385" s="218"/>
    </row>
    <row r="386" spans="1:34" ht="14.45" hidden="1" customHeight="1" x14ac:dyDescent="0.25">
      <c r="A386" s="10" t="s">
        <v>459</v>
      </c>
      <c r="C386" s="1843"/>
      <c r="D386" s="1844"/>
      <c r="E386" s="1844"/>
      <c r="F386" s="1844"/>
      <c r="G386" s="1845"/>
      <c r="H386" s="1845"/>
      <c r="I386" s="1845"/>
      <c r="J386" s="2159"/>
      <c r="K386" s="2159"/>
      <c r="L386" s="2159"/>
      <c r="M386" s="2159"/>
      <c r="N386" s="2159"/>
      <c r="O386" s="2159"/>
      <c r="P386" s="2159"/>
      <c r="Q386" s="2159"/>
      <c r="R386" s="2159"/>
      <c r="S386" s="2159"/>
      <c r="T386" s="1845"/>
      <c r="U386" s="1845"/>
      <c r="V386" s="1845"/>
      <c r="W386" s="1846" t="str">
        <f>Input_Header05</f>
        <v xml:space="preserve"> </v>
      </c>
      <c r="X386" s="1847"/>
      <c r="Y386" s="1847"/>
      <c r="Z386" s="1847"/>
      <c r="AA386" s="2049">
        <f ca="1">Input_Date</f>
        <v>45869</v>
      </c>
      <c r="AB386" s="2049"/>
      <c r="AC386" s="1848"/>
      <c r="AF386" s="218"/>
    </row>
    <row r="387" spans="1:34" s="5" customFormat="1" ht="10.15" hidden="1" customHeight="1" x14ac:dyDescent="0.2">
      <c r="A387" s="10" t="s">
        <v>460</v>
      </c>
      <c r="B387" s="10"/>
      <c r="C387" s="41"/>
      <c r="T387" s="46"/>
      <c r="U387" s="46"/>
      <c r="V387" s="46"/>
      <c r="W387" s="46"/>
      <c r="X387" s="46"/>
      <c r="Y387" s="46"/>
      <c r="Z387" s="46"/>
      <c r="AA387" s="46"/>
      <c r="AC387" s="47"/>
      <c r="AE387" s="10"/>
      <c r="AF387" s="218"/>
      <c r="AG387" s="10"/>
      <c r="AH387" s="10"/>
    </row>
    <row r="388" spans="1:34" s="5" customFormat="1" ht="10.15" hidden="1" customHeight="1" x14ac:dyDescent="0.2">
      <c r="A388" s="10" t="s">
        <v>459</v>
      </c>
      <c r="B388" s="10"/>
      <c r="C388" s="41"/>
      <c r="D388" s="2120" t="s">
        <v>0</v>
      </c>
      <c r="E388" s="2121"/>
      <c r="F388" s="2122"/>
      <c r="G388" s="48"/>
      <c r="H388" s="48"/>
      <c r="I388" s="49"/>
      <c r="J388" s="2050" t="s">
        <v>103</v>
      </c>
      <c r="K388" s="2051"/>
      <c r="L388" s="2051"/>
      <c r="M388" s="2051"/>
      <c r="N388" s="2051"/>
      <c r="O388" s="2051"/>
      <c r="P388" s="2051"/>
      <c r="Q388" s="2051"/>
      <c r="R388" s="2051"/>
      <c r="S388" s="2051"/>
      <c r="T388" s="2051"/>
      <c r="U388" s="2051"/>
      <c r="V388" s="2051"/>
      <c r="W388" s="2051"/>
      <c r="X388" s="2051"/>
      <c r="Y388" s="2051"/>
      <c r="Z388" s="2051"/>
      <c r="AA388" s="2051"/>
      <c r="AB388" s="2052"/>
      <c r="AC388" s="47"/>
      <c r="AE388" s="10"/>
      <c r="AF388" s="218"/>
      <c r="AG388" s="10"/>
      <c r="AH388" s="10"/>
    </row>
    <row r="389" spans="1:34" s="5" customFormat="1" ht="10.15" hidden="1" customHeight="1" x14ac:dyDescent="0.2">
      <c r="A389" s="10" t="s">
        <v>459</v>
      </c>
      <c r="B389" s="10"/>
      <c r="C389" s="41"/>
      <c r="D389" s="18" t="s">
        <v>125</v>
      </c>
      <c r="E389" s="9" t="s">
        <v>1388</v>
      </c>
      <c r="F389" s="9" t="s">
        <v>126</v>
      </c>
      <c r="G389" s="48"/>
      <c r="H389" s="48"/>
      <c r="J389" s="203"/>
      <c r="K389" s="204"/>
      <c r="L389" s="204"/>
      <c r="M389" s="204"/>
      <c r="N389" s="1040"/>
      <c r="O389" s="1040"/>
      <c r="P389" s="1040"/>
      <c r="Q389" s="1040"/>
      <c r="R389" s="1039"/>
      <c r="S389" s="1359" t="s">
        <v>88</v>
      </c>
      <c r="T389" s="2169" t="s">
        <v>1120</v>
      </c>
      <c r="U389" s="2169"/>
      <c r="V389" s="2169"/>
      <c r="W389" s="2169"/>
      <c r="X389" s="2169"/>
      <c r="Y389" s="2169"/>
      <c r="Z389" s="2169"/>
      <c r="AA389" s="2169"/>
      <c r="AB389" s="2170"/>
      <c r="AC389" s="47"/>
      <c r="AE389" s="10"/>
      <c r="AF389" s="218"/>
      <c r="AG389" s="10"/>
      <c r="AH389" s="10"/>
    </row>
    <row r="390" spans="1:34" s="5" customFormat="1" ht="10.15" hidden="1" customHeight="1" x14ac:dyDescent="0.2">
      <c r="A390" s="10" t="s">
        <v>459</v>
      </c>
      <c r="B390" s="10"/>
      <c r="C390" s="41"/>
      <c r="D390" s="53">
        <f>Structure!AY46</f>
        <v>9.625</v>
      </c>
      <c r="E390" s="54" t="e">
        <f t="shared" ref="E390" si="15">INDEX(Lookup_NoteRateAll,MATCH("PN_"&amp;RIGHT("000"&amp;TRUNC(D390),3)&amp;TEXT(D390-TRUNC(D390),".0000000000"),Lookup_NoteRateText,0),3)</f>
        <v>#N/A</v>
      </c>
      <c r="F390" s="55" t="e">
        <f t="shared" ref="F390" si="16">INDEX(Lookup_NoteRateAll,MATCH("PN_"&amp;RIGHT("000"&amp;TRUNC(D390),3)&amp;TEXT(D390-TRUNC(D390),".0000000000"),Lookup_NoteRateText,0),4)</f>
        <v>#N/A</v>
      </c>
      <c r="G390" s="48"/>
      <c r="H390" s="48"/>
      <c r="J390" s="224"/>
      <c r="K390" s="225" t="s">
        <v>210</v>
      </c>
      <c r="L390" s="226"/>
      <c r="M390" s="227" t="s">
        <v>71</v>
      </c>
      <c r="N390" s="1060" t="s">
        <v>25</v>
      </c>
      <c r="O390" s="1041"/>
      <c r="P390" s="1041"/>
      <c r="Q390" s="1041"/>
      <c r="R390" s="1022"/>
      <c r="S390" s="228"/>
      <c r="T390" s="234" t="s">
        <v>248</v>
      </c>
      <c r="U390" s="235" t="s">
        <v>15</v>
      </c>
      <c r="V390" s="236" t="s">
        <v>84</v>
      </c>
      <c r="W390" s="236" t="s">
        <v>31</v>
      </c>
      <c r="X390" s="236" t="s">
        <v>30</v>
      </c>
      <c r="Y390" s="236" t="s">
        <v>29</v>
      </c>
      <c r="Z390" s="236" t="s">
        <v>28</v>
      </c>
      <c r="AA390" s="236" t="s">
        <v>27</v>
      </c>
      <c r="AB390" s="237" t="s">
        <v>26</v>
      </c>
      <c r="AC390" s="47"/>
      <c r="AE390" s="10"/>
      <c r="AF390" s="218"/>
      <c r="AG390" s="10"/>
      <c r="AH390" s="10"/>
    </row>
    <row r="391" spans="1:34" s="5" customFormat="1" ht="10.15" hidden="1" customHeight="1" x14ac:dyDescent="0.2">
      <c r="A391" s="10" t="s">
        <v>459</v>
      </c>
      <c r="B391" s="10"/>
      <c r="C391" s="41"/>
      <c r="D391" s="53">
        <f>Structure!AY47</f>
        <v>9.5</v>
      </c>
      <c r="E391" s="54" t="e">
        <f t="shared" ref="E391:E398" si="17">INDEX(Lookup_NoteRateAll,MATCH("PN_"&amp;RIGHT("000"&amp;TRUNC(D391),3)&amp;TEXT(D391-TRUNC(D391),".0000000000"),Lookup_NoteRateText,0),3)</f>
        <v>#N/A</v>
      </c>
      <c r="F391" s="55" t="e">
        <f t="shared" ref="F391:F398" si="18">INDEX(Lookup_NoteRateAll,MATCH("PN_"&amp;RIGHT("000"&amp;TRUNC(D391),3)&amp;TEXT(D391-TRUNC(D391),".0000000000"),Lookup_NoteRateText,0),4)</f>
        <v>#N/A</v>
      </c>
      <c r="G391" s="48"/>
      <c r="H391" s="48"/>
      <c r="J391" s="2067" t="s">
        <v>205</v>
      </c>
      <c r="K391" s="58"/>
      <c r="L391" s="59"/>
      <c r="M391" s="60"/>
      <c r="N391" s="998" t="s">
        <v>1101</v>
      </c>
      <c r="O391" s="1042"/>
      <c r="P391" s="1042"/>
      <c r="Q391" s="1042"/>
      <c r="R391" s="1042"/>
      <c r="S391" s="1360" t="s">
        <v>1102</v>
      </c>
      <c r="T391" s="1604">
        <v>0.625</v>
      </c>
      <c r="U391" s="1605">
        <v>0.625</v>
      </c>
      <c r="V391" s="1605">
        <v>0.375</v>
      </c>
      <c r="W391" s="1605">
        <v>0.25</v>
      </c>
      <c r="X391" s="1605">
        <v>0</v>
      </c>
      <c r="Y391" s="1605">
        <v>-0.25</v>
      </c>
      <c r="Z391" s="1605">
        <v>-0.375</v>
      </c>
      <c r="AA391" s="1605">
        <v>-2.25</v>
      </c>
      <c r="AB391" s="1606">
        <v>-4.125</v>
      </c>
      <c r="AC391" s="47"/>
      <c r="AE391" s="10"/>
      <c r="AF391" s="218"/>
      <c r="AG391" s="10"/>
      <c r="AH391" s="10"/>
    </row>
    <row r="392" spans="1:34" s="5" customFormat="1" ht="10.15" hidden="1" customHeight="1" x14ac:dyDescent="0.2">
      <c r="A392" s="10" t="s">
        <v>459</v>
      </c>
      <c r="B392" s="10"/>
      <c r="C392" s="41"/>
      <c r="D392" s="53">
        <f>Structure!AY48</f>
        <v>9.375</v>
      </c>
      <c r="E392" s="54" t="e">
        <f t="shared" si="17"/>
        <v>#N/A</v>
      </c>
      <c r="F392" s="55" t="e">
        <f t="shared" si="18"/>
        <v>#N/A</v>
      </c>
      <c r="G392" s="48"/>
      <c r="H392" s="48"/>
      <c r="J392" s="2068"/>
      <c r="K392" s="206"/>
      <c r="L392" s="207"/>
      <c r="M392" s="208"/>
      <c r="N392" s="999" t="s">
        <v>1100</v>
      </c>
      <c r="O392" s="977"/>
      <c r="P392" s="977"/>
      <c r="Q392" s="977"/>
      <c r="R392" s="977"/>
      <c r="S392" s="1361" t="s">
        <v>1103</v>
      </c>
      <c r="T392" s="1607">
        <v>0.625</v>
      </c>
      <c r="U392" s="1608">
        <v>0.625</v>
      </c>
      <c r="V392" s="1608">
        <v>0.375</v>
      </c>
      <c r="W392" s="1608">
        <v>0.25</v>
      </c>
      <c r="X392" s="1608">
        <v>0</v>
      </c>
      <c r="Y392" s="1608">
        <v>-0.25</v>
      </c>
      <c r="Z392" s="1608">
        <v>-0.375</v>
      </c>
      <c r="AA392" s="1608">
        <v>-2.375</v>
      </c>
      <c r="AB392" s="1609">
        <v>-4.25</v>
      </c>
      <c r="AC392" s="47"/>
      <c r="AE392" s="10"/>
      <c r="AF392" s="218"/>
      <c r="AG392" s="10"/>
      <c r="AH392" s="10"/>
    </row>
    <row r="393" spans="1:34" s="5" customFormat="1" ht="10.15" hidden="1" customHeight="1" x14ac:dyDescent="0.2">
      <c r="A393" s="10" t="s">
        <v>459</v>
      </c>
      <c r="B393" s="10"/>
      <c r="C393" s="41"/>
      <c r="D393" s="53">
        <f>Structure!AY49</f>
        <v>9.25</v>
      </c>
      <c r="E393" s="54" t="e">
        <f t="shared" si="17"/>
        <v>#N/A</v>
      </c>
      <c r="F393" s="55" t="e">
        <f t="shared" si="18"/>
        <v>#N/A</v>
      </c>
      <c r="G393" s="48"/>
      <c r="H393" s="48"/>
      <c r="J393" s="2068"/>
      <c r="K393" s="61" t="s">
        <v>1410</v>
      </c>
      <c r="L393" s="62"/>
      <c r="M393" s="63">
        <v>1</v>
      </c>
      <c r="N393" s="999" t="s">
        <v>254</v>
      </c>
      <c r="O393" s="977"/>
      <c r="P393" s="977"/>
      <c r="Q393" s="977"/>
      <c r="R393" s="977"/>
      <c r="S393" s="1361" t="s">
        <v>514</v>
      </c>
      <c r="T393" s="1607">
        <v>0.625</v>
      </c>
      <c r="U393" s="1608">
        <v>0.625</v>
      </c>
      <c r="V393" s="1608">
        <v>0.375</v>
      </c>
      <c r="W393" s="1608">
        <v>0.25</v>
      </c>
      <c r="X393" s="1608">
        <v>0</v>
      </c>
      <c r="Y393" s="1608">
        <v>-0.25</v>
      </c>
      <c r="Z393" s="1608">
        <v>-0.5</v>
      </c>
      <c r="AA393" s="1608">
        <v>-2.75</v>
      </c>
      <c r="AB393" s="1609">
        <v>-4.75</v>
      </c>
      <c r="AC393" s="47"/>
      <c r="AE393" s="10"/>
      <c r="AF393" s="218"/>
      <c r="AG393" s="10"/>
      <c r="AH393" s="10"/>
    </row>
    <row r="394" spans="1:34" s="5" customFormat="1" ht="10.15" hidden="1" customHeight="1" x14ac:dyDescent="0.2">
      <c r="A394" s="10" t="s">
        <v>459</v>
      </c>
      <c r="B394" s="10"/>
      <c r="C394" s="41"/>
      <c r="D394" s="53">
        <f>Structure!AY50</f>
        <v>9.125</v>
      </c>
      <c r="E394" s="54" t="e">
        <f t="shared" si="17"/>
        <v>#N/A</v>
      </c>
      <c r="F394" s="55" t="e">
        <f t="shared" si="18"/>
        <v>#N/A</v>
      </c>
      <c r="G394" s="48"/>
      <c r="H394" s="48"/>
      <c r="J394" s="2068"/>
      <c r="K394" s="61" t="s">
        <v>1409</v>
      </c>
      <c r="L394" s="65"/>
      <c r="M394" s="63">
        <v>2</v>
      </c>
      <c r="N394" s="999" t="s">
        <v>253</v>
      </c>
      <c r="O394" s="977"/>
      <c r="P394" s="977"/>
      <c r="Q394" s="977"/>
      <c r="R394" s="977"/>
      <c r="S394" s="1361" t="s">
        <v>515</v>
      </c>
      <c r="T394" s="1607">
        <v>0.5</v>
      </c>
      <c r="U394" s="1608">
        <v>0.5</v>
      </c>
      <c r="V394" s="1608">
        <v>0.375</v>
      </c>
      <c r="W394" s="1608">
        <v>0.25</v>
      </c>
      <c r="X394" s="1608">
        <v>-0.25</v>
      </c>
      <c r="Y394" s="1608">
        <v>-0.375</v>
      </c>
      <c r="Z394" s="1608">
        <v>-0.75</v>
      </c>
      <c r="AA394" s="1608">
        <v>-3.25</v>
      </c>
      <c r="AB394" s="1609">
        <v>-5.25</v>
      </c>
      <c r="AC394" s="47"/>
      <c r="AE394" s="10"/>
      <c r="AF394" s="218"/>
      <c r="AG394" s="10"/>
      <c r="AH394" s="10"/>
    </row>
    <row r="395" spans="1:34" s="5" customFormat="1" ht="10.15" hidden="1" customHeight="1" x14ac:dyDescent="0.2">
      <c r="A395" s="10" t="s">
        <v>459</v>
      </c>
      <c r="B395" s="10"/>
      <c r="C395" s="41"/>
      <c r="D395" s="53">
        <f>Structure!AY51</f>
        <v>9</v>
      </c>
      <c r="E395" s="54" t="e">
        <f t="shared" si="17"/>
        <v>#N/A</v>
      </c>
      <c r="F395" s="55" t="e">
        <f t="shared" si="18"/>
        <v>#N/A</v>
      </c>
      <c r="G395" s="48"/>
      <c r="H395" s="48"/>
      <c r="J395" s="2068"/>
      <c r="K395" s="66"/>
      <c r="L395" s="44"/>
      <c r="M395" s="63"/>
      <c r="N395" s="999" t="s">
        <v>3</v>
      </c>
      <c r="O395" s="977"/>
      <c r="P395" s="977"/>
      <c r="Q395" s="977"/>
      <c r="R395" s="977"/>
      <c r="S395" s="1362" t="s">
        <v>516</v>
      </c>
      <c r="T395" s="1607">
        <v>0.375</v>
      </c>
      <c r="U395" s="1608">
        <v>0.375</v>
      </c>
      <c r="V395" s="1608">
        <v>0.25</v>
      </c>
      <c r="W395" s="1608">
        <v>0.125</v>
      </c>
      <c r="X395" s="1608">
        <v>-0.375</v>
      </c>
      <c r="Y395" s="1608">
        <v>-0.625</v>
      </c>
      <c r="Z395" s="1608">
        <v>-1.25</v>
      </c>
      <c r="AA395" s="1608">
        <v>-4</v>
      </c>
      <c r="AB395" s="1609">
        <v>-6.375</v>
      </c>
      <c r="AC395" s="47"/>
      <c r="AE395" s="10"/>
      <c r="AF395" s="218"/>
      <c r="AG395" s="10"/>
      <c r="AH395" s="10"/>
    </row>
    <row r="396" spans="1:34" s="5" customFormat="1" ht="10.15" hidden="1" customHeight="1" x14ac:dyDescent="0.2">
      <c r="A396" s="10" t="s">
        <v>459</v>
      </c>
      <c r="B396" s="10"/>
      <c r="C396" s="41"/>
      <c r="D396" s="53">
        <f>Structure!AY52</f>
        <v>8.875</v>
      </c>
      <c r="E396" s="54" t="e">
        <f t="shared" si="17"/>
        <v>#N/A</v>
      </c>
      <c r="F396" s="55" t="e">
        <f t="shared" si="18"/>
        <v>#N/A</v>
      </c>
      <c r="G396" s="48"/>
      <c r="H396" s="48"/>
      <c r="J396" s="2068"/>
      <c r="K396" s="66"/>
      <c r="L396" s="44"/>
      <c r="M396" s="63"/>
      <c r="N396" s="999" t="s">
        <v>5</v>
      </c>
      <c r="O396" s="977"/>
      <c r="P396" s="977"/>
      <c r="Q396" s="977"/>
      <c r="R396" s="977"/>
      <c r="S396" s="1362" t="s">
        <v>517</v>
      </c>
      <c r="T396" s="1607">
        <v>-0.125</v>
      </c>
      <c r="U396" s="1608">
        <v>-0.125</v>
      </c>
      <c r="V396" s="1608">
        <v>-0.25</v>
      </c>
      <c r="W396" s="1608">
        <v>-0.375</v>
      </c>
      <c r="X396" s="1608">
        <v>-0.875</v>
      </c>
      <c r="Y396" s="1608">
        <v>-1.375</v>
      </c>
      <c r="Z396" s="1608">
        <v>-1.75</v>
      </c>
      <c r="AA396" s="1608">
        <v>-4.625</v>
      </c>
      <c r="AB396" s="1609">
        <v>-7.125</v>
      </c>
      <c r="AC396" s="47"/>
      <c r="AE396" s="10"/>
      <c r="AF396" s="218"/>
      <c r="AG396" s="10"/>
      <c r="AH396" s="10"/>
    </row>
    <row r="397" spans="1:34" s="5" customFormat="1" ht="10.15" hidden="1" customHeight="1" x14ac:dyDescent="0.2">
      <c r="A397" s="10" t="s">
        <v>459</v>
      </c>
      <c r="B397" s="10"/>
      <c r="C397" s="41"/>
      <c r="D397" s="53">
        <f>Structure!AY53</f>
        <v>8.75</v>
      </c>
      <c r="E397" s="54" t="e">
        <f t="shared" si="17"/>
        <v>#N/A</v>
      </c>
      <c r="F397" s="55" t="e">
        <f t="shared" si="18"/>
        <v>#N/A</v>
      </c>
      <c r="G397" s="48"/>
      <c r="H397" s="48"/>
      <c r="J397" s="2068"/>
      <c r="K397" s="66"/>
      <c r="L397" s="44"/>
      <c r="M397" s="63"/>
      <c r="N397" s="1000" t="s">
        <v>6</v>
      </c>
      <c r="O397" s="978"/>
      <c r="P397" s="978"/>
      <c r="Q397" s="978"/>
      <c r="R397" s="978"/>
      <c r="S397" s="1362" t="s">
        <v>518</v>
      </c>
      <c r="T397" s="1607">
        <v>-0.25</v>
      </c>
      <c r="U397" s="1608">
        <v>-0.25</v>
      </c>
      <c r="V397" s="1608">
        <v>-0.625</v>
      </c>
      <c r="W397" s="1608">
        <v>-1</v>
      </c>
      <c r="X397" s="1608">
        <v>-1.375</v>
      </c>
      <c r="Y397" s="1608">
        <v>-2.375</v>
      </c>
      <c r="Z397" s="1608">
        <v>-2.875</v>
      </c>
      <c r="AA397" s="1608">
        <v>-5.625</v>
      </c>
      <c r="AB397" s="1609">
        <v>-8.125</v>
      </c>
      <c r="AC397" s="47"/>
      <c r="AE397" s="10"/>
      <c r="AF397" s="218"/>
      <c r="AG397" s="10"/>
      <c r="AH397" s="10"/>
    </row>
    <row r="398" spans="1:34" s="5" customFormat="1" ht="10.15" hidden="1" customHeight="1" x14ac:dyDescent="0.2">
      <c r="A398" s="10" t="s">
        <v>459</v>
      </c>
      <c r="B398" s="10"/>
      <c r="C398" s="41"/>
      <c r="D398" s="53">
        <f>Structure!AY54</f>
        <v>8.625</v>
      </c>
      <c r="E398" s="54" t="e">
        <f t="shared" si="17"/>
        <v>#N/A</v>
      </c>
      <c r="F398" s="55" t="e">
        <f t="shared" si="18"/>
        <v>#N/A</v>
      </c>
      <c r="G398" s="48"/>
      <c r="H398" s="48"/>
      <c r="J398" s="2068"/>
      <c r="K398" s="66"/>
      <c r="L398" s="44"/>
      <c r="M398" s="63"/>
      <c r="N398" s="1000" t="s">
        <v>7</v>
      </c>
      <c r="O398" s="978"/>
      <c r="P398" s="978"/>
      <c r="Q398" s="978"/>
      <c r="R398" s="978"/>
      <c r="S398" s="1362" t="s">
        <v>519</v>
      </c>
      <c r="T398" s="1607">
        <v>-0.75</v>
      </c>
      <c r="U398" s="1608">
        <v>-1.125</v>
      </c>
      <c r="V398" s="1608">
        <v>-1.25</v>
      </c>
      <c r="W398" s="1608">
        <v>-2.25</v>
      </c>
      <c r="X398" s="1608">
        <v>-2.75</v>
      </c>
      <c r="Y398" s="1608">
        <v>-3.5</v>
      </c>
      <c r="Z398" s="1608">
        <v>-4.25</v>
      </c>
      <c r="AA398" s="1745" t="e">
        <v>#N/A</v>
      </c>
      <c r="AB398" s="1742" t="e">
        <v>#N/A</v>
      </c>
      <c r="AC398" s="47"/>
      <c r="AE398" s="10"/>
      <c r="AF398" s="218"/>
      <c r="AG398" s="10"/>
      <c r="AH398" s="10"/>
    </row>
    <row r="399" spans="1:34" s="5" customFormat="1" ht="10.15" hidden="1" customHeight="1" x14ac:dyDescent="0.2">
      <c r="A399" s="10" t="s">
        <v>459</v>
      </c>
      <c r="B399" s="10"/>
      <c r="C399" s="41"/>
      <c r="D399" s="53">
        <f>Structure!AY55</f>
        <v>8.5</v>
      </c>
      <c r="E399" s="54" t="e">
        <f t="shared" ref="E399:E412" si="19">INDEX(Lookup_NoteRateAll,MATCH("PN_"&amp;RIGHT("000"&amp;TRUNC(D399),3)&amp;TEXT(D399-TRUNC(D399),".0000000000"),Lookup_NoteRateText,0),3)</f>
        <v>#N/A</v>
      </c>
      <c r="F399" s="55" t="e">
        <f t="shared" ref="F399:F407" si="20">INDEX(Lookup_NoteRateAll,MATCH("PN_"&amp;RIGHT("000"&amp;TRUNC(D399),3)&amp;TEXT(D399-TRUNC(D399),".0000000000"),Lookup_NoteRateText,0),4)</f>
        <v>#N/A</v>
      </c>
      <c r="G399" s="48"/>
      <c r="H399" s="48"/>
      <c r="J399" s="2068"/>
      <c r="K399" s="66"/>
      <c r="L399" s="44"/>
      <c r="M399" s="63"/>
      <c r="N399" s="1038" t="s">
        <v>9</v>
      </c>
      <c r="O399" s="994"/>
      <c r="P399" s="994"/>
      <c r="Q399" s="994"/>
      <c r="R399" s="994"/>
      <c r="S399" s="1404" t="s">
        <v>1382</v>
      </c>
      <c r="T399" s="1607">
        <v>-3.375</v>
      </c>
      <c r="U399" s="1608">
        <v>-3.5</v>
      </c>
      <c r="V399" s="1608">
        <v>-3.75</v>
      </c>
      <c r="W399" s="1608">
        <v>-4.25</v>
      </c>
      <c r="X399" s="1608">
        <v>-4.75</v>
      </c>
      <c r="Y399" s="1608">
        <v>-5.75</v>
      </c>
      <c r="Z399" s="1608">
        <v>-6.5</v>
      </c>
      <c r="AA399" s="1745" t="e">
        <v>#N/A</v>
      </c>
      <c r="AB399" s="1742" t="e">
        <v>#N/A</v>
      </c>
      <c r="AC399" s="47"/>
      <c r="AE399" s="10"/>
      <c r="AF399" s="218"/>
      <c r="AG399" s="10"/>
      <c r="AH399" s="10"/>
    </row>
    <row r="400" spans="1:34" s="5" customFormat="1" ht="10.15" hidden="1" customHeight="1" x14ac:dyDescent="0.2">
      <c r="A400" s="10" t="s">
        <v>459</v>
      </c>
      <c r="B400" s="10"/>
      <c r="C400" s="41"/>
      <c r="D400" s="53">
        <f>Structure!AY56</f>
        <v>8.375</v>
      </c>
      <c r="E400" s="54" t="e">
        <f t="shared" si="19"/>
        <v>#N/A</v>
      </c>
      <c r="F400" s="55" t="e">
        <f t="shared" si="20"/>
        <v>#N/A</v>
      </c>
      <c r="G400" s="48"/>
      <c r="H400" s="48"/>
      <c r="J400" s="2069"/>
      <c r="K400" s="66"/>
      <c r="L400" s="44"/>
      <c r="M400" s="63"/>
      <c r="N400" s="1038" t="s">
        <v>10</v>
      </c>
      <c r="O400" s="994"/>
      <c r="P400" s="994"/>
      <c r="Q400" s="994"/>
      <c r="R400" s="994"/>
      <c r="S400" s="1362" t="s">
        <v>1411</v>
      </c>
      <c r="T400" s="1610">
        <v>-4.75</v>
      </c>
      <c r="U400" s="1611">
        <v>-4.875</v>
      </c>
      <c r="V400" s="1611">
        <v>-5.25</v>
      </c>
      <c r="W400" s="1611">
        <v>-6.25</v>
      </c>
      <c r="X400" s="1611">
        <v>-7.125</v>
      </c>
      <c r="Y400" s="1611">
        <v>-8.125</v>
      </c>
      <c r="Z400" s="1611">
        <v>-9</v>
      </c>
      <c r="AA400" s="1743" t="e">
        <v>#N/A</v>
      </c>
      <c r="AB400" s="1744" t="e">
        <v>#N/A</v>
      </c>
      <c r="AC400" s="47"/>
      <c r="AE400" s="10"/>
      <c r="AF400" s="218"/>
      <c r="AG400" s="10"/>
      <c r="AH400" s="10"/>
    </row>
    <row r="401" spans="1:34" s="5" customFormat="1" ht="10.15" hidden="1" customHeight="1" x14ac:dyDescent="0.2">
      <c r="A401" s="10" t="s">
        <v>459</v>
      </c>
      <c r="B401" s="10"/>
      <c r="C401" s="41"/>
      <c r="D401" s="53">
        <f>Structure!AY57</f>
        <v>8.25</v>
      </c>
      <c r="E401" s="54" t="e">
        <f t="shared" si="19"/>
        <v>#N/A</v>
      </c>
      <c r="F401" s="55" t="e">
        <f t="shared" si="20"/>
        <v>#N/A</v>
      </c>
      <c r="G401" s="48"/>
      <c r="H401" s="48"/>
      <c r="J401" s="2067" t="s">
        <v>206</v>
      </c>
      <c r="K401" s="58"/>
      <c r="L401" s="59"/>
      <c r="M401" s="67"/>
      <c r="N401" s="998" t="s">
        <v>1101</v>
      </c>
      <c r="O401" s="1042"/>
      <c r="P401" s="1042"/>
      <c r="Q401" s="1042"/>
      <c r="R401" s="1042"/>
      <c r="S401" s="1392" t="s">
        <v>1109</v>
      </c>
      <c r="T401" s="1604">
        <v>0.625</v>
      </c>
      <c r="U401" s="1605">
        <v>0.625</v>
      </c>
      <c r="V401" s="1605">
        <v>0.375</v>
      </c>
      <c r="W401" s="1605">
        <v>0.25</v>
      </c>
      <c r="X401" s="1605">
        <v>0</v>
      </c>
      <c r="Y401" s="1605">
        <v>-0.375</v>
      </c>
      <c r="Z401" s="1605">
        <v>-0.625</v>
      </c>
      <c r="AA401" s="1605">
        <v>-2.875</v>
      </c>
      <c r="AB401" s="1606">
        <v>-4.75</v>
      </c>
      <c r="AC401" s="47"/>
      <c r="AE401" s="10"/>
      <c r="AF401" s="218"/>
      <c r="AG401" s="10"/>
      <c r="AH401" s="10"/>
    </row>
    <row r="402" spans="1:34" s="5" customFormat="1" ht="10.15" hidden="1" customHeight="1" x14ac:dyDescent="0.2">
      <c r="A402" s="10" t="s">
        <v>459</v>
      </c>
      <c r="B402" s="10"/>
      <c r="C402" s="41"/>
      <c r="D402" s="53">
        <f>Structure!AY58</f>
        <v>8.125</v>
      </c>
      <c r="E402" s="54" t="e">
        <f t="shared" si="19"/>
        <v>#N/A</v>
      </c>
      <c r="F402" s="55" t="e">
        <f t="shared" si="20"/>
        <v>#N/A</v>
      </c>
      <c r="G402" s="48"/>
      <c r="H402" s="48"/>
      <c r="J402" s="2068"/>
      <c r="K402" s="206"/>
      <c r="L402" s="207"/>
      <c r="M402" s="209"/>
      <c r="N402" s="999" t="s">
        <v>1100</v>
      </c>
      <c r="O402" s="977"/>
      <c r="P402" s="977"/>
      <c r="Q402" s="977"/>
      <c r="R402" s="977"/>
      <c r="S402" s="1361" t="s">
        <v>1108</v>
      </c>
      <c r="T402" s="1607">
        <v>0.625</v>
      </c>
      <c r="U402" s="1608">
        <v>0.625</v>
      </c>
      <c r="V402" s="1608">
        <v>0.375</v>
      </c>
      <c r="W402" s="1608">
        <v>0.25</v>
      </c>
      <c r="X402" s="1608">
        <v>0</v>
      </c>
      <c r="Y402" s="1608">
        <v>-0.375</v>
      </c>
      <c r="Z402" s="1608">
        <v>-0.625</v>
      </c>
      <c r="AA402" s="1608">
        <v>-3</v>
      </c>
      <c r="AB402" s="1609">
        <v>-4.875</v>
      </c>
      <c r="AC402" s="47"/>
      <c r="AE402" s="10"/>
      <c r="AF402" s="218"/>
      <c r="AG402" s="10"/>
      <c r="AH402" s="10"/>
    </row>
    <row r="403" spans="1:34" s="5" customFormat="1" ht="10.15" hidden="1" customHeight="1" x14ac:dyDescent="0.2">
      <c r="A403" s="10" t="s">
        <v>459</v>
      </c>
      <c r="B403" s="10"/>
      <c r="C403" s="41"/>
      <c r="D403" s="53">
        <f>Structure!AY59</f>
        <v>8</v>
      </c>
      <c r="E403" s="54" t="e">
        <f t="shared" si="19"/>
        <v>#N/A</v>
      </c>
      <c r="F403" s="55" t="e">
        <f t="shared" si="20"/>
        <v>#N/A</v>
      </c>
      <c r="G403" s="48"/>
      <c r="H403" s="48"/>
      <c r="J403" s="2068"/>
      <c r="K403" s="64" t="s">
        <v>80</v>
      </c>
      <c r="L403" s="68" t="s">
        <v>204</v>
      </c>
      <c r="M403" s="63">
        <v>3</v>
      </c>
      <c r="N403" s="999" t="s">
        <v>254</v>
      </c>
      <c r="O403" s="977"/>
      <c r="P403" s="977"/>
      <c r="Q403" s="977"/>
      <c r="R403" s="977"/>
      <c r="S403" s="1361" t="s">
        <v>520</v>
      </c>
      <c r="T403" s="1607">
        <v>0.625</v>
      </c>
      <c r="U403" s="1608">
        <v>0.625</v>
      </c>
      <c r="V403" s="1608">
        <v>0.375</v>
      </c>
      <c r="W403" s="1608">
        <v>0.25</v>
      </c>
      <c r="X403" s="1608">
        <v>0</v>
      </c>
      <c r="Y403" s="1608">
        <v>-0.375</v>
      </c>
      <c r="Z403" s="1608">
        <v>-0.75</v>
      </c>
      <c r="AA403" s="1608">
        <v>-3.375</v>
      </c>
      <c r="AB403" s="1609">
        <v>-5.375</v>
      </c>
      <c r="AC403" s="47"/>
      <c r="AE403" s="10"/>
      <c r="AF403" s="218"/>
      <c r="AG403" s="10"/>
      <c r="AH403" s="10"/>
    </row>
    <row r="404" spans="1:34" s="5" customFormat="1" ht="10.15" hidden="1" customHeight="1" x14ac:dyDescent="0.2">
      <c r="A404" s="10" t="s">
        <v>459</v>
      </c>
      <c r="B404" s="10"/>
      <c r="C404" s="41"/>
      <c r="D404" s="53">
        <f>Structure!AY60</f>
        <v>7.875</v>
      </c>
      <c r="E404" s="54" t="e">
        <f t="shared" si="19"/>
        <v>#N/A</v>
      </c>
      <c r="F404" s="55" t="e">
        <f t="shared" si="20"/>
        <v>#N/A</v>
      </c>
      <c r="G404" s="48"/>
      <c r="H404" s="48"/>
      <c r="J404" s="2068"/>
      <c r="K404" s="61">
        <v>1099</v>
      </c>
      <c r="L404" s="62"/>
      <c r="M404" s="63">
        <v>14</v>
      </c>
      <c r="N404" s="999" t="s">
        <v>253</v>
      </c>
      <c r="O404" s="977"/>
      <c r="P404" s="977"/>
      <c r="Q404" s="977"/>
      <c r="R404" s="977"/>
      <c r="S404" s="1362" t="s">
        <v>521</v>
      </c>
      <c r="T404" s="1607">
        <v>0.5</v>
      </c>
      <c r="U404" s="1608">
        <v>0.5</v>
      </c>
      <c r="V404" s="1608">
        <v>0.375</v>
      </c>
      <c r="W404" s="1608">
        <v>0.25</v>
      </c>
      <c r="X404" s="1608">
        <v>-0.25</v>
      </c>
      <c r="Y404" s="1608">
        <v>-0.5</v>
      </c>
      <c r="Z404" s="1608">
        <v>-1</v>
      </c>
      <c r="AA404" s="1608">
        <v>-3.875</v>
      </c>
      <c r="AB404" s="1609">
        <v>-5.875</v>
      </c>
      <c r="AC404" s="47"/>
      <c r="AE404" s="10"/>
      <c r="AF404" s="218"/>
      <c r="AG404" s="10"/>
      <c r="AH404" s="10"/>
    </row>
    <row r="405" spans="1:34" s="5" customFormat="1" ht="10.15" hidden="1" customHeight="1" x14ac:dyDescent="0.2">
      <c r="A405" s="10" t="s">
        <v>459</v>
      </c>
      <c r="C405" s="41"/>
      <c r="D405" s="53">
        <f>Structure!AY61</f>
        <v>7.75</v>
      </c>
      <c r="E405" s="54" t="e">
        <f t="shared" si="19"/>
        <v>#N/A</v>
      </c>
      <c r="F405" s="55" t="e">
        <f t="shared" si="20"/>
        <v>#N/A</v>
      </c>
      <c r="G405" s="48"/>
      <c r="H405" s="48"/>
      <c r="J405" s="2068"/>
      <c r="K405" s="64"/>
      <c r="L405" s="65"/>
      <c r="M405" s="63"/>
      <c r="N405" s="999" t="s">
        <v>3</v>
      </c>
      <c r="O405" s="977"/>
      <c r="P405" s="977"/>
      <c r="Q405" s="977"/>
      <c r="R405" s="977"/>
      <c r="S405" s="1362" t="s">
        <v>522</v>
      </c>
      <c r="T405" s="1607">
        <v>0.375</v>
      </c>
      <c r="U405" s="1608">
        <v>0.375</v>
      </c>
      <c r="V405" s="1608">
        <v>0.25</v>
      </c>
      <c r="W405" s="1608">
        <v>0.125</v>
      </c>
      <c r="X405" s="1608">
        <v>-0.375</v>
      </c>
      <c r="Y405" s="1608">
        <v>-0.875</v>
      </c>
      <c r="Z405" s="1608">
        <v>-1.625</v>
      </c>
      <c r="AA405" s="1608">
        <v>-4.875</v>
      </c>
      <c r="AB405" s="1609">
        <v>-7.25</v>
      </c>
      <c r="AC405" s="47"/>
      <c r="AE405" s="10"/>
      <c r="AF405" s="218"/>
      <c r="AG405" s="10"/>
      <c r="AH405" s="10"/>
    </row>
    <row r="406" spans="1:34" s="5" customFormat="1" ht="10.15" hidden="1" customHeight="1" x14ac:dyDescent="0.2">
      <c r="A406" s="10" t="s">
        <v>459</v>
      </c>
      <c r="C406" s="41"/>
      <c r="D406" s="53">
        <f>Structure!AY62</f>
        <v>7.625</v>
      </c>
      <c r="E406" s="54" t="e">
        <f t="shared" si="19"/>
        <v>#N/A</v>
      </c>
      <c r="F406" s="55" t="e">
        <f t="shared" si="20"/>
        <v>#N/A</v>
      </c>
      <c r="G406" s="48"/>
      <c r="H406" s="48"/>
      <c r="J406" s="2068"/>
      <c r="K406" s="64"/>
      <c r="L406" s="65"/>
      <c r="M406" s="63"/>
      <c r="N406" s="999" t="s">
        <v>5</v>
      </c>
      <c r="O406" s="977"/>
      <c r="P406" s="977"/>
      <c r="Q406" s="977"/>
      <c r="R406" s="977"/>
      <c r="S406" s="1362" t="s">
        <v>523</v>
      </c>
      <c r="T406" s="1607">
        <v>-0.125</v>
      </c>
      <c r="U406" s="1608">
        <v>-0.125</v>
      </c>
      <c r="V406" s="1608">
        <v>-0.25</v>
      </c>
      <c r="W406" s="1608">
        <v>-0.375</v>
      </c>
      <c r="X406" s="1608">
        <v>-0.875</v>
      </c>
      <c r="Y406" s="1608">
        <v>-1.625</v>
      </c>
      <c r="Z406" s="1608">
        <v>-2.125</v>
      </c>
      <c r="AA406" s="1608">
        <v>-5.625</v>
      </c>
      <c r="AB406" s="1609">
        <v>-8.125</v>
      </c>
      <c r="AC406" s="47"/>
      <c r="AE406" s="10"/>
      <c r="AF406" s="218"/>
      <c r="AG406" s="10"/>
      <c r="AH406" s="10"/>
    </row>
    <row r="407" spans="1:34" s="5" customFormat="1" ht="10.15" hidden="1" customHeight="1" x14ac:dyDescent="0.2">
      <c r="A407" s="10" t="s">
        <v>459</v>
      </c>
      <c r="C407" s="41"/>
      <c r="D407" s="53">
        <f>Structure!AY63</f>
        <v>7.5</v>
      </c>
      <c r="E407" s="54" t="e">
        <f t="shared" si="19"/>
        <v>#N/A</v>
      </c>
      <c r="F407" s="55" t="e">
        <f t="shared" si="20"/>
        <v>#N/A</v>
      </c>
      <c r="G407" s="48"/>
      <c r="H407" s="48"/>
      <c r="J407" s="2068"/>
      <c r="K407" s="64"/>
      <c r="L407" s="65"/>
      <c r="M407" s="63"/>
      <c r="N407" s="1000" t="s">
        <v>6</v>
      </c>
      <c r="O407" s="978"/>
      <c r="P407" s="978"/>
      <c r="Q407" s="978"/>
      <c r="R407" s="978"/>
      <c r="S407" s="1362" t="s">
        <v>524</v>
      </c>
      <c r="T407" s="1607">
        <v>-0.5</v>
      </c>
      <c r="U407" s="1608">
        <v>-0.5</v>
      </c>
      <c r="V407" s="1608">
        <v>-0.875</v>
      </c>
      <c r="W407" s="1608">
        <v>-1.25</v>
      </c>
      <c r="X407" s="1608">
        <v>-1.75</v>
      </c>
      <c r="Y407" s="1608">
        <v>-2.875</v>
      </c>
      <c r="Z407" s="1608">
        <v>-3.625</v>
      </c>
      <c r="AA407" s="1608">
        <v>-6.875</v>
      </c>
      <c r="AB407" s="1609">
        <v>-9.375</v>
      </c>
      <c r="AC407" s="47"/>
      <c r="AE407" s="10"/>
      <c r="AF407" s="218"/>
      <c r="AG407" s="10"/>
      <c r="AH407" s="10"/>
    </row>
    <row r="408" spans="1:34" s="5" customFormat="1" ht="10.15" hidden="1" customHeight="1" x14ac:dyDescent="0.2">
      <c r="A408" s="10" t="s">
        <v>459</v>
      </c>
      <c r="C408" s="41"/>
      <c r="D408" s="53">
        <f>Structure!AY64</f>
        <v>7.375</v>
      </c>
      <c r="E408" s="54" t="e">
        <f t="shared" si="19"/>
        <v>#N/A</v>
      </c>
      <c r="F408" s="55" t="e">
        <f t="shared" ref="F408:F412" si="21">INDEX(Lookup_NoteRateAll,MATCH("PN_"&amp;RIGHT("000"&amp;TRUNC(D408),3)&amp;TEXT(D408-TRUNC(D408),".0000000000"),Lookup_NoteRateText,0),4)</f>
        <v>#N/A</v>
      </c>
      <c r="G408" s="48"/>
      <c r="H408" s="48"/>
      <c r="J408" s="2068"/>
      <c r="K408" s="64"/>
      <c r="L408" s="65"/>
      <c r="M408" s="63"/>
      <c r="N408" s="1000" t="s">
        <v>7</v>
      </c>
      <c r="O408" s="978"/>
      <c r="P408" s="978"/>
      <c r="Q408" s="978"/>
      <c r="R408" s="978"/>
      <c r="S408" s="1362" t="s">
        <v>525</v>
      </c>
      <c r="T408" s="1607">
        <v>-1</v>
      </c>
      <c r="U408" s="1608">
        <v>-1.375</v>
      </c>
      <c r="V408" s="1608">
        <v>-1.5</v>
      </c>
      <c r="W408" s="1608">
        <v>-2.5</v>
      </c>
      <c r="X408" s="1608">
        <v>-3.125</v>
      </c>
      <c r="Y408" s="1608">
        <v>-4</v>
      </c>
      <c r="Z408" s="1608">
        <v>-5</v>
      </c>
      <c r="AA408" s="1745" t="e">
        <v>#N/A</v>
      </c>
      <c r="AB408" s="1742" t="e">
        <v>#N/A</v>
      </c>
      <c r="AC408" s="47"/>
      <c r="AE408" s="10"/>
      <c r="AF408" s="218"/>
      <c r="AG408" s="10"/>
      <c r="AH408" s="10"/>
    </row>
    <row r="409" spans="1:34" s="5" customFormat="1" ht="10.15" hidden="1" customHeight="1" x14ac:dyDescent="0.2">
      <c r="A409" s="10" t="s">
        <v>459</v>
      </c>
      <c r="C409" s="41"/>
      <c r="D409" s="53">
        <f>Structure!AY65</f>
        <v>7.25</v>
      </c>
      <c r="E409" s="54" t="e">
        <f t="shared" si="19"/>
        <v>#N/A</v>
      </c>
      <c r="F409" s="55" t="e">
        <f t="shared" si="21"/>
        <v>#N/A</v>
      </c>
      <c r="G409" s="48"/>
      <c r="H409" s="48"/>
      <c r="J409" s="2068"/>
      <c r="K409" s="64"/>
      <c r="L409" s="65"/>
      <c r="M409" s="63"/>
      <c r="N409" s="1038" t="s">
        <v>9</v>
      </c>
      <c r="O409" s="994"/>
      <c r="P409" s="994"/>
      <c r="Q409" s="994"/>
      <c r="R409" s="994"/>
      <c r="S409" s="1404" t="s">
        <v>1383</v>
      </c>
      <c r="T409" s="1607">
        <v>-3.75</v>
      </c>
      <c r="U409" s="1608">
        <v>-3.875</v>
      </c>
      <c r="V409" s="1608">
        <v>-4.125</v>
      </c>
      <c r="W409" s="1608">
        <v>-4.625</v>
      </c>
      <c r="X409" s="1608">
        <v>-5.25</v>
      </c>
      <c r="Y409" s="1608">
        <v>-6.5</v>
      </c>
      <c r="Z409" s="1608">
        <v>-7.5</v>
      </c>
      <c r="AA409" s="1745" t="e">
        <v>#N/A</v>
      </c>
      <c r="AB409" s="1742" t="e">
        <v>#N/A</v>
      </c>
      <c r="AC409" s="47"/>
      <c r="AE409" s="10"/>
      <c r="AF409" s="218"/>
      <c r="AG409" s="10"/>
      <c r="AH409" s="10"/>
    </row>
    <row r="410" spans="1:34" s="5" customFormat="1" ht="10.15" hidden="1" customHeight="1" x14ac:dyDescent="0.2">
      <c r="A410" s="10" t="s">
        <v>459</v>
      </c>
      <c r="C410" s="41"/>
      <c r="D410" s="53">
        <f>Structure!AY66</f>
        <v>7.125</v>
      </c>
      <c r="E410" s="54" t="e">
        <f t="shared" si="19"/>
        <v>#N/A</v>
      </c>
      <c r="F410" s="55" t="e">
        <f t="shared" si="21"/>
        <v>#N/A</v>
      </c>
      <c r="G410" s="48"/>
      <c r="H410" s="48"/>
      <c r="J410" s="2069"/>
      <c r="K410" s="64"/>
      <c r="L410" s="65"/>
      <c r="M410" s="63"/>
      <c r="N410" s="1038" t="s">
        <v>10</v>
      </c>
      <c r="O410" s="994"/>
      <c r="P410" s="994"/>
      <c r="Q410" s="994"/>
      <c r="R410" s="994"/>
      <c r="S410" s="1362" t="s">
        <v>1412</v>
      </c>
      <c r="T410" s="1610">
        <v>-5.125</v>
      </c>
      <c r="U410" s="1611">
        <v>-5.25</v>
      </c>
      <c r="V410" s="1611">
        <v>-5.625</v>
      </c>
      <c r="W410" s="1611">
        <v>-6.625</v>
      </c>
      <c r="X410" s="1611">
        <v>-7.625</v>
      </c>
      <c r="Y410" s="1611">
        <v>-8.875</v>
      </c>
      <c r="Z410" s="1611">
        <v>-10</v>
      </c>
      <c r="AA410" s="1743" t="e">
        <v>#N/A</v>
      </c>
      <c r="AB410" s="1744" t="e">
        <v>#N/A</v>
      </c>
      <c r="AC410" s="47"/>
      <c r="AE410" s="10"/>
      <c r="AF410" s="218"/>
      <c r="AG410" s="10"/>
      <c r="AH410" s="10"/>
    </row>
    <row r="411" spans="1:34" s="5" customFormat="1" ht="10.15" hidden="1" customHeight="1" x14ac:dyDescent="0.2">
      <c r="A411" s="10" t="s">
        <v>459</v>
      </c>
      <c r="C411" s="41"/>
      <c r="D411" s="53">
        <f>Structure!AY67</f>
        <v>7</v>
      </c>
      <c r="E411" s="54" t="e">
        <f t="shared" si="19"/>
        <v>#N/A</v>
      </c>
      <c r="F411" s="55" t="e">
        <f t="shared" si="21"/>
        <v>#N/A</v>
      </c>
      <c r="G411" s="48"/>
      <c r="H411" s="48"/>
      <c r="J411" s="2076" t="s">
        <v>208</v>
      </c>
      <c r="K411" s="58"/>
      <c r="L411" s="59"/>
      <c r="M411" s="67"/>
      <c r="N411" s="998" t="s">
        <v>1101</v>
      </c>
      <c r="O411" s="1042"/>
      <c r="P411" s="1042"/>
      <c r="Q411" s="1042"/>
      <c r="R411" s="1042"/>
      <c r="S411" s="1392" t="s">
        <v>1107</v>
      </c>
      <c r="T411" s="1604">
        <v>0.375</v>
      </c>
      <c r="U411" s="1605">
        <v>0.375</v>
      </c>
      <c r="V411" s="1605">
        <v>0.125</v>
      </c>
      <c r="W411" s="1605">
        <v>0</v>
      </c>
      <c r="X411" s="1605">
        <v>-0.375</v>
      </c>
      <c r="Y411" s="1605">
        <v>-0.75</v>
      </c>
      <c r="Z411" s="1605">
        <v>-1.5</v>
      </c>
      <c r="AA411" s="1752" t="e">
        <v>#N/A</v>
      </c>
      <c r="AB411" s="1746" t="e">
        <v>#N/A</v>
      </c>
      <c r="AC411" s="47"/>
      <c r="AE411" s="10"/>
      <c r="AF411" s="218"/>
      <c r="AG411" s="10"/>
      <c r="AH411" s="10"/>
    </row>
    <row r="412" spans="1:34" s="5" customFormat="1" ht="10.15" hidden="1" customHeight="1" x14ac:dyDescent="0.2">
      <c r="A412" s="10" t="s">
        <v>459</v>
      </c>
      <c r="C412" s="41"/>
      <c r="D412" s="53">
        <f>Structure!AY68</f>
        <v>6.875</v>
      </c>
      <c r="E412" s="54" t="e">
        <f t="shared" si="19"/>
        <v>#N/A</v>
      </c>
      <c r="F412" s="55" t="e">
        <f t="shared" si="21"/>
        <v>#N/A</v>
      </c>
      <c r="G412" s="48"/>
      <c r="H412" s="48"/>
      <c r="J412" s="2077"/>
      <c r="K412" s="206"/>
      <c r="L412" s="207"/>
      <c r="M412" s="209"/>
      <c r="N412" s="999" t="s">
        <v>1100</v>
      </c>
      <c r="O412" s="977"/>
      <c r="P412" s="977"/>
      <c r="Q412" s="977"/>
      <c r="R412" s="977"/>
      <c r="S412" s="1361" t="s">
        <v>1106</v>
      </c>
      <c r="T412" s="1607">
        <v>0.375</v>
      </c>
      <c r="U412" s="1608">
        <v>0.375</v>
      </c>
      <c r="V412" s="1608">
        <v>0.125</v>
      </c>
      <c r="W412" s="1608">
        <v>0</v>
      </c>
      <c r="X412" s="1608">
        <v>-0.375</v>
      </c>
      <c r="Y412" s="1608">
        <v>-0.875</v>
      </c>
      <c r="Z412" s="1608">
        <v>-1.5</v>
      </c>
      <c r="AA412" s="1745" t="e">
        <v>#N/A</v>
      </c>
      <c r="AB412" s="1742" t="e">
        <v>#N/A</v>
      </c>
      <c r="AC412" s="47"/>
      <c r="AE412" s="10"/>
      <c r="AF412" s="218"/>
      <c r="AG412" s="10"/>
      <c r="AH412" s="10"/>
    </row>
    <row r="413" spans="1:34" s="5" customFormat="1" ht="10.15" hidden="1" customHeight="1" x14ac:dyDescent="0.2">
      <c r="A413" s="10" t="s">
        <v>459</v>
      </c>
      <c r="C413" s="41"/>
      <c r="D413" s="53">
        <f>Structure!AY69</f>
        <v>6.75</v>
      </c>
      <c r="E413" s="54" t="e">
        <f t="shared" ref="E413:E415" si="22">INDEX(Lookup_NoteRateAll,MATCH("PN_"&amp;RIGHT("000"&amp;TRUNC(D413),3)&amp;TEXT(D413-TRUNC(D413),".0000000000"),Lookup_NoteRateText,0),3)</f>
        <v>#N/A</v>
      </c>
      <c r="F413" s="55" t="e">
        <f t="shared" ref="F413:F415" si="23">INDEX(Lookup_NoteRateAll,MATCH("PN_"&amp;RIGHT("000"&amp;TRUNC(D413),3)&amp;TEXT(D413-TRUNC(D413),".0000000000"),Lookup_NoteRateText,0),4)</f>
        <v>#N/A</v>
      </c>
      <c r="G413" s="48"/>
      <c r="H413" s="48"/>
      <c r="J413" s="2078"/>
      <c r="K413" s="64" t="s">
        <v>251</v>
      </c>
      <c r="L413" s="62"/>
      <c r="M413" s="63">
        <v>13</v>
      </c>
      <c r="N413" s="999" t="s">
        <v>254</v>
      </c>
      <c r="O413" s="977"/>
      <c r="P413" s="977"/>
      <c r="Q413" s="977"/>
      <c r="R413" s="977"/>
      <c r="S413" s="1362" t="s">
        <v>526</v>
      </c>
      <c r="T413" s="1607">
        <v>0.375</v>
      </c>
      <c r="U413" s="1608">
        <v>0.375</v>
      </c>
      <c r="V413" s="1608">
        <v>0.125</v>
      </c>
      <c r="W413" s="1608">
        <v>0</v>
      </c>
      <c r="X413" s="1608">
        <v>-0.375</v>
      </c>
      <c r="Y413" s="1608">
        <v>-0.875</v>
      </c>
      <c r="Z413" s="1608">
        <v>-1.625</v>
      </c>
      <c r="AA413" s="1745" t="e">
        <v>#N/A</v>
      </c>
      <c r="AB413" s="1742" t="e">
        <v>#N/A</v>
      </c>
      <c r="AC413" s="47"/>
      <c r="AE413" s="10"/>
      <c r="AF413" s="218"/>
      <c r="AG413" s="10"/>
      <c r="AH413" s="10"/>
    </row>
    <row r="414" spans="1:34" s="5" customFormat="1" ht="10.15" hidden="1" customHeight="1" x14ac:dyDescent="0.2">
      <c r="A414" s="10" t="s">
        <v>459</v>
      </c>
      <c r="C414" s="41"/>
      <c r="D414" s="53">
        <f>Structure!AY70</f>
        <v>6.625</v>
      </c>
      <c r="E414" s="54" t="e">
        <f t="shared" si="22"/>
        <v>#N/A</v>
      </c>
      <c r="F414" s="55" t="e">
        <f t="shared" si="23"/>
        <v>#N/A</v>
      </c>
      <c r="H414" s="48"/>
      <c r="J414" s="2078"/>
      <c r="K414" s="61"/>
      <c r="L414" s="62"/>
      <c r="M414" s="63"/>
      <c r="N414" s="999" t="s">
        <v>253</v>
      </c>
      <c r="O414" s="977"/>
      <c r="P414" s="977"/>
      <c r="Q414" s="977"/>
      <c r="R414" s="977"/>
      <c r="S414" s="1362" t="s">
        <v>527</v>
      </c>
      <c r="T414" s="1607">
        <v>0.25</v>
      </c>
      <c r="U414" s="1608">
        <v>0.25</v>
      </c>
      <c r="V414" s="1608">
        <v>0.125</v>
      </c>
      <c r="W414" s="1608">
        <v>0</v>
      </c>
      <c r="X414" s="1608">
        <v>-0.625</v>
      </c>
      <c r="Y414" s="1608">
        <v>-1</v>
      </c>
      <c r="Z414" s="1608">
        <v>-1.875</v>
      </c>
      <c r="AA414" s="1745" t="e">
        <v>#N/A</v>
      </c>
      <c r="AB414" s="1742" t="e">
        <v>#N/A</v>
      </c>
      <c r="AC414" s="47"/>
      <c r="AE414" s="10"/>
      <c r="AF414" s="218"/>
      <c r="AG414" s="10"/>
      <c r="AH414" s="10"/>
    </row>
    <row r="415" spans="1:34" s="5" customFormat="1" ht="10.15" hidden="1" customHeight="1" x14ac:dyDescent="0.2">
      <c r="A415" s="10" t="s">
        <v>459</v>
      </c>
      <c r="C415" s="41"/>
      <c r="D415" s="53">
        <f>Structure!AY71</f>
        <v>6.5</v>
      </c>
      <c r="E415" s="54" t="e">
        <f t="shared" si="22"/>
        <v>#N/A</v>
      </c>
      <c r="F415" s="55" t="e">
        <f t="shared" si="23"/>
        <v>#N/A</v>
      </c>
      <c r="G415" s="48"/>
      <c r="H415" s="48"/>
      <c r="J415" s="2078"/>
      <c r="K415" s="90"/>
      <c r="L415" s="91"/>
      <c r="M415" s="63"/>
      <c r="N415" s="999" t="s">
        <v>3</v>
      </c>
      <c r="O415" s="977"/>
      <c r="P415" s="977"/>
      <c r="Q415" s="977"/>
      <c r="R415" s="977"/>
      <c r="S415" s="1362" t="s">
        <v>528</v>
      </c>
      <c r="T415" s="1607">
        <v>0.125</v>
      </c>
      <c r="U415" s="1608">
        <v>0.125</v>
      </c>
      <c r="V415" s="1608">
        <v>0</v>
      </c>
      <c r="W415" s="1608">
        <v>-0.125</v>
      </c>
      <c r="X415" s="1608">
        <v>-0.75</v>
      </c>
      <c r="Y415" s="1608">
        <v>-1.375</v>
      </c>
      <c r="Z415" s="1608">
        <v>-2.5</v>
      </c>
      <c r="AA415" s="1745" t="e">
        <v>#N/A</v>
      </c>
      <c r="AB415" s="1742" t="e">
        <v>#N/A</v>
      </c>
      <c r="AC415" s="47"/>
      <c r="AE415" s="10"/>
      <c r="AF415" s="218"/>
      <c r="AG415" s="10"/>
      <c r="AH415" s="10"/>
    </row>
    <row r="416" spans="1:34" s="5" customFormat="1" ht="10.15" hidden="1" customHeight="1" x14ac:dyDescent="0.2">
      <c r="A416" s="10" t="s">
        <v>459</v>
      </c>
      <c r="C416" s="41"/>
      <c r="H416" s="48"/>
      <c r="J416" s="2078"/>
      <c r="K416" s="90"/>
      <c r="L416" s="91"/>
      <c r="M416" s="63"/>
      <c r="N416" s="999" t="s">
        <v>5</v>
      </c>
      <c r="O416" s="977"/>
      <c r="P416" s="977"/>
      <c r="Q416" s="977"/>
      <c r="R416" s="977"/>
      <c r="S416" s="1362" t="s">
        <v>529</v>
      </c>
      <c r="T416" s="1607">
        <v>-0.375</v>
      </c>
      <c r="U416" s="1608">
        <v>-0.375</v>
      </c>
      <c r="V416" s="1608">
        <v>-0.5</v>
      </c>
      <c r="W416" s="1608">
        <v>-0.625</v>
      </c>
      <c r="X416" s="1608">
        <v>-1.25</v>
      </c>
      <c r="Y416" s="1608">
        <v>-2.125</v>
      </c>
      <c r="Z416" s="1608">
        <v>-3</v>
      </c>
      <c r="AA416" s="1745" t="e">
        <v>#N/A</v>
      </c>
      <c r="AB416" s="1742" t="e">
        <v>#N/A</v>
      </c>
      <c r="AC416" s="47"/>
      <c r="AE416" s="10"/>
      <c r="AF416" s="218"/>
      <c r="AG416" s="10"/>
      <c r="AH416" s="10"/>
    </row>
    <row r="417" spans="1:34" s="5" customFormat="1" ht="10.15" hidden="1" customHeight="1" x14ac:dyDescent="0.2">
      <c r="A417" s="10" t="s">
        <v>459</v>
      </c>
      <c r="C417" s="41"/>
      <c r="G417" s="48"/>
      <c r="H417" s="48"/>
      <c r="J417" s="2078"/>
      <c r="K417" s="66"/>
      <c r="L417" s="44"/>
      <c r="M417" s="63"/>
      <c r="N417" s="1000" t="s">
        <v>6</v>
      </c>
      <c r="O417" s="978"/>
      <c r="P417" s="978"/>
      <c r="Q417" s="978"/>
      <c r="R417" s="978"/>
      <c r="S417" s="1362" t="s">
        <v>530</v>
      </c>
      <c r="T417" s="1607">
        <v>-0.875</v>
      </c>
      <c r="U417" s="1608">
        <v>-0.875</v>
      </c>
      <c r="V417" s="1608">
        <v>-1.25</v>
      </c>
      <c r="W417" s="1608">
        <v>-1.625</v>
      </c>
      <c r="X417" s="1608">
        <v>-2.25</v>
      </c>
      <c r="Y417" s="1608">
        <v>-3.5</v>
      </c>
      <c r="Z417" s="1745" t="e">
        <v>#N/A</v>
      </c>
      <c r="AA417" s="1745" t="e">
        <v>#N/A</v>
      </c>
      <c r="AB417" s="1742" t="e">
        <v>#N/A</v>
      </c>
      <c r="AC417" s="47"/>
      <c r="AE417" s="10"/>
      <c r="AF417" s="218"/>
      <c r="AG417" s="10"/>
      <c r="AH417" s="10"/>
    </row>
    <row r="418" spans="1:34" s="5" customFormat="1" ht="10.15" hidden="1" customHeight="1" x14ac:dyDescent="0.2">
      <c r="A418" s="10" t="s">
        <v>459</v>
      </c>
      <c r="C418" s="41"/>
      <c r="D418" s="48"/>
      <c r="E418" s="48"/>
      <c r="F418" s="48"/>
      <c r="G418" s="48"/>
      <c r="H418" s="48"/>
      <c r="J418" s="2078"/>
      <c r="K418" s="61"/>
      <c r="L418" s="62"/>
      <c r="M418" s="63"/>
      <c r="N418" s="1000" t="s">
        <v>7</v>
      </c>
      <c r="O418" s="978"/>
      <c r="P418" s="978"/>
      <c r="Q418" s="978"/>
      <c r="R418" s="978"/>
      <c r="S418" s="1362" t="s">
        <v>531</v>
      </c>
      <c r="T418" s="1607">
        <v>-1.375</v>
      </c>
      <c r="U418" s="1608">
        <v>-1.75</v>
      </c>
      <c r="V418" s="1608">
        <v>-1.875</v>
      </c>
      <c r="W418" s="1608">
        <v>-2.875</v>
      </c>
      <c r="X418" s="1608">
        <v>-3.625</v>
      </c>
      <c r="Y418" s="1608">
        <v>-4.625</v>
      </c>
      <c r="Z418" s="1745" t="e">
        <v>#N/A</v>
      </c>
      <c r="AA418" s="1745" t="e">
        <v>#N/A</v>
      </c>
      <c r="AB418" s="1742" t="e">
        <v>#N/A</v>
      </c>
      <c r="AC418" s="47"/>
      <c r="AE418" s="10"/>
      <c r="AF418" s="218"/>
      <c r="AG418" s="10"/>
      <c r="AH418" s="10"/>
    </row>
    <row r="419" spans="1:34" s="5" customFormat="1" ht="10.15" hidden="1" customHeight="1" x14ac:dyDescent="0.2">
      <c r="A419" s="10" t="s">
        <v>459</v>
      </c>
      <c r="C419" s="41"/>
      <c r="G419" s="48"/>
      <c r="H419" s="48"/>
      <c r="J419" s="2076" t="s">
        <v>349</v>
      </c>
      <c r="K419" s="58"/>
      <c r="L419" s="59"/>
      <c r="M419" s="67"/>
      <c r="N419" s="998" t="s">
        <v>1101</v>
      </c>
      <c r="O419" s="1042"/>
      <c r="P419" s="1042"/>
      <c r="Q419" s="1042"/>
      <c r="R419" s="1042"/>
      <c r="S419" s="1392" t="s">
        <v>1104</v>
      </c>
      <c r="T419" s="1604">
        <v>0.25</v>
      </c>
      <c r="U419" s="1605">
        <v>0.25</v>
      </c>
      <c r="V419" s="1605">
        <v>0</v>
      </c>
      <c r="W419" s="1605">
        <v>-0.125</v>
      </c>
      <c r="X419" s="1605">
        <v>-0.5</v>
      </c>
      <c r="Y419" s="1605">
        <v>-1</v>
      </c>
      <c r="Z419" s="1605">
        <v>-1.625</v>
      </c>
      <c r="AA419" s="1605">
        <v>-4.75</v>
      </c>
      <c r="AB419" s="1746" t="e">
        <v>#N/A</v>
      </c>
      <c r="AC419" s="47"/>
      <c r="AE419" s="10"/>
      <c r="AF419" s="10"/>
      <c r="AG419" s="10"/>
      <c r="AH419" s="10"/>
    </row>
    <row r="420" spans="1:34" s="5" customFormat="1" ht="10.15" hidden="1" customHeight="1" x14ac:dyDescent="0.2">
      <c r="A420" s="10" t="s">
        <v>459</v>
      </c>
      <c r="C420" s="41"/>
      <c r="G420" s="48"/>
      <c r="H420" s="48"/>
      <c r="J420" s="2077"/>
      <c r="K420" s="206"/>
      <c r="L420" s="207"/>
      <c r="M420" s="209"/>
      <c r="N420" s="999" t="s">
        <v>1100</v>
      </c>
      <c r="O420" s="977"/>
      <c r="P420" s="977"/>
      <c r="Q420" s="977"/>
      <c r="R420" s="977"/>
      <c r="S420" s="1361" t="s">
        <v>1105</v>
      </c>
      <c r="T420" s="1607">
        <v>0.25</v>
      </c>
      <c r="U420" s="1608">
        <v>0.25</v>
      </c>
      <c r="V420" s="1608">
        <v>0</v>
      </c>
      <c r="W420" s="1608">
        <v>-0.125</v>
      </c>
      <c r="X420" s="1608">
        <v>-0.5</v>
      </c>
      <c r="Y420" s="1608">
        <v>-1</v>
      </c>
      <c r="Z420" s="1608">
        <v>-1.625</v>
      </c>
      <c r="AA420" s="1608">
        <v>-4.75</v>
      </c>
      <c r="AB420" s="1742" t="e">
        <v>#N/A</v>
      </c>
      <c r="AC420" s="47"/>
      <c r="AE420" s="10"/>
      <c r="AF420" s="10"/>
      <c r="AG420" s="10"/>
      <c r="AH420" s="10"/>
    </row>
    <row r="421" spans="1:34" s="5" customFormat="1" ht="10.15" hidden="1" customHeight="1" x14ac:dyDescent="0.2">
      <c r="A421" s="10" t="s">
        <v>459</v>
      </c>
      <c r="C421" s="41"/>
      <c r="D421" s="48"/>
      <c r="E421" s="48"/>
      <c r="F421" s="48"/>
      <c r="G421" s="48"/>
      <c r="H421" s="48"/>
      <c r="J421" s="2078"/>
      <c r="K421" s="64" t="s">
        <v>348</v>
      </c>
      <c r="L421" s="62"/>
      <c r="M421" s="63">
        <v>7</v>
      </c>
      <c r="N421" s="999" t="s">
        <v>254</v>
      </c>
      <c r="O421" s="977"/>
      <c r="P421" s="977"/>
      <c r="Q421" s="977"/>
      <c r="R421" s="977"/>
      <c r="S421" s="1362" t="s">
        <v>532</v>
      </c>
      <c r="T421" s="1607">
        <v>0.25</v>
      </c>
      <c r="U421" s="1608">
        <v>0.25</v>
      </c>
      <c r="V421" s="1608">
        <v>0</v>
      </c>
      <c r="W421" s="1608">
        <v>-0.125</v>
      </c>
      <c r="X421" s="1608">
        <v>-0.5</v>
      </c>
      <c r="Y421" s="1608">
        <v>-1</v>
      </c>
      <c r="Z421" s="1608">
        <v>-1.75</v>
      </c>
      <c r="AA421" s="1608">
        <v>-5</v>
      </c>
      <c r="AB421" s="1742" t="e">
        <v>#N/A</v>
      </c>
      <c r="AC421" s="47"/>
      <c r="AE421" s="10"/>
      <c r="AF421" s="10"/>
      <c r="AG421" s="10"/>
      <c r="AH421" s="10"/>
    </row>
    <row r="422" spans="1:34" s="5" customFormat="1" ht="10.15" hidden="1" customHeight="1" x14ac:dyDescent="0.2">
      <c r="A422" s="10" t="s">
        <v>459</v>
      </c>
      <c r="C422" s="41"/>
      <c r="D422" s="48"/>
      <c r="E422" s="48"/>
      <c r="F422" s="48"/>
      <c r="G422" s="48"/>
      <c r="H422" s="48"/>
      <c r="J422" s="2078"/>
      <c r="K422" s="61" t="s">
        <v>468</v>
      </c>
      <c r="L422" s="91"/>
      <c r="M422" s="63">
        <v>15</v>
      </c>
      <c r="N422" s="999" t="s">
        <v>253</v>
      </c>
      <c r="O422" s="977"/>
      <c r="P422" s="977"/>
      <c r="Q422" s="977"/>
      <c r="R422" s="977"/>
      <c r="S422" s="1362" t="s">
        <v>533</v>
      </c>
      <c r="T422" s="1607">
        <v>0.125</v>
      </c>
      <c r="U422" s="1608">
        <v>0.125</v>
      </c>
      <c r="V422" s="1608">
        <v>0</v>
      </c>
      <c r="W422" s="1608">
        <v>-0.125</v>
      </c>
      <c r="X422" s="1608">
        <v>-0.75</v>
      </c>
      <c r="Y422" s="1608">
        <v>-1.125</v>
      </c>
      <c r="Z422" s="1608">
        <v>-2</v>
      </c>
      <c r="AA422" s="1608">
        <v>-5.5</v>
      </c>
      <c r="AB422" s="1742" t="e">
        <v>#N/A</v>
      </c>
      <c r="AC422" s="47"/>
      <c r="AE422" s="10"/>
      <c r="AF422" s="10"/>
      <c r="AG422" s="10"/>
      <c r="AH422" s="10"/>
    </row>
    <row r="423" spans="1:34" s="5" customFormat="1" ht="10.15" hidden="1" customHeight="1" x14ac:dyDescent="0.2">
      <c r="A423" s="10" t="s">
        <v>459</v>
      </c>
      <c r="C423" s="41"/>
      <c r="D423" s="48"/>
      <c r="E423" s="48"/>
      <c r="F423" s="48"/>
      <c r="G423" s="48"/>
      <c r="H423" s="48"/>
      <c r="J423" s="2078"/>
      <c r="K423" s="90"/>
      <c r="L423" s="91"/>
      <c r="M423" s="63"/>
      <c r="N423" s="999" t="s">
        <v>3</v>
      </c>
      <c r="O423" s="977"/>
      <c r="P423" s="977"/>
      <c r="Q423" s="977"/>
      <c r="R423" s="977"/>
      <c r="S423" s="1362" t="s">
        <v>534</v>
      </c>
      <c r="T423" s="1607">
        <v>0</v>
      </c>
      <c r="U423" s="1608">
        <v>0</v>
      </c>
      <c r="V423" s="1608">
        <v>-0.125</v>
      </c>
      <c r="W423" s="1608">
        <v>-0.25</v>
      </c>
      <c r="X423" s="1608">
        <v>-0.875</v>
      </c>
      <c r="Y423" s="1608">
        <v>-1.5</v>
      </c>
      <c r="Z423" s="1608">
        <v>-2.625</v>
      </c>
      <c r="AA423" s="1608">
        <v>-6.5</v>
      </c>
      <c r="AB423" s="1742" t="e">
        <v>#N/A</v>
      </c>
      <c r="AC423" s="47"/>
      <c r="AE423" s="10"/>
      <c r="AF423" s="10"/>
      <c r="AG423" s="10"/>
      <c r="AH423" s="10"/>
    </row>
    <row r="424" spans="1:34" s="5" customFormat="1" ht="10.15" hidden="1" customHeight="1" x14ac:dyDescent="0.2">
      <c r="A424" s="10" t="s">
        <v>459</v>
      </c>
      <c r="C424" s="41"/>
      <c r="D424" s="48"/>
      <c r="E424" s="48"/>
      <c r="F424" s="48"/>
      <c r="G424" s="48"/>
      <c r="H424" s="48"/>
      <c r="J424" s="2078"/>
      <c r="K424" s="90"/>
      <c r="L424" s="91"/>
      <c r="M424" s="63"/>
      <c r="N424" s="999" t="s">
        <v>5</v>
      </c>
      <c r="O424" s="977"/>
      <c r="P424" s="977"/>
      <c r="Q424" s="977"/>
      <c r="R424" s="977"/>
      <c r="S424" s="1362" t="s">
        <v>535</v>
      </c>
      <c r="T424" s="1607">
        <v>-0.5</v>
      </c>
      <c r="U424" s="1608">
        <v>-0.5</v>
      </c>
      <c r="V424" s="1608">
        <v>-0.625</v>
      </c>
      <c r="W424" s="1608">
        <v>-0.75</v>
      </c>
      <c r="X424" s="1608">
        <v>-1.375</v>
      </c>
      <c r="Y424" s="1608">
        <v>-2.375</v>
      </c>
      <c r="Z424" s="1608">
        <v>-3.25</v>
      </c>
      <c r="AA424" s="1745" t="e">
        <v>#N/A</v>
      </c>
      <c r="AB424" s="1742" t="e">
        <v>#N/A</v>
      </c>
      <c r="AC424" s="47"/>
      <c r="AE424" s="10"/>
      <c r="AF424" s="218"/>
      <c r="AG424" s="10"/>
      <c r="AH424" s="10"/>
    </row>
    <row r="425" spans="1:34" s="5" customFormat="1" ht="10.15" hidden="1" customHeight="1" x14ac:dyDescent="0.2">
      <c r="A425" s="10" t="s">
        <v>459</v>
      </c>
      <c r="C425" s="41"/>
      <c r="D425" s="48"/>
      <c r="E425" s="48"/>
      <c r="F425" s="48"/>
      <c r="G425" s="48"/>
      <c r="H425" s="48"/>
      <c r="J425" s="2078"/>
      <c r="K425" s="66"/>
      <c r="L425" s="44"/>
      <c r="M425" s="63"/>
      <c r="N425" s="1000" t="s">
        <v>6</v>
      </c>
      <c r="O425" s="978"/>
      <c r="P425" s="978"/>
      <c r="Q425" s="978"/>
      <c r="R425" s="978"/>
      <c r="S425" s="1362" t="s">
        <v>536</v>
      </c>
      <c r="T425" s="1607">
        <v>-1.125</v>
      </c>
      <c r="U425" s="1608">
        <v>-1.125</v>
      </c>
      <c r="V425" s="1608">
        <v>-1.5</v>
      </c>
      <c r="W425" s="1608">
        <v>-1.875</v>
      </c>
      <c r="X425" s="1608">
        <v>-2.5</v>
      </c>
      <c r="Y425" s="1608">
        <v>-3.75</v>
      </c>
      <c r="Z425" s="1608">
        <v>-4.75</v>
      </c>
      <c r="AA425" s="1745" t="e">
        <v>#N/A</v>
      </c>
      <c r="AB425" s="1742" t="e">
        <v>#N/A</v>
      </c>
      <c r="AC425" s="47"/>
      <c r="AE425" s="10"/>
      <c r="AF425" s="218"/>
      <c r="AG425" s="10"/>
      <c r="AH425" s="10"/>
    </row>
    <row r="426" spans="1:34" s="5" customFormat="1" ht="10.15" hidden="1" customHeight="1" x14ac:dyDescent="0.2">
      <c r="A426" s="10" t="s">
        <v>459</v>
      </c>
      <c r="C426" s="41"/>
      <c r="D426" s="4" t="s">
        <v>289</v>
      </c>
      <c r="G426" s="48"/>
      <c r="H426" s="48"/>
      <c r="J426" s="2078"/>
      <c r="K426" s="61"/>
      <c r="L426" s="62"/>
      <c r="M426" s="63"/>
      <c r="N426" s="1000" t="s">
        <v>7</v>
      </c>
      <c r="O426" s="978"/>
      <c r="P426" s="978"/>
      <c r="Q426" s="978"/>
      <c r="R426" s="978"/>
      <c r="S426" s="1366" t="s">
        <v>537</v>
      </c>
      <c r="T426" s="1607">
        <v>-1.625</v>
      </c>
      <c r="U426" s="1608">
        <v>-2</v>
      </c>
      <c r="V426" s="1608">
        <v>-2.125</v>
      </c>
      <c r="W426" s="1608">
        <v>-3.125</v>
      </c>
      <c r="X426" s="1608">
        <v>-3.875</v>
      </c>
      <c r="Y426" s="1608">
        <v>-4.875</v>
      </c>
      <c r="Z426" s="1745" t="e">
        <v>#N/A</v>
      </c>
      <c r="AA426" s="1745" t="e">
        <v>#N/A</v>
      </c>
      <c r="AB426" s="1742" t="e">
        <v>#N/A</v>
      </c>
      <c r="AC426" s="47"/>
      <c r="AE426" s="10"/>
      <c r="AF426" s="218"/>
      <c r="AG426" s="10"/>
      <c r="AH426" s="10"/>
    </row>
    <row r="427" spans="1:34" s="5" customFormat="1" ht="10.15" hidden="1" customHeight="1" x14ac:dyDescent="0.2">
      <c r="A427" s="10" t="s">
        <v>459</v>
      </c>
      <c r="C427" s="41"/>
      <c r="D427" s="6" t="s">
        <v>257</v>
      </c>
      <c r="E427" s="7"/>
      <c r="F427" s="69" t="e" cm="1">
        <f t="array" ref="F427">Input_PL_MaxPriceFinal_PN_NoPP</f>
        <v>#N/A</v>
      </c>
      <c r="J427" s="2160" t="s">
        <v>209</v>
      </c>
      <c r="K427" s="2161"/>
      <c r="L427" s="2161"/>
      <c r="M427" s="2162"/>
      <c r="N427" s="979" t="s">
        <v>135</v>
      </c>
      <c r="O427" s="1025"/>
      <c r="P427" s="1025"/>
      <c r="Q427" s="1025"/>
      <c r="R427" s="1025"/>
      <c r="S427" s="1368" t="s">
        <v>538</v>
      </c>
      <c r="T427" s="1696">
        <v>0</v>
      </c>
      <c r="U427" s="1697">
        <v>0</v>
      </c>
      <c r="V427" s="1697">
        <v>0</v>
      </c>
      <c r="W427" s="1697">
        <v>0</v>
      </c>
      <c r="X427" s="1697">
        <v>0</v>
      </c>
      <c r="Y427" s="1697">
        <v>0</v>
      </c>
      <c r="Z427" s="1697">
        <v>0</v>
      </c>
      <c r="AA427" s="1697">
        <v>0</v>
      </c>
      <c r="AB427" s="1698">
        <v>0</v>
      </c>
      <c r="AC427" s="47"/>
      <c r="AE427" s="10"/>
      <c r="AF427" s="218"/>
      <c r="AG427" s="10"/>
      <c r="AH427" s="10"/>
    </row>
    <row r="428" spans="1:34" s="5" customFormat="1" ht="10.15" hidden="1" customHeight="1" x14ac:dyDescent="0.2">
      <c r="A428" s="10" t="s">
        <v>459</v>
      </c>
      <c r="C428" s="41"/>
      <c r="J428" s="2163"/>
      <c r="K428" s="2164"/>
      <c r="L428" s="2164"/>
      <c r="M428" s="2165"/>
      <c r="N428" s="1001" t="s">
        <v>78</v>
      </c>
      <c r="O428" s="980"/>
      <c r="P428" s="980"/>
      <c r="Q428" s="980"/>
      <c r="R428" s="980"/>
      <c r="S428" s="1366" t="s">
        <v>539</v>
      </c>
      <c r="T428" s="1699">
        <v>0</v>
      </c>
      <c r="U428" s="1700">
        <v>0</v>
      </c>
      <c r="V428" s="1700">
        <v>0</v>
      </c>
      <c r="W428" s="1700">
        <v>0</v>
      </c>
      <c r="X428" s="1700">
        <v>0</v>
      </c>
      <c r="Y428" s="1700">
        <v>-0.125</v>
      </c>
      <c r="Z428" s="1700">
        <v>-0.125</v>
      </c>
      <c r="AA428" s="1700">
        <v>-0.25</v>
      </c>
      <c r="AB428" s="1701">
        <v>-0.375</v>
      </c>
      <c r="AC428" s="47"/>
      <c r="AE428" s="10"/>
      <c r="AF428" s="218"/>
      <c r="AG428" s="10"/>
      <c r="AH428" s="10"/>
    </row>
    <row r="429" spans="1:34" s="5" customFormat="1" ht="10.15" hidden="1" customHeight="1" x14ac:dyDescent="0.2">
      <c r="A429" s="10" t="s">
        <v>459</v>
      </c>
      <c r="C429" s="41"/>
      <c r="J429" s="2166"/>
      <c r="K429" s="2167"/>
      <c r="L429" s="2167"/>
      <c r="M429" s="2168"/>
      <c r="N429" s="1002" t="s">
        <v>77</v>
      </c>
      <c r="O429" s="1026"/>
      <c r="P429" s="1026"/>
      <c r="Q429" s="1026"/>
      <c r="R429" s="1026"/>
      <c r="S429" s="1366" t="s">
        <v>540</v>
      </c>
      <c r="T429" s="1702">
        <v>0</v>
      </c>
      <c r="U429" s="1691">
        <v>0</v>
      </c>
      <c r="V429" s="1691">
        <v>0</v>
      </c>
      <c r="W429" s="1691">
        <v>0</v>
      </c>
      <c r="X429" s="1691">
        <v>0</v>
      </c>
      <c r="Y429" s="1691">
        <v>0</v>
      </c>
      <c r="Z429" s="1691">
        <v>0</v>
      </c>
      <c r="AA429" s="1691">
        <v>0</v>
      </c>
      <c r="AB429" s="1703">
        <v>0</v>
      </c>
      <c r="AC429" s="47"/>
      <c r="AE429" s="10"/>
      <c r="AF429" s="218"/>
      <c r="AG429" s="10"/>
      <c r="AH429" s="10"/>
    </row>
    <row r="430" spans="1:34" s="5" customFormat="1" ht="10.15" hidden="1" customHeight="1" x14ac:dyDescent="0.2">
      <c r="A430" s="10" t="s">
        <v>459</v>
      </c>
      <c r="C430" s="41"/>
      <c r="D430" s="22" t="s">
        <v>308</v>
      </c>
      <c r="J430" s="2034" t="s">
        <v>2</v>
      </c>
      <c r="K430" s="2035"/>
      <c r="L430" s="2035"/>
      <c r="M430" s="2036"/>
      <c r="N430" s="1003" t="s">
        <v>436</v>
      </c>
      <c r="O430" s="995"/>
      <c r="P430" s="995"/>
      <c r="Q430" s="995"/>
      <c r="R430" s="995"/>
      <c r="S430" s="1368" t="s">
        <v>541</v>
      </c>
      <c r="T430" s="1704">
        <v>0</v>
      </c>
      <c r="U430" s="1705">
        <v>0</v>
      </c>
      <c r="V430" s="1705">
        <v>0</v>
      </c>
      <c r="W430" s="1705">
        <v>0</v>
      </c>
      <c r="X430" s="1705">
        <v>0</v>
      </c>
      <c r="Y430" s="1705">
        <v>0</v>
      </c>
      <c r="Z430" s="1705">
        <v>0</v>
      </c>
      <c r="AA430" s="1705">
        <v>0</v>
      </c>
      <c r="AB430" s="1706">
        <v>0</v>
      </c>
      <c r="AC430" s="47"/>
      <c r="AE430" s="10"/>
      <c r="AF430" s="218"/>
      <c r="AG430" s="10"/>
      <c r="AH430" s="10"/>
    </row>
    <row r="431" spans="1:34" s="5" customFormat="1" ht="10.15" hidden="1" customHeight="1" x14ac:dyDescent="0.2">
      <c r="A431" s="10" t="s">
        <v>459</v>
      </c>
      <c r="C431" s="41"/>
      <c r="D431" s="70">
        <v>4</v>
      </c>
      <c r="E431" s="71" t="s">
        <v>443</v>
      </c>
      <c r="J431" s="2037"/>
      <c r="K431" s="2038"/>
      <c r="L431" s="2038"/>
      <c r="M431" s="2039"/>
      <c r="N431" s="983" t="s">
        <v>438</v>
      </c>
      <c r="O431" s="985"/>
      <c r="P431" s="985"/>
      <c r="Q431" s="985"/>
      <c r="R431" s="985"/>
      <c r="S431" s="1366" t="s">
        <v>542</v>
      </c>
      <c r="T431" s="1707">
        <v>-0.125</v>
      </c>
      <c r="U431" s="1694">
        <v>-0.125</v>
      </c>
      <c r="V431" s="1694">
        <v>-0.125</v>
      </c>
      <c r="W431" s="1694">
        <v>-0.125</v>
      </c>
      <c r="X431" s="1694">
        <v>-0.125</v>
      </c>
      <c r="Y431" s="1694">
        <v>-0.125</v>
      </c>
      <c r="Z431" s="1694">
        <v>-0.125</v>
      </c>
      <c r="AA431" s="1694">
        <v>-0.125</v>
      </c>
      <c r="AB431" s="1708">
        <v>-0.125</v>
      </c>
      <c r="AC431" s="47"/>
      <c r="AE431" s="10"/>
      <c r="AF431" s="218"/>
      <c r="AG431" s="10"/>
      <c r="AH431" s="10"/>
    </row>
    <row r="432" spans="1:34" s="5" customFormat="1" ht="10.15" hidden="1" customHeight="1" x14ac:dyDescent="0.2">
      <c r="A432" s="10" t="s">
        <v>461</v>
      </c>
      <c r="C432" s="41"/>
      <c r="J432" s="2037"/>
      <c r="K432" s="2038"/>
      <c r="L432" s="2038"/>
      <c r="M432" s="2039"/>
      <c r="N432" s="983" t="s">
        <v>453</v>
      </c>
      <c r="O432" s="985"/>
      <c r="P432" s="985"/>
      <c r="Q432" s="985"/>
      <c r="R432" s="985"/>
      <c r="S432" s="1366" t="s">
        <v>543</v>
      </c>
      <c r="T432" s="1349" t="e">
        <v>#N/A</v>
      </c>
      <c r="U432" s="1201" t="e">
        <v>#N/A</v>
      </c>
      <c r="V432" s="1201" t="e">
        <v>#N/A</v>
      </c>
      <c r="W432" s="1201" t="e">
        <v>#N/A</v>
      </c>
      <c r="X432" s="1201" t="e">
        <v>#N/A</v>
      </c>
      <c r="Y432" s="1201" t="e">
        <v>#N/A</v>
      </c>
      <c r="Z432" s="1201" t="e">
        <v>#N/A</v>
      </c>
      <c r="AA432" s="1201" t="e">
        <v>#N/A</v>
      </c>
      <c r="AB432" s="1350" t="e">
        <v>#N/A</v>
      </c>
      <c r="AC432" s="47"/>
      <c r="AE432" s="10"/>
      <c r="AF432" s="218"/>
      <c r="AG432" s="10"/>
      <c r="AH432" s="10"/>
    </row>
    <row r="433" spans="1:34" s="5" customFormat="1" ht="10.15" hidden="1" customHeight="1" x14ac:dyDescent="0.2">
      <c r="A433" s="10" t="s">
        <v>459</v>
      </c>
      <c r="C433" s="41"/>
      <c r="J433" s="2037"/>
      <c r="K433" s="2038"/>
      <c r="L433" s="2038"/>
      <c r="M433" s="2039"/>
      <c r="N433" s="1003" t="s">
        <v>437</v>
      </c>
      <c r="O433" s="995"/>
      <c r="P433" s="995"/>
      <c r="Q433" s="995"/>
      <c r="R433" s="995"/>
      <c r="S433" s="1368" t="s">
        <v>544</v>
      </c>
      <c r="T433" s="1704">
        <v>-0.25</v>
      </c>
      <c r="U433" s="1705">
        <v>-0.25</v>
      </c>
      <c r="V433" s="1705">
        <v>-0.25</v>
      </c>
      <c r="W433" s="1705">
        <v>-0.25</v>
      </c>
      <c r="X433" s="1705">
        <v>-0.25</v>
      </c>
      <c r="Y433" s="1705">
        <v>-0.25</v>
      </c>
      <c r="Z433" s="1705">
        <v>-0.25</v>
      </c>
      <c r="AA433" s="1705">
        <v>-0.25</v>
      </c>
      <c r="AB433" s="1706">
        <v>-0.25</v>
      </c>
      <c r="AC433" s="47"/>
      <c r="AE433" s="10"/>
      <c r="AF433" s="218"/>
      <c r="AG433" s="10"/>
      <c r="AH433" s="10"/>
    </row>
    <row r="434" spans="1:34" s="5" customFormat="1" ht="10.15" hidden="1" customHeight="1" x14ac:dyDescent="0.2">
      <c r="A434" s="10" t="s">
        <v>459</v>
      </c>
      <c r="C434" s="41"/>
      <c r="E434" s="104"/>
      <c r="J434" s="2037"/>
      <c r="K434" s="2038"/>
      <c r="L434" s="2038"/>
      <c r="M434" s="2039"/>
      <c r="N434" s="983" t="s">
        <v>439</v>
      </c>
      <c r="O434" s="985"/>
      <c r="P434" s="985"/>
      <c r="Q434" s="985"/>
      <c r="R434" s="985"/>
      <c r="S434" s="1366" t="s">
        <v>545</v>
      </c>
      <c r="T434" s="1707">
        <v>-0.375</v>
      </c>
      <c r="U434" s="1694">
        <v>-0.375</v>
      </c>
      <c r="V434" s="1694">
        <v>-0.375</v>
      </c>
      <c r="W434" s="1694">
        <v>-0.375</v>
      </c>
      <c r="X434" s="1694">
        <v>-0.375</v>
      </c>
      <c r="Y434" s="1694">
        <v>-0.375</v>
      </c>
      <c r="Z434" s="1694">
        <v>-0.375</v>
      </c>
      <c r="AA434" s="1694">
        <v>-0.375</v>
      </c>
      <c r="AB434" s="1708">
        <v>-0.375</v>
      </c>
      <c r="AC434" s="47"/>
      <c r="AE434" s="10"/>
      <c r="AF434" s="218"/>
      <c r="AG434" s="10"/>
      <c r="AH434" s="10"/>
    </row>
    <row r="435" spans="1:34" s="5" customFormat="1" ht="10.15" hidden="1" customHeight="1" x14ac:dyDescent="0.2">
      <c r="A435" s="10" t="s">
        <v>461</v>
      </c>
      <c r="C435" s="41"/>
      <c r="J435" s="2037"/>
      <c r="K435" s="2038"/>
      <c r="L435" s="2038"/>
      <c r="M435" s="2039"/>
      <c r="N435" s="983" t="s">
        <v>454</v>
      </c>
      <c r="O435" s="985"/>
      <c r="P435" s="985"/>
      <c r="Q435" s="985"/>
      <c r="R435" s="985"/>
      <c r="S435" s="1366" t="s">
        <v>546</v>
      </c>
      <c r="T435" s="1349" t="e">
        <v>#N/A</v>
      </c>
      <c r="U435" s="1201" t="e">
        <v>#N/A</v>
      </c>
      <c r="V435" s="1201" t="e">
        <v>#N/A</v>
      </c>
      <c r="W435" s="1201" t="e">
        <v>#N/A</v>
      </c>
      <c r="X435" s="1201" t="e">
        <v>#N/A</v>
      </c>
      <c r="Y435" s="1201" t="e">
        <v>#N/A</v>
      </c>
      <c r="Z435" s="1201" t="e">
        <v>#N/A</v>
      </c>
      <c r="AA435" s="1201" t="e">
        <v>#N/A</v>
      </c>
      <c r="AB435" s="1350" t="e">
        <v>#N/A</v>
      </c>
      <c r="AC435" s="47"/>
      <c r="AE435" s="10"/>
      <c r="AF435" s="218"/>
      <c r="AG435" s="10"/>
      <c r="AH435" s="10"/>
    </row>
    <row r="436" spans="1:34" s="5" customFormat="1" ht="10.15" hidden="1" customHeight="1" x14ac:dyDescent="0.2">
      <c r="A436" s="10" t="s">
        <v>459</v>
      </c>
      <c r="C436" s="41"/>
      <c r="J436" s="2037"/>
      <c r="K436" s="2038"/>
      <c r="L436" s="2038"/>
      <c r="M436" s="2039"/>
      <c r="N436" s="1003" t="s">
        <v>455</v>
      </c>
      <c r="O436" s="995"/>
      <c r="P436" s="995"/>
      <c r="Q436" s="995"/>
      <c r="R436" s="995"/>
      <c r="S436" s="1368" t="s">
        <v>547</v>
      </c>
      <c r="T436" s="1696">
        <v>0</v>
      </c>
      <c r="U436" s="1697">
        <v>0</v>
      </c>
      <c r="V436" s="1697">
        <v>0</v>
      </c>
      <c r="W436" s="1697">
        <v>0</v>
      </c>
      <c r="X436" s="1697">
        <v>0</v>
      </c>
      <c r="Y436" s="1697">
        <v>0</v>
      </c>
      <c r="Z436" s="1697">
        <v>0</v>
      </c>
      <c r="AA436" s="1697">
        <v>0</v>
      </c>
      <c r="AB436" s="1698">
        <v>0</v>
      </c>
      <c r="AC436" s="47"/>
      <c r="AE436" s="10"/>
      <c r="AF436" s="218"/>
      <c r="AG436" s="10"/>
      <c r="AH436" s="10"/>
    </row>
    <row r="437" spans="1:34" s="5" customFormat="1" ht="10.15" hidden="1" customHeight="1" x14ac:dyDescent="0.2">
      <c r="A437" s="10" t="s">
        <v>461</v>
      </c>
      <c r="C437" s="41"/>
      <c r="J437" s="2037"/>
      <c r="K437" s="2038"/>
      <c r="L437" s="2038"/>
      <c r="M437" s="2039"/>
      <c r="N437" s="1006" t="s">
        <v>458</v>
      </c>
      <c r="O437" s="1027"/>
      <c r="P437" s="1027"/>
      <c r="Q437" s="1027"/>
      <c r="R437" s="1027"/>
      <c r="S437" s="1372" t="s">
        <v>548</v>
      </c>
      <c r="T437" s="1702">
        <v>0</v>
      </c>
      <c r="U437" s="1691">
        <v>0</v>
      </c>
      <c r="V437" s="1691">
        <v>0</v>
      </c>
      <c r="W437" s="1691">
        <v>0</v>
      </c>
      <c r="X437" s="1691">
        <v>0</v>
      </c>
      <c r="Y437" s="1691">
        <v>0</v>
      </c>
      <c r="Z437" s="1691">
        <v>0</v>
      </c>
      <c r="AA437" s="1691">
        <v>0</v>
      </c>
      <c r="AB437" s="1703">
        <v>0</v>
      </c>
      <c r="AC437" s="47"/>
      <c r="AE437" s="10"/>
      <c r="AF437" s="218"/>
      <c r="AG437" s="10"/>
      <c r="AH437" s="10"/>
    </row>
    <row r="438" spans="1:34" s="5" customFormat="1" ht="10.15" hidden="1" customHeight="1" x14ac:dyDescent="0.2">
      <c r="A438" s="10" t="s">
        <v>459</v>
      </c>
      <c r="C438" s="41"/>
      <c r="J438" s="2037"/>
      <c r="K438" s="2038"/>
      <c r="L438" s="2038"/>
      <c r="M438" s="2039"/>
      <c r="N438" s="1003" t="s">
        <v>1</v>
      </c>
      <c r="O438" s="995"/>
      <c r="P438" s="995"/>
      <c r="Q438" s="995"/>
      <c r="R438" s="995"/>
      <c r="S438" s="1368" t="s">
        <v>549</v>
      </c>
      <c r="T438" s="1704">
        <v>0</v>
      </c>
      <c r="U438" s="1705">
        <v>0</v>
      </c>
      <c r="V438" s="1705">
        <v>0</v>
      </c>
      <c r="W438" s="1705">
        <v>0</v>
      </c>
      <c r="X438" s="1705">
        <v>0</v>
      </c>
      <c r="Y438" s="1705">
        <v>0</v>
      </c>
      <c r="Z438" s="1705">
        <v>0</v>
      </c>
      <c r="AA438" s="1705">
        <v>0</v>
      </c>
      <c r="AB438" s="1706">
        <v>0</v>
      </c>
      <c r="AC438" s="47"/>
      <c r="AE438" s="10"/>
      <c r="AF438" s="218"/>
      <c r="AG438" s="10"/>
      <c r="AH438" s="10"/>
    </row>
    <row r="439" spans="1:34" s="5" customFormat="1" ht="10.15" hidden="1" customHeight="1" x14ac:dyDescent="0.2">
      <c r="A439" s="10" t="s">
        <v>459</v>
      </c>
      <c r="C439" s="41"/>
      <c r="J439" s="2037"/>
      <c r="K439" s="2038"/>
      <c r="L439" s="2038"/>
      <c r="M439" s="2039"/>
      <c r="N439" s="1006" t="s">
        <v>163</v>
      </c>
      <c r="O439" s="1027"/>
      <c r="P439" s="1027"/>
      <c r="Q439" s="1027"/>
      <c r="R439" s="1027"/>
      <c r="S439" s="1372" t="s">
        <v>550</v>
      </c>
      <c r="T439" s="1709">
        <v>-0.25</v>
      </c>
      <c r="U439" s="1710">
        <v>-0.25</v>
      </c>
      <c r="V439" s="1710">
        <v>-0.25</v>
      </c>
      <c r="W439" s="1710">
        <v>-0.25</v>
      </c>
      <c r="X439" s="1710">
        <v>-0.25</v>
      </c>
      <c r="Y439" s="1710">
        <v>-0.25</v>
      </c>
      <c r="Z439" s="1710">
        <v>-0.25</v>
      </c>
      <c r="AA439" s="1710">
        <v>-0.25</v>
      </c>
      <c r="AB439" s="1711">
        <v>-0.25</v>
      </c>
      <c r="AC439" s="47"/>
      <c r="AE439" s="10"/>
      <c r="AF439" s="218"/>
      <c r="AG439" s="10"/>
      <c r="AH439" s="10"/>
    </row>
    <row r="440" spans="1:34" s="5" customFormat="1" ht="10.15" hidden="1" customHeight="1" x14ac:dyDescent="0.2">
      <c r="A440" s="10" t="s">
        <v>459</v>
      </c>
      <c r="C440" s="41"/>
      <c r="J440" s="2037"/>
      <c r="K440" s="2038"/>
      <c r="L440" s="2038"/>
      <c r="M440" s="2039"/>
      <c r="N440" s="1003" t="s">
        <v>98</v>
      </c>
      <c r="O440" s="995"/>
      <c r="P440" s="995"/>
      <c r="Q440" s="995"/>
      <c r="R440" s="995"/>
      <c r="S440" s="1368" t="s">
        <v>551</v>
      </c>
      <c r="T440" s="1619">
        <v>0</v>
      </c>
      <c r="U440" s="1620">
        <v>0</v>
      </c>
      <c r="V440" s="1620">
        <v>0</v>
      </c>
      <c r="W440" s="1620">
        <v>0</v>
      </c>
      <c r="X440" s="1620">
        <v>0</v>
      </c>
      <c r="Y440" s="1620">
        <v>0</v>
      </c>
      <c r="Z440" s="1620">
        <v>0</v>
      </c>
      <c r="AA440" s="1620">
        <v>0</v>
      </c>
      <c r="AB440" s="1623">
        <v>0</v>
      </c>
      <c r="AC440" s="47"/>
      <c r="AE440" s="10"/>
      <c r="AF440" s="218"/>
      <c r="AG440" s="10"/>
      <c r="AH440" s="10"/>
    </row>
    <row r="441" spans="1:34" s="5" customFormat="1" ht="10.15" hidden="1" customHeight="1" x14ac:dyDescent="0.2">
      <c r="A441" s="10" t="s">
        <v>459</v>
      </c>
      <c r="C441" s="41"/>
      <c r="J441" s="2040"/>
      <c r="K441" s="2041"/>
      <c r="L441" s="2041"/>
      <c r="M441" s="2042"/>
      <c r="N441" s="1004" t="s">
        <v>4</v>
      </c>
      <c r="O441" s="997"/>
      <c r="P441" s="997"/>
      <c r="Q441" s="997"/>
      <c r="R441" s="997"/>
      <c r="S441" s="1369" t="s">
        <v>552</v>
      </c>
      <c r="T441" s="1610">
        <v>-0.25</v>
      </c>
      <c r="U441" s="1611">
        <v>-0.25</v>
      </c>
      <c r="V441" s="1611">
        <v>-0.25</v>
      </c>
      <c r="W441" s="1611">
        <v>-0.375</v>
      </c>
      <c r="X441" s="1611">
        <v>-0.5</v>
      </c>
      <c r="Y441" s="1611">
        <v>-0.875</v>
      </c>
      <c r="Z441" s="1611">
        <v>-1</v>
      </c>
      <c r="AA441" s="1611">
        <v>-1.375</v>
      </c>
      <c r="AB441" s="1612">
        <v>-2.25</v>
      </c>
      <c r="AC441" s="47"/>
      <c r="AE441" s="10"/>
      <c r="AF441" s="218"/>
      <c r="AG441" s="10"/>
      <c r="AH441" s="10"/>
    </row>
    <row r="442" spans="1:34" s="5" customFormat="1" ht="10.15" hidden="1" customHeight="1" x14ac:dyDescent="0.2">
      <c r="A442" s="10" t="s">
        <v>461</v>
      </c>
      <c r="C442" s="41"/>
      <c r="J442" s="2034" t="s">
        <v>8</v>
      </c>
      <c r="K442" s="2035"/>
      <c r="L442" s="2035"/>
      <c r="M442" s="2036"/>
      <c r="N442" s="1005" t="s">
        <v>1782</v>
      </c>
      <c r="O442" s="1005"/>
      <c r="P442" s="1005"/>
      <c r="Q442" s="1005"/>
      <c r="R442" s="1005"/>
      <c r="S442" s="1368" t="s">
        <v>2336</v>
      </c>
      <c r="T442" s="1346" t="e">
        <v>#N/A</v>
      </c>
      <c r="U442" s="1347" t="e">
        <v>#N/A</v>
      </c>
      <c r="V442" s="1347" t="e">
        <v>#N/A</v>
      </c>
      <c r="W442" s="1347" t="e">
        <v>#N/A</v>
      </c>
      <c r="X442" s="1347" t="e">
        <v>#N/A</v>
      </c>
      <c r="Y442" s="1347" t="e">
        <v>#N/A</v>
      </c>
      <c r="Z442" s="1347" t="e">
        <v>#N/A</v>
      </c>
      <c r="AA442" s="1347" t="e">
        <v>#N/A</v>
      </c>
      <c r="AB442" s="1348" t="e">
        <v>#N/A</v>
      </c>
      <c r="AC442" s="47"/>
      <c r="AE442" s="10"/>
      <c r="AF442" s="10"/>
      <c r="AG442" s="10"/>
      <c r="AH442" s="10"/>
    </row>
    <row r="443" spans="1:34" s="5" customFormat="1" ht="10.15" hidden="1" customHeight="1" x14ac:dyDescent="0.2">
      <c r="A443" s="10" t="s">
        <v>461</v>
      </c>
      <c r="C443" s="41"/>
      <c r="J443" s="2037"/>
      <c r="K443" s="2038"/>
      <c r="L443" s="2038"/>
      <c r="M443" s="2039"/>
      <c r="N443" s="984" t="s">
        <v>1783</v>
      </c>
      <c r="O443" s="984"/>
      <c r="P443" s="984"/>
      <c r="Q443" s="984"/>
      <c r="R443" s="984"/>
      <c r="S443" s="1370" t="s">
        <v>2337</v>
      </c>
      <c r="T443" s="1351" t="e">
        <v>#N/A</v>
      </c>
      <c r="U443" s="1352" t="e">
        <v>#N/A</v>
      </c>
      <c r="V443" s="1352" t="e">
        <v>#N/A</v>
      </c>
      <c r="W443" s="1352" t="e">
        <v>#N/A</v>
      </c>
      <c r="X443" s="1352" t="e">
        <v>#N/A</v>
      </c>
      <c r="Y443" s="1352" t="e">
        <v>#N/A</v>
      </c>
      <c r="Z443" s="1352" t="e">
        <v>#N/A</v>
      </c>
      <c r="AA443" s="1352" t="e">
        <v>#N/A</v>
      </c>
      <c r="AB443" s="1353" t="e">
        <v>#N/A</v>
      </c>
      <c r="AC443" s="47"/>
      <c r="AE443" s="10"/>
      <c r="AF443" s="10"/>
      <c r="AG443" s="10"/>
      <c r="AH443" s="10"/>
    </row>
    <row r="444" spans="1:34" s="5" customFormat="1" ht="10.15" hidden="1" customHeight="1" x14ac:dyDescent="0.2">
      <c r="A444" s="10" t="s">
        <v>461</v>
      </c>
      <c r="C444" s="41"/>
      <c r="J444" s="2037"/>
      <c r="K444" s="2038"/>
      <c r="L444" s="2038"/>
      <c r="M444" s="2039"/>
      <c r="N444" s="984" t="s">
        <v>1132</v>
      </c>
      <c r="O444" s="984"/>
      <c r="P444" s="984"/>
      <c r="Q444" s="984"/>
      <c r="R444" s="984"/>
      <c r="S444" s="1370" t="s">
        <v>2338</v>
      </c>
      <c r="T444" s="1351" t="e">
        <v>#N/A</v>
      </c>
      <c r="U444" s="1352" t="e">
        <v>#N/A</v>
      </c>
      <c r="V444" s="1352" t="e">
        <v>#N/A</v>
      </c>
      <c r="W444" s="1352" t="e">
        <v>#N/A</v>
      </c>
      <c r="X444" s="1352" t="e">
        <v>#N/A</v>
      </c>
      <c r="Y444" s="1352" t="e">
        <v>#N/A</v>
      </c>
      <c r="Z444" s="1352" t="e">
        <v>#N/A</v>
      </c>
      <c r="AA444" s="1352" t="e">
        <v>#N/A</v>
      </c>
      <c r="AB444" s="1353" t="e">
        <v>#N/A</v>
      </c>
      <c r="AC444" s="47"/>
      <c r="AE444" s="10"/>
      <c r="AF444" s="10"/>
      <c r="AG444" s="10"/>
      <c r="AH444" s="10"/>
    </row>
    <row r="445" spans="1:34" s="5" customFormat="1" ht="10.15" hidden="1" customHeight="1" x14ac:dyDescent="0.2">
      <c r="A445" s="10" t="s">
        <v>459</v>
      </c>
      <c r="C445" s="41"/>
      <c r="J445" s="2037"/>
      <c r="K445" s="2038"/>
      <c r="L445" s="2038"/>
      <c r="M445" s="2039"/>
      <c r="N445" s="984" t="s">
        <v>2198</v>
      </c>
      <c r="O445" s="984"/>
      <c r="P445" s="984"/>
      <c r="Q445" s="984"/>
      <c r="R445" s="984"/>
      <c r="S445" s="1370" t="s">
        <v>2339</v>
      </c>
      <c r="T445" s="1604">
        <v>-0.5</v>
      </c>
      <c r="U445" s="1605">
        <v>-0.5</v>
      </c>
      <c r="V445" s="1605">
        <v>-0.5</v>
      </c>
      <c r="W445" s="1605">
        <v>-0.5</v>
      </c>
      <c r="X445" s="1605">
        <v>-0.5</v>
      </c>
      <c r="Y445" s="1605">
        <v>-0.75</v>
      </c>
      <c r="Z445" s="1605">
        <v>-0.75</v>
      </c>
      <c r="AA445" s="1605">
        <v>-0.875</v>
      </c>
      <c r="AB445" s="1606">
        <v>-1</v>
      </c>
      <c r="AC445" s="47"/>
      <c r="AE445" s="10"/>
      <c r="AF445" s="10"/>
      <c r="AG445" s="10"/>
      <c r="AH445" s="10"/>
    </row>
    <row r="446" spans="1:34" s="5" customFormat="1" ht="10.15" hidden="1" customHeight="1" x14ac:dyDescent="0.2">
      <c r="A446" s="10" t="s">
        <v>459</v>
      </c>
      <c r="C446" s="41"/>
      <c r="J446" s="2037"/>
      <c r="K446" s="2038"/>
      <c r="L446" s="2038"/>
      <c r="M446" s="2039"/>
      <c r="N446" s="984" t="s">
        <v>1134</v>
      </c>
      <c r="O446" s="984"/>
      <c r="P446" s="984"/>
      <c r="Q446" s="984"/>
      <c r="R446" s="984"/>
      <c r="S446" s="1370" t="s">
        <v>2340</v>
      </c>
      <c r="T446" s="1607">
        <v>-0.375</v>
      </c>
      <c r="U446" s="1608">
        <v>-0.375</v>
      </c>
      <c r="V446" s="1608">
        <v>-0.375</v>
      </c>
      <c r="W446" s="1608">
        <v>-0.375</v>
      </c>
      <c r="X446" s="1608">
        <v>-0.375</v>
      </c>
      <c r="Y446" s="1608">
        <v>-0.625</v>
      </c>
      <c r="Z446" s="1608">
        <v>-0.625</v>
      </c>
      <c r="AA446" s="1608">
        <v>-0.75</v>
      </c>
      <c r="AB446" s="1609">
        <v>-0.875</v>
      </c>
      <c r="AC446" s="47"/>
      <c r="AE446" s="10"/>
      <c r="AF446" s="10"/>
      <c r="AG446" s="10"/>
      <c r="AH446" s="10"/>
    </row>
    <row r="447" spans="1:34" s="5" customFormat="1" ht="10.15" hidden="1" customHeight="1" x14ac:dyDescent="0.2">
      <c r="A447" s="10" t="s">
        <v>459</v>
      </c>
      <c r="C447" s="41"/>
      <c r="J447" s="2037"/>
      <c r="K447" s="2038"/>
      <c r="L447" s="2038"/>
      <c r="M447" s="2039"/>
      <c r="N447" s="984" t="s">
        <v>1135</v>
      </c>
      <c r="O447" s="984"/>
      <c r="P447" s="984"/>
      <c r="Q447" s="984"/>
      <c r="R447" s="984"/>
      <c r="S447" s="1370" t="s">
        <v>2341</v>
      </c>
      <c r="T447" s="1607">
        <v>-0.125</v>
      </c>
      <c r="U447" s="1608">
        <v>-0.125</v>
      </c>
      <c r="V447" s="1608">
        <v>-0.125</v>
      </c>
      <c r="W447" s="1608">
        <v>-0.125</v>
      </c>
      <c r="X447" s="1608">
        <v>-0.25</v>
      </c>
      <c r="Y447" s="1608">
        <v>-0.375</v>
      </c>
      <c r="Z447" s="1608">
        <v>-0.375</v>
      </c>
      <c r="AA447" s="1608">
        <v>-0.625</v>
      </c>
      <c r="AB447" s="1609">
        <v>-0.75</v>
      </c>
      <c r="AC447" s="47"/>
      <c r="AE447" s="10"/>
      <c r="AF447" s="10"/>
      <c r="AG447" s="10"/>
      <c r="AH447" s="10"/>
    </row>
    <row r="448" spans="1:34" s="5" customFormat="1" ht="10.15" hidden="1" customHeight="1" x14ac:dyDescent="0.2">
      <c r="A448" s="10" t="s">
        <v>459</v>
      </c>
      <c r="C448" s="41"/>
      <c r="J448" s="2037"/>
      <c r="K448" s="2038"/>
      <c r="L448" s="2038"/>
      <c r="M448" s="2039"/>
      <c r="N448" s="983" t="s">
        <v>1136</v>
      </c>
      <c r="O448" s="985"/>
      <c r="P448" s="985"/>
      <c r="Q448" s="985"/>
      <c r="R448" s="985"/>
      <c r="S448" s="1370" t="s">
        <v>2342</v>
      </c>
      <c r="T448" s="1607">
        <v>-0.125</v>
      </c>
      <c r="U448" s="1608">
        <v>-0.125</v>
      </c>
      <c r="V448" s="1608">
        <v>-0.125</v>
      </c>
      <c r="W448" s="1608">
        <v>-0.125</v>
      </c>
      <c r="X448" s="1608">
        <v>-0.25</v>
      </c>
      <c r="Y448" s="1608">
        <v>-0.375</v>
      </c>
      <c r="Z448" s="1608">
        <v>-0.375</v>
      </c>
      <c r="AA448" s="1608">
        <v>-0.625</v>
      </c>
      <c r="AB448" s="1609">
        <v>-0.75</v>
      </c>
      <c r="AC448" s="47"/>
      <c r="AE448" s="10"/>
      <c r="AF448" s="10"/>
      <c r="AG448" s="10"/>
      <c r="AH448" s="10"/>
    </row>
    <row r="449" spans="1:34" s="5" customFormat="1" ht="10.15" hidden="1" customHeight="1" x14ac:dyDescent="0.2">
      <c r="A449" s="10" t="s">
        <v>459</v>
      </c>
      <c r="C449" s="41"/>
      <c r="J449" s="2037"/>
      <c r="K449" s="2038"/>
      <c r="L449" s="2038"/>
      <c r="M449" s="2039"/>
      <c r="N449" s="983" t="s">
        <v>310</v>
      </c>
      <c r="O449" s="985"/>
      <c r="P449" s="985"/>
      <c r="Q449" s="985"/>
      <c r="R449" s="985"/>
      <c r="S449" s="1366" t="s">
        <v>2343</v>
      </c>
      <c r="T449" s="1607">
        <v>0</v>
      </c>
      <c r="U449" s="1608">
        <v>0</v>
      </c>
      <c r="V449" s="1608">
        <v>0</v>
      </c>
      <c r="W449" s="1608">
        <v>0</v>
      </c>
      <c r="X449" s="1608">
        <v>0</v>
      </c>
      <c r="Y449" s="1608">
        <v>0</v>
      </c>
      <c r="Z449" s="1608">
        <v>0</v>
      </c>
      <c r="AA449" s="1608">
        <v>-0.25</v>
      </c>
      <c r="AB449" s="1609">
        <v>-0.25</v>
      </c>
      <c r="AC449" s="47"/>
      <c r="AE449" s="10"/>
      <c r="AF449" s="10"/>
      <c r="AG449" s="10"/>
      <c r="AH449" s="10"/>
    </row>
    <row r="450" spans="1:34" s="5" customFormat="1" ht="10.15" hidden="1" customHeight="1" x14ac:dyDescent="0.2">
      <c r="A450" s="10" t="s">
        <v>459</v>
      </c>
      <c r="C450" s="41"/>
      <c r="J450" s="2037"/>
      <c r="K450" s="2038"/>
      <c r="L450" s="2038"/>
      <c r="M450" s="2039"/>
      <c r="N450" s="983" t="s">
        <v>250</v>
      </c>
      <c r="O450" s="985"/>
      <c r="P450" s="985"/>
      <c r="Q450" s="985"/>
      <c r="R450" s="985"/>
      <c r="S450" s="1366" t="s">
        <v>2344</v>
      </c>
      <c r="T450" s="1607">
        <v>0</v>
      </c>
      <c r="U450" s="1608">
        <v>0</v>
      </c>
      <c r="V450" s="1608">
        <v>0</v>
      </c>
      <c r="W450" s="1608">
        <v>0</v>
      </c>
      <c r="X450" s="1608">
        <v>0</v>
      </c>
      <c r="Y450" s="1608">
        <v>0</v>
      </c>
      <c r="Z450" s="1608">
        <v>0</v>
      </c>
      <c r="AA450" s="1608">
        <v>0</v>
      </c>
      <c r="AB450" s="1609">
        <v>0</v>
      </c>
      <c r="AC450" s="47"/>
      <c r="AE450" s="10"/>
      <c r="AF450" s="10"/>
      <c r="AG450" s="10"/>
      <c r="AH450" s="10"/>
    </row>
    <row r="451" spans="1:34" ht="14.45" hidden="1" customHeight="1" x14ac:dyDescent="0.25">
      <c r="A451" s="10" t="s">
        <v>459</v>
      </c>
      <c r="C451" s="41"/>
      <c r="D451" s="5"/>
      <c r="E451" s="5"/>
      <c r="F451" s="5"/>
      <c r="G451" s="5"/>
      <c r="H451" s="5"/>
      <c r="I451" s="5"/>
      <c r="J451" s="2037"/>
      <c r="K451" s="2038"/>
      <c r="L451" s="2038"/>
      <c r="M451" s="2039"/>
      <c r="N451" s="983" t="s">
        <v>12</v>
      </c>
      <c r="O451" s="985"/>
      <c r="P451" s="985"/>
      <c r="Q451" s="985"/>
      <c r="R451" s="985"/>
      <c r="S451" s="1366" t="s">
        <v>2345</v>
      </c>
      <c r="T451" s="1607">
        <v>0</v>
      </c>
      <c r="U451" s="1608">
        <v>0</v>
      </c>
      <c r="V451" s="1608">
        <v>0</v>
      </c>
      <c r="W451" s="1608">
        <v>0</v>
      </c>
      <c r="X451" s="1608">
        <v>0</v>
      </c>
      <c r="Y451" s="1608">
        <v>0</v>
      </c>
      <c r="Z451" s="1608">
        <v>0</v>
      </c>
      <c r="AA451" s="1608">
        <v>0</v>
      </c>
      <c r="AB451" s="1609">
        <v>0</v>
      </c>
      <c r="AC451" s="47"/>
    </row>
    <row r="452" spans="1:34" ht="14.45" hidden="1" customHeight="1" x14ac:dyDescent="0.25">
      <c r="A452" s="10" t="s">
        <v>459</v>
      </c>
      <c r="C452" s="41"/>
      <c r="D452" s="5"/>
      <c r="E452" s="5"/>
      <c r="F452" s="5"/>
      <c r="G452" s="5"/>
      <c r="H452" s="5"/>
      <c r="I452" s="5"/>
      <c r="J452" s="2037"/>
      <c r="K452" s="2038"/>
      <c r="L452" s="2038"/>
      <c r="M452" s="2039"/>
      <c r="N452" s="983" t="s">
        <v>13</v>
      </c>
      <c r="O452" s="985"/>
      <c r="P452" s="985"/>
      <c r="Q452" s="985"/>
      <c r="R452" s="985"/>
      <c r="S452" s="1366" t="s">
        <v>2346</v>
      </c>
      <c r="T452" s="1607">
        <v>0</v>
      </c>
      <c r="U452" s="1608">
        <v>0</v>
      </c>
      <c r="V452" s="1608">
        <v>0</v>
      </c>
      <c r="W452" s="1608">
        <v>0</v>
      </c>
      <c r="X452" s="1608">
        <v>0</v>
      </c>
      <c r="Y452" s="1608">
        <v>0</v>
      </c>
      <c r="Z452" s="1608">
        <v>0</v>
      </c>
      <c r="AA452" s="1608">
        <v>0</v>
      </c>
      <c r="AB452" s="1609">
        <v>0</v>
      </c>
      <c r="AC452" s="47"/>
    </row>
    <row r="453" spans="1:34" s="5" customFormat="1" ht="10.15" hidden="1" customHeight="1" x14ac:dyDescent="0.2">
      <c r="A453" s="10" t="s">
        <v>459</v>
      </c>
      <c r="C453" s="41"/>
      <c r="J453" s="2037"/>
      <c r="K453" s="2038"/>
      <c r="L453" s="2038"/>
      <c r="M453" s="2039"/>
      <c r="N453" s="983" t="s">
        <v>89</v>
      </c>
      <c r="O453" s="985"/>
      <c r="P453" s="985"/>
      <c r="Q453" s="985"/>
      <c r="R453" s="985"/>
      <c r="S453" s="1366" t="s">
        <v>2347</v>
      </c>
      <c r="T453" s="1607">
        <v>0</v>
      </c>
      <c r="U453" s="1608">
        <v>0</v>
      </c>
      <c r="V453" s="1608">
        <v>0</v>
      </c>
      <c r="W453" s="1608">
        <v>0</v>
      </c>
      <c r="X453" s="1608">
        <v>0</v>
      </c>
      <c r="Y453" s="1608">
        <v>0</v>
      </c>
      <c r="Z453" s="1608">
        <v>0</v>
      </c>
      <c r="AA453" s="1608">
        <v>0</v>
      </c>
      <c r="AB453" s="1609">
        <v>0</v>
      </c>
      <c r="AC453" s="47"/>
      <c r="AE453" s="10"/>
      <c r="AF453" s="10"/>
      <c r="AG453" s="10"/>
      <c r="AH453" s="10"/>
    </row>
    <row r="454" spans="1:34" s="5" customFormat="1" ht="10.15" hidden="1" customHeight="1" x14ac:dyDescent="0.2">
      <c r="A454" s="10" t="s">
        <v>459</v>
      </c>
      <c r="C454" s="41"/>
      <c r="J454" s="2037"/>
      <c r="K454" s="2038"/>
      <c r="L454" s="2038"/>
      <c r="M454" s="2039"/>
      <c r="N454" s="983" t="s">
        <v>86</v>
      </c>
      <c r="O454" s="985"/>
      <c r="P454" s="985"/>
      <c r="Q454" s="985"/>
      <c r="R454" s="985"/>
      <c r="S454" s="1366" t="s">
        <v>2348</v>
      </c>
      <c r="T454" s="1607">
        <v>0</v>
      </c>
      <c r="U454" s="1608">
        <v>0</v>
      </c>
      <c r="V454" s="1608">
        <v>0</v>
      </c>
      <c r="W454" s="1608">
        <v>0</v>
      </c>
      <c r="X454" s="1608">
        <v>0</v>
      </c>
      <c r="Y454" s="1608">
        <v>0</v>
      </c>
      <c r="Z454" s="1608">
        <v>0</v>
      </c>
      <c r="AA454" s="1608">
        <v>0</v>
      </c>
      <c r="AB454" s="1609">
        <v>0</v>
      </c>
      <c r="AC454" s="47"/>
      <c r="AE454" s="10"/>
      <c r="AF454" s="10"/>
      <c r="AG454" s="10"/>
      <c r="AH454" s="10"/>
    </row>
    <row r="455" spans="1:34" s="5" customFormat="1" ht="10.15" hidden="1" customHeight="1" x14ac:dyDescent="0.2">
      <c r="A455" s="10" t="s">
        <v>459</v>
      </c>
      <c r="C455" s="41"/>
      <c r="J455" s="2037"/>
      <c r="K455" s="2038"/>
      <c r="L455" s="2038"/>
      <c r="M455" s="2039"/>
      <c r="N455" s="983" t="s">
        <v>87</v>
      </c>
      <c r="O455" s="985"/>
      <c r="P455" s="985"/>
      <c r="Q455" s="985"/>
      <c r="R455" s="985"/>
      <c r="S455" s="1366" t="s">
        <v>2349</v>
      </c>
      <c r="T455" s="1607">
        <v>0</v>
      </c>
      <c r="U455" s="1608">
        <v>0</v>
      </c>
      <c r="V455" s="1608">
        <v>0</v>
      </c>
      <c r="W455" s="1608">
        <v>0</v>
      </c>
      <c r="X455" s="1608">
        <v>0</v>
      </c>
      <c r="Y455" s="1608">
        <v>0</v>
      </c>
      <c r="Z455" s="1608">
        <v>0</v>
      </c>
      <c r="AA455" s="1608">
        <v>-0.375</v>
      </c>
      <c r="AB455" s="1609">
        <v>-0.5</v>
      </c>
      <c r="AC455" s="47"/>
      <c r="AE455" s="10"/>
      <c r="AF455" s="10"/>
      <c r="AG455" s="10"/>
      <c r="AH455" s="10"/>
    </row>
    <row r="456" spans="1:34" s="5" customFormat="1" ht="10.15" hidden="1" customHeight="1" x14ac:dyDescent="0.2">
      <c r="A456" s="10" t="s">
        <v>459</v>
      </c>
      <c r="C456" s="41"/>
      <c r="J456" s="2037"/>
      <c r="K456" s="2038"/>
      <c r="L456" s="2038"/>
      <c r="M456" s="2039"/>
      <c r="N456" s="983" t="s">
        <v>144</v>
      </c>
      <c r="O456" s="985"/>
      <c r="P456" s="985"/>
      <c r="Q456" s="985"/>
      <c r="R456" s="985"/>
      <c r="S456" s="1366" t="s">
        <v>2350</v>
      </c>
      <c r="T456" s="1607">
        <v>-0.25</v>
      </c>
      <c r="U456" s="1608">
        <v>-0.25</v>
      </c>
      <c r="V456" s="1608">
        <v>-0.25</v>
      </c>
      <c r="W456" s="1608">
        <v>-0.25</v>
      </c>
      <c r="X456" s="1608">
        <v>-0.375</v>
      </c>
      <c r="Y456" s="1608">
        <v>-0.375</v>
      </c>
      <c r="Z456" s="1608">
        <v>-0.625</v>
      </c>
      <c r="AA456" s="1745" t="e">
        <v>#N/A</v>
      </c>
      <c r="AB456" s="1742" t="e">
        <v>#N/A</v>
      </c>
      <c r="AC456" s="47"/>
      <c r="AE456" s="10"/>
      <c r="AF456" s="10"/>
      <c r="AG456" s="10"/>
      <c r="AH456" s="10"/>
    </row>
    <row r="457" spans="1:34" s="5" customFormat="1" ht="10.15" hidden="1" customHeight="1" x14ac:dyDescent="0.2">
      <c r="A457" s="10" t="s">
        <v>459</v>
      </c>
      <c r="C457" s="41"/>
      <c r="J457" s="2037"/>
      <c r="K457" s="2038"/>
      <c r="L457" s="2038"/>
      <c r="M457" s="2039"/>
      <c r="N457" s="983" t="s">
        <v>145</v>
      </c>
      <c r="O457" s="985"/>
      <c r="P457" s="985"/>
      <c r="Q457" s="985"/>
      <c r="R457" s="985"/>
      <c r="S457" s="1366" t="s">
        <v>2351</v>
      </c>
      <c r="T457" s="1607">
        <v>-0.5</v>
      </c>
      <c r="U457" s="1608">
        <v>-0.5</v>
      </c>
      <c r="V457" s="1608">
        <v>-0.5</v>
      </c>
      <c r="W457" s="1608">
        <v>-0.5</v>
      </c>
      <c r="X457" s="1608">
        <v>-0.625</v>
      </c>
      <c r="Y457" s="1608">
        <v>-0.625</v>
      </c>
      <c r="Z457" s="1745" t="e">
        <v>#N/A</v>
      </c>
      <c r="AA457" s="1745" t="e">
        <v>#N/A</v>
      </c>
      <c r="AB457" s="1742" t="e">
        <v>#N/A</v>
      </c>
      <c r="AC457" s="47"/>
      <c r="AE457" s="10"/>
      <c r="AF457" s="10"/>
      <c r="AG457" s="10"/>
      <c r="AH457" s="10"/>
    </row>
    <row r="458" spans="1:34" s="5" customFormat="1" ht="10.15" hidden="1" customHeight="1" x14ac:dyDescent="0.2">
      <c r="A458" s="10" t="s">
        <v>459</v>
      </c>
      <c r="C458" s="41"/>
      <c r="J458" s="2037"/>
      <c r="K458" s="2038"/>
      <c r="L458" s="2038"/>
      <c r="M458" s="2039"/>
      <c r="N458" s="983" t="s">
        <v>123</v>
      </c>
      <c r="O458" s="985"/>
      <c r="P458" s="985"/>
      <c r="Q458" s="985"/>
      <c r="R458" s="985"/>
      <c r="S458" s="1366" t="s">
        <v>2352</v>
      </c>
      <c r="T458" s="1607">
        <v>-0.875</v>
      </c>
      <c r="U458" s="1608">
        <v>-0.875</v>
      </c>
      <c r="V458" s="1608">
        <v>-0.875</v>
      </c>
      <c r="W458" s="1608">
        <v>-0.875</v>
      </c>
      <c r="X458" s="1608">
        <v>-1.125</v>
      </c>
      <c r="Y458" s="1608">
        <v>-1.5</v>
      </c>
      <c r="Z458" s="1745" t="e">
        <v>#N/A</v>
      </c>
      <c r="AA458" s="1745" t="e">
        <v>#N/A</v>
      </c>
      <c r="AB458" s="1742" t="e">
        <v>#N/A</v>
      </c>
      <c r="AC458" s="47"/>
      <c r="AE458" s="10"/>
      <c r="AF458" s="10"/>
      <c r="AG458" s="10"/>
      <c r="AH458" s="10"/>
    </row>
    <row r="459" spans="1:34" s="5" customFormat="1" ht="10.15" hidden="1" customHeight="1" x14ac:dyDescent="0.2">
      <c r="A459" s="10" t="s">
        <v>459</v>
      </c>
      <c r="C459" s="41"/>
      <c r="J459" s="2037"/>
      <c r="K459" s="2038"/>
      <c r="L459" s="2038"/>
      <c r="M459" s="2039"/>
      <c r="N459" s="983" t="s">
        <v>229</v>
      </c>
      <c r="O459" s="985"/>
      <c r="P459" s="985"/>
      <c r="Q459" s="985"/>
      <c r="R459" s="985"/>
      <c r="S459" s="1366" t="s">
        <v>2353</v>
      </c>
      <c r="T459" s="1610">
        <v>-1.5</v>
      </c>
      <c r="U459" s="1611">
        <v>-1.5</v>
      </c>
      <c r="V459" s="1611">
        <v>-1.5</v>
      </c>
      <c r="W459" s="1611">
        <v>-1.5</v>
      </c>
      <c r="X459" s="1611">
        <v>-1.75</v>
      </c>
      <c r="Y459" s="1611">
        <v>-2.125</v>
      </c>
      <c r="Z459" s="1743" t="e">
        <v>#N/A</v>
      </c>
      <c r="AA459" s="1743" t="e">
        <v>#N/A</v>
      </c>
      <c r="AB459" s="1744" t="e">
        <v>#N/A</v>
      </c>
      <c r="AC459" s="47"/>
      <c r="AE459" s="10"/>
      <c r="AF459" s="10"/>
      <c r="AG459" s="10"/>
      <c r="AH459" s="10"/>
    </row>
    <row r="460" spans="1:34" s="5" customFormat="1" ht="10.15" hidden="1" customHeight="1" x14ac:dyDescent="0.2">
      <c r="A460" s="10" t="s">
        <v>461</v>
      </c>
      <c r="C460" s="41"/>
      <c r="J460" s="2037"/>
      <c r="K460" s="2038"/>
      <c r="L460" s="2038"/>
      <c r="M460" s="2039"/>
      <c r="N460" s="983" t="s">
        <v>230</v>
      </c>
      <c r="O460" s="985"/>
      <c r="P460" s="985"/>
      <c r="Q460" s="985"/>
      <c r="R460" s="985"/>
      <c r="S460" s="1394" t="s">
        <v>2354</v>
      </c>
      <c r="T460" s="1355" t="e">
        <v>#N/A</v>
      </c>
      <c r="U460" s="1202" t="e">
        <v>#N/A</v>
      </c>
      <c r="V460" s="1202" t="e">
        <v>#N/A</v>
      </c>
      <c r="W460" s="1202" t="e">
        <v>#N/A</v>
      </c>
      <c r="X460" s="1202" t="e">
        <v>#N/A</v>
      </c>
      <c r="Y460" s="1202" t="e">
        <v>#N/A</v>
      </c>
      <c r="Z460" s="1202" t="e">
        <v>#N/A</v>
      </c>
      <c r="AA460" s="1202" t="e">
        <v>#N/A</v>
      </c>
      <c r="AB460" s="1354" t="e">
        <v>#N/A</v>
      </c>
      <c r="AC460" s="47"/>
      <c r="AE460" s="10"/>
      <c r="AF460" s="10"/>
      <c r="AG460" s="10"/>
      <c r="AH460" s="10"/>
    </row>
    <row r="461" spans="1:34" s="5" customFormat="1" ht="10.15" hidden="1" customHeight="1" x14ac:dyDescent="0.2">
      <c r="A461" s="10" t="s">
        <v>461</v>
      </c>
      <c r="C461" s="41"/>
      <c r="J461" s="2037"/>
      <c r="K461" s="2038"/>
      <c r="L461" s="2038"/>
      <c r="M461" s="2039"/>
      <c r="N461" s="983" t="s">
        <v>231</v>
      </c>
      <c r="O461" s="985"/>
      <c r="P461" s="985"/>
      <c r="Q461" s="985"/>
      <c r="R461" s="985"/>
      <c r="S461" s="1394" t="s">
        <v>2355</v>
      </c>
      <c r="T461" s="1355" t="e">
        <v>#N/A</v>
      </c>
      <c r="U461" s="1202" t="e">
        <v>#N/A</v>
      </c>
      <c r="V461" s="1202" t="e">
        <v>#N/A</v>
      </c>
      <c r="W461" s="1202" t="e">
        <v>#N/A</v>
      </c>
      <c r="X461" s="1202" t="e">
        <v>#N/A</v>
      </c>
      <c r="Y461" s="1202" t="e">
        <v>#N/A</v>
      </c>
      <c r="Z461" s="1202" t="e">
        <v>#N/A</v>
      </c>
      <c r="AA461" s="1202" t="e">
        <v>#N/A</v>
      </c>
      <c r="AB461" s="1354" t="e">
        <v>#N/A</v>
      </c>
      <c r="AC461" s="47"/>
      <c r="AE461" s="10"/>
      <c r="AF461" s="10"/>
      <c r="AG461" s="10"/>
      <c r="AH461" s="10"/>
    </row>
    <row r="462" spans="1:34" s="5" customFormat="1" ht="10.15" hidden="1" customHeight="1" x14ac:dyDescent="0.2">
      <c r="A462" s="10" t="s">
        <v>461</v>
      </c>
      <c r="C462" s="41"/>
      <c r="J462" s="2040"/>
      <c r="K462" s="2041"/>
      <c r="L462" s="2041"/>
      <c r="M462" s="2042"/>
      <c r="N462" s="1006" t="s">
        <v>228</v>
      </c>
      <c r="O462" s="1027"/>
      <c r="P462" s="1027"/>
      <c r="Q462" s="1027"/>
      <c r="R462" s="1027"/>
      <c r="S462" s="1372" t="s">
        <v>2356</v>
      </c>
      <c r="T462" s="1349" t="e">
        <v>#N/A</v>
      </c>
      <c r="U462" s="1201" t="e">
        <v>#N/A</v>
      </c>
      <c r="V462" s="1201" t="e">
        <v>#N/A</v>
      </c>
      <c r="W462" s="1201" t="e">
        <v>#N/A</v>
      </c>
      <c r="X462" s="1201" t="e">
        <v>#N/A</v>
      </c>
      <c r="Y462" s="1201" t="e">
        <v>#N/A</v>
      </c>
      <c r="Z462" s="1201" t="e">
        <v>#N/A</v>
      </c>
      <c r="AA462" s="1201" t="e">
        <v>#N/A</v>
      </c>
      <c r="AB462" s="1350" t="e">
        <v>#N/A</v>
      </c>
      <c r="AC462" s="47"/>
      <c r="AE462" s="10"/>
      <c r="AF462" s="10"/>
      <c r="AG462" s="10"/>
      <c r="AH462" s="10"/>
    </row>
    <row r="463" spans="1:34" s="5" customFormat="1" ht="10.15" hidden="1" customHeight="1" x14ac:dyDescent="0.2">
      <c r="A463" s="10" t="s">
        <v>461</v>
      </c>
      <c r="C463" s="41"/>
      <c r="J463" s="2034" t="s">
        <v>14</v>
      </c>
      <c r="K463" s="2035"/>
      <c r="L463" s="2035"/>
      <c r="M463" s="2036"/>
      <c r="N463" s="1007" t="s">
        <v>111</v>
      </c>
      <c r="O463" s="1045"/>
      <c r="P463" s="1045"/>
      <c r="Q463" s="1045"/>
      <c r="R463" s="1045"/>
      <c r="S463" s="1371" t="s">
        <v>553</v>
      </c>
      <c r="T463" s="1712">
        <v>0</v>
      </c>
      <c r="U463" s="1695">
        <v>0</v>
      </c>
      <c r="V463" s="1695">
        <v>0</v>
      </c>
      <c r="W463" s="1695">
        <v>0</v>
      </c>
      <c r="X463" s="1695">
        <v>0</v>
      </c>
      <c r="Y463" s="1695">
        <v>0</v>
      </c>
      <c r="Z463" s="1695">
        <v>0</v>
      </c>
      <c r="AA463" s="1695">
        <v>0</v>
      </c>
      <c r="AB463" s="1713">
        <v>0</v>
      </c>
      <c r="AC463" s="47"/>
      <c r="AE463" s="10"/>
      <c r="AF463" s="218"/>
      <c r="AG463" s="10"/>
      <c r="AH463" s="10"/>
    </row>
    <row r="464" spans="1:34" s="5" customFormat="1" ht="10.15" hidden="1" customHeight="1" x14ac:dyDescent="0.2">
      <c r="A464" s="10" t="s">
        <v>459</v>
      </c>
      <c r="C464" s="41"/>
      <c r="J464" s="2037"/>
      <c r="K464" s="2038"/>
      <c r="L464" s="2038"/>
      <c r="M464" s="2039"/>
      <c r="N464" s="1008" t="s">
        <v>32</v>
      </c>
      <c r="O464" s="1005"/>
      <c r="P464" s="1005"/>
      <c r="Q464" s="1005"/>
      <c r="R464" s="1005"/>
      <c r="S464" s="1371" t="s">
        <v>554</v>
      </c>
      <c r="T464" s="1604">
        <v>0</v>
      </c>
      <c r="U464" s="1605">
        <v>0</v>
      </c>
      <c r="V464" s="1605">
        <v>0</v>
      </c>
      <c r="W464" s="1605">
        <v>0</v>
      </c>
      <c r="X464" s="1605">
        <v>0</v>
      </c>
      <c r="Y464" s="1605">
        <v>0</v>
      </c>
      <c r="Z464" s="1605">
        <v>0</v>
      </c>
      <c r="AA464" s="1605">
        <v>0</v>
      </c>
      <c r="AB464" s="1606">
        <v>0</v>
      </c>
      <c r="AC464" s="47"/>
      <c r="AE464" s="10"/>
      <c r="AF464" s="218"/>
      <c r="AG464" s="10"/>
      <c r="AH464" s="10"/>
    </row>
    <row r="465" spans="1:34" s="5" customFormat="1" ht="10.15" hidden="1" customHeight="1" x14ac:dyDescent="0.2">
      <c r="A465" s="10" t="s">
        <v>459</v>
      </c>
      <c r="C465" s="41"/>
      <c r="J465" s="2037"/>
      <c r="K465" s="2038"/>
      <c r="L465" s="2038"/>
      <c r="M465" s="2039"/>
      <c r="N465" s="983" t="s">
        <v>1319</v>
      </c>
      <c r="O465" s="985"/>
      <c r="P465" s="985"/>
      <c r="Q465" s="985"/>
      <c r="R465" s="985"/>
      <c r="S465" s="1366" t="s">
        <v>1325</v>
      </c>
      <c r="T465" s="1607">
        <v>0</v>
      </c>
      <c r="U465" s="1608">
        <v>0</v>
      </c>
      <c r="V465" s="1608">
        <v>0</v>
      </c>
      <c r="W465" s="1608">
        <v>0</v>
      </c>
      <c r="X465" s="1608">
        <v>0</v>
      </c>
      <c r="Y465" s="1608">
        <v>0</v>
      </c>
      <c r="Z465" s="1608">
        <v>0</v>
      </c>
      <c r="AA465" s="1608">
        <v>-0.125</v>
      </c>
      <c r="AB465" s="1609">
        <v>-0.125</v>
      </c>
      <c r="AC465" s="47"/>
      <c r="AE465" s="10"/>
      <c r="AF465" s="218"/>
      <c r="AG465" s="10"/>
      <c r="AH465" s="10"/>
    </row>
    <row r="466" spans="1:34" s="5" customFormat="1" ht="10.15" hidden="1" customHeight="1" x14ac:dyDescent="0.2">
      <c r="A466" s="10" t="s">
        <v>459</v>
      </c>
      <c r="C466" s="41"/>
      <c r="J466" s="2037"/>
      <c r="K466" s="2038"/>
      <c r="L466" s="2038"/>
      <c r="M466" s="2039"/>
      <c r="N466" s="983" t="s">
        <v>1320</v>
      </c>
      <c r="O466" s="985"/>
      <c r="P466" s="985"/>
      <c r="Q466" s="985"/>
      <c r="R466" s="985"/>
      <c r="S466" s="1366" t="s">
        <v>1326</v>
      </c>
      <c r="T466" s="1607">
        <v>0</v>
      </c>
      <c r="U466" s="1608">
        <v>0</v>
      </c>
      <c r="V466" s="1608">
        <v>0</v>
      </c>
      <c r="W466" s="1608">
        <v>0</v>
      </c>
      <c r="X466" s="1608">
        <v>0</v>
      </c>
      <c r="Y466" s="1608">
        <v>0</v>
      </c>
      <c r="Z466" s="1608">
        <v>0</v>
      </c>
      <c r="AA466" s="1608">
        <v>-0.25</v>
      </c>
      <c r="AB466" s="1609">
        <v>-0.25</v>
      </c>
      <c r="AC466" s="47"/>
      <c r="AE466" s="10"/>
      <c r="AF466" s="218"/>
      <c r="AG466" s="10"/>
      <c r="AH466" s="10"/>
    </row>
    <row r="467" spans="1:34" s="5" customFormat="1" ht="10.15" hidden="1" customHeight="1" x14ac:dyDescent="0.2">
      <c r="A467" s="10" t="s">
        <v>459</v>
      </c>
      <c r="C467" s="41"/>
      <c r="J467" s="2040"/>
      <c r="K467" s="2041"/>
      <c r="L467" s="2041"/>
      <c r="M467" s="2042"/>
      <c r="N467" s="1006" t="s">
        <v>15</v>
      </c>
      <c r="O467" s="1027"/>
      <c r="P467" s="1027"/>
      <c r="Q467" s="1027"/>
      <c r="R467" s="1027"/>
      <c r="S467" s="1372" t="s">
        <v>555</v>
      </c>
      <c r="T467" s="1610">
        <v>-0.125</v>
      </c>
      <c r="U467" s="1611">
        <v>-0.125</v>
      </c>
      <c r="V467" s="1611">
        <v>-0.125</v>
      </c>
      <c r="W467" s="1611">
        <v>-0.25</v>
      </c>
      <c r="X467" s="1611">
        <v>-0.25</v>
      </c>
      <c r="Y467" s="1611">
        <v>-0.375</v>
      </c>
      <c r="Z467" s="1611">
        <v>-0.375</v>
      </c>
      <c r="AA467" s="1611">
        <v>-0.5</v>
      </c>
      <c r="AB467" s="1744" t="e">
        <v>#N/A</v>
      </c>
      <c r="AC467" s="47"/>
      <c r="AE467" s="10"/>
      <c r="AF467" s="218"/>
      <c r="AG467" s="10"/>
      <c r="AH467" s="10"/>
    </row>
    <row r="468" spans="1:34" s="5" customFormat="1" ht="10.15" hidden="1" customHeight="1" x14ac:dyDescent="0.2">
      <c r="A468" s="10" t="s">
        <v>461</v>
      </c>
      <c r="C468" s="41"/>
      <c r="J468" s="2171" t="s">
        <v>62</v>
      </c>
      <c r="K468" s="2172"/>
      <c r="L468" s="2172"/>
      <c r="M468" s="2173"/>
      <c r="N468" s="1009" t="s">
        <v>99</v>
      </c>
      <c r="O468" s="1046"/>
      <c r="P468" s="1046"/>
      <c r="Q468" s="1046"/>
      <c r="R468" s="1046"/>
      <c r="S468" s="1373" t="s">
        <v>556</v>
      </c>
      <c r="T468" s="1712">
        <v>0</v>
      </c>
      <c r="U468" s="1695">
        <v>0</v>
      </c>
      <c r="V468" s="1695">
        <v>0</v>
      </c>
      <c r="W468" s="1695">
        <v>0</v>
      </c>
      <c r="X468" s="1695">
        <v>0</v>
      </c>
      <c r="Y468" s="1695">
        <v>0</v>
      </c>
      <c r="Z468" s="1693">
        <v>0</v>
      </c>
      <c r="AA468" s="1693">
        <v>0</v>
      </c>
      <c r="AB468" s="1714">
        <v>0</v>
      </c>
      <c r="AC468" s="47"/>
      <c r="AE468" s="10"/>
      <c r="AF468" s="218"/>
      <c r="AG468" s="10"/>
      <c r="AH468" s="10"/>
    </row>
    <row r="469" spans="1:34" s="5" customFormat="1" ht="10.15" hidden="1" customHeight="1" x14ac:dyDescent="0.2">
      <c r="A469" s="10" t="s">
        <v>459</v>
      </c>
      <c r="C469" s="41"/>
      <c r="J469" s="2034" t="s">
        <v>33</v>
      </c>
      <c r="K469" s="2035"/>
      <c r="L469" s="2035"/>
      <c r="M469" s="2036"/>
      <c r="N469" s="1010" t="s">
        <v>34</v>
      </c>
      <c r="O469" s="1028"/>
      <c r="P469" s="1028"/>
      <c r="Q469" s="1028"/>
      <c r="R469" s="1028"/>
      <c r="S469" s="1374" t="s">
        <v>557</v>
      </c>
      <c r="T469" s="1604">
        <v>0.25</v>
      </c>
      <c r="U469" s="1605">
        <v>0.25</v>
      </c>
      <c r="V469" s="1605">
        <v>0.25</v>
      </c>
      <c r="W469" s="1605">
        <v>0.25</v>
      </c>
      <c r="X469" s="1605">
        <v>0.25</v>
      </c>
      <c r="Y469" s="1605">
        <v>0.25</v>
      </c>
      <c r="Z469" s="1605">
        <v>0.125</v>
      </c>
      <c r="AA469" s="1605">
        <v>0.125</v>
      </c>
      <c r="AB469" s="1606">
        <v>0.125</v>
      </c>
      <c r="AC469" s="47"/>
      <c r="AE469" s="10"/>
      <c r="AF469" s="218"/>
      <c r="AG469" s="10"/>
      <c r="AH469" s="10"/>
    </row>
    <row r="470" spans="1:34" s="5" customFormat="1" ht="10.15" hidden="1" customHeight="1" x14ac:dyDescent="0.2">
      <c r="A470" s="10" t="s">
        <v>459</v>
      </c>
      <c r="C470" s="41"/>
      <c r="J470" s="2037"/>
      <c r="K470" s="2038"/>
      <c r="L470" s="2038"/>
      <c r="M470" s="2039"/>
      <c r="N470" s="990" t="s">
        <v>35</v>
      </c>
      <c r="O470" s="986"/>
      <c r="P470" s="986"/>
      <c r="Q470" s="986"/>
      <c r="R470" s="986"/>
      <c r="S470" s="1375" t="s">
        <v>558</v>
      </c>
      <c r="T470" s="1607">
        <v>0</v>
      </c>
      <c r="U470" s="1608">
        <v>0</v>
      </c>
      <c r="V470" s="1608">
        <v>0</v>
      </c>
      <c r="W470" s="1608">
        <v>0</v>
      </c>
      <c r="X470" s="1608">
        <v>0</v>
      </c>
      <c r="Y470" s="1608">
        <v>0</v>
      </c>
      <c r="Z470" s="1608">
        <v>0</v>
      </c>
      <c r="AA470" s="1608">
        <v>0</v>
      </c>
      <c r="AB470" s="1609">
        <v>0</v>
      </c>
      <c r="AC470" s="47"/>
      <c r="AE470" s="10"/>
      <c r="AF470" s="218"/>
      <c r="AG470" s="10"/>
      <c r="AH470" s="10"/>
    </row>
    <row r="471" spans="1:34" s="5" customFormat="1" ht="10.15" hidden="1" customHeight="1" x14ac:dyDescent="0.2">
      <c r="A471" s="10" t="s">
        <v>459</v>
      </c>
      <c r="C471" s="41"/>
      <c r="J471" s="2040"/>
      <c r="K471" s="2041"/>
      <c r="L471" s="2041"/>
      <c r="M471" s="2042"/>
      <c r="N471" s="1011" t="s">
        <v>16</v>
      </c>
      <c r="O471" s="991"/>
      <c r="P471" s="991"/>
      <c r="Q471" s="991"/>
      <c r="R471" s="991"/>
      <c r="S471" s="1376" t="s">
        <v>559</v>
      </c>
      <c r="T471" s="1610">
        <v>-0.25</v>
      </c>
      <c r="U471" s="1611">
        <v>-0.25</v>
      </c>
      <c r="V471" s="1611">
        <v>-0.25</v>
      </c>
      <c r="W471" s="1611">
        <v>-0.5</v>
      </c>
      <c r="X471" s="1611">
        <v>-0.625</v>
      </c>
      <c r="Y471" s="1611">
        <v>-1</v>
      </c>
      <c r="Z471" s="1611">
        <v>-1.75</v>
      </c>
      <c r="AA471" s="1743" t="e">
        <v>#N/A</v>
      </c>
      <c r="AB471" s="1744" t="e">
        <v>#N/A</v>
      </c>
      <c r="AC471" s="47"/>
      <c r="AE471" s="10"/>
      <c r="AF471" s="218"/>
      <c r="AG471" s="10"/>
      <c r="AH471" s="10"/>
    </row>
    <row r="472" spans="1:34" s="5" customFormat="1" ht="10.15" hidden="1" customHeight="1" x14ac:dyDescent="0.2">
      <c r="A472" s="10" t="s">
        <v>459</v>
      </c>
      <c r="C472" s="41"/>
      <c r="J472" s="2034" t="s">
        <v>39</v>
      </c>
      <c r="K472" s="2035"/>
      <c r="L472" s="2035"/>
      <c r="M472" s="2036"/>
      <c r="N472" s="1010" t="s">
        <v>37</v>
      </c>
      <c r="O472" s="1028"/>
      <c r="P472" s="1028"/>
      <c r="Q472" s="1028"/>
      <c r="R472" s="1028"/>
      <c r="S472" s="1377" t="s">
        <v>560</v>
      </c>
      <c r="T472" s="1604">
        <v>0</v>
      </c>
      <c r="U472" s="1605">
        <v>0</v>
      </c>
      <c r="V472" s="1605">
        <v>0</v>
      </c>
      <c r="W472" s="1605">
        <v>0</v>
      </c>
      <c r="X472" s="1605">
        <v>0</v>
      </c>
      <c r="Y472" s="1605">
        <v>0</v>
      </c>
      <c r="Z472" s="1605">
        <v>0</v>
      </c>
      <c r="AA472" s="1605">
        <v>0</v>
      </c>
      <c r="AB472" s="1606">
        <v>0</v>
      </c>
      <c r="AC472" s="47"/>
      <c r="AE472" s="10"/>
      <c r="AF472" s="218"/>
      <c r="AG472" s="10"/>
      <c r="AH472" s="10"/>
    </row>
    <row r="473" spans="1:34" s="5" customFormat="1" ht="10.15" hidden="1" customHeight="1" x14ac:dyDescent="0.2">
      <c r="A473" s="10" t="s">
        <v>459</v>
      </c>
      <c r="C473" s="41"/>
      <c r="J473" s="2040"/>
      <c r="K473" s="2041"/>
      <c r="L473" s="2041"/>
      <c r="M473" s="2042"/>
      <c r="N473" s="1011" t="s">
        <v>17</v>
      </c>
      <c r="O473" s="991"/>
      <c r="P473" s="991"/>
      <c r="Q473" s="991"/>
      <c r="R473" s="991"/>
      <c r="S473" s="1376" t="s">
        <v>561</v>
      </c>
      <c r="T473" s="1610">
        <v>-0.125</v>
      </c>
      <c r="U473" s="1611">
        <v>-0.125</v>
      </c>
      <c r="V473" s="1611">
        <v>-0.125</v>
      </c>
      <c r="W473" s="1611">
        <v>-0.25</v>
      </c>
      <c r="X473" s="1611">
        <v>-0.25</v>
      </c>
      <c r="Y473" s="1611">
        <v>-0.25</v>
      </c>
      <c r="Z473" s="1611">
        <v>-0.375</v>
      </c>
      <c r="AA473" s="1611">
        <v>-0.625</v>
      </c>
      <c r="AB473" s="1744" t="e">
        <v>#N/A</v>
      </c>
      <c r="AC473" s="47"/>
      <c r="AE473" s="10"/>
      <c r="AF473" s="218"/>
      <c r="AG473" s="10"/>
      <c r="AH473" s="10"/>
    </row>
    <row r="474" spans="1:34" ht="14.45" hidden="1" customHeight="1" x14ac:dyDescent="0.25">
      <c r="A474" s="10" t="s">
        <v>459</v>
      </c>
      <c r="C474" s="42"/>
      <c r="J474" s="76" t="s">
        <v>426</v>
      </c>
      <c r="K474" s="72"/>
      <c r="L474" s="73"/>
      <c r="M474" s="74"/>
      <c r="N474" s="1010" t="s">
        <v>425</v>
      </c>
      <c r="O474" s="1028"/>
      <c r="P474" s="1028"/>
      <c r="Q474" s="1028"/>
      <c r="R474" s="1028"/>
      <c r="S474" s="1378" t="s">
        <v>562</v>
      </c>
      <c r="T474" s="1712">
        <v>0</v>
      </c>
      <c r="U474" s="1695">
        <v>0</v>
      </c>
      <c r="V474" s="1695">
        <v>0</v>
      </c>
      <c r="W474" s="1695">
        <v>0</v>
      </c>
      <c r="X474" s="1695">
        <v>0</v>
      </c>
      <c r="Y474" s="1695">
        <v>0</v>
      </c>
      <c r="Z474" s="1695">
        <v>0</v>
      </c>
      <c r="AA474" s="1695">
        <v>0</v>
      </c>
      <c r="AB474" s="1713">
        <v>0</v>
      </c>
      <c r="AC474" s="43"/>
      <c r="AF474" s="218"/>
    </row>
    <row r="475" spans="1:34" s="5" customFormat="1" ht="10.15" hidden="1" customHeight="1" x14ac:dyDescent="0.2">
      <c r="A475" s="10" t="s">
        <v>459</v>
      </c>
      <c r="C475" s="41"/>
      <c r="J475" s="2034" t="s">
        <v>40</v>
      </c>
      <c r="K475" s="2035"/>
      <c r="L475" s="2035"/>
      <c r="M475" s="2036"/>
      <c r="N475" s="1012" t="s">
        <v>41</v>
      </c>
      <c r="O475" s="1030"/>
      <c r="P475" s="1030"/>
      <c r="Q475" s="1030"/>
      <c r="R475" s="1030"/>
      <c r="S475" s="1380" t="s">
        <v>563</v>
      </c>
      <c r="T475" s="1696">
        <v>0</v>
      </c>
      <c r="U475" s="1697">
        <v>0</v>
      </c>
      <c r="V475" s="1697">
        <v>0</v>
      </c>
      <c r="W475" s="1697">
        <v>0</v>
      </c>
      <c r="X475" s="1697">
        <v>0</v>
      </c>
      <c r="Y475" s="1697">
        <v>0</v>
      </c>
      <c r="Z475" s="1697">
        <v>0</v>
      </c>
      <c r="AA475" s="1697">
        <v>0</v>
      </c>
      <c r="AB475" s="1698">
        <v>0</v>
      </c>
      <c r="AC475" s="47"/>
      <c r="AE475" s="10"/>
      <c r="AF475" s="218"/>
      <c r="AG475" s="10"/>
      <c r="AH475" s="10"/>
    </row>
    <row r="476" spans="1:34" s="5" customFormat="1" ht="10.15" hidden="1" customHeight="1" x14ac:dyDescent="0.2">
      <c r="A476" s="10" t="s">
        <v>459</v>
      </c>
      <c r="C476" s="41"/>
      <c r="J476" s="2037"/>
      <c r="K476" s="2038"/>
      <c r="L476" s="2038"/>
      <c r="M476" s="2039"/>
      <c r="N476" s="1013" t="s">
        <v>374</v>
      </c>
      <c r="O476" s="307"/>
      <c r="P476" s="307"/>
      <c r="Q476" s="307"/>
      <c r="R476" s="307"/>
      <c r="S476" s="1381" t="s">
        <v>1427</v>
      </c>
      <c r="T476" s="1699">
        <v>-0.375</v>
      </c>
      <c r="U476" s="1700">
        <v>-0.375</v>
      </c>
      <c r="V476" s="1700">
        <v>-0.375</v>
      </c>
      <c r="W476" s="1700">
        <v>-0.375</v>
      </c>
      <c r="X476" s="1700">
        <v>-0.375</v>
      </c>
      <c r="Y476" s="1700">
        <v>-0.375</v>
      </c>
      <c r="Z476" s="1700">
        <v>-0.375</v>
      </c>
      <c r="AA476" s="1700">
        <v>-0.375</v>
      </c>
      <c r="AB476" s="1701">
        <v>-0.375</v>
      </c>
      <c r="AC476" s="47"/>
      <c r="AE476" s="10"/>
      <c r="AF476" s="218"/>
      <c r="AG476" s="10"/>
      <c r="AH476" s="10"/>
    </row>
    <row r="477" spans="1:34" s="5" customFormat="1" ht="10.15" hidden="1" customHeight="1" x14ac:dyDescent="0.2">
      <c r="A477" s="10" t="s">
        <v>459</v>
      </c>
      <c r="C477" s="41"/>
      <c r="J477" s="2037"/>
      <c r="K477" s="2038"/>
      <c r="L477" s="2038"/>
      <c r="M477" s="2039"/>
      <c r="N477" s="1013" t="s">
        <v>367</v>
      </c>
      <c r="O477" s="307"/>
      <c r="P477" s="307"/>
      <c r="Q477" s="307"/>
      <c r="R477" s="307"/>
      <c r="S477" s="1381" t="s">
        <v>1431</v>
      </c>
      <c r="T477" s="1699">
        <v>-0.375</v>
      </c>
      <c r="U477" s="1700">
        <v>-0.375</v>
      </c>
      <c r="V477" s="1700">
        <v>-0.375</v>
      </c>
      <c r="W477" s="1700">
        <v>-0.375</v>
      </c>
      <c r="X477" s="1700">
        <v>-0.375</v>
      </c>
      <c r="Y477" s="1700">
        <v>-0.375</v>
      </c>
      <c r="Z477" s="1700">
        <v>-0.375</v>
      </c>
      <c r="AA477" s="1700">
        <v>-0.375</v>
      </c>
      <c r="AB477" s="1701">
        <v>-0.375</v>
      </c>
      <c r="AC477" s="47"/>
      <c r="AE477" s="10"/>
      <c r="AF477" s="218"/>
      <c r="AG477" s="10"/>
      <c r="AH477" s="10"/>
    </row>
    <row r="478" spans="1:34" s="5" customFormat="1" ht="10.15" hidden="1" customHeight="1" x14ac:dyDescent="0.2">
      <c r="A478" s="10" t="s">
        <v>459</v>
      </c>
      <c r="C478" s="41"/>
      <c r="J478" s="2040"/>
      <c r="K478" s="2041"/>
      <c r="L478" s="2041"/>
      <c r="M478" s="2042"/>
      <c r="N478" s="1011" t="s">
        <v>320</v>
      </c>
      <c r="O478" s="991"/>
      <c r="P478" s="991"/>
      <c r="Q478" s="991"/>
      <c r="R478" s="991"/>
      <c r="S478" s="1376" t="s">
        <v>564</v>
      </c>
      <c r="T478" s="1702">
        <v>0</v>
      </c>
      <c r="U478" s="1691">
        <v>0</v>
      </c>
      <c r="V478" s="1691">
        <v>0</v>
      </c>
      <c r="W478" s="1691">
        <v>0</v>
      </c>
      <c r="X478" s="1691">
        <v>0</v>
      </c>
      <c r="Y478" s="1691">
        <v>0</v>
      </c>
      <c r="Z478" s="1691">
        <v>0</v>
      </c>
      <c r="AA478" s="1691">
        <v>0</v>
      </c>
      <c r="AB478" s="1703">
        <v>0</v>
      </c>
      <c r="AC478" s="47"/>
      <c r="AE478" s="10"/>
      <c r="AF478" s="218"/>
      <c r="AG478" s="10"/>
      <c r="AH478" s="10"/>
    </row>
    <row r="479" spans="1:34" s="5" customFormat="1" ht="10.15" hidden="1" customHeight="1" x14ac:dyDescent="0.2">
      <c r="A479" s="10" t="s">
        <v>459</v>
      </c>
      <c r="C479" s="41"/>
      <c r="J479" s="278" t="s">
        <v>91</v>
      </c>
      <c r="K479" s="279"/>
      <c r="L479" s="279"/>
      <c r="M479" s="280"/>
      <c r="N479" s="1015" t="s">
        <v>83</v>
      </c>
      <c r="O479" s="1031"/>
      <c r="P479" s="1031"/>
      <c r="Q479" s="1031"/>
      <c r="R479" s="1031"/>
      <c r="S479" s="1378" t="s">
        <v>565</v>
      </c>
      <c r="T479" s="1604">
        <v>0</v>
      </c>
      <c r="U479" s="1605">
        <v>0</v>
      </c>
      <c r="V479" s="1605">
        <v>0</v>
      </c>
      <c r="W479" s="1605">
        <v>0</v>
      </c>
      <c r="X479" s="1605">
        <v>0</v>
      </c>
      <c r="Y479" s="1605">
        <v>0</v>
      </c>
      <c r="Z479" s="1605">
        <v>0</v>
      </c>
      <c r="AA479" s="1605">
        <v>0</v>
      </c>
      <c r="AB479" s="1606">
        <v>0</v>
      </c>
      <c r="AC479" s="47"/>
      <c r="AE479" s="10"/>
      <c r="AF479" s="218"/>
      <c r="AG479" s="10"/>
      <c r="AH479" s="10"/>
    </row>
    <row r="480" spans="1:34" s="5" customFormat="1" ht="10.15" hidden="1" customHeight="1" x14ac:dyDescent="0.2">
      <c r="A480" s="10" t="s">
        <v>459</v>
      </c>
      <c r="C480" s="41"/>
      <c r="J480" s="281"/>
      <c r="K480" s="287"/>
      <c r="L480" s="287"/>
      <c r="M480" s="282"/>
      <c r="N480" s="1016" t="s">
        <v>1402</v>
      </c>
      <c r="O480" s="988"/>
      <c r="P480" s="988"/>
      <c r="Q480" s="988"/>
      <c r="R480" s="988"/>
      <c r="S480" s="1375" t="s">
        <v>1405</v>
      </c>
      <c r="T480" s="1607">
        <v>0</v>
      </c>
      <c r="U480" s="1608">
        <v>0</v>
      </c>
      <c r="V480" s="1608">
        <v>0</v>
      </c>
      <c r="W480" s="1608">
        <v>0</v>
      </c>
      <c r="X480" s="1608">
        <v>0</v>
      </c>
      <c r="Y480" s="1608">
        <v>0</v>
      </c>
      <c r="Z480" s="1608">
        <v>0</v>
      </c>
      <c r="AA480" s="1745" t="e">
        <v>#N/A</v>
      </c>
      <c r="AB480" s="1742" t="e">
        <v>#N/A</v>
      </c>
      <c r="AC480" s="47"/>
      <c r="AE480" s="10"/>
      <c r="AF480" s="218"/>
      <c r="AG480" s="10"/>
      <c r="AH480" s="10"/>
    </row>
    <row r="481" spans="1:34" s="5" customFormat="1" ht="10.15" hidden="1" customHeight="1" x14ac:dyDescent="0.2">
      <c r="A481" s="10" t="s">
        <v>459</v>
      </c>
      <c r="C481" s="41"/>
      <c r="J481" s="281"/>
      <c r="K481" s="287"/>
      <c r="L481" s="287"/>
      <c r="M481" s="282"/>
      <c r="N481" s="990" t="s">
        <v>2308</v>
      </c>
      <c r="O481" s="986"/>
      <c r="P481" s="986"/>
      <c r="Q481" s="986"/>
      <c r="R481" s="986"/>
      <c r="S481" s="1381" t="s">
        <v>2311</v>
      </c>
      <c r="T481" s="1607">
        <v>0</v>
      </c>
      <c r="U481" s="1608">
        <v>0</v>
      </c>
      <c r="V481" s="1608">
        <v>0</v>
      </c>
      <c r="W481" s="1608">
        <v>0</v>
      </c>
      <c r="X481" s="1608">
        <v>0</v>
      </c>
      <c r="Y481" s="1608">
        <v>0</v>
      </c>
      <c r="Z481" s="1608">
        <v>0</v>
      </c>
      <c r="AA481" s="1745" t="e">
        <v>#N/A</v>
      </c>
      <c r="AB481" s="1742" t="e">
        <v>#N/A</v>
      </c>
      <c r="AC481" s="47"/>
      <c r="AE481" s="10"/>
      <c r="AF481" s="218"/>
      <c r="AG481" s="10"/>
      <c r="AH481" s="10"/>
    </row>
    <row r="482" spans="1:34" s="5" customFormat="1" ht="10.15" hidden="1" customHeight="1" x14ac:dyDescent="0.2">
      <c r="A482" s="10" t="s">
        <v>459</v>
      </c>
      <c r="C482" s="41"/>
      <c r="J482" s="281"/>
      <c r="K482" s="287"/>
      <c r="L482" s="287"/>
      <c r="M482" s="282"/>
      <c r="N482" s="1013" t="s">
        <v>154</v>
      </c>
      <c r="O482" s="307"/>
      <c r="P482" s="307"/>
      <c r="Q482" s="307"/>
      <c r="R482" s="307"/>
      <c r="S482" s="1381" t="s">
        <v>566</v>
      </c>
      <c r="T482" s="1607">
        <v>0</v>
      </c>
      <c r="U482" s="1608">
        <v>0</v>
      </c>
      <c r="V482" s="1608">
        <v>0</v>
      </c>
      <c r="W482" s="1608">
        <v>0</v>
      </c>
      <c r="X482" s="1608">
        <v>0</v>
      </c>
      <c r="Y482" s="1608">
        <v>0</v>
      </c>
      <c r="Z482" s="1608">
        <v>0</v>
      </c>
      <c r="AA482" s="1608">
        <v>0</v>
      </c>
      <c r="AB482" s="1609">
        <v>0</v>
      </c>
      <c r="AC482" s="47"/>
      <c r="AE482" s="10"/>
      <c r="AF482" s="218"/>
      <c r="AG482" s="10"/>
      <c r="AH482" s="10"/>
    </row>
    <row r="483" spans="1:34" s="5" customFormat="1" ht="10.15" hidden="1" customHeight="1" x14ac:dyDescent="0.2">
      <c r="A483" s="10" t="s">
        <v>459</v>
      </c>
      <c r="C483" s="41"/>
      <c r="J483" s="281"/>
      <c r="K483" s="287"/>
      <c r="L483" s="287"/>
      <c r="M483" s="282"/>
      <c r="N483" s="990" t="s">
        <v>127</v>
      </c>
      <c r="O483" s="986"/>
      <c r="P483" s="986"/>
      <c r="Q483" s="986"/>
      <c r="R483" s="986"/>
      <c r="S483" s="1381" t="s">
        <v>567</v>
      </c>
      <c r="T483" s="1607">
        <v>0</v>
      </c>
      <c r="U483" s="1608">
        <v>0</v>
      </c>
      <c r="V483" s="1608">
        <v>0</v>
      </c>
      <c r="W483" s="1608">
        <v>0</v>
      </c>
      <c r="X483" s="1608">
        <v>0</v>
      </c>
      <c r="Y483" s="1608">
        <v>0</v>
      </c>
      <c r="Z483" s="1608">
        <v>0</v>
      </c>
      <c r="AA483" s="1608">
        <v>0</v>
      </c>
      <c r="AB483" s="1609">
        <v>0</v>
      </c>
      <c r="AC483" s="47"/>
      <c r="AE483" s="10"/>
      <c r="AF483" s="218"/>
      <c r="AG483" s="10"/>
      <c r="AH483" s="10"/>
    </row>
    <row r="484" spans="1:34" s="5" customFormat="1" ht="10.15" hidden="1" customHeight="1" x14ac:dyDescent="0.2">
      <c r="A484" s="10" t="s">
        <v>459</v>
      </c>
      <c r="C484" s="41"/>
      <c r="J484" s="281"/>
      <c r="K484" s="287"/>
      <c r="L484" s="287"/>
      <c r="M484" s="282"/>
      <c r="N484" s="1013" t="s">
        <v>152</v>
      </c>
      <c r="O484" s="307"/>
      <c r="P484" s="307"/>
      <c r="Q484" s="307"/>
      <c r="R484" s="307"/>
      <c r="S484" s="1381" t="s">
        <v>568</v>
      </c>
      <c r="T484" s="1607">
        <v>0</v>
      </c>
      <c r="U484" s="1608">
        <v>0</v>
      </c>
      <c r="V484" s="1608">
        <v>0</v>
      </c>
      <c r="W484" s="1608">
        <v>0</v>
      </c>
      <c r="X484" s="1608">
        <v>0</v>
      </c>
      <c r="Y484" s="1608">
        <v>0</v>
      </c>
      <c r="Z484" s="1608">
        <v>0</v>
      </c>
      <c r="AA484" s="1608">
        <v>0</v>
      </c>
      <c r="AB484" s="1609">
        <v>0</v>
      </c>
      <c r="AC484" s="47"/>
      <c r="AE484" s="10"/>
      <c r="AF484" s="218"/>
      <c r="AG484" s="10"/>
      <c r="AH484" s="10"/>
    </row>
    <row r="485" spans="1:34" s="5" customFormat="1" ht="10.15" hidden="1" customHeight="1" x14ac:dyDescent="0.2">
      <c r="A485" s="10" t="s">
        <v>459</v>
      </c>
      <c r="C485" s="41"/>
      <c r="J485" s="281"/>
      <c r="K485" s="287"/>
      <c r="L485" s="287"/>
      <c r="M485" s="282"/>
      <c r="N485" s="1013" t="s">
        <v>153</v>
      </c>
      <c r="O485" s="307"/>
      <c r="P485" s="307"/>
      <c r="Q485" s="307"/>
      <c r="R485" s="307"/>
      <c r="S485" s="1381" t="s">
        <v>569</v>
      </c>
      <c r="T485" s="1607">
        <v>0</v>
      </c>
      <c r="U485" s="1608">
        <v>0</v>
      </c>
      <c r="V485" s="1608">
        <v>0</v>
      </c>
      <c r="W485" s="1608">
        <v>0</v>
      </c>
      <c r="X485" s="1608">
        <v>0</v>
      </c>
      <c r="Y485" s="1608">
        <v>0</v>
      </c>
      <c r="Z485" s="1608">
        <v>0</v>
      </c>
      <c r="AA485" s="1608">
        <v>0</v>
      </c>
      <c r="AB485" s="1609">
        <v>0</v>
      </c>
      <c r="AC485" s="47"/>
      <c r="AE485" s="10"/>
      <c r="AF485" s="218"/>
      <c r="AG485" s="10"/>
      <c r="AH485" s="10"/>
    </row>
    <row r="486" spans="1:34" s="5" customFormat="1" ht="10.15" hidden="1" customHeight="1" x14ac:dyDescent="0.2">
      <c r="A486" s="10" t="s">
        <v>459</v>
      </c>
      <c r="C486" s="41"/>
      <c r="J486" s="281"/>
      <c r="K486" s="287"/>
      <c r="L486" s="287"/>
      <c r="M486" s="282"/>
      <c r="N486" s="990" t="s">
        <v>221</v>
      </c>
      <c r="O486" s="986"/>
      <c r="P486" s="986"/>
      <c r="Q486" s="986"/>
      <c r="R486" s="986"/>
      <c r="S486" s="1381" t="s">
        <v>570</v>
      </c>
      <c r="T486" s="1607">
        <v>0</v>
      </c>
      <c r="U486" s="1608">
        <v>0</v>
      </c>
      <c r="V486" s="1608">
        <v>0</v>
      </c>
      <c r="W486" s="1608">
        <v>0</v>
      </c>
      <c r="X486" s="1608">
        <v>0</v>
      </c>
      <c r="Y486" s="1608">
        <v>0</v>
      </c>
      <c r="Z486" s="1608">
        <v>0</v>
      </c>
      <c r="AA486" s="1608">
        <v>0</v>
      </c>
      <c r="AB486" s="1609">
        <v>0</v>
      </c>
      <c r="AC486" s="47"/>
      <c r="AE486" s="10"/>
      <c r="AF486" s="218"/>
      <c r="AG486" s="10"/>
      <c r="AH486" s="10"/>
    </row>
    <row r="487" spans="1:34" s="5" customFormat="1" ht="10.15" hidden="1" customHeight="1" x14ac:dyDescent="0.2">
      <c r="A487" s="10" t="s">
        <v>459</v>
      </c>
      <c r="C487" s="41"/>
      <c r="J487" s="281"/>
      <c r="K487" s="287"/>
      <c r="L487" s="287"/>
      <c r="M487" s="282"/>
      <c r="N487" s="1013" t="s">
        <v>130</v>
      </c>
      <c r="O487" s="307"/>
      <c r="P487" s="307"/>
      <c r="Q487" s="307"/>
      <c r="R487" s="307"/>
      <c r="S487" s="1381" t="s">
        <v>571</v>
      </c>
      <c r="T487" s="1607">
        <v>-0.125</v>
      </c>
      <c r="U487" s="1608">
        <v>-0.125</v>
      </c>
      <c r="V487" s="1608">
        <v>-0.125</v>
      </c>
      <c r="W487" s="1608">
        <v>-0.125</v>
      </c>
      <c r="X487" s="1608">
        <v>-0.25</v>
      </c>
      <c r="Y487" s="1608">
        <v>-0.375</v>
      </c>
      <c r="Z487" s="1608">
        <v>-0.5</v>
      </c>
      <c r="AA487" s="1608">
        <v>-0.75</v>
      </c>
      <c r="AB487" s="1609">
        <v>-1.25</v>
      </c>
      <c r="AC487" s="47"/>
      <c r="AE487" s="10"/>
      <c r="AF487" s="218"/>
      <c r="AG487" s="10"/>
      <c r="AH487" s="10"/>
    </row>
    <row r="488" spans="1:34" s="5" customFormat="1" ht="10.15" hidden="1" customHeight="1" x14ac:dyDescent="0.2">
      <c r="A488" s="10" t="s">
        <v>459</v>
      </c>
      <c r="C488" s="41"/>
      <c r="J488" s="281"/>
      <c r="K488" s="287"/>
      <c r="L488" s="287"/>
      <c r="M488" s="282"/>
      <c r="N488" s="1013" t="s">
        <v>131</v>
      </c>
      <c r="O488" s="307"/>
      <c r="P488" s="307"/>
      <c r="Q488" s="307"/>
      <c r="R488" s="307"/>
      <c r="S488" s="1381" t="s">
        <v>572</v>
      </c>
      <c r="T488" s="1607">
        <v>-0.5</v>
      </c>
      <c r="U488" s="1608">
        <v>-0.5</v>
      </c>
      <c r="V488" s="1608">
        <v>-0.5</v>
      </c>
      <c r="W488" s="1608">
        <v>-0.5</v>
      </c>
      <c r="X488" s="1608">
        <v>-0.75</v>
      </c>
      <c r="Y488" s="1608">
        <v>-0.75</v>
      </c>
      <c r="Z488" s="1608">
        <v>-1</v>
      </c>
      <c r="AA488" s="1608">
        <v>-1.25</v>
      </c>
      <c r="AB488" s="1742" t="e">
        <v>#N/A</v>
      </c>
      <c r="AC488" s="47"/>
      <c r="AE488" s="10"/>
      <c r="AF488" s="218"/>
      <c r="AG488" s="10"/>
      <c r="AH488" s="10"/>
    </row>
    <row r="489" spans="1:34" s="5" customFormat="1" ht="10.15" hidden="1" customHeight="1" x14ac:dyDescent="0.2">
      <c r="A489" s="10" t="s">
        <v>459</v>
      </c>
      <c r="C489" s="41"/>
      <c r="J489" s="281"/>
      <c r="K489" s="287"/>
      <c r="L489" s="287"/>
      <c r="M489" s="282"/>
      <c r="N489" s="1013" t="s">
        <v>1397</v>
      </c>
      <c r="O489" s="307"/>
      <c r="P489" s="307"/>
      <c r="Q489" s="307"/>
      <c r="R489" s="307"/>
      <c r="S489" s="1381" t="s">
        <v>1400</v>
      </c>
      <c r="T489" s="1607">
        <v>-1.5</v>
      </c>
      <c r="U489" s="1608">
        <v>-1.5</v>
      </c>
      <c r="V489" s="1608">
        <v>-1.5</v>
      </c>
      <c r="W489" s="1608">
        <v>-1.5</v>
      </c>
      <c r="X489" s="1608">
        <v>-2.25</v>
      </c>
      <c r="Y489" s="1608">
        <v>-2.25</v>
      </c>
      <c r="Z489" s="1608">
        <v>-2.5</v>
      </c>
      <c r="AA489" s="1608">
        <v>-2.75</v>
      </c>
      <c r="AB489" s="1742" t="e">
        <v>#N/A</v>
      </c>
      <c r="AC489" s="47"/>
      <c r="AE489" s="10"/>
      <c r="AF489" s="218"/>
      <c r="AG489" s="10"/>
      <c r="AH489" s="10"/>
    </row>
    <row r="490" spans="1:34" s="5" customFormat="1" ht="10.15" hidden="1" customHeight="1" x14ac:dyDescent="0.2">
      <c r="A490" s="10" t="s">
        <v>459</v>
      </c>
      <c r="B490" s="10"/>
      <c r="C490" s="41"/>
      <c r="J490" s="281"/>
      <c r="K490" s="287"/>
      <c r="L490" s="287"/>
      <c r="M490" s="282"/>
      <c r="N490" s="990" t="s">
        <v>132</v>
      </c>
      <c r="O490" s="986"/>
      <c r="P490" s="986"/>
      <c r="Q490" s="986"/>
      <c r="R490" s="986"/>
      <c r="S490" s="1375" t="s">
        <v>573</v>
      </c>
      <c r="T490" s="1607">
        <v>-0.25</v>
      </c>
      <c r="U490" s="1608">
        <v>-0.25</v>
      </c>
      <c r="V490" s="1608">
        <v>-0.25</v>
      </c>
      <c r="W490" s="1608">
        <v>-0.25</v>
      </c>
      <c r="X490" s="1608">
        <v>-0.375</v>
      </c>
      <c r="Y490" s="1608">
        <v>-0.375</v>
      </c>
      <c r="Z490" s="1608">
        <v>-0.5</v>
      </c>
      <c r="AA490" s="1608">
        <v>-0.75</v>
      </c>
      <c r="AB490" s="1742" t="e">
        <v>#N/A</v>
      </c>
      <c r="AC490" s="47"/>
      <c r="AE490" s="10"/>
      <c r="AF490" s="218"/>
      <c r="AG490" s="10"/>
      <c r="AH490" s="10"/>
    </row>
    <row r="491" spans="1:34" s="5" customFormat="1" ht="10.15" hidden="1" customHeight="1" x14ac:dyDescent="0.2">
      <c r="A491" s="10" t="s">
        <v>459</v>
      </c>
      <c r="B491" s="10"/>
      <c r="C491" s="41"/>
      <c r="J491" s="281"/>
      <c r="K491" s="287"/>
      <c r="L491" s="287"/>
      <c r="M491" s="282"/>
      <c r="N491" s="990" t="s">
        <v>133</v>
      </c>
      <c r="O491" s="986"/>
      <c r="P491" s="986"/>
      <c r="Q491" s="986"/>
      <c r="R491" s="986"/>
      <c r="S491" s="1375" t="s">
        <v>574</v>
      </c>
      <c r="T491" s="1607">
        <v>-0.25</v>
      </c>
      <c r="U491" s="1608">
        <v>-0.25</v>
      </c>
      <c r="V491" s="1608">
        <v>-0.25</v>
      </c>
      <c r="W491" s="1608">
        <v>-0.25</v>
      </c>
      <c r="X491" s="1608">
        <v>-0.375</v>
      </c>
      <c r="Y491" s="1608">
        <v>-0.375</v>
      </c>
      <c r="Z491" s="1608">
        <v>-0.5</v>
      </c>
      <c r="AA491" s="1608">
        <v>-0.75</v>
      </c>
      <c r="AB491" s="1742" t="e">
        <v>#N/A</v>
      </c>
      <c r="AC491" s="47"/>
      <c r="AE491" s="10"/>
      <c r="AF491" s="218"/>
      <c r="AG491" s="10"/>
      <c r="AH491" s="10"/>
    </row>
    <row r="492" spans="1:34" s="5" customFormat="1" ht="10.15" hidden="1" customHeight="1" x14ac:dyDescent="0.2">
      <c r="A492" s="10" t="s">
        <v>459</v>
      </c>
      <c r="B492" s="10"/>
      <c r="C492" s="41"/>
      <c r="J492" s="281"/>
      <c r="K492" s="287"/>
      <c r="L492" s="287"/>
      <c r="M492" s="282"/>
      <c r="N492" s="990" t="s">
        <v>134</v>
      </c>
      <c r="O492" s="986"/>
      <c r="P492" s="986"/>
      <c r="Q492" s="986"/>
      <c r="R492" s="986"/>
      <c r="S492" s="1375" t="s">
        <v>575</v>
      </c>
      <c r="T492" s="1607">
        <v>-0.25</v>
      </c>
      <c r="U492" s="1608">
        <v>-0.25</v>
      </c>
      <c r="V492" s="1608">
        <v>-0.25</v>
      </c>
      <c r="W492" s="1608">
        <v>-0.25</v>
      </c>
      <c r="X492" s="1608">
        <v>-0.375</v>
      </c>
      <c r="Y492" s="1608">
        <v>-0.375</v>
      </c>
      <c r="Z492" s="1608">
        <v>-0.5</v>
      </c>
      <c r="AA492" s="1608">
        <v>-0.75</v>
      </c>
      <c r="AB492" s="1742" t="e">
        <v>#N/A</v>
      </c>
      <c r="AC492" s="47"/>
      <c r="AE492" s="10"/>
      <c r="AF492" s="218"/>
      <c r="AG492" s="10"/>
      <c r="AH492" s="10"/>
    </row>
    <row r="493" spans="1:34" s="5" customFormat="1" ht="10.15" hidden="1" customHeight="1" x14ac:dyDescent="0.2">
      <c r="A493" s="10" t="s">
        <v>459</v>
      </c>
      <c r="B493" s="10"/>
      <c r="C493" s="41"/>
      <c r="J493" s="281"/>
      <c r="K493" s="287"/>
      <c r="L493" s="287"/>
      <c r="M493" s="282"/>
      <c r="N493" s="990" t="s">
        <v>19</v>
      </c>
      <c r="O493" s="986"/>
      <c r="P493" s="986"/>
      <c r="Q493" s="986"/>
      <c r="R493" s="986"/>
      <c r="S493" s="1375" t="s">
        <v>576</v>
      </c>
      <c r="T493" s="1610">
        <v>-1</v>
      </c>
      <c r="U493" s="1611">
        <v>-1</v>
      </c>
      <c r="V493" s="1611">
        <v>-1</v>
      </c>
      <c r="W493" s="1611">
        <v>-1</v>
      </c>
      <c r="X493" s="1611">
        <v>-1</v>
      </c>
      <c r="Y493" s="1611">
        <v>-1</v>
      </c>
      <c r="Z493" s="1611">
        <v>-1</v>
      </c>
      <c r="AA493" s="1611">
        <v>-1.25</v>
      </c>
      <c r="AB493" s="1612">
        <v>-1.25</v>
      </c>
      <c r="AC493" s="47"/>
      <c r="AE493" s="10"/>
      <c r="AF493" s="218"/>
      <c r="AG493" s="10"/>
      <c r="AH493" s="10"/>
    </row>
    <row r="494" spans="1:34" s="5" customFormat="1" ht="10.15" hidden="1" customHeight="1" x14ac:dyDescent="0.2">
      <c r="A494" s="10" t="s">
        <v>461</v>
      </c>
      <c r="B494" s="10"/>
      <c r="C494" s="41"/>
      <c r="J494" s="283"/>
      <c r="K494" s="284"/>
      <c r="L494" s="284"/>
      <c r="M494" s="285"/>
      <c r="N494" s="1017" t="s">
        <v>129</v>
      </c>
      <c r="O494" s="1047"/>
      <c r="P494" s="1047"/>
      <c r="Q494" s="1047"/>
      <c r="R494" s="1047"/>
      <c r="S494" s="1379" t="s">
        <v>577</v>
      </c>
      <c r="T494" s="1349" t="e">
        <v>#N/A</v>
      </c>
      <c r="U494" s="1201" t="e">
        <v>#N/A</v>
      </c>
      <c r="V494" s="1201" t="e">
        <v>#N/A</v>
      </c>
      <c r="W494" s="1201" t="e">
        <v>#N/A</v>
      </c>
      <c r="X494" s="1356" t="e">
        <v>#N/A</v>
      </c>
      <c r="Y494" s="1356" t="e">
        <v>#N/A</v>
      </c>
      <c r="Z494" s="1201" t="e">
        <v>#N/A</v>
      </c>
      <c r="AA494" s="1201" t="e">
        <v>#N/A</v>
      </c>
      <c r="AB494" s="1350" t="e">
        <v>#N/A</v>
      </c>
      <c r="AC494" s="47"/>
      <c r="AE494" s="10"/>
      <c r="AF494" s="218"/>
      <c r="AG494" s="10"/>
      <c r="AH494" s="10"/>
    </row>
    <row r="495" spans="1:34" s="5" customFormat="1" ht="10.15" hidden="1" customHeight="1" x14ac:dyDescent="0.2">
      <c r="A495" s="10" t="s">
        <v>461</v>
      </c>
      <c r="B495" s="10"/>
      <c r="C495" s="41"/>
      <c r="J495" s="2024" t="s">
        <v>46</v>
      </c>
      <c r="K495" s="2025"/>
      <c r="L495" s="2025"/>
      <c r="M495" s="2026"/>
      <c r="N495" s="1015" t="s">
        <v>216</v>
      </c>
      <c r="O495" s="1031"/>
      <c r="P495" s="1031"/>
      <c r="Q495" s="1031"/>
      <c r="R495" s="1031"/>
      <c r="S495" s="1378" t="s">
        <v>578</v>
      </c>
      <c r="T495" s="1704">
        <v>0</v>
      </c>
      <c r="U495" s="1705">
        <v>0</v>
      </c>
      <c r="V495" s="1705">
        <v>0</v>
      </c>
      <c r="W495" s="1705">
        <v>0</v>
      </c>
      <c r="X495" s="1705">
        <v>0</v>
      </c>
      <c r="Y495" s="1705">
        <v>0</v>
      </c>
      <c r="Z495" s="1705">
        <v>0</v>
      </c>
      <c r="AA495" s="1705">
        <v>0</v>
      </c>
      <c r="AB495" s="1706">
        <v>0</v>
      </c>
      <c r="AC495" s="47"/>
      <c r="AE495" s="10"/>
      <c r="AF495" s="218"/>
      <c r="AG495" s="10"/>
      <c r="AH495" s="10"/>
    </row>
    <row r="496" spans="1:34" s="5" customFormat="1" ht="10.15" hidden="1" customHeight="1" x14ac:dyDescent="0.2">
      <c r="A496" s="10" t="s">
        <v>461</v>
      </c>
      <c r="B496" s="10"/>
      <c r="C496" s="41"/>
      <c r="J496" s="2145"/>
      <c r="K496" s="2146"/>
      <c r="L496" s="2146"/>
      <c r="M496" s="2147"/>
      <c r="N496" s="1018" t="s">
        <v>214</v>
      </c>
      <c r="O496" s="989"/>
      <c r="P496" s="989"/>
      <c r="Q496" s="989"/>
      <c r="R496" s="989"/>
      <c r="S496" s="1382" t="s">
        <v>579</v>
      </c>
      <c r="T496" s="1707">
        <v>0</v>
      </c>
      <c r="U496" s="1694">
        <v>0</v>
      </c>
      <c r="V496" s="1694">
        <v>0</v>
      </c>
      <c r="W496" s="1694">
        <v>0</v>
      </c>
      <c r="X496" s="1694">
        <v>0</v>
      </c>
      <c r="Y496" s="1694">
        <v>0</v>
      </c>
      <c r="Z496" s="1694">
        <v>0</v>
      </c>
      <c r="AA496" s="1694">
        <v>0</v>
      </c>
      <c r="AB496" s="1708">
        <v>0</v>
      </c>
      <c r="AC496" s="47"/>
      <c r="AE496" s="10"/>
      <c r="AF496" s="218"/>
      <c r="AG496" s="10"/>
      <c r="AH496" s="10"/>
    </row>
    <row r="497" spans="1:34" s="5" customFormat="1" ht="10.15" hidden="1" customHeight="1" x14ac:dyDescent="0.2">
      <c r="A497" s="10" t="s">
        <v>461</v>
      </c>
      <c r="B497" s="10"/>
      <c r="C497" s="41"/>
      <c r="J497" s="2145"/>
      <c r="K497" s="2146"/>
      <c r="L497" s="2146"/>
      <c r="M497" s="2147"/>
      <c r="N497" s="1018" t="s">
        <v>236</v>
      </c>
      <c r="O497" s="989"/>
      <c r="P497" s="989"/>
      <c r="Q497" s="989"/>
      <c r="R497" s="989"/>
      <c r="S497" s="1382" t="s">
        <v>580</v>
      </c>
      <c r="T497" s="1707">
        <v>0</v>
      </c>
      <c r="U497" s="1694">
        <v>0</v>
      </c>
      <c r="V497" s="1694">
        <v>0</v>
      </c>
      <c r="W497" s="1694">
        <v>0</v>
      </c>
      <c r="X497" s="1694">
        <v>0</v>
      </c>
      <c r="Y497" s="1694">
        <v>0</v>
      </c>
      <c r="Z497" s="1694">
        <v>0</v>
      </c>
      <c r="AA497" s="1694">
        <v>0</v>
      </c>
      <c r="AB497" s="1708">
        <v>0</v>
      </c>
      <c r="AC497" s="47"/>
      <c r="AE497" s="10"/>
      <c r="AF497" s="218"/>
      <c r="AG497" s="10"/>
      <c r="AH497" s="10"/>
    </row>
    <row r="498" spans="1:34" s="5" customFormat="1" ht="10.15" hidden="1" customHeight="1" x14ac:dyDescent="0.2">
      <c r="A498" s="10" t="s">
        <v>461</v>
      </c>
      <c r="B498" s="10"/>
      <c r="C498" s="41"/>
      <c r="J498" s="2027"/>
      <c r="K498" s="2028"/>
      <c r="L498" s="2028"/>
      <c r="M498" s="2029"/>
      <c r="N498" s="1019" t="s">
        <v>45</v>
      </c>
      <c r="O498" s="1032"/>
      <c r="P498" s="1032"/>
      <c r="Q498" s="1032"/>
      <c r="R498" s="1032"/>
      <c r="S498" s="1383" t="s">
        <v>581</v>
      </c>
      <c r="T498" s="1357" t="e">
        <v>#N/A</v>
      </c>
      <c r="U498" s="1356" t="e">
        <v>#N/A</v>
      </c>
      <c r="V498" s="1356" t="e">
        <v>#N/A</v>
      </c>
      <c r="W498" s="1356" t="e">
        <v>#N/A</v>
      </c>
      <c r="X498" s="1356" t="e">
        <v>#N/A</v>
      </c>
      <c r="Y498" s="1356" t="e">
        <v>#N/A</v>
      </c>
      <c r="Z498" s="1356" t="e">
        <v>#N/A</v>
      </c>
      <c r="AA498" s="1356" t="e">
        <v>#N/A</v>
      </c>
      <c r="AB498" s="1350" t="e">
        <v>#N/A</v>
      </c>
      <c r="AC498" s="47"/>
      <c r="AE498" s="10"/>
      <c r="AF498" s="218"/>
      <c r="AG498" s="10"/>
      <c r="AH498" s="10"/>
    </row>
    <row r="499" spans="1:34" s="5" customFormat="1" ht="10.15" hidden="1" customHeight="1" x14ac:dyDescent="0.2">
      <c r="A499" s="10" t="s">
        <v>461</v>
      </c>
      <c r="B499" s="10"/>
      <c r="C499" s="41"/>
      <c r="J499" s="2024" t="s">
        <v>1434</v>
      </c>
      <c r="K499" s="2025"/>
      <c r="L499" s="2025"/>
      <c r="M499" s="2026"/>
      <c r="N499" s="1031" t="s">
        <v>1811</v>
      </c>
      <c r="O499" s="1031"/>
      <c r="P499" s="1031"/>
      <c r="Q499" s="1031"/>
      <c r="R499" s="1031"/>
      <c r="S499" s="1378" t="s">
        <v>2403</v>
      </c>
      <c r="T499" s="1696">
        <v>0</v>
      </c>
      <c r="U499" s="1697">
        <v>0</v>
      </c>
      <c r="V499" s="1697">
        <v>0</v>
      </c>
      <c r="W499" s="1697">
        <v>0</v>
      </c>
      <c r="X499" s="1697">
        <v>0</v>
      </c>
      <c r="Y499" s="1697">
        <v>0</v>
      </c>
      <c r="Z499" s="1719">
        <v>0</v>
      </c>
      <c r="AA499" s="1719">
        <v>0</v>
      </c>
      <c r="AB499" s="1720">
        <v>0</v>
      </c>
      <c r="AC499" s="47"/>
      <c r="AE499" s="10"/>
      <c r="AF499" s="218"/>
      <c r="AG499" s="10"/>
      <c r="AH499" s="10"/>
    </row>
    <row r="500" spans="1:34" s="5" customFormat="1" ht="10.15" hidden="1" customHeight="1" x14ac:dyDescent="0.2">
      <c r="A500" s="10" t="s">
        <v>461</v>
      </c>
      <c r="B500" s="10"/>
      <c r="C500" s="41"/>
      <c r="J500" s="2145"/>
      <c r="K500" s="2146"/>
      <c r="L500" s="2146"/>
      <c r="M500" s="2147"/>
      <c r="N500" s="989" t="s">
        <v>1435</v>
      </c>
      <c r="O500" s="989"/>
      <c r="P500" s="989"/>
      <c r="Q500" s="989"/>
      <c r="R500" s="989"/>
      <c r="S500" s="1382" t="s">
        <v>2404</v>
      </c>
      <c r="T500" s="1699">
        <v>0</v>
      </c>
      <c r="U500" s="1700">
        <v>0</v>
      </c>
      <c r="V500" s="1700">
        <v>0</v>
      </c>
      <c r="W500" s="1700">
        <v>0</v>
      </c>
      <c r="X500" s="1700">
        <v>0</v>
      </c>
      <c r="Y500" s="1700">
        <v>0</v>
      </c>
      <c r="Z500" s="1721">
        <v>0</v>
      </c>
      <c r="AA500" s="1721">
        <v>0</v>
      </c>
      <c r="AB500" s="1722">
        <v>0</v>
      </c>
      <c r="AC500" s="47"/>
      <c r="AE500" s="10"/>
      <c r="AF500" s="218"/>
      <c r="AG500" s="10"/>
      <c r="AH500" s="10"/>
    </row>
    <row r="501" spans="1:34" s="5" customFormat="1" ht="10.15" hidden="1" customHeight="1" x14ac:dyDescent="0.2">
      <c r="A501" s="10" t="s">
        <v>461</v>
      </c>
      <c r="B501" s="10"/>
      <c r="C501" s="41"/>
      <c r="J501" s="2145"/>
      <c r="K501" s="2146"/>
      <c r="L501" s="2146"/>
      <c r="M501" s="2147"/>
      <c r="N501" s="989" t="s">
        <v>2409</v>
      </c>
      <c r="O501" s="989"/>
      <c r="P501" s="989"/>
      <c r="Q501" s="989"/>
      <c r="R501" s="989"/>
      <c r="S501" s="1382" t="s">
        <v>2411</v>
      </c>
      <c r="T501" s="1897" t="e">
        <v>#N/A</v>
      </c>
      <c r="U501" s="1898" t="e">
        <v>#N/A</v>
      </c>
      <c r="V501" s="1898" t="e">
        <v>#N/A</v>
      </c>
      <c r="W501" s="1898" t="e">
        <v>#N/A</v>
      </c>
      <c r="X501" s="1898" t="e">
        <v>#N/A</v>
      </c>
      <c r="Y501" s="1898" t="e">
        <v>#N/A</v>
      </c>
      <c r="Z501" s="1899" t="e">
        <v>#N/A</v>
      </c>
      <c r="AA501" s="1899" t="e">
        <v>#N/A</v>
      </c>
      <c r="AB501" s="1900" t="e">
        <v>#N/A</v>
      </c>
      <c r="AC501" s="47"/>
      <c r="AE501" s="10"/>
      <c r="AF501" s="218"/>
      <c r="AG501" s="10"/>
      <c r="AH501" s="10"/>
    </row>
    <row r="502" spans="1:34" s="5" customFormat="1" ht="10.15" hidden="1" customHeight="1" x14ac:dyDescent="0.2">
      <c r="A502" s="10" t="s">
        <v>461</v>
      </c>
      <c r="B502" s="10"/>
      <c r="C502" s="41"/>
      <c r="J502" s="2145"/>
      <c r="K502" s="2146"/>
      <c r="L502" s="2146"/>
      <c r="M502" s="2147"/>
      <c r="N502" s="989" t="s">
        <v>2414</v>
      </c>
      <c r="O502" s="989"/>
      <c r="P502" s="989"/>
      <c r="Q502" s="989"/>
      <c r="R502" s="989"/>
      <c r="S502" s="1382" t="s">
        <v>2419</v>
      </c>
      <c r="T502" s="1897" t="e">
        <v>#N/A</v>
      </c>
      <c r="U502" s="1898" t="e">
        <v>#N/A</v>
      </c>
      <c r="V502" s="1898" t="e">
        <v>#N/A</v>
      </c>
      <c r="W502" s="1898" t="e">
        <v>#N/A</v>
      </c>
      <c r="X502" s="1898" t="e">
        <v>#N/A</v>
      </c>
      <c r="Y502" s="1898" t="e">
        <v>#N/A</v>
      </c>
      <c r="Z502" s="1899" t="e">
        <v>#N/A</v>
      </c>
      <c r="AA502" s="1899" t="e">
        <v>#N/A</v>
      </c>
      <c r="AB502" s="1900" t="e">
        <v>#N/A</v>
      </c>
      <c r="AC502" s="47"/>
      <c r="AE502" s="10"/>
      <c r="AF502" s="218"/>
      <c r="AG502" s="10"/>
      <c r="AH502" s="10"/>
    </row>
    <row r="503" spans="1:34" s="5" customFormat="1" ht="10.15" hidden="1" customHeight="1" x14ac:dyDescent="0.2">
      <c r="A503" s="10" t="s">
        <v>461</v>
      </c>
      <c r="B503" s="10"/>
      <c r="C503" s="41"/>
      <c r="J503" s="2145"/>
      <c r="K503" s="2146"/>
      <c r="L503" s="2146"/>
      <c r="M503" s="2147"/>
      <c r="N503" s="1890" t="s">
        <v>1860</v>
      </c>
      <c r="O503" s="1890"/>
      <c r="P503" s="1890"/>
      <c r="Q503" s="1890"/>
      <c r="R503" s="1890"/>
      <c r="S503" s="1891" t="s">
        <v>2405</v>
      </c>
      <c r="T503" s="1892">
        <v>0</v>
      </c>
      <c r="U503" s="1893">
        <v>0</v>
      </c>
      <c r="V503" s="1893">
        <v>0</v>
      </c>
      <c r="W503" s="1893">
        <v>0</v>
      </c>
      <c r="X503" s="1893">
        <v>0</v>
      </c>
      <c r="Y503" s="1893">
        <v>0</v>
      </c>
      <c r="Z503" s="1894">
        <v>0</v>
      </c>
      <c r="AA503" s="1894">
        <v>0</v>
      </c>
      <c r="AB503" s="1655">
        <v>0</v>
      </c>
      <c r="AC503" s="47"/>
      <c r="AE503" s="10"/>
      <c r="AF503" s="218"/>
      <c r="AG503" s="10"/>
      <c r="AH503" s="10"/>
    </row>
    <row r="504" spans="1:34" s="5" customFormat="1" ht="10.15" hidden="1" customHeight="1" x14ac:dyDescent="0.2">
      <c r="A504" s="10" t="s">
        <v>461</v>
      </c>
      <c r="B504" s="10"/>
      <c r="C504" s="41"/>
      <c r="J504" s="1870" t="s">
        <v>2399</v>
      </c>
      <c r="K504" s="1871"/>
      <c r="L504" s="1871"/>
      <c r="M504" s="1872"/>
      <c r="N504" s="1895" t="s">
        <v>2422</v>
      </c>
      <c r="O504" s="1895"/>
      <c r="P504" s="1895"/>
      <c r="Q504" s="1895"/>
      <c r="R504" s="1895"/>
      <c r="S504" s="1896" t="s">
        <v>2449</v>
      </c>
      <c r="T504" s="1696">
        <v>0</v>
      </c>
      <c r="U504" s="1697">
        <v>0</v>
      </c>
      <c r="V504" s="1697">
        <v>0</v>
      </c>
      <c r="W504" s="1697">
        <v>0</v>
      </c>
      <c r="X504" s="1697">
        <v>0</v>
      </c>
      <c r="Y504" s="1697">
        <v>0</v>
      </c>
      <c r="Z504" s="1719">
        <v>0</v>
      </c>
      <c r="AA504" s="1719">
        <v>0</v>
      </c>
      <c r="AB504" s="1720">
        <v>0</v>
      </c>
      <c r="AC504" s="47"/>
      <c r="AE504" s="10"/>
      <c r="AF504" s="218"/>
      <c r="AG504" s="10"/>
      <c r="AH504" s="10"/>
    </row>
    <row r="505" spans="1:34" s="5" customFormat="1" ht="10.15" hidden="1" customHeight="1" x14ac:dyDescent="0.2">
      <c r="A505" s="10" t="s">
        <v>461</v>
      </c>
      <c r="B505" s="10"/>
      <c r="C505" s="41"/>
      <c r="J505" s="1873"/>
      <c r="K505" s="1888"/>
      <c r="L505" s="1888"/>
      <c r="M505" s="1874"/>
      <c r="N505" s="1889" t="s">
        <v>2431</v>
      </c>
      <c r="O505" s="1889"/>
      <c r="P505" s="1889"/>
      <c r="Q505" s="1889"/>
      <c r="R505" s="1889"/>
      <c r="S505" s="1386" t="s">
        <v>2450</v>
      </c>
      <c r="T505" s="1699">
        <v>0</v>
      </c>
      <c r="U505" s="1700">
        <v>0</v>
      </c>
      <c r="V505" s="1700">
        <v>0</v>
      </c>
      <c r="W505" s="1700">
        <v>0</v>
      </c>
      <c r="X505" s="1700">
        <v>0</v>
      </c>
      <c r="Y505" s="1700">
        <v>0</v>
      </c>
      <c r="Z505" s="1721">
        <v>0</v>
      </c>
      <c r="AA505" s="1721">
        <v>0</v>
      </c>
      <c r="AB505" s="1722">
        <v>0</v>
      </c>
      <c r="AC505" s="47"/>
      <c r="AE505" s="10"/>
      <c r="AF505" s="218"/>
      <c r="AG505" s="10"/>
      <c r="AH505" s="10"/>
    </row>
    <row r="506" spans="1:34" s="5" customFormat="1" ht="10.15" hidden="1" customHeight="1" x14ac:dyDescent="0.2">
      <c r="A506" s="10" t="s">
        <v>461</v>
      </c>
      <c r="B506" s="10"/>
      <c r="C506" s="41"/>
      <c r="J506" s="1873"/>
      <c r="K506" s="1888"/>
      <c r="L506" s="1888"/>
      <c r="M506" s="1874"/>
      <c r="N506" s="1889" t="s">
        <v>2423</v>
      </c>
      <c r="O506" s="1889"/>
      <c r="P506" s="1889"/>
      <c r="Q506" s="1889"/>
      <c r="R506" s="1889"/>
      <c r="S506" s="1382" t="s">
        <v>2451</v>
      </c>
      <c r="T506" s="1699">
        <v>0</v>
      </c>
      <c r="U506" s="1700">
        <v>0</v>
      </c>
      <c r="V506" s="1700">
        <v>0</v>
      </c>
      <c r="W506" s="1700">
        <v>0</v>
      </c>
      <c r="X506" s="1700">
        <v>0</v>
      </c>
      <c r="Y506" s="1700">
        <v>0</v>
      </c>
      <c r="Z506" s="1721">
        <v>0</v>
      </c>
      <c r="AA506" s="1721">
        <v>0</v>
      </c>
      <c r="AB506" s="1722">
        <v>0</v>
      </c>
      <c r="AC506" s="47"/>
      <c r="AE506" s="10"/>
      <c r="AF506" s="218"/>
      <c r="AG506" s="10"/>
      <c r="AH506" s="10"/>
    </row>
    <row r="507" spans="1:34" s="5" customFormat="1" ht="10.15" hidden="1" customHeight="1" x14ac:dyDescent="0.2">
      <c r="A507" s="10" t="s">
        <v>461</v>
      </c>
      <c r="B507" s="10"/>
      <c r="C507" s="41"/>
      <c r="J507" s="1873"/>
      <c r="K507" s="1888"/>
      <c r="L507" s="1888"/>
      <c r="M507" s="1874"/>
      <c r="N507" s="1889" t="s">
        <v>2425</v>
      </c>
      <c r="O507" s="1889"/>
      <c r="P507" s="1889"/>
      <c r="Q507" s="1889"/>
      <c r="R507" s="1889"/>
      <c r="S507" s="1382" t="s">
        <v>2452</v>
      </c>
      <c r="T507" s="1699">
        <v>0</v>
      </c>
      <c r="U507" s="1700">
        <v>0</v>
      </c>
      <c r="V507" s="1700">
        <v>0</v>
      </c>
      <c r="W507" s="1700">
        <v>0</v>
      </c>
      <c r="X507" s="1700">
        <v>0</v>
      </c>
      <c r="Y507" s="1700">
        <v>0</v>
      </c>
      <c r="Z507" s="1721">
        <v>0</v>
      </c>
      <c r="AA507" s="1721">
        <v>0</v>
      </c>
      <c r="AB507" s="1722">
        <v>0</v>
      </c>
      <c r="AC507" s="47"/>
      <c r="AE507" s="10"/>
      <c r="AF507" s="218"/>
      <c r="AG507" s="10"/>
      <c r="AH507" s="10"/>
    </row>
    <row r="508" spans="1:34" s="5" customFormat="1" ht="10.15" hidden="1" customHeight="1" x14ac:dyDescent="0.2">
      <c r="A508" s="10" t="s">
        <v>461</v>
      </c>
      <c r="B508" s="10"/>
      <c r="C508" s="41"/>
      <c r="J508" s="1873"/>
      <c r="K508" s="1888"/>
      <c r="L508" s="1888"/>
      <c r="M508" s="1874"/>
      <c r="N508" s="1889" t="s">
        <v>2427</v>
      </c>
      <c r="O508" s="1889"/>
      <c r="P508" s="1889"/>
      <c r="Q508" s="1889"/>
      <c r="R508" s="1889"/>
      <c r="S508" s="1382" t="s">
        <v>2453</v>
      </c>
      <c r="T508" s="1897" t="e">
        <v>#N/A</v>
      </c>
      <c r="U508" s="1898" t="e">
        <v>#N/A</v>
      </c>
      <c r="V508" s="1898" t="e">
        <v>#N/A</v>
      </c>
      <c r="W508" s="1898" t="e">
        <v>#N/A</v>
      </c>
      <c r="X508" s="1898" t="e">
        <v>#N/A</v>
      </c>
      <c r="Y508" s="1898" t="e">
        <v>#N/A</v>
      </c>
      <c r="Z508" s="1899" t="e">
        <v>#N/A</v>
      </c>
      <c r="AA508" s="1899" t="e">
        <v>#N/A</v>
      </c>
      <c r="AB508" s="1900" t="e">
        <v>#N/A</v>
      </c>
      <c r="AC508" s="47"/>
      <c r="AE508" s="10"/>
      <c r="AF508" s="218"/>
      <c r="AG508" s="10"/>
      <c r="AH508" s="10"/>
    </row>
    <row r="509" spans="1:34" s="5" customFormat="1" ht="10.15" hidden="1" customHeight="1" x14ac:dyDescent="0.2">
      <c r="A509" s="10" t="s">
        <v>461</v>
      </c>
      <c r="B509" s="10"/>
      <c r="C509" s="41"/>
      <c r="J509" s="1873"/>
      <c r="K509" s="1888"/>
      <c r="L509" s="1888"/>
      <c r="M509" s="1874"/>
      <c r="N509" s="1889" t="s">
        <v>2429</v>
      </c>
      <c r="O509" s="1889"/>
      <c r="P509" s="1889"/>
      <c r="Q509" s="1889"/>
      <c r="R509" s="1889"/>
      <c r="S509" s="1822" t="s">
        <v>2454</v>
      </c>
      <c r="T509" s="1901" t="e">
        <v>#N/A</v>
      </c>
      <c r="U509" s="1902" t="e">
        <v>#N/A</v>
      </c>
      <c r="V509" s="1902" t="e">
        <v>#N/A</v>
      </c>
      <c r="W509" s="1902" t="e">
        <v>#N/A</v>
      </c>
      <c r="X509" s="1902" t="e">
        <v>#N/A</v>
      </c>
      <c r="Y509" s="1902" t="e">
        <v>#N/A</v>
      </c>
      <c r="Z509" s="1903" t="e">
        <v>#N/A</v>
      </c>
      <c r="AA509" s="1903" t="e">
        <v>#N/A</v>
      </c>
      <c r="AB509" s="1900" t="e">
        <v>#N/A</v>
      </c>
      <c r="AC509" s="47"/>
      <c r="AE509" s="10"/>
      <c r="AF509" s="218"/>
      <c r="AG509" s="10"/>
      <c r="AH509" s="10"/>
    </row>
    <row r="510" spans="1:34" s="5" customFormat="1" ht="10.15" hidden="1" customHeight="1" x14ac:dyDescent="0.2">
      <c r="A510" s="10" t="s">
        <v>461</v>
      </c>
      <c r="B510" s="10"/>
      <c r="C510" s="41"/>
      <c r="J510" s="212" t="s">
        <v>44</v>
      </c>
      <c r="K510" s="213"/>
      <c r="L510" s="213"/>
      <c r="M510" s="214"/>
      <c r="N510" s="1015" t="s">
        <v>283</v>
      </c>
      <c r="O510" s="1031"/>
      <c r="P510" s="1031"/>
      <c r="Q510" s="1031"/>
      <c r="R510" s="1031"/>
      <c r="S510" s="1378" t="s">
        <v>582</v>
      </c>
      <c r="T510" s="1704">
        <v>0</v>
      </c>
      <c r="U510" s="1705">
        <v>0</v>
      </c>
      <c r="V510" s="1705">
        <v>0</v>
      </c>
      <c r="W510" s="1705">
        <v>0</v>
      </c>
      <c r="X510" s="1705">
        <v>0</v>
      </c>
      <c r="Y510" s="1705">
        <v>0</v>
      </c>
      <c r="Z510" s="1705">
        <v>0</v>
      </c>
      <c r="AA510" s="1705">
        <v>0</v>
      </c>
      <c r="AB510" s="1706">
        <v>0</v>
      </c>
      <c r="AC510" s="47"/>
      <c r="AE510" s="10"/>
      <c r="AF510" s="218"/>
      <c r="AG510" s="10"/>
      <c r="AH510" s="10"/>
    </row>
    <row r="511" spans="1:34" s="5" customFormat="1" ht="10.15" hidden="1" customHeight="1" x14ac:dyDescent="0.2">
      <c r="A511" s="10" t="s">
        <v>461</v>
      </c>
      <c r="B511" s="10"/>
      <c r="C511" s="41"/>
      <c r="J511" s="215"/>
      <c r="K511" s="216"/>
      <c r="L511" s="216"/>
      <c r="M511" s="217"/>
      <c r="N511" s="1018" t="s">
        <v>124</v>
      </c>
      <c r="O511" s="989"/>
      <c r="P511" s="989"/>
      <c r="Q511" s="989"/>
      <c r="R511" s="989"/>
      <c r="S511" s="1384" t="s">
        <v>583</v>
      </c>
      <c r="T511" s="1707">
        <v>0</v>
      </c>
      <c r="U511" s="1694">
        <v>0</v>
      </c>
      <c r="V511" s="1694">
        <v>0</v>
      </c>
      <c r="W511" s="1694">
        <v>0</v>
      </c>
      <c r="X511" s="1694">
        <v>0</v>
      </c>
      <c r="Y511" s="1694">
        <v>0</v>
      </c>
      <c r="Z511" s="1694">
        <v>0</v>
      </c>
      <c r="AA511" s="1694">
        <v>0</v>
      </c>
      <c r="AB511" s="1708">
        <v>0</v>
      </c>
      <c r="AC511" s="47"/>
      <c r="AE511" s="10"/>
      <c r="AF511" s="218"/>
      <c r="AG511" s="10"/>
      <c r="AH511" s="10"/>
    </row>
    <row r="512" spans="1:34" s="5" customFormat="1" ht="10.15" hidden="1" customHeight="1" x14ac:dyDescent="0.2">
      <c r="A512" s="10" t="s">
        <v>459</v>
      </c>
      <c r="B512" s="10"/>
      <c r="C512" s="41"/>
      <c r="J512" s="215"/>
      <c r="K512" s="216"/>
      <c r="L512" s="216"/>
      <c r="M512" s="217"/>
      <c r="N512" s="1018" t="s">
        <v>18</v>
      </c>
      <c r="O512" s="989"/>
      <c r="P512" s="989"/>
      <c r="Q512" s="989"/>
      <c r="R512" s="989"/>
      <c r="S512" s="1384" t="s">
        <v>584</v>
      </c>
      <c r="T512" s="1607">
        <v>-0.75</v>
      </c>
      <c r="U512" s="1608">
        <v>-0.75</v>
      </c>
      <c r="V512" s="1608">
        <v>-0.75</v>
      </c>
      <c r="W512" s="1608">
        <v>-0.75</v>
      </c>
      <c r="X512" s="1608">
        <v>-0.75</v>
      </c>
      <c r="Y512" s="1608">
        <v>-0.75</v>
      </c>
      <c r="Z512" s="1608">
        <v>-0.75</v>
      </c>
      <c r="AA512" s="1608">
        <v>-0.75</v>
      </c>
      <c r="AB512" s="1609">
        <v>-1.25</v>
      </c>
      <c r="AC512" s="47"/>
      <c r="AE512" s="10"/>
      <c r="AF512" s="218"/>
      <c r="AG512" s="10"/>
      <c r="AH512" s="10"/>
    </row>
    <row r="513" spans="1:34" s="5" customFormat="1" ht="10.15" hidden="1" customHeight="1" x14ac:dyDescent="0.2">
      <c r="A513" s="10" t="s">
        <v>459</v>
      </c>
      <c r="B513" s="10"/>
      <c r="C513" s="41"/>
      <c r="J513" s="215"/>
      <c r="K513" s="216"/>
      <c r="L513" s="216"/>
      <c r="M513" s="217"/>
      <c r="N513" s="1013" t="s">
        <v>237</v>
      </c>
      <c r="O513" s="307"/>
      <c r="P513" s="307"/>
      <c r="Q513" s="307"/>
      <c r="R513" s="307"/>
      <c r="S513" s="1386" t="s">
        <v>585</v>
      </c>
      <c r="T513" s="1607">
        <v>-2.25</v>
      </c>
      <c r="U513" s="1608">
        <v>-2.25</v>
      </c>
      <c r="V513" s="1608">
        <v>-2.25</v>
      </c>
      <c r="W513" s="1608">
        <v>-2.25</v>
      </c>
      <c r="X513" s="1608">
        <v>-2.25</v>
      </c>
      <c r="Y513" s="1608">
        <v>-2.25</v>
      </c>
      <c r="Z513" s="1608">
        <v>-2.5</v>
      </c>
      <c r="AA513" s="1608">
        <v>-3</v>
      </c>
      <c r="AB513" s="1742" t="e">
        <v>#N/A</v>
      </c>
      <c r="AC513" s="47"/>
      <c r="AE513" s="10"/>
      <c r="AF513" s="218"/>
      <c r="AG513" s="10"/>
      <c r="AH513" s="10"/>
    </row>
    <row r="514" spans="1:34" s="5" customFormat="1" ht="10.15" hidden="1" customHeight="1" x14ac:dyDescent="0.2">
      <c r="A514" s="10" t="s">
        <v>459</v>
      </c>
      <c r="B514" s="10"/>
      <c r="C514" s="41"/>
      <c r="J514" s="215"/>
      <c r="K514" s="216"/>
      <c r="L514" s="216"/>
      <c r="M514" s="217"/>
      <c r="N514" s="1013" t="s">
        <v>151</v>
      </c>
      <c r="O514" s="307"/>
      <c r="P514" s="307"/>
      <c r="Q514" s="307"/>
      <c r="R514" s="307"/>
      <c r="S514" s="1387" t="s">
        <v>586</v>
      </c>
      <c r="T514" s="1607">
        <v>-5</v>
      </c>
      <c r="U514" s="1608">
        <v>-5</v>
      </c>
      <c r="V514" s="1608">
        <v>-5</v>
      </c>
      <c r="W514" s="1608">
        <v>-5</v>
      </c>
      <c r="X514" s="1608">
        <v>-5</v>
      </c>
      <c r="Y514" s="1745" t="e">
        <v>#N/A</v>
      </c>
      <c r="Z514" s="1745" t="e">
        <v>#N/A</v>
      </c>
      <c r="AA514" s="1745" t="e">
        <v>#N/A</v>
      </c>
      <c r="AB514" s="1742" t="e">
        <v>#N/A</v>
      </c>
      <c r="AC514" s="47"/>
      <c r="AE514" s="10"/>
      <c r="AF514" s="218"/>
      <c r="AG514" s="10"/>
      <c r="AH514" s="10"/>
    </row>
    <row r="515" spans="1:34" s="5" customFormat="1" ht="10.15" hidden="1" customHeight="1" x14ac:dyDescent="0.2">
      <c r="A515" s="10" t="s">
        <v>459</v>
      </c>
      <c r="B515" s="10"/>
      <c r="C515" s="41"/>
      <c r="J515" s="262"/>
      <c r="K515" s="263"/>
      <c r="L515" s="263"/>
      <c r="M515" s="264"/>
      <c r="N515" s="1014" t="s">
        <v>2021</v>
      </c>
      <c r="O515" s="987"/>
      <c r="P515" s="987"/>
      <c r="Q515" s="987"/>
      <c r="R515" s="987"/>
      <c r="S515" s="1602" t="s">
        <v>2023</v>
      </c>
      <c r="T515" s="1610">
        <v>-5</v>
      </c>
      <c r="U515" s="1611">
        <v>-5</v>
      </c>
      <c r="V515" s="1611">
        <v>-5</v>
      </c>
      <c r="W515" s="1611">
        <v>-5</v>
      </c>
      <c r="X515" s="1611">
        <v>-5</v>
      </c>
      <c r="Y515" s="1743" t="e">
        <v>#N/A</v>
      </c>
      <c r="Z515" s="1743" t="e">
        <v>#N/A</v>
      </c>
      <c r="AA515" s="1743" t="e">
        <v>#N/A</v>
      </c>
      <c r="AB515" s="1744" t="e">
        <v>#N/A</v>
      </c>
      <c r="AC515" s="47"/>
      <c r="AE515" s="10"/>
      <c r="AF515" s="218"/>
      <c r="AG515" s="10"/>
      <c r="AH515" s="10"/>
    </row>
    <row r="516" spans="1:34" s="5" customFormat="1" ht="10.15" hidden="1" customHeight="1" x14ac:dyDescent="0.2">
      <c r="A516" s="10" t="s">
        <v>459</v>
      </c>
      <c r="B516" s="10"/>
      <c r="C516" s="41"/>
      <c r="J516" s="215" t="s">
        <v>43</v>
      </c>
      <c r="K516" s="216"/>
      <c r="L516" s="1200"/>
      <c r="M516" s="217"/>
      <c r="N516" s="1015" t="s">
        <v>1827</v>
      </c>
      <c r="O516" s="1031"/>
      <c r="P516" s="1031"/>
      <c r="Q516" s="1031"/>
      <c r="R516" s="1031"/>
      <c r="S516" s="1386" t="s">
        <v>1833</v>
      </c>
      <c r="T516" s="1604">
        <v>0</v>
      </c>
      <c r="U516" s="1605">
        <v>0</v>
      </c>
      <c r="V516" s="1605">
        <v>0</v>
      </c>
      <c r="W516" s="1605">
        <v>0</v>
      </c>
      <c r="X516" s="1605">
        <v>0</v>
      </c>
      <c r="Y516" s="1605">
        <v>0</v>
      </c>
      <c r="Z516" s="1605">
        <v>0</v>
      </c>
      <c r="AA516" s="1605">
        <v>0</v>
      </c>
      <c r="AB516" s="1606">
        <v>0</v>
      </c>
      <c r="AC516" s="47"/>
      <c r="AE516" s="10"/>
      <c r="AF516" s="218"/>
      <c r="AG516" s="10"/>
      <c r="AH516" s="10"/>
    </row>
    <row r="517" spans="1:34" s="5" customFormat="1" ht="10.15" hidden="1" customHeight="1" x14ac:dyDescent="0.2">
      <c r="A517" s="10" t="s">
        <v>459</v>
      </c>
      <c r="C517" s="41"/>
      <c r="J517" s="215"/>
      <c r="K517" s="216"/>
      <c r="L517" s="1200"/>
      <c r="M517" s="217"/>
      <c r="N517" s="1013" t="s">
        <v>1828</v>
      </c>
      <c r="O517" s="307"/>
      <c r="P517" s="307"/>
      <c r="Q517" s="307"/>
      <c r="R517" s="307"/>
      <c r="S517" s="1386" t="s">
        <v>2277</v>
      </c>
      <c r="T517" s="1607">
        <v>-1</v>
      </c>
      <c r="U517" s="1608">
        <v>-1</v>
      </c>
      <c r="V517" s="1608">
        <v>-1</v>
      </c>
      <c r="W517" s="1608">
        <v>-1</v>
      </c>
      <c r="X517" s="1608">
        <v>-1</v>
      </c>
      <c r="Y517" s="1608">
        <v>-1</v>
      </c>
      <c r="Z517" s="1608">
        <v>-1</v>
      </c>
      <c r="AA517" s="1608">
        <v>-1</v>
      </c>
      <c r="AB517" s="1609">
        <v>-1</v>
      </c>
      <c r="AC517" s="47"/>
      <c r="AE517" s="10"/>
      <c r="AF517" s="218"/>
      <c r="AG517" s="10"/>
      <c r="AH517" s="10"/>
    </row>
    <row r="518" spans="1:34" s="5" customFormat="1" ht="10.15" hidden="1" customHeight="1" x14ac:dyDescent="0.2">
      <c r="A518" s="10" t="s">
        <v>459</v>
      </c>
      <c r="C518" s="41"/>
      <c r="J518" s="215"/>
      <c r="K518" s="216"/>
      <c r="L518" s="1200"/>
      <c r="M518" s="217"/>
      <c r="N518" s="1013" t="s">
        <v>1829</v>
      </c>
      <c r="O518" s="307"/>
      <c r="P518" s="307"/>
      <c r="Q518" s="307"/>
      <c r="R518" s="307"/>
      <c r="S518" s="1387" t="s">
        <v>2278</v>
      </c>
      <c r="T518" s="1607">
        <v>-1.75</v>
      </c>
      <c r="U518" s="1608">
        <v>-1.75</v>
      </c>
      <c r="V518" s="1608">
        <v>-1.75</v>
      </c>
      <c r="W518" s="1608">
        <v>-1.75</v>
      </c>
      <c r="X518" s="1608">
        <v>-1.75</v>
      </c>
      <c r="Y518" s="1608">
        <v>-1.75</v>
      </c>
      <c r="Z518" s="1608">
        <v>-1.75</v>
      </c>
      <c r="AA518" s="1608">
        <v>-1.75</v>
      </c>
      <c r="AB518" s="1609">
        <v>-1.75</v>
      </c>
      <c r="AC518" s="47"/>
      <c r="AE518" s="10"/>
      <c r="AF518" s="218"/>
      <c r="AG518" s="10"/>
      <c r="AH518" s="10"/>
    </row>
    <row r="519" spans="1:34" s="5" customFormat="1" ht="10.15" hidden="1" customHeight="1" x14ac:dyDescent="0.2">
      <c r="A519" s="10" t="s">
        <v>459</v>
      </c>
      <c r="C519" s="41"/>
      <c r="J519" s="215"/>
      <c r="K519" s="216"/>
      <c r="L519" s="1200"/>
      <c r="M519" s="217"/>
      <c r="N519" s="1014" t="s">
        <v>1830</v>
      </c>
      <c r="O519" s="987"/>
      <c r="P519" s="987"/>
      <c r="Q519" s="987"/>
      <c r="R519" s="987"/>
      <c r="S519" s="1387" t="s">
        <v>2279</v>
      </c>
      <c r="T519" s="1790">
        <v>-2.5</v>
      </c>
      <c r="U519" s="1791">
        <v>-2.5</v>
      </c>
      <c r="V519" s="1791">
        <v>-2.5</v>
      </c>
      <c r="W519" s="1791">
        <v>-2.5</v>
      </c>
      <c r="X519" s="1791">
        <v>-2.5</v>
      </c>
      <c r="Y519" s="1791">
        <v>-2.5</v>
      </c>
      <c r="Z519" s="1791">
        <v>-2.5</v>
      </c>
      <c r="AA519" s="1791">
        <v>-2.5</v>
      </c>
      <c r="AB519" s="1792">
        <v>-2.5</v>
      </c>
      <c r="AC519" s="47"/>
      <c r="AE519" s="10"/>
      <c r="AF519" s="218"/>
      <c r="AG519" s="10"/>
      <c r="AH519" s="10"/>
    </row>
    <row r="520" spans="1:34" s="5" customFormat="1" ht="10.15" hidden="1" customHeight="1" x14ac:dyDescent="0.2">
      <c r="A520" s="10" t="s">
        <v>461</v>
      </c>
      <c r="C520" s="41"/>
      <c r="J520" s="215"/>
      <c r="K520" s="216"/>
      <c r="L520" s="1200"/>
      <c r="M520" s="217"/>
      <c r="N520" s="1014" t="s">
        <v>2262</v>
      </c>
      <c r="O520" s="987"/>
      <c r="P520" s="987"/>
      <c r="Q520" s="987"/>
      <c r="R520" s="987"/>
      <c r="S520" s="1387" t="s">
        <v>2280</v>
      </c>
      <c r="T520" s="1790">
        <v>-1</v>
      </c>
      <c r="U520" s="1791">
        <v>-1</v>
      </c>
      <c r="V520" s="1791">
        <v>-1</v>
      </c>
      <c r="W520" s="1791">
        <v>-1</v>
      </c>
      <c r="X520" s="1791">
        <v>-1</v>
      </c>
      <c r="Y520" s="1791">
        <v>-1</v>
      </c>
      <c r="Z520" s="1791">
        <v>-1</v>
      </c>
      <c r="AA520" s="1791">
        <v>-1</v>
      </c>
      <c r="AB520" s="1792">
        <v>-1</v>
      </c>
      <c r="AC520" s="47"/>
      <c r="AE520" s="10"/>
      <c r="AF520" s="218"/>
      <c r="AG520" s="10"/>
      <c r="AH520" s="10"/>
    </row>
    <row r="521" spans="1:34" s="5" customFormat="1" ht="10.15" hidden="1" customHeight="1" x14ac:dyDescent="0.2">
      <c r="A521" s="10" t="s">
        <v>461</v>
      </c>
      <c r="C521" s="41"/>
      <c r="J521" s="215"/>
      <c r="K521" s="216"/>
      <c r="L521" s="1200"/>
      <c r="M521" s="217"/>
      <c r="N521" s="1014" t="s">
        <v>2263</v>
      </c>
      <c r="O521" s="987"/>
      <c r="P521" s="987"/>
      <c r="Q521" s="987"/>
      <c r="R521" s="987"/>
      <c r="S521" s="1387" t="s">
        <v>2281</v>
      </c>
      <c r="T521" s="1790">
        <v>-1.75</v>
      </c>
      <c r="U521" s="1791">
        <v>-1.75</v>
      </c>
      <c r="V521" s="1791">
        <v>-1.75</v>
      </c>
      <c r="W521" s="1791">
        <v>-1.75</v>
      </c>
      <c r="X521" s="1791">
        <v>-1.75</v>
      </c>
      <c r="Y521" s="1791">
        <v>-1.75</v>
      </c>
      <c r="Z521" s="1791">
        <v>-1.75</v>
      </c>
      <c r="AA521" s="1791">
        <v>-1.75</v>
      </c>
      <c r="AB521" s="1792">
        <v>-1.75</v>
      </c>
      <c r="AC521" s="47"/>
      <c r="AE521" s="10"/>
      <c r="AF521" s="218"/>
      <c r="AG521" s="10"/>
      <c r="AH521" s="10"/>
    </row>
    <row r="522" spans="1:34" s="5" customFormat="1" ht="10.15" hidden="1" customHeight="1" x14ac:dyDescent="0.2">
      <c r="A522" s="10" t="s">
        <v>461</v>
      </c>
      <c r="C522" s="41"/>
      <c r="J522" s="215"/>
      <c r="K522" s="216"/>
      <c r="L522" s="1200"/>
      <c r="M522" s="217"/>
      <c r="N522" s="1014" t="s">
        <v>2264</v>
      </c>
      <c r="O522" s="987"/>
      <c r="P522" s="987"/>
      <c r="Q522" s="987"/>
      <c r="R522" s="987"/>
      <c r="S522" s="1387" t="s">
        <v>2282</v>
      </c>
      <c r="T522" s="1610">
        <v>-2.5</v>
      </c>
      <c r="U522" s="1611">
        <v>-2.5</v>
      </c>
      <c r="V522" s="1611">
        <v>-2.5</v>
      </c>
      <c r="W522" s="1611">
        <v>-2.5</v>
      </c>
      <c r="X522" s="1611">
        <v>-2.5</v>
      </c>
      <c r="Y522" s="1611">
        <v>-2.5</v>
      </c>
      <c r="Z522" s="1611">
        <v>-2.5</v>
      </c>
      <c r="AA522" s="1611">
        <v>-2.5</v>
      </c>
      <c r="AB522" s="1612">
        <v>-2.5</v>
      </c>
      <c r="AC522" s="47"/>
      <c r="AE522" s="10"/>
      <c r="AF522" s="218"/>
      <c r="AG522" s="10"/>
      <c r="AH522" s="10"/>
    </row>
    <row r="523" spans="1:34" s="5" customFormat="1" ht="10.15" hidden="1" customHeight="1" x14ac:dyDescent="0.2">
      <c r="A523" s="10" t="s">
        <v>459</v>
      </c>
      <c r="C523" s="41"/>
      <c r="J523" s="2034" t="s">
        <v>90</v>
      </c>
      <c r="K523" s="2035"/>
      <c r="L523" s="2035"/>
      <c r="M523" s="2036"/>
      <c r="N523" s="1012" t="s">
        <v>50</v>
      </c>
      <c r="O523" s="1030"/>
      <c r="P523" s="1030"/>
      <c r="Q523" s="1030"/>
      <c r="R523" s="1030"/>
      <c r="S523" s="1377" t="s">
        <v>587</v>
      </c>
      <c r="T523" s="1696">
        <v>0</v>
      </c>
      <c r="U523" s="1697">
        <v>0</v>
      </c>
      <c r="V523" s="1697">
        <v>0</v>
      </c>
      <c r="W523" s="1697">
        <v>0</v>
      </c>
      <c r="X523" s="1697">
        <v>0</v>
      </c>
      <c r="Y523" s="1697">
        <v>0</v>
      </c>
      <c r="Z523" s="1697">
        <v>0</v>
      </c>
      <c r="AA523" s="1697">
        <v>0</v>
      </c>
      <c r="AB523" s="1698">
        <v>0</v>
      </c>
      <c r="AC523" s="47"/>
      <c r="AE523" s="10"/>
      <c r="AF523" s="218"/>
      <c r="AG523" s="10"/>
      <c r="AH523" s="10"/>
    </row>
    <row r="524" spans="1:34" s="5" customFormat="1" ht="10.15" hidden="1" customHeight="1" x14ac:dyDescent="0.2">
      <c r="A524" s="10" t="s">
        <v>459</v>
      </c>
      <c r="C524" s="41"/>
      <c r="J524" s="2037"/>
      <c r="K524" s="2038"/>
      <c r="L524" s="2038"/>
      <c r="M524" s="2039"/>
      <c r="N524" s="1011" t="s">
        <v>20</v>
      </c>
      <c r="O524" s="991"/>
      <c r="P524" s="991"/>
      <c r="Q524" s="991"/>
      <c r="R524" s="991"/>
      <c r="S524" s="1376" t="s">
        <v>588</v>
      </c>
      <c r="T524" s="1702">
        <v>0.125</v>
      </c>
      <c r="U524" s="1691">
        <v>0.125</v>
      </c>
      <c r="V524" s="1691">
        <v>0.125</v>
      </c>
      <c r="W524" s="1691">
        <v>0.125</v>
      </c>
      <c r="X524" s="1691">
        <v>0.125</v>
      </c>
      <c r="Y524" s="1691">
        <v>0.125</v>
      </c>
      <c r="Z524" s="1691">
        <v>0.125</v>
      </c>
      <c r="AA524" s="1691">
        <v>0.125</v>
      </c>
      <c r="AB524" s="1703">
        <v>0.125</v>
      </c>
      <c r="AC524" s="47"/>
      <c r="AE524" s="10"/>
      <c r="AF524" s="218"/>
      <c r="AG524" s="10"/>
      <c r="AH524" s="10"/>
    </row>
    <row r="525" spans="1:34" s="5" customFormat="1" ht="10.15" hidden="1" customHeight="1" x14ac:dyDescent="0.2">
      <c r="A525" s="10" t="s">
        <v>459</v>
      </c>
      <c r="C525" s="41"/>
      <c r="J525" s="2037"/>
      <c r="K525" s="2038"/>
      <c r="L525" s="2038"/>
      <c r="M525" s="2039"/>
      <c r="N525" s="1012" t="s">
        <v>49</v>
      </c>
      <c r="O525" s="1030"/>
      <c r="P525" s="1030"/>
      <c r="Q525" s="1030"/>
      <c r="R525" s="1030"/>
      <c r="S525" s="1374" t="s">
        <v>589</v>
      </c>
      <c r="T525" s="1704">
        <v>0</v>
      </c>
      <c r="U525" s="1705">
        <v>0</v>
      </c>
      <c r="V525" s="1705">
        <v>0</v>
      </c>
      <c r="W525" s="1705">
        <v>0</v>
      </c>
      <c r="X525" s="1705">
        <v>0</v>
      </c>
      <c r="Y525" s="1705">
        <v>0</v>
      </c>
      <c r="Z525" s="1705">
        <v>0</v>
      </c>
      <c r="AA525" s="1705">
        <v>0</v>
      </c>
      <c r="AB525" s="1706">
        <v>0</v>
      </c>
      <c r="AC525" s="47"/>
      <c r="AE525" s="10"/>
      <c r="AF525" s="218"/>
      <c r="AG525" s="10"/>
      <c r="AH525" s="10"/>
    </row>
    <row r="526" spans="1:34" s="5" customFormat="1" ht="10.15" hidden="1" customHeight="1" x14ac:dyDescent="0.2">
      <c r="A526" s="10" t="s">
        <v>459</v>
      </c>
      <c r="C526" s="41"/>
      <c r="J526" s="2037"/>
      <c r="K526" s="2038"/>
      <c r="L526" s="2038"/>
      <c r="M526" s="2039"/>
      <c r="N526" s="1011" t="s">
        <v>22</v>
      </c>
      <c r="O526" s="991"/>
      <c r="P526" s="991"/>
      <c r="Q526" s="991"/>
      <c r="R526" s="991"/>
      <c r="S526" s="1388" t="s">
        <v>590</v>
      </c>
      <c r="T526" s="1709">
        <v>-0.15</v>
      </c>
      <c r="U526" s="1710">
        <v>-0.15</v>
      </c>
      <c r="V526" s="1710">
        <v>-0.15</v>
      </c>
      <c r="W526" s="1710">
        <v>-0.15</v>
      </c>
      <c r="X526" s="1710">
        <v>-0.15</v>
      </c>
      <c r="Y526" s="1710">
        <v>-0.15</v>
      </c>
      <c r="Z526" s="1710">
        <v>-0.15</v>
      </c>
      <c r="AA526" s="1710">
        <v>-0.15</v>
      </c>
      <c r="AB526" s="1711">
        <v>-0.15</v>
      </c>
      <c r="AC526" s="47"/>
      <c r="AE526" s="10"/>
      <c r="AF526" s="218"/>
      <c r="AG526" s="10"/>
      <c r="AH526" s="10"/>
    </row>
    <row r="527" spans="1:34" s="5" customFormat="1" ht="10.15" hidden="1" customHeight="1" x14ac:dyDescent="0.2">
      <c r="A527" s="10" t="s">
        <v>459</v>
      </c>
      <c r="C527" s="41"/>
      <c r="J527" s="2040"/>
      <c r="K527" s="2041"/>
      <c r="L527" s="2041"/>
      <c r="M527" s="2042"/>
      <c r="N527" s="1020" t="s">
        <v>82</v>
      </c>
      <c r="O527" s="1029"/>
      <c r="P527" s="1029"/>
      <c r="Q527" s="1029"/>
      <c r="R527" s="1029"/>
      <c r="S527" s="1389" t="s">
        <v>513</v>
      </c>
      <c r="T527" s="1715">
        <v>0</v>
      </c>
      <c r="U527" s="1693">
        <v>0</v>
      </c>
      <c r="V527" s="1693">
        <v>0</v>
      </c>
      <c r="W527" s="1693">
        <v>0</v>
      </c>
      <c r="X527" s="1693">
        <v>0</v>
      </c>
      <c r="Y527" s="1693">
        <v>0</v>
      </c>
      <c r="Z527" s="1693">
        <v>0</v>
      </c>
      <c r="AA527" s="1693">
        <v>0</v>
      </c>
      <c r="AB527" s="1714">
        <v>0</v>
      </c>
      <c r="AC527" s="47"/>
      <c r="AE527" s="10"/>
      <c r="AF527" s="218"/>
      <c r="AG527" s="10"/>
      <c r="AH527" s="10"/>
    </row>
    <row r="528" spans="1:34" s="5" customFormat="1" ht="10.15" hidden="1" customHeight="1" x14ac:dyDescent="0.2">
      <c r="A528" s="10" t="s">
        <v>459</v>
      </c>
      <c r="C528" s="41"/>
      <c r="J528" s="2034" t="s">
        <v>23</v>
      </c>
      <c r="K528" s="2035"/>
      <c r="L528" s="2035"/>
      <c r="M528" s="2036"/>
      <c r="N528" s="1010" t="s">
        <v>73</v>
      </c>
      <c r="O528" s="1028"/>
      <c r="P528" s="1028"/>
      <c r="Q528" s="1028"/>
      <c r="R528" s="1028"/>
      <c r="S528" s="1377" t="s">
        <v>591</v>
      </c>
      <c r="T528" s="1696" cm="1">
        <f t="array" ref="T528">[1]!LLPA_PN_000050_30_Day</f>
        <v>0</v>
      </c>
      <c r="U528" s="1697" cm="1">
        <f t="array" ref="U528">[1]!LLPA_PN_000050_30_Day</f>
        <v>0</v>
      </c>
      <c r="V528" s="1697" cm="1">
        <f t="array" ref="V528">[1]!LLPA_PN_000050_30_Day</f>
        <v>0</v>
      </c>
      <c r="W528" s="1697" cm="1">
        <f t="array" ref="W528">[1]!LLPA_PN_000050_30_Day</f>
        <v>0</v>
      </c>
      <c r="X528" s="1697" cm="1">
        <f t="array" ref="X528">[1]!LLPA_PN_000050_30_Day</f>
        <v>0</v>
      </c>
      <c r="Y528" s="1697" cm="1">
        <f t="array" ref="Y528">[1]!LLPA_PN_000050_30_Day</f>
        <v>0</v>
      </c>
      <c r="Z528" s="1697" cm="1">
        <f t="array" ref="Z528">[1]!LLPA_PN_000050_30_Day</f>
        <v>0</v>
      </c>
      <c r="AA528" s="1697" cm="1">
        <f t="array" ref="AA528">[1]!LLPA_PN_000050_30_Day</f>
        <v>0</v>
      </c>
      <c r="AB528" s="1698" cm="1">
        <f t="array" ref="AB528">[1]!LLPA_PN_000050_30_Day</f>
        <v>0</v>
      </c>
      <c r="AC528" s="47"/>
      <c r="AE528" s="10"/>
      <c r="AF528" s="218"/>
      <c r="AG528" s="10"/>
      <c r="AH528" s="10"/>
    </row>
    <row r="529" spans="1:34" s="5" customFormat="1" ht="10.15" hidden="1" customHeight="1" x14ac:dyDescent="0.2">
      <c r="A529" s="10" t="s">
        <v>459</v>
      </c>
      <c r="C529" s="41"/>
      <c r="J529" s="2037"/>
      <c r="K529" s="2038"/>
      <c r="L529" s="2038"/>
      <c r="M529" s="2039"/>
      <c r="N529" s="990" t="s">
        <v>74</v>
      </c>
      <c r="O529" s="986"/>
      <c r="P529" s="986"/>
      <c r="Q529" s="986"/>
      <c r="R529" s="986"/>
      <c r="S529" s="1375" t="s">
        <v>592</v>
      </c>
      <c r="T529" s="1699" cm="1">
        <f t="array" ref="T529">[1]!LLPA_PN_000050_45_Day</f>
        <v>-0.25</v>
      </c>
      <c r="U529" s="1700" cm="1">
        <f t="array" ref="U529">[1]!LLPA_PN_000050_45_Day</f>
        <v>-0.25</v>
      </c>
      <c r="V529" s="1700" cm="1">
        <f t="array" ref="V529">[1]!LLPA_PN_000050_45_Day</f>
        <v>-0.25</v>
      </c>
      <c r="W529" s="1700" cm="1">
        <f t="array" ref="W529">[1]!LLPA_PN_000050_45_Day</f>
        <v>-0.25</v>
      </c>
      <c r="X529" s="1700" cm="1">
        <f t="array" ref="X529">[1]!LLPA_PN_000050_45_Day</f>
        <v>-0.25</v>
      </c>
      <c r="Y529" s="1700" cm="1">
        <f t="array" ref="Y529">[1]!LLPA_PN_000050_45_Day</f>
        <v>-0.25</v>
      </c>
      <c r="Z529" s="1700" cm="1">
        <f t="array" ref="Z529">[1]!LLPA_PN_000050_45_Day</f>
        <v>-0.25</v>
      </c>
      <c r="AA529" s="1700" cm="1">
        <f t="array" ref="AA529">[1]!LLPA_PN_000050_45_Day</f>
        <v>-0.25</v>
      </c>
      <c r="AB529" s="1701" cm="1">
        <f t="array" ref="AB529">[1]!LLPA_PN_000050_45_Day</f>
        <v>-0.25</v>
      </c>
      <c r="AC529" s="47"/>
      <c r="AE529" s="10"/>
      <c r="AF529" s="218"/>
      <c r="AG529" s="10"/>
      <c r="AH529" s="10"/>
    </row>
    <row r="530" spans="1:34" s="5" customFormat="1" ht="10.15" hidden="1" customHeight="1" x14ac:dyDescent="0.2">
      <c r="A530" s="10" t="s">
        <v>459</v>
      </c>
      <c r="C530" s="41"/>
      <c r="J530" s="2040"/>
      <c r="K530" s="2041"/>
      <c r="L530" s="2041"/>
      <c r="M530" s="2042"/>
      <c r="N530" s="1021" t="s">
        <v>75</v>
      </c>
      <c r="O530" s="1037"/>
      <c r="P530" s="1037"/>
      <c r="Q530" s="1037"/>
      <c r="R530" s="1037"/>
      <c r="S530" s="1390" t="s">
        <v>593</v>
      </c>
      <c r="T530" s="1702" cm="1">
        <f t="array" ref="T530">[1]!LLPA_PN_000050_60_Day</f>
        <v>-0.5</v>
      </c>
      <c r="U530" s="1691" cm="1">
        <f t="array" ref="U530">[1]!LLPA_PN_000050_60_Day</f>
        <v>-0.5</v>
      </c>
      <c r="V530" s="1691" cm="1">
        <f t="array" ref="V530">[1]!LLPA_PN_000050_60_Day</f>
        <v>-0.5</v>
      </c>
      <c r="W530" s="1691" cm="1">
        <f t="array" ref="W530">[1]!LLPA_PN_000050_60_Day</f>
        <v>-0.5</v>
      </c>
      <c r="X530" s="1691" cm="1">
        <f t="array" ref="X530">[1]!LLPA_PN_000050_60_Day</f>
        <v>-0.5</v>
      </c>
      <c r="Y530" s="1691" cm="1">
        <f t="array" ref="Y530">[1]!LLPA_PN_000050_60_Day</f>
        <v>-0.5</v>
      </c>
      <c r="Z530" s="1691" cm="1">
        <f t="array" ref="Z530">[1]!LLPA_PN_000050_60_Day</f>
        <v>-0.5</v>
      </c>
      <c r="AA530" s="1691" cm="1">
        <f t="array" ref="AA530">[1]!LLPA_PN_000050_60_Day</f>
        <v>-0.5</v>
      </c>
      <c r="AB530" s="1703" cm="1">
        <f t="array" ref="AB530">[1]!LLPA_PN_000050_60_Day</f>
        <v>-0.5</v>
      </c>
      <c r="AC530" s="47"/>
      <c r="AE530" s="10"/>
      <c r="AF530" s="218"/>
      <c r="AG530" s="10"/>
      <c r="AH530" s="10"/>
    </row>
    <row r="531" spans="1:34" s="5" customFormat="1" ht="10.15" hidden="1" customHeight="1" x14ac:dyDescent="0.2">
      <c r="A531" s="10" t="s">
        <v>461</v>
      </c>
      <c r="C531" s="41"/>
      <c r="J531" s="2024" t="s">
        <v>359</v>
      </c>
      <c r="K531" s="2025"/>
      <c r="L531" s="2025"/>
      <c r="M531" s="2026"/>
      <c r="N531" s="1010" t="s">
        <v>360</v>
      </c>
      <c r="O531" s="1028"/>
      <c r="P531" s="1028"/>
      <c r="Q531" s="1028"/>
      <c r="R531" s="1028"/>
      <c r="S531" s="1378" t="s">
        <v>594</v>
      </c>
      <c r="T531" s="1696" cm="1">
        <f t="array" ref="T531">[1]!LLPA_PN_000050_Mandatory</f>
        <v>0</v>
      </c>
      <c r="U531" s="1697" cm="1">
        <f t="array" ref="U531">[1]!LLPA_PN_000050_Mandatory</f>
        <v>0</v>
      </c>
      <c r="V531" s="1697" cm="1">
        <f t="array" ref="V531">[1]!LLPA_PN_000050_Mandatory</f>
        <v>0</v>
      </c>
      <c r="W531" s="1697" cm="1">
        <f t="array" ref="W531">[1]!LLPA_PN_000050_Mandatory</f>
        <v>0</v>
      </c>
      <c r="X531" s="1697" cm="1">
        <f t="array" ref="X531">[1]!LLPA_PN_000050_Mandatory</f>
        <v>0</v>
      </c>
      <c r="Y531" s="1697" cm="1">
        <f t="array" ref="Y531">[1]!LLPA_PN_000050_Mandatory</f>
        <v>0</v>
      </c>
      <c r="Z531" s="1697" cm="1">
        <f t="array" ref="Z531">[1]!LLPA_PN_000050_Mandatory</f>
        <v>0</v>
      </c>
      <c r="AA531" s="1697" cm="1">
        <f t="array" ref="AA531">[1]!LLPA_PN_000050_Mandatory</f>
        <v>0</v>
      </c>
      <c r="AB531" s="1698">
        <v>0</v>
      </c>
      <c r="AC531" s="47"/>
      <c r="AE531" s="10"/>
      <c r="AF531" s="218"/>
      <c r="AG531" s="10"/>
      <c r="AH531" s="10"/>
    </row>
    <row r="532" spans="1:34" s="5" customFormat="1" ht="10.15" hidden="1" customHeight="1" x14ac:dyDescent="0.2">
      <c r="A532" s="10" t="s">
        <v>461</v>
      </c>
      <c r="C532" s="41"/>
      <c r="J532" s="2027"/>
      <c r="K532" s="2028"/>
      <c r="L532" s="2028"/>
      <c r="M532" s="2029"/>
      <c r="N532" s="1011" t="s">
        <v>361</v>
      </c>
      <c r="O532" s="991"/>
      <c r="P532" s="991"/>
      <c r="Q532" s="991"/>
      <c r="R532" s="991"/>
      <c r="S532" s="1391" t="s">
        <v>595</v>
      </c>
      <c r="T532" s="1716" cm="1">
        <f t="array" ref="T532">[1]!LLPA_PN_000050_Best_Efforts</f>
        <v>0</v>
      </c>
      <c r="U532" s="1717" cm="1">
        <f t="array" ref="U532">[1]!LLPA_PN_000050_Best_Efforts</f>
        <v>0</v>
      </c>
      <c r="V532" s="1717" cm="1">
        <f t="array" ref="V532">[1]!LLPA_PN_000050_Best_Efforts</f>
        <v>0</v>
      </c>
      <c r="W532" s="1717" cm="1">
        <f t="array" ref="W532">[1]!LLPA_PN_000050_Best_Efforts</f>
        <v>0</v>
      </c>
      <c r="X532" s="1717" cm="1">
        <f t="array" ref="X532">[1]!LLPA_PN_000050_Best_Efforts</f>
        <v>0</v>
      </c>
      <c r="Y532" s="1717" cm="1">
        <f t="array" ref="Y532">[1]!LLPA_PN_000050_Best_Efforts</f>
        <v>0</v>
      </c>
      <c r="Z532" s="1717" cm="1">
        <f t="array" ref="Z532">[1]!LLPA_PN_000050_Best_Efforts</f>
        <v>0</v>
      </c>
      <c r="AA532" s="1717" cm="1">
        <f t="array" ref="AA532">[1]!LLPA_PN_000050_Best_Efforts</f>
        <v>0</v>
      </c>
      <c r="AB532" s="1718">
        <v>0</v>
      </c>
      <c r="AC532" s="47"/>
      <c r="AE532" s="10"/>
      <c r="AF532" s="218"/>
      <c r="AG532" s="10"/>
      <c r="AH532" s="10"/>
    </row>
    <row r="533" spans="1:34" s="5" customFormat="1" ht="10.15" hidden="1" customHeight="1" x14ac:dyDescent="0.2">
      <c r="A533" s="10" t="s">
        <v>460</v>
      </c>
      <c r="C533" s="41"/>
      <c r="J533" s="75"/>
      <c r="K533" s="75"/>
      <c r="L533" s="75"/>
      <c r="M533" s="75"/>
      <c r="N533" s="75"/>
      <c r="O533" s="75"/>
      <c r="P533" s="75"/>
      <c r="Q533" s="75"/>
      <c r="R533" s="75"/>
      <c r="S533" s="77"/>
      <c r="T533" s="78"/>
      <c r="U533" s="78"/>
      <c r="V533" s="78"/>
      <c r="W533" s="78"/>
      <c r="X533" s="78"/>
      <c r="Y533" s="78"/>
      <c r="Z533" s="78"/>
      <c r="AA533" s="78"/>
      <c r="AB533" s="202"/>
      <c r="AC533" s="47"/>
      <c r="AE533" s="10"/>
      <c r="AF533" s="218"/>
      <c r="AG533" s="10"/>
      <c r="AH533" s="10"/>
    </row>
    <row r="534" spans="1:34" s="5" customFormat="1" ht="10.15" hidden="1" customHeight="1" x14ac:dyDescent="0.2">
      <c r="A534" s="10" t="s">
        <v>459</v>
      </c>
      <c r="C534" s="241"/>
      <c r="D534" s="2030"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534" s="2030"/>
      <c r="F534" s="2030"/>
      <c r="G534" s="2030"/>
      <c r="H534" s="2030"/>
      <c r="I534" s="2030"/>
      <c r="J534" s="2030"/>
      <c r="K534" s="2030"/>
      <c r="L534" s="2030"/>
      <c r="M534" s="2030"/>
      <c r="N534" s="2030"/>
      <c r="O534" s="2030"/>
      <c r="P534" s="2030"/>
      <c r="Q534" s="2030"/>
      <c r="R534" s="2030"/>
      <c r="S534" s="2030"/>
      <c r="T534" s="2030"/>
      <c r="U534" s="2030"/>
      <c r="V534" s="2030"/>
      <c r="W534" s="2030"/>
      <c r="X534" s="2030"/>
      <c r="Y534" s="2030"/>
      <c r="Z534" s="2030"/>
      <c r="AA534" s="2030"/>
      <c r="AB534" s="2030"/>
      <c r="AC534" s="2031"/>
      <c r="AE534" s="10"/>
      <c r="AF534" s="218"/>
      <c r="AG534" s="10"/>
      <c r="AH534" s="10"/>
    </row>
    <row r="535" spans="1:34" s="5" customFormat="1" ht="10.15" hidden="1" customHeight="1" x14ac:dyDescent="0.2">
      <c r="A535" s="10" t="s">
        <v>459</v>
      </c>
      <c r="C535" s="242"/>
      <c r="D535" s="2032"/>
      <c r="E535" s="2032"/>
      <c r="F535" s="2032"/>
      <c r="G535" s="2032"/>
      <c r="H535" s="2032"/>
      <c r="I535" s="2032"/>
      <c r="J535" s="2032"/>
      <c r="K535" s="2032"/>
      <c r="L535" s="2032"/>
      <c r="M535" s="2032"/>
      <c r="N535" s="2032"/>
      <c r="O535" s="2032"/>
      <c r="P535" s="2032"/>
      <c r="Q535" s="2032"/>
      <c r="R535" s="2032"/>
      <c r="S535" s="2032"/>
      <c r="T535" s="2032"/>
      <c r="U535" s="2032"/>
      <c r="V535" s="2032"/>
      <c r="W535" s="2032"/>
      <c r="X535" s="2032"/>
      <c r="Y535" s="2032"/>
      <c r="Z535" s="2032"/>
      <c r="AA535" s="2032"/>
      <c r="AB535" s="2032"/>
      <c r="AC535" s="2033"/>
      <c r="AE535" s="10"/>
      <c r="AF535" s="218"/>
      <c r="AG535" s="10"/>
      <c r="AH535" s="10"/>
    </row>
    <row r="536" spans="1:34" ht="14.45" hidden="1" customHeight="1" x14ac:dyDescent="0.25">
      <c r="A536" s="10" t="s">
        <v>460</v>
      </c>
      <c r="B536" s="5"/>
      <c r="AF536" s="218"/>
    </row>
    <row r="537" spans="1:34" ht="14.45" hidden="1" customHeight="1" x14ac:dyDescent="0.25">
      <c r="A537" s="10" t="s">
        <v>459</v>
      </c>
      <c r="C537" s="1849"/>
      <c r="D537" s="1850"/>
      <c r="E537" s="1850"/>
      <c r="F537" s="1850"/>
      <c r="G537" s="1855"/>
      <c r="H537" s="1855"/>
      <c r="I537" s="1855"/>
      <c r="J537" s="2157" t="str">
        <f>Input_Name_Product2</f>
        <v>NonQM NOO</v>
      </c>
      <c r="K537" s="2157"/>
      <c r="L537" s="2157"/>
      <c r="M537" s="2157"/>
      <c r="N537" s="2157"/>
      <c r="O537" s="2157"/>
      <c r="P537" s="2157"/>
      <c r="Q537" s="2157"/>
      <c r="R537" s="2157"/>
      <c r="S537" s="2157"/>
      <c r="T537" s="1855"/>
      <c r="U537" s="1855"/>
      <c r="V537" s="1855"/>
      <c r="W537" s="1833" t="str">
        <f>Input_Header01</f>
        <v xml:space="preserve"> </v>
      </c>
      <c r="X537" s="1834"/>
      <c r="Y537" s="1834"/>
      <c r="Z537" s="1834" t="str">
        <f>$Z$2</f>
        <v xml:space="preserve"> </v>
      </c>
      <c r="AA537" s="1834"/>
      <c r="AB537" s="1834"/>
      <c r="AC537" s="1835"/>
      <c r="AF537" s="218"/>
    </row>
    <row r="538" spans="1:34" ht="14.45" hidden="1" customHeight="1" x14ac:dyDescent="0.25">
      <c r="A538" s="10" t="s">
        <v>459</v>
      </c>
      <c r="C538" s="1851"/>
      <c r="D538" s="1852"/>
      <c r="E538" s="1852"/>
      <c r="F538" s="1852"/>
      <c r="G538" s="1852"/>
      <c r="H538" s="1852"/>
      <c r="I538" s="1852"/>
      <c r="J538" s="2158"/>
      <c r="K538" s="2158"/>
      <c r="L538" s="2158"/>
      <c r="M538" s="2158"/>
      <c r="N538" s="2158"/>
      <c r="O538" s="2158"/>
      <c r="P538" s="2158"/>
      <c r="Q538" s="2158"/>
      <c r="R538" s="2158"/>
      <c r="S538" s="2158"/>
      <c r="T538" s="1852"/>
      <c r="U538" s="1852"/>
      <c r="V538" s="1852"/>
      <c r="W538" s="1841" t="str">
        <f>Input_Header02</f>
        <v xml:space="preserve"> </v>
      </c>
      <c r="X538" s="1838"/>
      <c r="Y538" s="1838"/>
      <c r="Z538" s="1838" t="str">
        <f>$Z$3</f>
        <v xml:space="preserve"> </v>
      </c>
      <c r="AA538" s="1838"/>
      <c r="AB538" s="1838"/>
      <c r="AC538" s="1840"/>
      <c r="AF538" s="218"/>
    </row>
    <row r="539" spans="1:34" ht="14.45" hidden="1" customHeight="1" x14ac:dyDescent="0.25">
      <c r="A539" s="10" t="s">
        <v>459</v>
      </c>
      <c r="C539" s="1851"/>
      <c r="D539" s="1852"/>
      <c r="E539" s="1852"/>
      <c r="F539" s="1852"/>
      <c r="G539" s="1852"/>
      <c r="H539" s="1852"/>
      <c r="I539" s="1852"/>
      <c r="J539" s="2158"/>
      <c r="K539" s="2158"/>
      <c r="L539" s="2158"/>
      <c r="M539" s="2158"/>
      <c r="N539" s="2158"/>
      <c r="O539" s="2158"/>
      <c r="P539" s="2158"/>
      <c r="Q539" s="2158"/>
      <c r="R539" s="2158"/>
      <c r="S539" s="2158"/>
      <c r="T539" s="1852"/>
      <c r="U539" s="1852"/>
      <c r="V539" s="1852"/>
      <c r="W539" s="1841" t="str">
        <f>Input_Header03</f>
        <v xml:space="preserve"> </v>
      </c>
      <c r="X539" s="1838"/>
      <c r="Y539" s="1838"/>
      <c r="Z539" s="1838"/>
      <c r="AA539" s="1839"/>
      <c r="AB539" s="1839"/>
      <c r="AC539" s="1840"/>
      <c r="AF539" s="218"/>
    </row>
    <row r="540" spans="1:34" ht="14.45" hidden="1" customHeight="1" x14ac:dyDescent="0.25">
      <c r="A540" s="10" t="s">
        <v>459</v>
      </c>
      <c r="C540" s="1851"/>
      <c r="D540" s="1852"/>
      <c r="E540" s="1852"/>
      <c r="F540" s="1852"/>
      <c r="G540" s="1852"/>
      <c r="H540" s="1852"/>
      <c r="I540" s="1852"/>
      <c r="J540" s="2158"/>
      <c r="K540" s="2158"/>
      <c r="L540" s="2158"/>
      <c r="M540" s="2158"/>
      <c r="N540" s="2158"/>
      <c r="O540" s="2158"/>
      <c r="P540" s="2158"/>
      <c r="Q540" s="2158"/>
      <c r="R540" s="2158"/>
      <c r="S540" s="2158"/>
      <c r="T540" s="1852"/>
      <c r="U540" s="1852"/>
      <c r="V540" s="1852"/>
      <c r="W540" s="1842" t="str">
        <f>Input_Header04</f>
        <v xml:space="preserve"> </v>
      </c>
      <c r="X540" s="1837"/>
      <c r="Y540" s="1838"/>
      <c r="Z540" s="1838"/>
      <c r="AA540" s="1986"/>
      <c r="AB540" s="1986" t="str">
        <f>Input_Version</f>
        <v>#1</v>
      </c>
      <c r="AC540" s="1856"/>
      <c r="AF540" s="218"/>
    </row>
    <row r="541" spans="1:34" ht="14.45" hidden="1" customHeight="1" x14ac:dyDescent="0.25">
      <c r="A541" s="10" t="s">
        <v>459</v>
      </c>
      <c r="C541" s="1853"/>
      <c r="D541" s="1854"/>
      <c r="E541" s="1854"/>
      <c r="F541" s="1854"/>
      <c r="G541" s="1857"/>
      <c r="H541" s="1857"/>
      <c r="I541" s="1857"/>
      <c r="J541" s="2159"/>
      <c r="K541" s="2159"/>
      <c r="L541" s="2159"/>
      <c r="M541" s="2159"/>
      <c r="N541" s="2159"/>
      <c r="O541" s="2159"/>
      <c r="P541" s="2159"/>
      <c r="Q541" s="2159"/>
      <c r="R541" s="2159"/>
      <c r="S541" s="2159"/>
      <c r="T541" s="1857"/>
      <c r="U541" s="1857"/>
      <c r="V541" s="1857"/>
      <c r="W541" s="1846" t="str">
        <f>Input_Header05</f>
        <v xml:space="preserve"> </v>
      </c>
      <c r="X541" s="1847"/>
      <c r="Y541" s="1847"/>
      <c r="Z541" s="1847"/>
      <c r="AA541" s="2049">
        <f ca="1">Input_Date</f>
        <v>45869</v>
      </c>
      <c r="AB541" s="2049"/>
      <c r="AC541" s="1858"/>
      <c r="AF541" s="218"/>
    </row>
    <row r="542" spans="1:34" ht="14.45" hidden="1" customHeight="1" x14ac:dyDescent="0.25">
      <c r="A542" s="10" t="s">
        <v>460</v>
      </c>
      <c r="B542" s="5"/>
      <c r="C542" s="41"/>
      <c r="I542" s="5"/>
      <c r="J542" s="80"/>
      <c r="K542" s="81"/>
      <c r="L542" s="80"/>
      <c r="M542" s="80"/>
      <c r="N542" s="80"/>
      <c r="O542" s="80"/>
      <c r="P542" s="80"/>
      <c r="Q542" s="80"/>
      <c r="R542" s="80"/>
      <c r="S542" s="80"/>
      <c r="T542" s="80"/>
      <c r="U542" s="80"/>
      <c r="V542" s="80"/>
      <c r="W542" s="80"/>
      <c r="X542" s="80"/>
      <c r="Y542" s="80"/>
      <c r="Z542" s="80"/>
      <c r="AA542" s="80"/>
      <c r="AB542" s="82"/>
      <c r="AC542" s="47"/>
      <c r="AF542" s="218"/>
    </row>
    <row r="543" spans="1:34" ht="14.45" hidden="1" customHeight="1" x14ac:dyDescent="0.25">
      <c r="A543" s="10" t="s">
        <v>459</v>
      </c>
      <c r="B543" s="5"/>
      <c r="C543" s="41"/>
      <c r="D543" s="2120" t="s">
        <v>0</v>
      </c>
      <c r="E543" s="2121"/>
      <c r="F543" s="2122"/>
      <c r="G543" s="48"/>
      <c r="H543" s="48"/>
      <c r="I543" s="49"/>
      <c r="J543" s="2050" t="s">
        <v>103</v>
      </c>
      <c r="K543" s="2051"/>
      <c r="L543" s="2051"/>
      <c r="M543" s="2051"/>
      <c r="N543" s="2051"/>
      <c r="O543" s="2051"/>
      <c r="P543" s="2051"/>
      <c r="Q543" s="2051"/>
      <c r="R543" s="2051"/>
      <c r="S543" s="2051"/>
      <c r="T543" s="2051"/>
      <c r="U543" s="2051"/>
      <c r="V543" s="2051"/>
      <c r="W543" s="2051"/>
      <c r="X543" s="2051"/>
      <c r="Y543" s="2051"/>
      <c r="Z543" s="2051"/>
      <c r="AA543" s="2051"/>
      <c r="AB543" s="2052"/>
      <c r="AC543" s="47"/>
      <c r="AF543" s="218"/>
    </row>
    <row r="544" spans="1:34" ht="14.45" hidden="1" customHeight="1" x14ac:dyDescent="0.25">
      <c r="A544" s="10" t="s">
        <v>459</v>
      </c>
      <c r="B544" s="5"/>
      <c r="C544" s="41"/>
      <c r="D544" s="8" t="s">
        <v>125</v>
      </c>
      <c r="E544" s="9" t="s">
        <v>1388</v>
      </c>
      <c r="F544" s="9" t="s">
        <v>126</v>
      </c>
      <c r="G544" s="48"/>
      <c r="H544" s="48"/>
      <c r="I544" s="49"/>
      <c r="J544" s="203"/>
      <c r="K544" s="204"/>
      <c r="L544" s="204"/>
      <c r="M544" s="204"/>
      <c r="N544" s="1040"/>
      <c r="O544" s="1040"/>
      <c r="P544" s="1040"/>
      <c r="Q544" s="1040"/>
      <c r="R544" s="1039"/>
      <c r="S544" s="1359" t="s">
        <v>88</v>
      </c>
      <c r="T544" s="2169" t="s">
        <v>1120</v>
      </c>
      <c r="U544" s="2169"/>
      <c r="V544" s="2169"/>
      <c r="W544" s="2169"/>
      <c r="X544" s="2169"/>
      <c r="Y544" s="2169"/>
      <c r="Z544" s="2169"/>
      <c r="AA544" s="2169"/>
      <c r="AB544" s="2170"/>
      <c r="AC544" s="85"/>
      <c r="AF544" s="218"/>
    </row>
    <row r="545" spans="1:32" ht="14.45" hidden="1" customHeight="1" x14ac:dyDescent="0.25">
      <c r="A545" s="10" t="s">
        <v>459</v>
      </c>
      <c r="B545" s="5"/>
      <c r="C545" s="41"/>
      <c r="D545" s="53">
        <f>Structure!AY113</f>
        <v>9.75</v>
      </c>
      <c r="E545" s="54" t="e">
        <f t="shared" ref="E545" si="24">INDEX(Lookup_NoteRateAll,MATCH("IN_"&amp;RIGHT("000"&amp;TRUNC(D545),3)&amp;TEXT(D545-TRUNC(D545),".0000000000"),Lookup_NoteRateText,0),3)</f>
        <v>#N/A</v>
      </c>
      <c r="F545" s="55" t="e">
        <f t="shared" ref="F545" si="25">INDEX(Lookup_NoteRateAll,MATCH("IN_"&amp;RIGHT("000"&amp;TRUNC(D545),3)&amp;TEXT(D545-TRUNC(D545),".0000000000"),Lookup_NoteRateText,0),4)</f>
        <v>#N/A</v>
      </c>
      <c r="G545" s="48"/>
      <c r="H545" s="48"/>
      <c r="I545" s="5"/>
      <c r="J545" s="229"/>
      <c r="K545" s="230" t="s">
        <v>211</v>
      </c>
      <c r="L545" s="231"/>
      <c r="M545" s="232" t="s">
        <v>71</v>
      </c>
      <c r="N545" s="1061" t="s">
        <v>25</v>
      </c>
      <c r="O545" s="1024"/>
      <c r="P545" s="1024"/>
      <c r="Q545" s="1024"/>
      <c r="R545" s="233"/>
      <c r="S545" s="228"/>
      <c r="T545" s="234" t="s">
        <v>248</v>
      </c>
      <c r="U545" s="236" t="s">
        <v>15</v>
      </c>
      <c r="V545" s="236" t="s">
        <v>84</v>
      </c>
      <c r="W545" s="236" t="s">
        <v>31</v>
      </c>
      <c r="X545" s="236" t="s">
        <v>30</v>
      </c>
      <c r="Y545" s="238" t="s">
        <v>29</v>
      </c>
      <c r="Z545" s="238" t="s">
        <v>28</v>
      </c>
      <c r="AA545" s="1232" t="s">
        <v>27</v>
      </c>
      <c r="AB545" s="57"/>
      <c r="AC545" s="47"/>
      <c r="AF545" s="218"/>
    </row>
    <row r="546" spans="1:32" ht="14.45" hidden="1" customHeight="1" x14ac:dyDescent="0.25">
      <c r="A546" s="10" t="s">
        <v>459</v>
      </c>
      <c r="B546" s="5"/>
      <c r="C546" s="41"/>
      <c r="D546" s="53">
        <f>Structure!AY114</f>
        <v>9.625</v>
      </c>
      <c r="E546" s="54" t="e">
        <f t="shared" ref="E546:E562" si="26">INDEX(Lookup_NoteRateAll,MATCH("IN_"&amp;RIGHT("000"&amp;TRUNC(D546),3)&amp;TEXT(D546-TRUNC(D546),".0000000000"),Lookup_NoteRateText,0),3)</f>
        <v>#N/A</v>
      </c>
      <c r="F546" s="55" t="e">
        <f t="shared" ref="F546:F562" si="27">INDEX(Lookup_NoteRateAll,MATCH("IN_"&amp;RIGHT("000"&amp;TRUNC(D546),3)&amp;TEXT(D546-TRUNC(D546),".0000000000"),Lookup_NoteRateText,0),4)</f>
        <v>#N/A</v>
      </c>
      <c r="G546" s="48"/>
      <c r="H546" s="48"/>
      <c r="I546" s="5"/>
      <c r="J546" s="2067" t="s">
        <v>205</v>
      </c>
      <c r="K546" s="58"/>
      <c r="L546" s="59"/>
      <c r="M546" s="60"/>
      <c r="N546" s="998" t="s">
        <v>1101</v>
      </c>
      <c r="O546" s="1042"/>
      <c r="P546" s="1042"/>
      <c r="Q546" s="1042"/>
      <c r="R546" s="1042"/>
      <c r="S546" s="1360" t="s">
        <v>1110</v>
      </c>
      <c r="T546" s="1604">
        <v>0.625</v>
      </c>
      <c r="U546" s="1605">
        <v>0.625</v>
      </c>
      <c r="V546" s="1605">
        <v>0.25</v>
      </c>
      <c r="W546" s="1605">
        <v>0</v>
      </c>
      <c r="X546" s="1605">
        <v>-0.25</v>
      </c>
      <c r="Y546" s="1605">
        <v>-0.5</v>
      </c>
      <c r="Z546" s="1625">
        <v>-0.75</v>
      </c>
      <c r="AA546" s="1632">
        <v>-3</v>
      </c>
      <c r="AB546" s="1353" t="e">
        <v>#N/A</v>
      </c>
      <c r="AC546" s="47"/>
      <c r="AF546" s="218"/>
    </row>
    <row r="547" spans="1:32" ht="14.45" hidden="1" customHeight="1" x14ac:dyDescent="0.25">
      <c r="A547" s="10" t="s">
        <v>459</v>
      </c>
      <c r="B547" s="5"/>
      <c r="C547" s="41"/>
      <c r="D547" s="53">
        <f>Structure!AY115</f>
        <v>9.5</v>
      </c>
      <c r="E547" s="54" t="e">
        <f t="shared" si="26"/>
        <v>#N/A</v>
      </c>
      <c r="F547" s="55" t="e">
        <f t="shared" si="27"/>
        <v>#N/A</v>
      </c>
      <c r="G547" s="48"/>
      <c r="H547" s="48"/>
      <c r="I547" s="5"/>
      <c r="J547" s="2068"/>
      <c r="K547" s="206"/>
      <c r="L547" s="207"/>
      <c r="M547" s="208"/>
      <c r="N547" s="999" t="s">
        <v>1100</v>
      </c>
      <c r="O547" s="977"/>
      <c r="P547" s="977"/>
      <c r="Q547" s="977"/>
      <c r="R547" s="977"/>
      <c r="S547" s="1361" t="s">
        <v>1111</v>
      </c>
      <c r="T547" s="1607">
        <v>0.625</v>
      </c>
      <c r="U547" s="1608">
        <v>0.625</v>
      </c>
      <c r="V547" s="1608">
        <v>0.25</v>
      </c>
      <c r="W547" s="1608">
        <v>0</v>
      </c>
      <c r="X547" s="1608">
        <v>-0.25</v>
      </c>
      <c r="Y547" s="1608">
        <v>-0.5</v>
      </c>
      <c r="Z547" s="1626">
        <v>-0.75</v>
      </c>
      <c r="AA547" s="1633">
        <v>-3.125</v>
      </c>
      <c r="AB547" s="1353" t="e">
        <v>#N/A</v>
      </c>
      <c r="AC547" s="47"/>
      <c r="AF547" s="218"/>
    </row>
    <row r="548" spans="1:32" ht="14.45" hidden="1" customHeight="1" x14ac:dyDescent="0.25">
      <c r="A548" s="10" t="s">
        <v>459</v>
      </c>
      <c r="B548" s="5"/>
      <c r="C548" s="41"/>
      <c r="D548" s="53">
        <f>Structure!AY116</f>
        <v>9.375</v>
      </c>
      <c r="E548" s="54" t="e">
        <f t="shared" si="26"/>
        <v>#N/A</v>
      </c>
      <c r="F548" s="55" t="e">
        <f t="shared" si="27"/>
        <v>#N/A</v>
      </c>
      <c r="G548" s="48"/>
      <c r="H548" s="48"/>
      <c r="I548" s="5"/>
      <c r="J548" s="2068"/>
      <c r="K548" s="61" t="s">
        <v>1410</v>
      </c>
      <c r="L548" s="62"/>
      <c r="M548" s="63">
        <v>1</v>
      </c>
      <c r="N548" s="978" t="s">
        <v>254</v>
      </c>
      <c r="O548" s="978"/>
      <c r="P548" s="978"/>
      <c r="Q548" s="978"/>
      <c r="R548" s="978"/>
      <c r="S548" s="1362" t="s">
        <v>596</v>
      </c>
      <c r="T548" s="1607">
        <v>0.625</v>
      </c>
      <c r="U548" s="1608">
        <v>0.625</v>
      </c>
      <c r="V548" s="1608">
        <v>0.25</v>
      </c>
      <c r="W548" s="1608">
        <v>0</v>
      </c>
      <c r="X548" s="1608">
        <v>-0.25</v>
      </c>
      <c r="Y548" s="1608">
        <v>-0.5</v>
      </c>
      <c r="Z548" s="1626">
        <v>-0.875</v>
      </c>
      <c r="AA548" s="1633">
        <v>-3.5</v>
      </c>
      <c r="AB548" s="1353" t="e">
        <v>#N/A</v>
      </c>
      <c r="AC548" s="47"/>
      <c r="AF548" s="218"/>
    </row>
    <row r="549" spans="1:32" ht="14.45" hidden="1" customHeight="1" x14ac:dyDescent="0.25">
      <c r="A549" s="10" t="s">
        <v>459</v>
      </c>
      <c r="B549" s="5"/>
      <c r="C549" s="41"/>
      <c r="D549" s="53">
        <f>Structure!AY117</f>
        <v>9.25</v>
      </c>
      <c r="E549" s="54" t="e">
        <f t="shared" si="26"/>
        <v>#N/A</v>
      </c>
      <c r="F549" s="55" t="e">
        <f t="shared" si="27"/>
        <v>#N/A</v>
      </c>
      <c r="G549" s="48"/>
      <c r="H549" s="48"/>
      <c r="I549" s="5"/>
      <c r="J549" s="2068"/>
      <c r="K549" s="61" t="s">
        <v>1409</v>
      </c>
      <c r="L549" s="65"/>
      <c r="M549" s="63">
        <v>2</v>
      </c>
      <c r="N549" s="978" t="s">
        <v>253</v>
      </c>
      <c r="O549" s="978"/>
      <c r="P549" s="978"/>
      <c r="Q549" s="978"/>
      <c r="R549" s="978"/>
      <c r="S549" s="1362" t="s">
        <v>597</v>
      </c>
      <c r="T549" s="1607">
        <v>0.5</v>
      </c>
      <c r="U549" s="1608">
        <v>0.5</v>
      </c>
      <c r="V549" s="1608">
        <v>0.25</v>
      </c>
      <c r="W549" s="1608">
        <v>0</v>
      </c>
      <c r="X549" s="1608">
        <v>-0.5</v>
      </c>
      <c r="Y549" s="1608">
        <v>-0.625</v>
      </c>
      <c r="Z549" s="1626">
        <v>-1.125</v>
      </c>
      <c r="AA549" s="1633">
        <v>-4</v>
      </c>
      <c r="AB549" s="1353" t="e">
        <v>#N/A</v>
      </c>
      <c r="AC549" s="47"/>
      <c r="AF549" s="218"/>
    </row>
    <row r="550" spans="1:32" ht="14.45" hidden="1" customHeight="1" x14ac:dyDescent="0.25">
      <c r="A550" s="10" t="s">
        <v>459</v>
      </c>
      <c r="B550" s="5"/>
      <c r="C550" s="41"/>
      <c r="D550" s="53">
        <f>Structure!AY118</f>
        <v>9.125</v>
      </c>
      <c r="E550" s="54" t="e">
        <f t="shared" si="26"/>
        <v>#N/A</v>
      </c>
      <c r="F550" s="55" t="e">
        <f t="shared" si="27"/>
        <v>#N/A</v>
      </c>
      <c r="G550" s="48"/>
      <c r="H550" s="48"/>
      <c r="I550" s="5"/>
      <c r="J550" s="2068"/>
      <c r="K550" s="86"/>
      <c r="L550" s="19"/>
      <c r="M550" s="63"/>
      <c r="N550" s="978" t="s">
        <v>3</v>
      </c>
      <c r="O550" s="978"/>
      <c r="P550" s="978"/>
      <c r="Q550" s="978"/>
      <c r="R550" s="978"/>
      <c r="S550" s="1362" t="s">
        <v>598</v>
      </c>
      <c r="T550" s="1607">
        <v>0.375</v>
      </c>
      <c r="U550" s="1608">
        <v>0.375</v>
      </c>
      <c r="V550" s="1608">
        <v>0.125</v>
      </c>
      <c r="W550" s="1608">
        <v>-0.125</v>
      </c>
      <c r="X550" s="1608">
        <v>-0.625</v>
      </c>
      <c r="Y550" s="1608">
        <v>-0.875</v>
      </c>
      <c r="Z550" s="1626">
        <v>-1.625</v>
      </c>
      <c r="AA550" s="1633">
        <v>-4.75</v>
      </c>
      <c r="AB550" s="1353" t="e">
        <v>#N/A</v>
      </c>
      <c r="AC550" s="47"/>
      <c r="AF550" s="218"/>
    </row>
    <row r="551" spans="1:32" ht="14.45" hidden="1" customHeight="1" x14ac:dyDescent="0.25">
      <c r="A551" s="10" t="s">
        <v>459</v>
      </c>
      <c r="B551" s="5"/>
      <c r="C551" s="41"/>
      <c r="D551" s="53">
        <f>Structure!AY119</f>
        <v>9</v>
      </c>
      <c r="E551" s="54" t="e">
        <f t="shared" si="26"/>
        <v>#N/A</v>
      </c>
      <c r="F551" s="55" t="e">
        <f t="shared" si="27"/>
        <v>#N/A</v>
      </c>
      <c r="G551" s="48"/>
      <c r="H551" s="48"/>
      <c r="I551" s="5"/>
      <c r="J551" s="2068"/>
      <c r="K551" s="66"/>
      <c r="L551" s="44"/>
      <c r="M551" s="63"/>
      <c r="N551" s="978" t="s">
        <v>5</v>
      </c>
      <c r="O551" s="978"/>
      <c r="P551" s="978"/>
      <c r="Q551" s="978"/>
      <c r="R551" s="978"/>
      <c r="S551" s="1362" t="s">
        <v>599</v>
      </c>
      <c r="T551" s="1607">
        <v>-0.125</v>
      </c>
      <c r="U551" s="1608">
        <v>-0.125</v>
      </c>
      <c r="V551" s="1608">
        <v>-0.375</v>
      </c>
      <c r="W551" s="1608">
        <v>-0.625</v>
      </c>
      <c r="X551" s="1608">
        <v>-1.125</v>
      </c>
      <c r="Y551" s="1608">
        <v>-1.625</v>
      </c>
      <c r="Z551" s="1626">
        <v>-2.125</v>
      </c>
      <c r="AA551" s="1633">
        <v>-5.375</v>
      </c>
      <c r="AB551" s="1353" t="e">
        <v>#N/A</v>
      </c>
      <c r="AC551" s="47"/>
      <c r="AF551" s="218"/>
    </row>
    <row r="552" spans="1:32" ht="14.45" hidden="1" customHeight="1" x14ac:dyDescent="0.25">
      <c r="A552" s="10" t="s">
        <v>459</v>
      </c>
      <c r="B552" s="5"/>
      <c r="C552" s="41"/>
      <c r="D552" s="53">
        <f>Structure!AY120</f>
        <v>8.875</v>
      </c>
      <c r="E552" s="54" t="e">
        <f t="shared" si="26"/>
        <v>#N/A</v>
      </c>
      <c r="F552" s="55" t="e">
        <f t="shared" si="27"/>
        <v>#N/A</v>
      </c>
      <c r="G552" s="48"/>
      <c r="H552" s="48"/>
      <c r="I552" s="5"/>
      <c r="J552" s="2068"/>
      <c r="K552" s="66"/>
      <c r="L552" s="44"/>
      <c r="M552" s="63"/>
      <c r="N552" s="978" t="s">
        <v>6</v>
      </c>
      <c r="O552" s="978"/>
      <c r="P552" s="978"/>
      <c r="Q552" s="978"/>
      <c r="R552" s="978"/>
      <c r="S552" s="1362" t="s">
        <v>600</v>
      </c>
      <c r="T552" s="1607">
        <v>-0.25</v>
      </c>
      <c r="U552" s="1608">
        <v>-0.25</v>
      </c>
      <c r="V552" s="1608">
        <v>-0.75</v>
      </c>
      <c r="W552" s="1608">
        <v>-1.25</v>
      </c>
      <c r="X552" s="1608">
        <v>-1.625</v>
      </c>
      <c r="Y552" s="1608">
        <v>-2.625</v>
      </c>
      <c r="Z552" s="1626">
        <v>-3.25</v>
      </c>
      <c r="AA552" s="1633">
        <v>-6.375</v>
      </c>
      <c r="AB552" s="1353" t="e">
        <v>#N/A</v>
      </c>
      <c r="AC552" s="47"/>
      <c r="AF552" s="218"/>
    </row>
    <row r="553" spans="1:32" ht="14.45" hidden="1" customHeight="1" x14ac:dyDescent="0.25">
      <c r="A553" s="10" t="s">
        <v>459</v>
      </c>
      <c r="B553" s="5"/>
      <c r="C553" s="41"/>
      <c r="D553" s="53">
        <f>Structure!AY121</f>
        <v>8.75</v>
      </c>
      <c r="E553" s="54" t="e">
        <f t="shared" si="26"/>
        <v>#N/A</v>
      </c>
      <c r="F553" s="55" t="e">
        <f t="shared" si="27"/>
        <v>#N/A</v>
      </c>
      <c r="G553" s="48"/>
      <c r="H553" s="48"/>
      <c r="I553" s="5"/>
      <c r="J553" s="2068"/>
      <c r="K553" s="66"/>
      <c r="L553" s="44"/>
      <c r="M553" s="63"/>
      <c r="N553" s="978" t="s">
        <v>7</v>
      </c>
      <c r="O553" s="978"/>
      <c r="P553" s="978"/>
      <c r="Q553" s="978"/>
      <c r="R553" s="978"/>
      <c r="S553" s="1362" t="s">
        <v>601</v>
      </c>
      <c r="T553" s="1607">
        <v>-0.75</v>
      </c>
      <c r="U553" s="1608">
        <v>-1.125</v>
      </c>
      <c r="V553" s="1608">
        <v>-1.375</v>
      </c>
      <c r="W553" s="1608">
        <v>-2.5</v>
      </c>
      <c r="X553" s="1608">
        <v>-3</v>
      </c>
      <c r="Y553" s="1608">
        <v>-3.75</v>
      </c>
      <c r="Z553" s="1626">
        <v>-4.625</v>
      </c>
      <c r="AA553" s="1753" t="e">
        <v>#N/A</v>
      </c>
      <c r="AB553" s="1353" t="e">
        <v>#N/A</v>
      </c>
      <c r="AC553" s="47"/>
      <c r="AF553" s="218"/>
    </row>
    <row r="554" spans="1:32" ht="14.45" hidden="1" customHeight="1" x14ac:dyDescent="0.25">
      <c r="A554" s="10" t="s">
        <v>459</v>
      </c>
      <c r="B554" s="5"/>
      <c r="C554" s="41"/>
      <c r="D554" s="53">
        <f>Structure!AY122</f>
        <v>8.625</v>
      </c>
      <c r="E554" s="54" t="e">
        <f t="shared" si="26"/>
        <v>#N/A</v>
      </c>
      <c r="F554" s="55" t="e">
        <f t="shared" si="27"/>
        <v>#N/A</v>
      </c>
      <c r="G554" s="48"/>
      <c r="H554" s="48"/>
      <c r="I554" s="5"/>
      <c r="J554" s="2067" t="s">
        <v>206</v>
      </c>
      <c r="K554" s="58"/>
      <c r="L554" s="59"/>
      <c r="M554" s="67"/>
      <c r="N554" s="998" t="s">
        <v>1101</v>
      </c>
      <c r="O554" s="1042"/>
      <c r="P554" s="1042"/>
      <c r="Q554" s="1042"/>
      <c r="R554" s="1042"/>
      <c r="S554" s="1392" t="s">
        <v>1112</v>
      </c>
      <c r="T554" s="1604">
        <v>0.5</v>
      </c>
      <c r="U554" s="1605">
        <v>0.5</v>
      </c>
      <c r="V554" s="1605">
        <v>0.125</v>
      </c>
      <c r="W554" s="1605">
        <v>-0.125</v>
      </c>
      <c r="X554" s="1605">
        <v>-0.25</v>
      </c>
      <c r="Y554" s="1605">
        <v>-0.625</v>
      </c>
      <c r="Z554" s="1625">
        <v>-1</v>
      </c>
      <c r="AA554" s="1632">
        <v>-3.625</v>
      </c>
      <c r="AB554" s="1353" t="e">
        <v>#N/A</v>
      </c>
      <c r="AC554" s="47"/>
      <c r="AF554" s="218"/>
    </row>
    <row r="555" spans="1:32" ht="14.45" hidden="1" customHeight="1" x14ac:dyDescent="0.25">
      <c r="A555" s="10" t="s">
        <v>459</v>
      </c>
      <c r="B555" s="5"/>
      <c r="C555" s="41"/>
      <c r="D555" s="53">
        <f>Structure!AY123</f>
        <v>8.5</v>
      </c>
      <c r="E555" s="54" t="e">
        <f t="shared" si="26"/>
        <v>#N/A</v>
      </c>
      <c r="F555" s="55" t="e">
        <f t="shared" si="27"/>
        <v>#N/A</v>
      </c>
      <c r="G555" s="48"/>
      <c r="H555" s="48"/>
      <c r="I555" s="5"/>
      <c r="J555" s="2068"/>
      <c r="K555" s="206"/>
      <c r="L555" s="207"/>
      <c r="M555" s="209"/>
      <c r="N555" s="999" t="s">
        <v>1100</v>
      </c>
      <c r="O555" s="977"/>
      <c r="P555" s="977"/>
      <c r="Q555" s="977"/>
      <c r="R555" s="977"/>
      <c r="S555" s="1361" t="s">
        <v>1113</v>
      </c>
      <c r="T555" s="1607">
        <v>0.5</v>
      </c>
      <c r="U555" s="1608">
        <v>0.5</v>
      </c>
      <c r="V555" s="1608">
        <v>0.125</v>
      </c>
      <c r="W555" s="1608">
        <v>-0.125</v>
      </c>
      <c r="X555" s="1608">
        <v>-0.25</v>
      </c>
      <c r="Y555" s="1608">
        <v>-0.625</v>
      </c>
      <c r="Z555" s="1626">
        <v>-1</v>
      </c>
      <c r="AA555" s="1633">
        <v>-3.75</v>
      </c>
      <c r="AB555" s="1353" t="e">
        <v>#N/A</v>
      </c>
      <c r="AC555" s="47"/>
      <c r="AF555" s="218"/>
    </row>
    <row r="556" spans="1:32" ht="14.45" hidden="1" customHeight="1" x14ac:dyDescent="0.25">
      <c r="A556" s="10" t="s">
        <v>459</v>
      </c>
      <c r="B556" s="5"/>
      <c r="C556" s="41"/>
      <c r="D556" s="53">
        <f>Structure!AY124</f>
        <v>8.375</v>
      </c>
      <c r="E556" s="54" t="e">
        <f t="shared" si="26"/>
        <v>#N/A</v>
      </c>
      <c r="F556" s="55" t="e">
        <f t="shared" si="27"/>
        <v>#N/A</v>
      </c>
      <c r="G556" s="48"/>
      <c r="H556" s="48"/>
      <c r="I556" s="5"/>
      <c r="J556" s="2068"/>
      <c r="K556" s="64" t="s">
        <v>80</v>
      </c>
      <c r="L556" s="68" t="s">
        <v>204</v>
      </c>
      <c r="M556" s="63">
        <v>3</v>
      </c>
      <c r="N556" s="978" t="s">
        <v>254</v>
      </c>
      <c r="O556" s="978"/>
      <c r="P556" s="978"/>
      <c r="Q556" s="978"/>
      <c r="R556" s="978"/>
      <c r="S556" s="1362" t="s">
        <v>602</v>
      </c>
      <c r="T556" s="1607">
        <v>0.5</v>
      </c>
      <c r="U556" s="1608">
        <v>0.5</v>
      </c>
      <c r="V556" s="1608">
        <v>0.125</v>
      </c>
      <c r="W556" s="1608">
        <v>-0.125</v>
      </c>
      <c r="X556" s="1608">
        <v>-0.25</v>
      </c>
      <c r="Y556" s="1608">
        <v>-0.625</v>
      </c>
      <c r="Z556" s="1626">
        <v>-1.125</v>
      </c>
      <c r="AA556" s="1633">
        <v>-4.125</v>
      </c>
      <c r="AB556" s="1353" t="e">
        <v>#N/A</v>
      </c>
      <c r="AC556" s="47"/>
      <c r="AF556" s="218"/>
    </row>
    <row r="557" spans="1:32" ht="14.45" hidden="1" customHeight="1" x14ac:dyDescent="0.25">
      <c r="A557" s="10" t="s">
        <v>459</v>
      </c>
      <c r="B557" s="5"/>
      <c r="C557" s="41"/>
      <c r="D557" s="53">
        <f>Structure!AY125</f>
        <v>8.25</v>
      </c>
      <c r="E557" s="54" t="e">
        <f t="shared" si="26"/>
        <v>#N/A</v>
      </c>
      <c r="F557" s="55" t="e">
        <f t="shared" si="27"/>
        <v>#N/A</v>
      </c>
      <c r="G557" s="48"/>
      <c r="H557" s="48"/>
      <c r="I557" s="5"/>
      <c r="J557" s="2068"/>
      <c r="K557" s="61">
        <v>1099</v>
      </c>
      <c r="L557" s="62"/>
      <c r="M557" s="63"/>
      <c r="N557" s="978" t="s">
        <v>253</v>
      </c>
      <c r="O557" s="978"/>
      <c r="P557" s="978"/>
      <c r="Q557" s="978"/>
      <c r="R557" s="978"/>
      <c r="S557" s="1362" t="s">
        <v>603</v>
      </c>
      <c r="T557" s="1607">
        <v>0.375</v>
      </c>
      <c r="U557" s="1608">
        <v>0.375</v>
      </c>
      <c r="V557" s="1608">
        <v>0.125</v>
      </c>
      <c r="W557" s="1608">
        <v>-0.125</v>
      </c>
      <c r="X557" s="1608">
        <v>-0.5</v>
      </c>
      <c r="Y557" s="1608">
        <v>-0.75</v>
      </c>
      <c r="Z557" s="1626">
        <v>-1.375</v>
      </c>
      <c r="AA557" s="1633">
        <v>-4.625</v>
      </c>
      <c r="AB557" s="1353" t="e">
        <v>#N/A</v>
      </c>
      <c r="AC557" s="47"/>
      <c r="AF557" s="218"/>
    </row>
    <row r="558" spans="1:32" ht="14.45" hidden="1" customHeight="1" x14ac:dyDescent="0.25">
      <c r="A558" s="10" t="s">
        <v>459</v>
      </c>
      <c r="B558" s="5"/>
      <c r="C558" s="41"/>
      <c r="D558" s="53">
        <f>Structure!AY126</f>
        <v>8.125</v>
      </c>
      <c r="E558" s="54" t="e">
        <f t="shared" si="26"/>
        <v>#N/A</v>
      </c>
      <c r="F558" s="55" t="e">
        <f t="shared" si="27"/>
        <v>#N/A</v>
      </c>
      <c r="G558" s="48"/>
      <c r="H558" s="48"/>
      <c r="I558" s="5"/>
      <c r="J558" s="2068"/>
      <c r="K558" s="64"/>
      <c r="L558" s="65"/>
      <c r="M558" s="63"/>
      <c r="N558" s="978" t="s">
        <v>3</v>
      </c>
      <c r="O558" s="978"/>
      <c r="P558" s="978"/>
      <c r="Q558" s="978"/>
      <c r="R558" s="978"/>
      <c r="S558" s="1362" t="s">
        <v>604</v>
      </c>
      <c r="T558" s="1607">
        <v>0.25</v>
      </c>
      <c r="U558" s="1608">
        <v>0.25</v>
      </c>
      <c r="V558" s="1608">
        <v>0</v>
      </c>
      <c r="W558" s="1608">
        <v>-0.25</v>
      </c>
      <c r="X558" s="1608">
        <v>-0.625</v>
      </c>
      <c r="Y558" s="1608">
        <v>-1.125</v>
      </c>
      <c r="Z558" s="1626">
        <v>-2</v>
      </c>
      <c r="AA558" s="1633">
        <v>-5.625</v>
      </c>
      <c r="AB558" s="1353" t="e">
        <v>#N/A</v>
      </c>
      <c r="AC558" s="47"/>
      <c r="AF558" s="218"/>
    </row>
    <row r="559" spans="1:32" ht="14.45" hidden="1" customHeight="1" x14ac:dyDescent="0.25">
      <c r="A559" s="10" t="s">
        <v>459</v>
      </c>
      <c r="B559" s="5"/>
      <c r="C559" s="41"/>
      <c r="D559" s="53">
        <f>Structure!AY127</f>
        <v>8</v>
      </c>
      <c r="E559" s="54" t="e">
        <f t="shared" si="26"/>
        <v>#N/A</v>
      </c>
      <c r="F559" s="55" t="e">
        <f t="shared" si="27"/>
        <v>#N/A</v>
      </c>
      <c r="G559" s="48"/>
      <c r="H559" s="48"/>
      <c r="I559" s="5"/>
      <c r="J559" s="2068"/>
      <c r="K559" s="64"/>
      <c r="L559" s="65"/>
      <c r="M559" s="63"/>
      <c r="N559" s="978" t="s">
        <v>5</v>
      </c>
      <c r="O559" s="978"/>
      <c r="P559" s="978"/>
      <c r="Q559" s="978"/>
      <c r="R559" s="978"/>
      <c r="S559" s="1362" t="s">
        <v>605</v>
      </c>
      <c r="T559" s="1607">
        <v>-0.125</v>
      </c>
      <c r="U559" s="1608">
        <v>-0.125</v>
      </c>
      <c r="V559" s="1608">
        <v>-0.375</v>
      </c>
      <c r="W559" s="1608">
        <v>-0.625</v>
      </c>
      <c r="X559" s="1608">
        <v>-1.125</v>
      </c>
      <c r="Y559" s="1608">
        <v>-1.875</v>
      </c>
      <c r="Z559" s="1626">
        <v>-2.5</v>
      </c>
      <c r="AA559" s="1633">
        <v>-6.375</v>
      </c>
      <c r="AB559" s="1353" t="e">
        <v>#N/A</v>
      </c>
      <c r="AC559" s="47"/>
      <c r="AF559" s="218"/>
    </row>
    <row r="560" spans="1:32" ht="14.45" hidden="1" customHeight="1" x14ac:dyDescent="0.25">
      <c r="A560" s="10" t="s">
        <v>459</v>
      </c>
      <c r="B560" s="5"/>
      <c r="C560" s="41"/>
      <c r="D560" s="53">
        <f>Structure!AY128</f>
        <v>7.875</v>
      </c>
      <c r="E560" s="54" t="e">
        <f t="shared" si="26"/>
        <v>#N/A</v>
      </c>
      <c r="F560" s="55" t="e">
        <f t="shared" si="27"/>
        <v>#N/A</v>
      </c>
      <c r="G560" s="48"/>
      <c r="H560" s="48"/>
      <c r="I560" s="5"/>
      <c r="J560" s="2068"/>
      <c r="K560" s="64"/>
      <c r="L560" s="65"/>
      <c r="M560" s="63"/>
      <c r="N560" s="978" t="s">
        <v>6</v>
      </c>
      <c r="O560" s="978"/>
      <c r="P560" s="978"/>
      <c r="Q560" s="978"/>
      <c r="R560" s="978"/>
      <c r="S560" s="1362" t="s">
        <v>606</v>
      </c>
      <c r="T560" s="1607">
        <v>-0.5</v>
      </c>
      <c r="U560" s="1608">
        <v>-0.5</v>
      </c>
      <c r="V560" s="1608">
        <v>-1</v>
      </c>
      <c r="W560" s="1608">
        <v>-1.5</v>
      </c>
      <c r="X560" s="1608">
        <v>-2</v>
      </c>
      <c r="Y560" s="1608">
        <v>-3.125</v>
      </c>
      <c r="Z560" s="1626">
        <v>-4</v>
      </c>
      <c r="AA560" s="1753" t="e">
        <v>#N/A</v>
      </c>
      <c r="AB560" s="1353" t="e">
        <v>#N/A</v>
      </c>
      <c r="AC560" s="47"/>
      <c r="AF560" s="218"/>
    </row>
    <row r="561" spans="1:34" ht="14.45" hidden="1" customHeight="1" x14ac:dyDescent="0.25">
      <c r="A561" s="10" t="s">
        <v>459</v>
      </c>
      <c r="B561" s="5"/>
      <c r="C561" s="41"/>
      <c r="D561" s="53">
        <f>Structure!AY129</f>
        <v>7.75</v>
      </c>
      <c r="E561" s="54" t="e">
        <f t="shared" si="26"/>
        <v>#N/A</v>
      </c>
      <c r="F561" s="55" t="e">
        <f t="shared" si="27"/>
        <v>#N/A</v>
      </c>
      <c r="G561" s="48"/>
      <c r="H561" s="48"/>
      <c r="I561" s="5"/>
      <c r="J561" s="2068"/>
      <c r="K561" s="90"/>
      <c r="L561" s="91"/>
      <c r="M561" s="63"/>
      <c r="N561" s="978" t="s">
        <v>7</v>
      </c>
      <c r="O561" s="978"/>
      <c r="P561" s="978"/>
      <c r="Q561" s="978"/>
      <c r="R561" s="978"/>
      <c r="S561" s="1362" t="s">
        <v>607</v>
      </c>
      <c r="T561" s="1607">
        <v>-1</v>
      </c>
      <c r="U561" s="1608">
        <v>-1.375</v>
      </c>
      <c r="V561" s="1608">
        <v>-1.625</v>
      </c>
      <c r="W561" s="1608">
        <v>-2.75</v>
      </c>
      <c r="X561" s="1608">
        <v>-3.375</v>
      </c>
      <c r="Y561" s="1608">
        <v>-4.25</v>
      </c>
      <c r="Z561" s="1626">
        <v>-5.375</v>
      </c>
      <c r="AA561" s="1753" t="e">
        <v>#N/A</v>
      </c>
      <c r="AB561" s="1353" t="e">
        <v>#N/A</v>
      </c>
      <c r="AC561" s="47"/>
      <c r="AF561" s="218"/>
    </row>
    <row r="562" spans="1:34" ht="14.45" hidden="1" customHeight="1" x14ac:dyDescent="0.25">
      <c r="A562" s="10" t="s">
        <v>459</v>
      </c>
      <c r="B562" s="5"/>
      <c r="C562" s="41"/>
      <c r="D562" s="53">
        <f>Structure!AY130</f>
        <v>7.625</v>
      </c>
      <c r="E562" s="54" t="e">
        <f t="shared" si="26"/>
        <v>#N/A</v>
      </c>
      <c r="F562" s="55" t="e">
        <f t="shared" si="27"/>
        <v>#N/A</v>
      </c>
      <c r="G562" s="48"/>
      <c r="H562" s="48"/>
      <c r="I562" s="5"/>
      <c r="J562" s="2067" t="s">
        <v>208</v>
      </c>
      <c r="K562" s="58"/>
      <c r="L562" s="59"/>
      <c r="M562" s="67"/>
      <c r="N562" s="998" t="s">
        <v>1101</v>
      </c>
      <c r="O562" s="1042"/>
      <c r="P562" s="1042"/>
      <c r="Q562" s="1042"/>
      <c r="R562" s="1042"/>
      <c r="S562" s="1392" t="s">
        <v>1114</v>
      </c>
      <c r="T562" s="1604">
        <v>0.25</v>
      </c>
      <c r="U562" s="1605">
        <v>0.25</v>
      </c>
      <c r="V562" s="1605">
        <v>-0.125</v>
      </c>
      <c r="W562" s="1605">
        <v>-0.375</v>
      </c>
      <c r="X562" s="1605">
        <v>-0.625</v>
      </c>
      <c r="Y562" s="1605">
        <v>-1</v>
      </c>
      <c r="Z562" s="1636" t="e">
        <v>#N/A</v>
      </c>
      <c r="AA562" s="1754" t="e">
        <v>#N/A</v>
      </c>
      <c r="AB562" s="1353" t="e">
        <v>#N/A</v>
      </c>
      <c r="AC562" s="47"/>
      <c r="AF562" s="218"/>
    </row>
    <row r="563" spans="1:34" ht="14.45" hidden="1" customHeight="1" x14ac:dyDescent="0.25">
      <c r="A563" s="10" t="s">
        <v>459</v>
      </c>
      <c r="B563" s="5"/>
      <c r="C563" s="41"/>
      <c r="D563" s="53">
        <f>Structure!AY131</f>
        <v>7.5</v>
      </c>
      <c r="E563" s="54" t="e">
        <f t="shared" ref="E563:E567" si="28">INDEX(Lookup_NoteRateAll,MATCH("IN_"&amp;RIGHT("000"&amp;TRUNC(D563),3)&amp;TEXT(D563-TRUNC(D563),".0000000000"),Lookup_NoteRateText,0),3)</f>
        <v>#N/A</v>
      </c>
      <c r="F563" s="55" t="e">
        <f t="shared" ref="F563:F567" si="29">INDEX(Lookup_NoteRateAll,MATCH("IN_"&amp;RIGHT("000"&amp;TRUNC(D563),3)&amp;TEXT(D563-TRUNC(D563),".0000000000"),Lookup_NoteRateText,0),4)</f>
        <v>#N/A</v>
      </c>
      <c r="G563" s="48"/>
      <c r="H563" s="48"/>
      <c r="I563" s="5"/>
      <c r="J563" s="2068"/>
      <c r="K563" s="206"/>
      <c r="L563" s="207"/>
      <c r="M563" s="209"/>
      <c r="N563" s="999" t="s">
        <v>1100</v>
      </c>
      <c r="O563" s="977"/>
      <c r="P563" s="977"/>
      <c r="Q563" s="977"/>
      <c r="R563" s="977"/>
      <c r="S563" s="1361" t="s">
        <v>1115</v>
      </c>
      <c r="T563" s="1607">
        <v>0.25</v>
      </c>
      <c r="U563" s="1608">
        <v>0.25</v>
      </c>
      <c r="V563" s="1608">
        <v>-0.125</v>
      </c>
      <c r="W563" s="1608">
        <v>-0.375</v>
      </c>
      <c r="X563" s="1608">
        <v>-0.625</v>
      </c>
      <c r="Y563" s="1608">
        <v>-1.125</v>
      </c>
      <c r="Z563" s="1637" t="e">
        <v>#N/A</v>
      </c>
      <c r="AA563" s="1753" t="e">
        <v>#N/A</v>
      </c>
      <c r="AB563" s="1353" t="e">
        <v>#N/A</v>
      </c>
      <c r="AC563" s="47"/>
      <c r="AF563" s="218"/>
    </row>
    <row r="564" spans="1:34" ht="14.45" hidden="1" customHeight="1" x14ac:dyDescent="0.25">
      <c r="A564" s="10" t="s">
        <v>459</v>
      </c>
      <c r="B564" s="5"/>
      <c r="C564" s="41"/>
      <c r="D564" s="53">
        <f>Structure!AY132</f>
        <v>7.375</v>
      </c>
      <c r="E564" s="54" t="e">
        <f t="shared" si="28"/>
        <v>#N/A</v>
      </c>
      <c r="F564" s="55" t="e">
        <f t="shared" si="29"/>
        <v>#N/A</v>
      </c>
      <c r="G564" s="48"/>
      <c r="H564" s="48"/>
      <c r="I564" s="5"/>
      <c r="J564" s="2068"/>
      <c r="K564" s="64" t="s">
        <v>251</v>
      </c>
      <c r="L564" s="62"/>
      <c r="M564" s="63">
        <v>13</v>
      </c>
      <c r="N564" s="978" t="s">
        <v>254</v>
      </c>
      <c r="O564" s="978"/>
      <c r="P564" s="978"/>
      <c r="Q564" s="978"/>
      <c r="R564" s="978"/>
      <c r="S564" s="1362" t="s">
        <v>608</v>
      </c>
      <c r="T564" s="1607">
        <v>0.25</v>
      </c>
      <c r="U564" s="1608">
        <v>0.25</v>
      </c>
      <c r="V564" s="1608">
        <v>-0.125</v>
      </c>
      <c r="W564" s="1608">
        <v>-0.375</v>
      </c>
      <c r="X564" s="1608">
        <v>-0.625</v>
      </c>
      <c r="Y564" s="1608">
        <v>-1.125</v>
      </c>
      <c r="Z564" s="1637" t="e">
        <v>#N/A</v>
      </c>
      <c r="AA564" s="1753" t="e">
        <v>#N/A</v>
      </c>
      <c r="AB564" s="1353" t="e">
        <v>#N/A</v>
      </c>
      <c r="AC564" s="47"/>
      <c r="AF564" s="218"/>
    </row>
    <row r="565" spans="1:34" ht="14.45" hidden="1" customHeight="1" x14ac:dyDescent="0.25">
      <c r="A565" s="10" t="s">
        <v>459</v>
      </c>
      <c r="B565" s="5"/>
      <c r="C565" s="41"/>
      <c r="D565" s="53">
        <f>Structure!AY133</f>
        <v>7.25</v>
      </c>
      <c r="E565" s="54" t="e">
        <f t="shared" si="28"/>
        <v>#N/A</v>
      </c>
      <c r="F565" s="55" t="e">
        <f t="shared" si="29"/>
        <v>#N/A</v>
      </c>
      <c r="G565" s="48"/>
      <c r="H565" s="48"/>
      <c r="I565" s="5"/>
      <c r="J565" s="2068"/>
      <c r="K565" s="61"/>
      <c r="L565" s="62"/>
      <c r="M565" s="63"/>
      <c r="N565" s="978" t="s">
        <v>253</v>
      </c>
      <c r="O565" s="978"/>
      <c r="P565" s="978"/>
      <c r="Q565" s="978"/>
      <c r="R565" s="978"/>
      <c r="S565" s="1362" t="s">
        <v>609</v>
      </c>
      <c r="T565" s="1607">
        <v>0.125</v>
      </c>
      <c r="U565" s="1608">
        <v>0.125</v>
      </c>
      <c r="V565" s="1608">
        <v>-0.125</v>
      </c>
      <c r="W565" s="1608">
        <v>-0.375</v>
      </c>
      <c r="X565" s="1608">
        <v>-0.875</v>
      </c>
      <c r="Y565" s="1608">
        <v>-1.25</v>
      </c>
      <c r="Z565" s="1637" t="e">
        <v>#N/A</v>
      </c>
      <c r="AA565" s="1753" t="e">
        <v>#N/A</v>
      </c>
      <c r="AB565" s="1353" t="e">
        <v>#N/A</v>
      </c>
      <c r="AC565" s="47"/>
      <c r="AF565" s="218"/>
    </row>
    <row r="566" spans="1:34" ht="14.45" hidden="1" customHeight="1" x14ac:dyDescent="0.25">
      <c r="A566" s="10" t="s">
        <v>459</v>
      </c>
      <c r="B566" s="5"/>
      <c r="C566" s="41"/>
      <c r="D566" s="53">
        <f>Structure!AY134</f>
        <v>7.125</v>
      </c>
      <c r="E566" s="54" t="e">
        <f t="shared" si="28"/>
        <v>#N/A</v>
      </c>
      <c r="F566" s="55" t="e">
        <f t="shared" si="29"/>
        <v>#N/A</v>
      </c>
      <c r="G566" s="48"/>
      <c r="H566" s="48"/>
      <c r="I566" s="5"/>
      <c r="J566" s="2068"/>
      <c r="K566" s="86"/>
      <c r="L566" s="19"/>
      <c r="M566" s="63"/>
      <c r="N566" s="978" t="s">
        <v>3</v>
      </c>
      <c r="O566" s="978"/>
      <c r="P566" s="978"/>
      <c r="Q566" s="978"/>
      <c r="R566" s="978"/>
      <c r="S566" s="1362" t="s">
        <v>610</v>
      </c>
      <c r="T566" s="1607">
        <v>0</v>
      </c>
      <c r="U566" s="1608">
        <v>0</v>
      </c>
      <c r="V566" s="1608">
        <v>-0.25</v>
      </c>
      <c r="W566" s="1608">
        <v>-0.5</v>
      </c>
      <c r="X566" s="1608">
        <v>-1</v>
      </c>
      <c r="Y566" s="1608">
        <v>-1.625</v>
      </c>
      <c r="Z566" s="1637" t="e">
        <v>#N/A</v>
      </c>
      <c r="AA566" s="1753" t="e">
        <v>#N/A</v>
      </c>
      <c r="AB566" s="1353" t="e">
        <v>#N/A</v>
      </c>
      <c r="AC566" s="47"/>
      <c r="AF566" s="218"/>
    </row>
    <row r="567" spans="1:34" ht="14.45" hidden="1" customHeight="1" x14ac:dyDescent="0.25">
      <c r="A567" s="10" t="s">
        <v>459</v>
      </c>
      <c r="B567" s="5"/>
      <c r="C567" s="41"/>
      <c r="D567" s="53">
        <f>Structure!AY135</f>
        <v>7</v>
      </c>
      <c r="E567" s="54" t="e">
        <f t="shared" si="28"/>
        <v>#N/A</v>
      </c>
      <c r="F567" s="55" t="e">
        <f t="shared" si="29"/>
        <v>#N/A</v>
      </c>
      <c r="G567" s="48"/>
      <c r="H567" s="48"/>
      <c r="I567" s="5"/>
      <c r="J567" s="2068"/>
      <c r="K567" s="66"/>
      <c r="L567" s="44"/>
      <c r="M567" s="63"/>
      <c r="N567" s="978" t="s">
        <v>5</v>
      </c>
      <c r="O567" s="978"/>
      <c r="P567" s="978"/>
      <c r="Q567" s="978"/>
      <c r="R567" s="978"/>
      <c r="S567" s="1362" t="s">
        <v>611</v>
      </c>
      <c r="T567" s="1607">
        <v>-0.375</v>
      </c>
      <c r="U567" s="1608">
        <v>-0.375</v>
      </c>
      <c r="V567" s="1608">
        <v>-0.625</v>
      </c>
      <c r="W567" s="1608">
        <v>-0.875</v>
      </c>
      <c r="X567" s="1608">
        <v>-1.5</v>
      </c>
      <c r="Y567" s="1608">
        <v>-2.375</v>
      </c>
      <c r="Z567" s="1637" t="e">
        <v>#N/A</v>
      </c>
      <c r="AA567" s="1753" t="e">
        <v>#N/A</v>
      </c>
      <c r="AB567" s="1353" t="e">
        <v>#N/A</v>
      </c>
      <c r="AC567" s="47"/>
      <c r="AF567" s="218"/>
    </row>
    <row r="568" spans="1:34" ht="14.45" hidden="1" customHeight="1" x14ac:dyDescent="0.25">
      <c r="A568" s="10" t="s">
        <v>459</v>
      </c>
      <c r="B568" s="5"/>
      <c r="C568" s="41"/>
      <c r="D568" s="53">
        <f>Structure!AY136</f>
        <v>6.875</v>
      </c>
      <c r="E568" s="54" t="e">
        <f t="shared" ref="E568:E569" si="30">INDEX(Lookup_NoteRateAll,MATCH("IN_"&amp;RIGHT("000"&amp;TRUNC(D568),3)&amp;TEXT(D568-TRUNC(D568),".0000000000"),Lookup_NoteRateText,0),3)</f>
        <v>#N/A</v>
      </c>
      <c r="F568" s="55" t="e">
        <f t="shared" ref="F568:F569" si="31">INDEX(Lookup_NoteRateAll,MATCH("IN_"&amp;RIGHT("000"&amp;TRUNC(D568),3)&amp;TEXT(D568-TRUNC(D568),".0000000000"),Lookup_NoteRateText,0),4)</f>
        <v>#N/A</v>
      </c>
      <c r="G568" s="48"/>
      <c r="H568" s="48"/>
      <c r="I568" s="5"/>
      <c r="J568" s="2068"/>
      <c r="K568" s="66"/>
      <c r="L568" s="44"/>
      <c r="M568" s="63"/>
      <c r="N568" s="978" t="s">
        <v>6</v>
      </c>
      <c r="O568" s="978"/>
      <c r="P568" s="978"/>
      <c r="Q568" s="978"/>
      <c r="R568" s="978"/>
      <c r="S568" s="1362" t="s">
        <v>612</v>
      </c>
      <c r="T568" s="1607">
        <v>-0.875</v>
      </c>
      <c r="U568" s="1608">
        <v>-0.875</v>
      </c>
      <c r="V568" s="1608">
        <v>-1.375</v>
      </c>
      <c r="W568" s="1608">
        <v>-1.875</v>
      </c>
      <c r="X568" s="1608">
        <v>-2.5</v>
      </c>
      <c r="Y568" s="1608">
        <v>-3.75</v>
      </c>
      <c r="Z568" s="1637" t="e">
        <v>#N/A</v>
      </c>
      <c r="AA568" s="1753" t="e">
        <v>#N/A</v>
      </c>
      <c r="AB568" s="1353" t="e">
        <v>#N/A</v>
      </c>
      <c r="AC568" s="47"/>
      <c r="AF568" s="218"/>
    </row>
    <row r="569" spans="1:34" ht="14.45" hidden="1" customHeight="1" x14ac:dyDescent="0.25">
      <c r="A569" s="10" t="s">
        <v>459</v>
      </c>
      <c r="B569" s="5"/>
      <c r="C569" s="41"/>
      <c r="D569" s="53">
        <f>Structure!AY137</f>
        <v>6.75</v>
      </c>
      <c r="E569" s="54" t="e">
        <f t="shared" si="30"/>
        <v>#N/A</v>
      </c>
      <c r="F569" s="55" t="e">
        <f t="shared" si="31"/>
        <v>#N/A</v>
      </c>
      <c r="G569" s="48"/>
      <c r="H569" s="48"/>
      <c r="I569" s="5"/>
      <c r="J569" s="2068"/>
      <c r="K569" s="61"/>
      <c r="L569" s="62"/>
      <c r="M569" s="63"/>
      <c r="N569" s="978" t="s">
        <v>7</v>
      </c>
      <c r="O569" s="978"/>
      <c r="P569" s="978"/>
      <c r="Q569" s="978"/>
      <c r="R569" s="978"/>
      <c r="S569" s="1362" t="s">
        <v>613</v>
      </c>
      <c r="T569" s="1607">
        <v>-1.375</v>
      </c>
      <c r="U569" s="1608">
        <v>-1.75</v>
      </c>
      <c r="V569" s="1608">
        <v>-2</v>
      </c>
      <c r="W569" s="1608">
        <v>-3.125</v>
      </c>
      <c r="X569" s="1608">
        <v>-3.875</v>
      </c>
      <c r="Y569" s="1745" t="s">
        <v>2197</v>
      </c>
      <c r="Z569" s="1637" t="e">
        <v>#N/A</v>
      </c>
      <c r="AA569" s="1753" t="e">
        <v>#N/A</v>
      </c>
      <c r="AB569" s="1353" t="e">
        <v>#N/A</v>
      </c>
      <c r="AC569" s="47"/>
      <c r="AE569"/>
      <c r="AF569"/>
      <c r="AG569"/>
      <c r="AH569"/>
    </row>
    <row r="570" spans="1:34" ht="14.45" hidden="1" customHeight="1" x14ac:dyDescent="0.25">
      <c r="A570" s="10" t="s">
        <v>459</v>
      </c>
      <c r="B570" s="5"/>
      <c r="C570" s="41"/>
      <c r="D570" s="53">
        <f>Structure!AY138</f>
        <v>6.625</v>
      </c>
      <c r="E570" s="54" t="e">
        <f t="shared" ref="E570" si="32">INDEX(Lookup_NoteRateAll,MATCH("IN_"&amp;RIGHT("000"&amp;TRUNC(D570),3)&amp;TEXT(D570-TRUNC(D570),".0000000000"),Lookup_NoteRateText,0),3)</f>
        <v>#N/A</v>
      </c>
      <c r="F570" s="55" t="e">
        <f t="shared" ref="F570" si="33">INDEX(Lookup_NoteRateAll,MATCH("IN_"&amp;RIGHT("000"&amp;TRUNC(D570),3)&amp;TEXT(D570-TRUNC(D570),".0000000000"),Lookup_NoteRateText,0),4)</f>
        <v>#N/A</v>
      </c>
      <c r="G570" s="48"/>
      <c r="H570" s="48"/>
      <c r="I570" s="5"/>
      <c r="J570" s="2076" t="s">
        <v>349</v>
      </c>
      <c r="K570" s="58"/>
      <c r="L570" s="59"/>
      <c r="M570" s="67"/>
      <c r="N570" s="998" t="s">
        <v>1101</v>
      </c>
      <c r="O570" s="1042"/>
      <c r="P570" s="1042"/>
      <c r="Q570" s="1042"/>
      <c r="R570" s="1042"/>
      <c r="S570" s="1392" t="s">
        <v>1116</v>
      </c>
      <c r="T570" s="1604">
        <v>0.125</v>
      </c>
      <c r="U570" s="1605">
        <v>0.125</v>
      </c>
      <c r="V570" s="1605">
        <v>-0.25</v>
      </c>
      <c r="W570" s="1605">
        <v>-0.5</v>
      </c>
      <c r="X570" s="1605">
        <v>-0.75</v>
      </c>
      <c r="Y570" s="1605">
        <v>-1.25</v>
      </c>
      <c r="Z570" s="1625">
        <v>-3.5</v>
      </c>
      <c r="AA570" s="1754" t="e">
        <v>#N/A</v>
      </c>
      <c r="AB570" s="1353" t="e">
        <v>#N/A</v>
      </c>
      <c r="AC570" s="47"/>
      <c r="AE570"/>
      <c r="AF570"/>
      <c r="AG570"/>
      <c r="AH570"/>
    </row>
    <row r="571" spans="1:34" ht="14.45" hidden="1" customHeight="1" x14ac:dyDescent="0.25">
      <c r="A571" s="10" t="s">
        <v>459</v>
      </c>
      <c r="B571" s="5"/>
      <c r="C571" s="41"/>
      <c r="D571" s="48"/>
      <c r="E571" s="48"/>
      <c r="F571" s="48"/>
      <c r="G571" s="48"/>
      <c r="H571" s="48"/>
      <c r="I571" s="5"/>
      <c r="J571" s="2077"/>
      <c r="K571" s="206"/>
      <c r="L571" s="207"/>
      <c r="M571" s="209"/>
      <c r="N571" s="999" t="s">
        <v>1100</v>
      </c>
      <c r="O571" s="977"/>
      <c r="P571" s="977"/>
      <c r="Q571" s="977"/>
      <c r="R571" s="977"/>
      <c r="S571" s="1361" t="s">
        <v>1117</v>
      </c>
      <c r="T571" s="1607">
        <v>0.125</v>
      </c>
      <c r="U571" s="1608">
        <v>0.125</v>
      </c>
      <c r="V571" s="1608">
        <v>-0.25</v>
      </c>
      <c r="W571" s="1608">
        <v>-0.5</v>
      </c>
      <c r="X571" s="1608">
        <v>-0.75</v>
      </c>
      <c r="Y571" s="1608">
        <v>-1.25</v>
      </c>
      <c r="Z571" s="1626">
        <v>-3.5</v>
      </c>
      <c r="AA571" s="1753" t="e">
        <v>#N/A</v>
      </c>
      <c r="AB571" s="1353" t="e">
        <v>#N/A</v>
      </c>
      <c r="AC571" s="47"/>
      <c r="AE571"/>
      <c r="AF571"/>
      <c r="AG571"/>
      <c r="AH571"/>
    </row>
    <row r="572" spans="1:34" ht="14.45" hidden="1" customHeight="1" x14ac:dyDescent="0.25">
      <c r="A572" s="10" t="s">
        <v>459</v>
      </c>
      <c r="B572" s="5"/>
      <c r="C572" s="41"/>
      <c r="D572" s="48"/>
      <c r="E572" s="48"/>
      <c r="F572" s="48"/>
      <c r="G572" s="48"/>
      <c r="H572" s="48"/>
      <c r="I572" s="5"/>
      <c r="J572" s="2078"/>
      <c r="K572" s="64" t="s">
        <v>348</v>
      </c>
      <c r="L572" s="62"/>
      <c r="M572" s="63">
        <v>7</v>
      </c>
      <c r="N572" s="978" t="s">
        <v>254</v>
      </c>
      <c r="O572" s="978"/>
      <c r="P572" s="978"/>
      <c r="Q572" s="978"/>
      <c r="R572" s="978"/>
      <c r="S572" s="1362" t="s">
        <v>614</v>
      </c>
      <c r="T572" s="1607">
        <v>0.125</v>
      </c>
      <c r="U572" s="1608">
        <v>0.125</v>
      </c>
      <c r="V572" s="1608">
        <v>-0.25</v>
      </c>
      <c r="W572" s="1608">
        <v>-0.5</v>
      </c>
      <c r="X572" s="1608">
        <v>-0.75</v>
      </c>
      <c r="Y572" s="1608">
        <v>-1.25</v>
      </c>
      <c r="Z572" s="1626">
        <v>-3.5</v>
      </c>
      <c r="AA572" s="1753" t="e">
        <v>#N/A</v>
      </c>
      <c r="AB572" s="1353" t="e">
        <v>#N/A</v>
      </c>
      <c r="AC572" s="47"/>
      <c r="AE572"/>
      <c r="AF572"/>
      <c r="AG572"/>
      <c r="AH572"/>
    </row>
    <row r="573" spans="1:34" ht="14.45" hidden="1" customHeight="1" x14ac:dyDescent="0.25">
      <c r="A573" s="10" t="s">
        <v>459</v>
      </c>
      <c r="B573" s="5"/>
      <c r="C573" s="41"/>
      <c r="D573" s="48"/>
      <c r="E573" s="48"/>
      <c r="F573" s="48"/>
      <c r="G573" s="48"/>
      <c r="H573" s="48"/>
      <c r="I573" s="5"/>
      <c r="J573" s="2078"/>
      <c r="K573" s="61"/>
      <c r="L573" s="91"/>
      <c r="M573" s="63"/>
      <c r="N573" s="978" t="s">
        <v>253</v>
      </c>
      <c r="O573" s="978"/>
      <c r="P573" s="978"/>
      <c r="Q573" s="978"/>
      <c r="R573" s="978"/>
      <c r="S573" s="1362" t="s">
        <v>615</v>
      </c>
      <c r="T573" s="1607">
        <v>0</v>
      </c>
      <c r="U573" s="1608">
        <v>0</v>
      </c>
      <c r="V573" s="1608">
        <v>-0.25</v>
      </c>
      <c r="W573" s="1608">
        <v>-0.5</v>
      </c>
      <c r="X573" s="1608">
        <v>-1</v>
      </c>
      <c r="Y573" s="1608">
        <v>-1.375</v>
      </c>
      <c r="Z573" s="1626">
        <v>-3.625</v>
      </c>
      <c r="AA573" s="1753" t="e">
        <v>#N/A</v>
      </c>
      <c r="AB573" s="1353" t="e">
        <v>#N/A</v>
      </c>
      <c r="AC573" s="47"/>
      <c r="AE573"/>
      <c r="AF573"/>
      <c r="AG573"/>
      <c r="AH573"/>
    </row>
    <row r="574" spans="1:34" ht="14.45" hidden="1" customHeight="1" x14ac:dyDescent="0.25">
      <c r="A574" s="10" t="s">
        <v>459</v>
      </c>
      <c r="B574" s="5"/>
      <c r="C574" s="41"/>
      <c r="D574" s="48"/>
      <c r="E574" s="48"/>
      <c r="F574" s="48"/>
      <c r="G574" s="48"/>
      <c r="H574" s="48"/>
      <c r="I574" s="5"/>
      <c r="J574" s="2078"/>
      <c r="K574" s="90"/>
      <c r="L574" s="91"/>
      <c r="M574" s="63"/>
      <c r="N574" s="978" t="s">
        <v>3</v>
      </c>
      <c r="O574" s="978"/>
      <c r="P574" s="978"/>
      <c r="Q574" s="978"/>
      <c r="R574" s="978"/>
      <c r="S574" s="1362" t="s">
        <v>616</v>
      </c>
      <c r="T574" s="1607">
        <v>-0.125</v>
      </c>
      <c r="U574" s="1608">
        <v>-0.125</v>
      </c>
      <c r="V574" s="1608">
        <v>-0.375</v>
      </c>
      <c r="W574" s="1608">
        <v>-0.625</v>
      </c>
      <c r="X574" s="1608">
        <v>-1.125</v>
      </c>
      <c r="Y574" s="1608">
        <v>-1.75</v>
      </c>
      <c r="Z574" s="1626">
        <v>-4</v>
      </c>
      <c r="AA574" s="1753" t="e">
        <v>#N/A</v>
      </c>
      <c r="AB574" s="1353" t="e">
        <v>#N/A</v>
      </c>
      <c r="AC574" s="47"/>
      <c r="AE574"/>
      <c r="AF574"/>
      <c r="AG574"/>
      <c r="AH574"/>
    </row>
    <row r="575" spans="1:34" ht="14.45" hidden="1" customHeight="1" x14ac:dyDescent="0.25">
      <c r="A575" s="10" t="s">
        <v>459</v>
      </c>
      <c r="B575" s="5"/>
      <c r="C575" s="41"/>
      <c r="D575" s="48"/>
      <c r="E575" s="48"/>
      <c r="F575" s="48"/>
      <c r="G575" s="48"/>
      <c r="H575" s="48"/>
      <c r="I575" s="5"/>
      <c r="J575" s="2078"/>
      <c r="K575" s="90"/>
      <c r="L575" s="91"/>
      <c r="M575" s="63"/>
      <c r="N575" s="978" t="s">
        <v>5</v>
      </c>
      <c r="O575" s="978"/>
      <c r="P575" s="978"/>
      <c r="Q575" s="978"/>
      <c r="R575" s="978"/>
      <c r="S575" s="1362" t="s">
        <v>617</v>
      </c>
      <c r="T575" s="1607">
        <v>-0.5</v>
      </c>
      <c r="U575" s="1608">
        <v>-0.5</v>
      </c>
      <c r="V575" s="1608">
        <v>-0.75</v>
      </c>
      <c r="W575" s="1608">
        <v>-1</v>
      </c>
      <c r="X575" s="1608">
        <v>-1.625</v>
      </c>
      <c r="Y575" s="1608">
        <v>-2.625</v>
      </c>
      <c r="Z575" s="1637" t="e">
        <v>#N/A</v>
      </c>
      <c r="AA575" s="1753" t="e">
        <v>#N/A</v>
      </c>
      <c r="AB575" s="1353" t="e">
        <v>#N/A</v>
      </c>
      <c r="AC575" s="47"/>
      <c r="AE575"/>
      <c r="AF575"/>
      <c r="AG575"/>
      <c r="AH575"/>
    </row>
    <row r="576" spans="1:34" ht="14.45" hidden="1" customHeight="1" x14ac:dyDescent="0.25">
      <c r="A576" s="10" t="s">
        <v>459</v>
      </c>
      <c r="B576" s="5"/>
      <c r="C576" s="41"/>
      <c r="D576" s="4" t="s">
        <v>289</v>
      </c>
      <c r="G576" s="48"/>
      <c r="H576" s="48"/>
      <c r="I576" s="5"/>
      <c r="J576" s="2078"/>
      <c r="K576" s="66"/>
      <c r="L576" s="44"/>
      <c r="M576" s="63"/>
      <c r="N576" s="978" t="s">
        <v>6</v>
      </c>
      <c r="O576" s="978"/>
      <c r="P576" s="978"/>
      <c r="Q576" s="978"/>
      <c r="R576" s="978"/>
      <c r="S576" s="1362" t="s">
        <v>618</v>
      </c>
      <c r="T576" s="1607">
        <v>-1.125</v>
      </c>
      <c r="U576" s="1608">
        <v>-1.125</v>
      </c>
      <c r="V576" s="1608">
        <v>-1.625</v>
      </c>
      <c r="W576" s="1608">
        <v>-2.125</v>
      </c>
      <c r="X576" s="1608">
        <v>-2.75</v>
      </c>
      <c r="Y576" s="1608">
        <v>-4</v>
      </c>
      <c r="Z576" s="1637" t="e">
        <v>#N/A</v>
      </c>
      <c r="AA576" s="1753" t="e">
        <v>#N/A</v>
      </c>
      <c r="AB576" s="1353" t="e">
        <v>#N/A</v>
      </c>
      <c r="AC576" s="47"/>
      <c r="AE576"/>
      <c r="AF576"/>
      <c r="AG576"/>
      <c r="AH576"/>
    </row>
    <row r="577" spans="1:34" ht="14.45" hidden="1" customHeight="1" x14ac:dyDescent="0.25">
      <c r="A577" s="10" t="s">
        <v>459</v>
      </c>
      <c r="B577" s="5"/>
      <c r="C577" s="41"/>
      <c r="D577" s="48"/>
      <c r="E577" s="48"/>
      <c r="F577" s="48"/>
      <c r="G577" s="48"/>
      <c r="H577" s="48"/>
      <c r="I577" s="5"/>
      <c r="J577" s="2078"/>
      <c r="K577" s="61"/>
      <c r="L577" s="62"/>
      <c r="M577" s="63"/>
      <c r="N577" s="978" t="s">
        <v>7</v>
      </c>
      <c r="O577" s="978"/>
      <c r="P577" s="978"/>
      <c r="Q577" s="978"/>
      <c r="R577" s="978"/>
      <c r="S577" s="1362" t="s">
        <v>619</v>
      </c>
      <c r="T577" s="1607">
        <v>-1.625</v>
      </c>
      <c r="U577" s="1608">
        <v>-2</v>
      </c>
      <c r="V577" s="1608">
        <v>-2.25</v>
      </c>
      <c r="W577" s="1608">
        <v>-3.375</v>
      </c>
      <c r="X577" s="1608">
        <v>-4.125</v>
      </c>
      <c r="Y577" s="1608">
        <v>-5.125</v>
      </c>
      <c r="Z577" s="1637" t="e">
        <v>#N/A</v>
      </c>
      <c r="AA577" s="1753" t="e">
        <v>#N/A</v>
      </c>
      <c r="AB577" s="1353" t="e">
        <v>#N/A</v>
      </c>
      <c r="AC577" s="47"/>
      <c r="AE577"/>
      <c r="AF577"/>
      <c r="AG577"/>
      <c r="AH577"/>
    </row>
    <row r="578" spans="1:34" ht="14.45" hidden="1" customHeight="1" x14ac:dyDescent="0.25">
      <c r="A578" s="10" t="s">
        <v>459</v>
      </c>
      <c r="B578" s="5"/>
      <c r="C578" s="41"/>
      <c r="D578" s="11" t="s">
        <v>217</v>
      </c>
      <c r="E578" s="12"/>
      <c r="F578" s="99" t="e">
        <f>Input_PL_MaxPriceFinal_IN_NoPP</f>
        <v>#N/A</v>
      </c>
      <c r="G578" s="48"/>
      <c r="H578" s="48"/>
      <c r="I578" s="5"/>
      <c r="J578" s="2067" t="s">
        <v>207</v>
      </c>
      <c r="K578" s="58"/>
      <c r="L578" s="59"/>
      <c r="M578" s="67"/>
      <c r="N578" s="998" t="s">
        <v>1101</v>
      </c>
      <c r="O578" s="1042"/>
      <c r="P578" s="1042"/>
      <c r="Q578" s="1042"/>
      <c r="R578" s="1042"/>
      <c r="S578" s="1392" t="s">
        <v>1118</v>
      </c>
      <c r="T578" s="1604">
        <v>0.875</v>
      </c>
      <c r="U578" s="1605">
        <v>0.875</v>
      </c>
      <c r="V578" s="1605">
        <v>0.5</v>
      </c>
      <c r="W578" s="1605">
        <v>0.125</v>
      </c>
      <c r="X578" s="1605">
        <v>-0.125</v>
      </c>
      <c r="Y578" s="1605">
        <v>-0.625</v>
      </c>
      <c r="Z578" s="1625">
        <v>-2.125</v>
      </c>
      <c r="AA578" s="1754" t="e">
        <v>#N/A</v>
      </c>
      <c r="AB578" s="1353" t="e">
        <v>#N/A</v>
      </c>
      <c r="AC578" s="47"/>
      <c r="AE578"/>
      <c r="AF578"/>
      <c r="AG578"/>
      <c r="AH578"/>
    </row>
    <row r="579" spans="1:34" ht="14.45" hidden="1" customHeight="1" x14ac:dyDescent="0.25">
      <c r="A579" s="10" t="s">
        <v>459</v>
      </c>
      <c r="B579" s="5"/>
      <c r="C579" s="41"/>
      <c r="D579" s="13" t="s">
        <v>218</v>
      </c>
      <c r="E579" s="14"/>
      <c r="F579" s="100" t="e">
        <f>_xlfn.SINGLE(Input_PL_MaxPriceFinal_IN_01PP)</f>
        <v>#N/A</v>
      </c>
      <c r="G579" s="48"/>
      <c r="H579" s="48"/>
      <c r="I579" s="5"/>
      <c r="J579" s="2068"/>
      <c r="K579" s="206"/>
      <c r="L579" s="207"/>
      <c r="M579" s="209"/>
      <c r="N579" s="999" t="s">
        <v>1100</v>
      </c>
      <c r="O579" s="977"/>
      <c r="P579" s="977"/>
      <c r="Q579" s="977"/>
      <c r="R579" s="977"/>
      <c r="S579" s="1361" t="s">
        <v>1119</v>
      </c>
      <c r="T579" s="1607">
        <v>0.875</v>
      </c>
      <c r="U579" s="1608">
        <v>0.875</v>
      </c>
      <c r="V579" s="1608">
        <v>0.5</v>
      </c>
      <c r="W579" s="1608">
        <v>0.125</v>
      </c>
      <c r="X579" s="1608">
        <v>-0.125</v>
      </c>
      <c r="Y579" s="1608">
        <v>-0.625</v>
      </c>
      <c r="Z579" s="1626">
        <v>-2.125</v>
      </c>
      <c r="AA579" s="1753" t="e">
        <v>#N/A</v>
      </c>
      <c r="AB579" s="1353" t="e">
        <v>#N/A</v>
      </c>
      <c r="AC579" s="47"/>
      <c r="AE579"/>
      <c r="AF579"/>
      <c r="AG579"/>
      <c r="AH579"/>
    </row>
    <row r="580" spans="1:34" ht="14.45" hidden="1" customHeight="1" x14ac:dyDescent="0.25">
      <c r="A580" s="10" t="s">
        <v>459</v>
      </c>
      <c r="B580" s="5"/>
      <c r="C580" s="41"/>
      <c r="D580" s="20" t="s">
        <v>219</v>
      </c>
      <c r="E580" s="21"/>
      <c r="F580" s="101" t="e">
        <f>_xlfn.SINGLE(Input_PL_MaxPriceFinal_IN_02PP)</f>
        <v>#N/A</v>
      </c>
      <c r="G580" s="48"/>
      <c r="H580" s="48"/>
      <c r="I580" s="5"/>
      <c r="J580" s="2068"/>
      <c r="K580" s="61" t="s">
        <v>62</v>
      </c>
      <c r="L580" s="62"/>
      <c r="M580" s="63">
        <v>9</v>
      </c>
      <c r="N580" s="978" t="s">
        <v>254</v>
      </c>
      <c r="O580" s="978"/>
      <c r="P580" s="978"/>
      <c r="Q580" s="978"/>
      <c r="R580" s="978"/>
      <c r="S580" s="1362" t="s">
        <v>620</v>
      </c>
      <c r="T580" s="1607">
        <v>0.75</v>
      </c>
      <c r="U580" s="1608">
        <v>0.75</v>
      </c>
      <c r="V580" s="1608">
        <v>0.375</v>
      </c>
      <c r="W580" s="1608">
        <v>0</v>
      </c>
      <c r="X580" s="1608">
        <v>-0.25</v>
      </c>
      <c r="Y580" s="1608">
        <v>-0.75</v>
      </c>
      <c r="Z580" s="1626">
        <v>-2.375</v>
      </c>
      <c r="AA580" s="1753" t="e">
        <v>#N/A</v>
      </c>
      <c r="AB580" s="1353" t="e">
        <v>#N/A</v>
      </c>
      <c r="AC580" s="47"/>
      <c r="AE580"/>
      <c r="AF580"/>
      <c r="AG580"/>
      <c r="AH580"/>
    </row>
    <row r="581" spans="1:34" ht="14.45" hidden="1" customHeight="1" x14ac:dyDescent="0.25">
      <c r="A581" s="10" t="s">
        <v>459</v>
      </c>
      <c r="B581" s="5"/>
      <c r="C581" s="41"/>
      <c r="D581" s="20" t="s">
        <v>220</v>
      </c>
      <c r="E581" s="21"/>
      <c r="F581" s="101" t="e">
        <f>_xlfn.SINGLE(Input_PL_MaxPriceFinal_IN_03PP)</f>
        <v>#N/A</v>
      </c>
      <c r="G581" s="48"/>
      <c r="H581" s="48"/>
      <c r="I581" s="5"/>
      <c r="J581" s="2068"/>
      <c r="K581" s="94"/>
      <c r="L581" s="95"/>
      <c r="M581" s="63"/>
      <c r="N581" s="978" t="s">
        <v>253</v>
      </c>
      <c r="O581" s="978"/>
      <c r="P581" s="978"/>
      <c r="Q581" s="978"/>
      <c r="R581" s="978"/>
      <c r="S581" s="1362" t="s">
        <v>621</v>
      </c>
      <c r="T581" s="1607">
        <v>0.625</v>
      </c>
      <c r="U581" s="1608">
        <v>0.625</v>
      </c>
      <c r="V581" s="1608">
        <v>0.375</v>
      </c>
      <c r="W581" s="1608">
        <v>0</v>
      </c>
      <c r="X581" s="1608">
        <v>-0.5</v>
      </c>
      <c r="Y581" s="1608">
        <v>-0.875</v>
      </c>
      <c r="Z581" s="1626">
        <v>-2.625</v>
      </c>
      <c r="AA581" s="1753" t="e">
        <v>#N/A</v>
      </c>
      <c r="AB581" s="1353" t="e">
        <v>#N/A</v>
      </c>
      <c r="AC581" s="47"/>
      <c r="AE581"/>
      <c r="AF581"/>
      <c r="AG581"/>
      <c r="AH581"/>
    </row>
    <row r="582" spans="1:34" ht="14.45" hidden="1" customHeight="1" x14ac:dyDescent="0.25">
      <c r="A582" s="10" t="s">
        <v>459</v>
      </c>
      <c r="B582" s="5"/>
      <c r="C582" s="41"/>
      <c r="D582" s="20" t="s">
        <v>440</v>
      </c>
      <c r="E582" s="21"/>
      <c r="F582" s="101" t="e">
        <f>_xlfn.SINGLE(Input_PL_MaxPriceFinal_IN_04PP)</f>
        <v>#N/A</v>
      </c>
      <c r="G582" s="48"/>
      <c r="H582" s="48"/>
      <c r="I582" s="5"/>
      <c r="J582" s="2068"/>
      <c r="K582" s="86"/>
      <c r="L582" s="19"/>
      <c r="M582" s="96"/>
      <c r="N582" s="978" t="s">
        <v>3</v>
      </c>
      <c r="O582" s="978"/>
      <c r="P582" s="978"/>
      <c r="Q582" s="978"/>
      <c r="R582" s="978"/>
      <c r="S582" s="1362" t="s">
        <v>622</v>
      </c>
      <c r="T582" s="1607">
        <v>0.5</v>
      </c>
      <c r="U582" s="1608">
        <v>0.5</v>
      </c>
      <c r="V582" s="1608">
        <v>0.125</v>
      </c>
      <c r="W582" s="1608">
        <v>-0.25</v>
      </c>
      <c r="X582" s="1608">
        <v>-0.75</v>
      </c>
      <c r="Y582" s="1608">
        <v>-1.375</v>
      </c>
      <c r="Z582" s="1626">
        <v>-3.375</v>
      </c>
      <c r="AA582" s="1753" t="e">
        <v>#N/A</v>
      </c>
      <c r="AB582" s="1353" t="e">
        <v>#N/A</v>
      </c>
      <c r="AC582" s="47"/>
      <c r="AE582"/>
      <c r="AF582"/>
      <c r="AG582"/>
      <c r="AH582"/>
    </row>
    <row r="583" spans="1:34" ht="14.45" hidden="1" customHeight="1" x14ac:dyDescent="0.25">
      <c r="A583" s="10" t="s">
        <v>459</v>
      </c>
      <c r="B583" s="5"/>
      <c r="C583" s="41"/>
      <c r="D583" s="15" t="s">
        <v>441</v>
      </c>
      <c r="E583" s="16"/>
      <c r="F583" s="102" t="e">
        <f>_xlfn.SINGLE(Input_PL_MaxPriceFinal_IN_05PP)</f>
        <v>#N/A</v>
      </c>
      <c r="G583" s="48"/>
      <c r="H583" s="48"/>
      <c r="I583" s="5"/>
      <c r="J583" s="2068"/>
      <c r="K583" s="86"/>
      <c r="L583" s="19"/>
      <c r="M583" s="96"/>
      <c r="N583" s="978" t="s">
        <v>5</v>
      </c>
      <c r="O583" s="978"/>
      <c r="P583" s="978"/>
      <c r="Q583" s="978"/>
      <c r="R583" s="978"/>
      <c r="S583" s="1362" t="s">
        <v>623</v>
      </c>
      <c r="T583" s="1607">
        <v>0.125</v>
      </c>
      <c r="U583" s="1608">
        <v>0.125</v>
      </c>
      <c r="V583" s="1608">
        <v>-0.25</v>
      </c>
      <c r="W583" s="1608">
        <v>-0.625</v>
      </c>
      <c r="X583" s="1608">
        <v>-1.25</v>
      </c>
      <c r="Y583" s="1608">
        <v>-2.125</v>
      </c>
      <c r="Z583" s="1626">
        <v>-3.875</v>
      </c>
      <c r="AA583" s="1753" t="e">
        <v>#N/A</v>
      </c>
      <c r="AB583" s="1353" t="e">
        <v>#N/A</v>
      </c>
      <c r="AC583" s="47"/>
      <c r="AE583"/>
      <c r="AF583"/>
      <c r="AG583"/>
      <c r="AH583"/>
    </row>
    <row r="584" spans="1:34" ht="14.45" hidden="1" customHeight="1" x14ac:dyDescent="0.25">
      <c r="A584" s="10" t="s">
        <v>459</v>
      </c>
      <c r="B584" s="5"/>
      <c r="C584" s="41"/>
      <c r="G584" s="48"/>
      <c r="H584" s="48"/>
      <c r="I584" s="5"/>
      <c r="J584" s="2068"/>
      <c r="K584" s="97"/>
      <c r="L584" s="98"/>
      <c r="M584" s="96"/>
      <c r="N584" s="978" t="s">
        <v>6</v>
      </c>
      <c r="O584" s="978"/>
      <c r="P584" s="978"/>
      <c r="Q584" s="978"/>
      <c r="R584" s="978"/>
      <c r="S584" s="1362" t="s">
        <v>624</v>
      </c>
      <c r="T584" s="1607">
        <v>-0.625</v>
      </c>
      <c r="U584" s="1608">
        <v>-0.625</v>
      </c>
      <c r="V584" s="1608">
        <v>-1.125</v>
      </c>
      <c r="W584" s="1608">
        <v>-1.875</v>
      </c>
      <c r="X584" s="1608">
        <v>-2.75</v>
      </c>
      <c r="Y584" s="1608">
        <v>-4</v>
      </c>
      <c r="Z584" s="1626">
        <v>-6</v>
      </c>
      <c r="AA584" s="1753" t="e">
        <v>#N/A</v>
      </c>
      <c r="AB584" s="1353" t="e">
        <v>#N/A</v>
      </c>
      <c r="AC584" s="47"/>
      <c r="AF584" s="218"/>
    </row>
    <row r="585" spans="1:34" ht="14.45" hidden="1" customHeight="1" x14ac:dyDescent="0.25">
      <c r="A585" s="10" t="s">
        <v>459</v>
      </c>
      <c r="B585" s="5"/>
      <c r="C585" s="41"/>
      <c r="G585" s="48"/>
      <c r="H585" s="48"/>
      <c r="I585" s="5"/>
      <c r="J585" s="2068"/>
      <c r="K585" s="97"/>
      <c r="L585" s="98"/>
      <c r="M585" s="96"/>
      <c r="N585" s="978" t="s">
        <v>7</v>
      </c>
      <c r="O585" s="978"/>
      <c r="P585" s="978"/>
      <c r="Q585" s="978"/>
      <c r="R585" s="978"/>
      <c r="S585" s="1362" t="s">
        <v>625</v>
      </c>
      <c r="T585" s="1607">
        <v>-1.375</v>
      </c>
      <c r="U585" s="1608">
        <v>-1.75</v>
      </c>
      <c r="V585" s="1608">
        <v>-2</v>
      </c>
      <c r="W585" s="1608">
        <v>-3.375</v>
      </c>
      <c r="X585" s="1608">
        <v>-4.375</v>
      </c>
      <c r="Y585" s="1608">
        <v>-5.625</v>
      </c>
      <c r="Z585" s="1637" t="e">
        <v>#N/A</v>
      </c>
      <c r="AA585" s="1638" t="e">
        <v>#N/A</v>
      </c>
      <c r="AB585" s="1353" t="e">
        <v>#N/A</v>
      </c>
      <c r="AC585" s="47"/>
      <c r="AF585" s="218"/>
    </row>
    <row r="586" spans="1:34" ht="14.45" hidden="1" customHeight="1" x14ac:dyDescent="0.25">
      <c r="A586" s="10" t="s">
        <v>459</v>
      </c>
      <c r="B586" s="5"/>
      <c r="C586" s="41"/>
      <c r="F586" s="48"/>
      <c r="G586" s="48"/>
      <c r="H586" s="5"/>
      <c r="I586" s="5"/>
      <c r="J586" s="2068"/>
      <c r="K586" s="97"/>
      <c r="L586" s="98"/>
      <c r="M586" s="96"/>
      <c r="N586" s="992" t="s">
        <v>9</v>
      </c>
      <c r="O586" s="992"/>
      <c r="P586" s="992"/>
      <c r="Q586" s="992"/>
      <c r="R586" s="992"/>
      <c r="S586" s="1395" t="s">
        <v>2009</v>
      </c>
      <c r="T586" s="1607">
        <v>-4.5</v>
      </c>
      <c r="U586" s="1608">
        <v>-4.625</v>
      </c>
      <c r="V586" s="1608">
        <v>-4.875</v>
      </c>
      <c r="W586" s="1608">
        <v>-5.75</v>
      </c>
      <c r="X586" s="1608">
        <v>-6.75</v>
      </c>
      <c r="Y586" s="1608">
        <v>-8.25</v>
      </c>
      <c r="Z586" s="1637" t="e">
        <v>#N/A</v>
      </c>
      <c r="AA586" s="1639" t="e">
        <v>#N/A</v>
      </c>
      <c r="AB586" s="1353" t="e">
        <v>#N/A</v>
      </c>
      <c r="AC586" s="47"/>
      <c r="AF586" s="218"/>
    </row>
    <row r="587" spans="1:34" ht="14.45" hidden="1" customHeight="1" x14ac:dyDescent="0.25">
      <c r="A587" s="10" t="s">
        <v>459</v>
      </c>
      <c r="B587" s="5"/>
      <c r="C587" s="41"/>
      <c r="D587" s="22" t="s">
        <v>308</v>
      </c>
      <c r="E587" s="5"/>
      <c r="F587" s="48"/>
      <c r="G587" s="48"/>
      <c r="I587" s="5"/>
      <c r="J587" s="2160" t="s">
        <v>209</v>
      </c>
      <c r="K587" s="2161"/>
      <c r="L587" s="2161"/>
      <c r="M587" s="2162"/>
      <c r="N587" s="1025" t="s">
        <v>135</v>
      </c>
      <c r="O587" s="1025"/>
      <c r="P587" s="1025"/>
      <c r="Q587" s="1025"/>
      <c r="R587" s="1025"/>
      <c r="S587" s="1407" t="s">
        <v>626</v>
      </c>
      <c r="T587" s="1696">
        <v>0</v>
      </c>
      <c r="U587" s="1697">
        <v>0</v>
      </c>
      <c r="V587" s="1697">
        <v>0</v>
      </c>
      <c r="W587" s="1697">
        <v>0</v>
      </c>
      <c r="X587" s="1697">
        <v>0</v>
      </c>
      <c r="Y587" s="1697">
        <v>0</v>
      </c>
      <c r="Z587" s="1719">
        <v>0</v>
      </c>
      <c r="AA587" s="1720">
        <v>0</v>
      </c>
      <c r="AB587" s="1353" t="e">
        <v>#N/A</v>
      </c>
      <c r="AC587" s="47"/>
      <c r="AF587" s="218"/>
    </row>
    <row r="588" spans="1:34" ht="14.45" hidden="1" customHeight="1" x14ac:dyDescent="0.25">
      <c r="A588" s="10" t="s">
        <v>459</v>
      </c>
      <c r="B588" s="5"/>
      <c r="C588" s="41"/>
      <c r="D588" s="70">
        <v>5</v>
      </c>
      <c r="E588" s="71" t="s">
        <v>443</v>
      </c>
      <c r="I588" s="5"/>
      <c r="J588" s="2163"/>
      <c r="K588" s="2164"/>
      <c r="L588" s="2164"/>
      <c r="M588" s="2165"/>
      <c r="N588" s="980" t="s">
        <v>78</v>
      </c>
      <c r="O588" s="980"/>
      <c r="P588" s="980"/>
      <c r="Q588" s="980"/>
      <c r="R588" s="980"/>
      <c r="S588" s="1366" t="s">
        <v>627</v>
      </c>
      <c r="T588" s="1699">
        <v>-0.125</v>
      </c>
      <c r="U588" s="1700">
        <v>-0.125</v>
      </c>
      <c r="V588" s="1700">
        <v>-0.125</v>
      </c>
      <c r="W588" s="1700">
        <v>-0.125</v>
      </c>
      <c r="X588" s="1700">
        <v>-0.25</v>
      </c>
      <c r="Y588" s="1700">
        <v>-0.25</v>
      </c>
      <c r="Z588" s="1721">
        <v>-0.25</v>
      </c>
      <c r="AA588" s="1722">
        <v>-0.25</v>
      </c>
      <c r="AB588" s="1353" t="e">
        <v>#N/A</v>
      </c>
      <c r="AC588" s="47"/>
      <c r="AF588" s="218"/>
    </row>
    <row r="589" spans="1:34" ht="14.45" hidden="1" customHeight="1" x14ac:dyDescent="0.25">
      <c r="A589" s="10" t="s">
        <v>459</v>
      </c>
      <c r="C589" s="42"/>
      <c r="G589" s="48"/>
      <c r="H589" s="48"/>
      <c r="J589" s="2166"/>
      <c r="K589" s="2167"/>
      <c r="L589" s="2167"/>
      <c r="M589" s="2168"/>
      <c r="N589" s="1026" t="s">
        <v>77</v>
      </c>
      <c r="O589" s="1026"/>
      <c r="P589" s="1026"/>
      <c r="Q589" s="1026"/>
      <c r="R589" s="1026"/>
      <c r="S589" s="1372" t="s">
        <v>628</v>
      </c>
      <c r="T589" s="1702">
        <v>0</v>
      </c>
      <c r="U589" s="1691">
        <v>0</v>
      </c>
      <c r="V589" s="1691">
        <v>0</v>
      </c>
      <c r="W589" s="1691">
        <v>0</v>
      </c>
      <c r="X589" s="1691">
        <v>0</v>
      </c>
      <c r="Y589" s="1691">
        <v>0</v>
      </c>
      <c r="Z589" s="1723">
        <v>0</v>
      </c>
      <c r="AA589" s="1724">
        <v>0</v>
      </c>
      <c r="AB589" s="1353" t="e">
        <v>#N/A</v>
      </c>
      <c r="AC589" s="47"/>
      <c r="AF589" s="218"/>
    </row>
    <row r="590" spans="1:34" ht="14.45" hidden="1" customHeight="1" x14ac:dyDescent="0.25">
      <c r="A590" s="10" t="s">
        <v>459</v>
      </c>
      <c r="C590" s="42"/>
      <c r="G590" s="48"/>
      <c r="H590" s="48"/>
      <c r="J590" s="2034" t="s">
        <v>2</v>
      </c>
      <c r="K590" s="2035"/>
      <c r="L590" s="2035"/>
      <c r="M590" s="2036"/>
      <c r="N590" s="995" t="s">
        <v>436</v>
      </c>
      <c r="O590" s="995"/>
      <c r="P590" s="995"/>
      <c r="Q590" s="995"/>
      <c r="R590" s="995"/>
      <c r="S590" s="1363" t="s">
        <v>629</v>
      </c>
      <c r="T590" s="1725">
        <v>0</v>
      </c>
      <c r="U590" s="1726">
        <v>0</v>
      </c>
      <c r="V590" s="1726">
        <v>0</v>
      </c>
      <c r="W590" s="1726">
        <v>0</v>
      </c>
      <c r="X590" s="1726">
        <v>0</v>
      </c>
      <c r="Y590" s="1726">
        <v>0</v>
      </c>
      <c r="Z590" s="1727">
        <v>0</v>
      </c>
      <c r="AA590" s="1728">
        <v>0</v>
      </c>
      <c r="AB590" s="1353" t="e">
        <v>#N/A</v>
      </c>
      <c r="AC590" s="47"/>
      <c r="AF590" s="218"/>
    </row>
    <row r="591" spans="1:34" ht="14.45" hidden="1" customHeight="1" x14ac:dyDescent="0.25">
      <c r="A591" s="10" t="s">
        <v>459</v>
      </c>
      <c r="C591" s="42"/>
      <c r="G591" s="48"/>
      <c r="H591" s="48"/>
      <c r="J591" s="2037"/>
      <c r="K591" s="2038"/>
      <c r="L591" s="2038"/>
      <c r="M591" s="2039"/>
      <c r="N591" s="996" t="s">
        <v>438</v>
      </c>
      <c r="O591" s="996"/>
      <c r="P591" s="996"/>
      <c r="Q591" s="996"/>
      <c r="R591" s="996"/>
      <c r="S591" s="1394" t="s">
        <v>630</v>
      </c>
      <c r="T591" s="1729">
        <v>-0.125</v>
      </c>
      <c r="U591" s="1730">
        <v>-0.125</v>
      </c>
      <c r="V591" s="1730">
        <v>-0.125</v>
      </c>
      <c r="W591" s="1730">
        <v>-0.125</v>
      </c>
      <c r="X591" s="1730">
        <v>-0.125</v>
      </c>
      <c r="Y591" s="1730">
        <v>-0.125</v>
      </c>
      <c r="Z591" s="1731">
        <v>-0.125</v>
      </c>
      <c r="AA591" s="1732">
        <v>-0.125</v>
      </c>
      <c r="AB591" s="1353" t="e">
        <v>#N/A</v>
      </c>
      <c r="AC591" s="47"/>
      <c r="AF591" s="218"/>
    </row>
    <row r="592" spans="1:34" ht="14.45" hidden="1" customHeight="1" x14ac:dyDescent="0.25">
      <c r="A592" s="10" t="s">
        <v>461</v>
      </c>
      <c r="C592" s="42"/>
      <c r="G592" s="48"/>
      <c r="H592" s="48"/>
      <c r="J592" s="2037"/>
      <c r="K592" s="2038"/>
      <c r="L592" s="2038"/>
      <c r="M592" s="2039"/>
      <c r="N592" s="996" t="s">
        <v>453</v>
      </c>
      <c r="O592" s="996"/>
      <c r="P592" s="996"/>
      <c r="Q592" s="996"/>
      <c r="R592" s="996"/>
      <c r="S592" s="1394" t="s">
        <v>631</v>
      </c>
      <c r="T592" s="1344" t="e">
        <v>#N/A</v>
      </c>
      <c r="U592" s="1345" t="e">
        <v>#N/A</v>
      </c>
      <c r="V592" s="1345" t="e">
        <v>#N/A</v>
      </c>
      <c r="W592" s="1345" t="e">
        <v>#N/A</v>
      </c>
      <c r="X592" s="1345" t="e">
        <v>#N/A</v>
      </c>
      <c r="Y592" s="1345" t="e">
        <v>#N/A</v>
      </c>
      <c r="Z592" s="1627" t="e">
        <v>#N/A</v>
      </c>
      <c r="AA592" s="1624" t="e">
        <v>#N/A</v>
      </c>
      <c r="AB592" s="1353" t="e">
        <v>#N/A</v>
      </c>
      <c r="AC592" s="47"/>
      <c r="AF592" s="218"/>
    </row>
    <row r="593" spans="1:32" ht="14.45" hidden="1" customHeight="1" x14ac:dyDescent="0.25">
      <c r="A593" s="10" t="s">
        <v>459</v>
      </c>
      <c r="C593" s="42"/>
      <c r="H593" s="48"/>
      <c r="J593" s="2037"/>
      <c r="K593" s="2038"/>
      <c r="L593" s="2038"/>
      <c r="M593" s="2039"/>
      <c r="N593" s="995" t="s">
        <v>437</v>
      </c>
      <c r="O593" s="995"/>
      <c r="P593" s="995"/>
      <c r="Q593" s="995"/>
      <c r="R593" s="995"/>
      <c r="S593" s="1363" t="s">
        <v>632</v>
      </c>
      <c r="T593" s="1725">
        <v>-0.25</v>
      </c>
      <c r="U593" s="1726">
        <v>-0.25</v>
      </c>
      <c r="V593" s="1726">
        <v>-0.25</v>
      </c>
      <c r="W593" s="1726">
        <v>-0.25</v>
      </c>
      <c r="X593" s="1726">
        <v>-0.25</v>
      </c>
      <c r="Y593" s="1726">
        <v>-0.25</v>
      </c>
      <c r="Z593" s="1727">
        <v>-0.25</v>
      </c>
      <c r="AA593" s="1728">
        <v>-0.25</v>
      </c>
      <c r="AB593" s="1353" t="e">
        <v>#N/A</v>
      </c>
      <c r="AC593" s="47"/>
      <c r="AF593" s="218"/>
    </row>
    <row r="594" spans="1:32" ht="14.45" hidden="1" customHeight="1" x14ac:dyDescent="0.25">
      <c r="A594" s="10" t="s">
        <v>459</v>
      </c>
      <c r="C594" s="42"/>
      <c r="G594" s="48"/>
      <c r="H594" s="48"/>
      <c r="J594" s="2037"/>
      <c r="K594" s="2038"/>
      <c r="L594" s="2038"/>
      <c r="M594" s="2039"/>
      <c r="N594" s="996" t="s">
        <v>439</v>
      </c>
      <c r="O594" s="996"/>
      <c r="P594" s="996"/>
      <c r="Q594" s="996"/>
      <c r="R594" s="996"/>
      <c r="S594" s="1394" t="s">
        <v>633</v>
      </c>
      <c r="T594" s="1729">
        <v>-0.375</v>
      </c>
      <c r="U594" s="1730">
        <v>-0.375</v>
      </c>
      <c r="V594" s="1730">
        <v>-0.375</v>
      </c>
      <c r="W594" s="1730">
        <v>-0.375</v>
      </c>
      <c r="X594" s="1730">
        <v>-0.375</v>
      </c>
      <c r="Y594" s="1730">
        <v>-0.375</v>
      </c>
      <c r="Z594" s="1731">
        <v>-0.375</v>
      </c>
      <c r="AA594" s="1732">
        <v>-0.375</v>
      </c>
      <c r="AB594" s="1353" t="e">
        <v>#N/A</v>
      </c>
      <c r="AC594" s="47"/>
      <c r="AF594" s="218"/>
    </row>
    <row r="595" spans="1:32" ht="14.45" hidden="1" customHeight="1" x14ac:dyDescent="0.25">
      <c r="A595" s="10" t="s">
        <v>461</v>
      </c>
      <c r="C595" s="42"/>
      <c r="G595" s="48"/>
      <c r="H595" s="48"/>
      <c r="J595" s="2037"/>
      <c r="K595" s="2038"/>
      <c r="L595" s="2038"/>
      <c r="M595" s="2039"/>
      <c r="N595" s="996" t="s">
        <v>454</v>
      </c>
      <c r="O595" s="996"/>
      <c r="P595" s="996"/>
      <c r="Q595" s="996"/>
      <c r="R595" s="996"/>
      <c r="S595" s="1394" t="s">
        <v>634</v>
      </c>
      <c r="T595" s="1344" t="e">
        <v>#N/A</v>
      </c>
      <c r="U595" s="1345" t="e">
        <v>#N/A</v>
      </c>
      <c r="V595" s="1345" t="e">
        <v>#N/A</v>
      </c>
      <c r="W595" s="1345" t="e">
        <v>#N/A</v>
      </c>
      <c r="X595" s="1345" t="e">
        <v>#N/A</v>
      </c>
      <c r="Y595" s="1345" t="e">
        <v>#N/A</v>
      </c>
      <c r="Z595" s="1627" t="e">
        <v>#N/A</v>
      </c>
      <c r="AA595" s="1624" t="e">
        <v>#N/A</v>
      </c>
      <c r="AB595" s="1353" t="e">
        <v>#N/A</v>
      </c>
      <c r="AC595" s="47"/>
      <c r="AF595" s="218"/>
    </row>
    <row r="596" spans="1:32" ht="14.45" hidden="1" customHeight="1" x14ac:dyDescent="0.25">
      <c r="A596" s="10" t="s">
        <v>459</v>
      </c>
      <c r="C596" s="42"/>
      <c r="J596" s="2037"/>
      <c r="K596" s="2038"/>
      <c r="L596" s="2038"/>
      <c r="M596" s="2039"/>
      <c r="N596" s="995" t="s">
        <v>455</v>
      </c>
      <c r="O596" s="995"/>
      <c r="P596" s="995"/>
      <c r="Q596" s="995"/>
      <c r="R596" s="995"/>
      <c r="S596" s="1363" t="s">
        <v>635</v>
      </c>
      <c r="T596" s="1696">
        <v>0</v>
      </c>
      <c r="U596" s="1697">
        <v>0</v>
      </c>
      <c r="V596" s="1697">
        <v>0</v>
      </c>
      <c r="W596" s="1697">
        <v>0</v>
      </c>
      <c r="X596" s="1697">
        <v>0</v>
      </c>
      <c r="Y596" s="1697">
        <v>0</v>
      </c>
      <c r="Z596" s="1719">
        <v>0</v>
      </c>
      <c r="AA596" s="1734">
        <v>0</v>
      </c>
      <c r="AB596" s="1353" t="e">
        <v>#N/A</v>
      </c>
      <c r="AC596" s="47"/>
      <c r="AF596" s="218"/>
    </row>
    <row r="597" spans="1:32" ht="14.45" hidden="1" customHeight="1" x14ac:dyDescent="0.25">
      <c r="A597" s="10" t="s">
        <v>461</v>
      </c>
      <c r="C597" s="42"/>
      <c r="J597" s="2037"/>
      <c r="K597" s="2038"/>
      <c r="L597" s="2038"/>
      <c r="M597" s="2039"/>
      <c r="N597" s="997" t="s">
        <v>458</v>
      </c>
      <c r="O597" s="997"/>
      <c r="P597" s="997"/>
      <c r="Q597" s="997"/>
      <c r="R597" s="997"/>
      <c r="S597" s="1405" t="s">
        <v>636</v>
      </c>
      <c r="T597" s="1702">
        <v>0</v>
      </c>
      <c r="U597" s="1691">
        <v>0</v>
      </c>
      <c r="V597" s="1691">
        <v>0</v>
      </c>
      <c r="W597" s="1691">
        <v>0</v>
      </c>
      <c r="X597" s="1691">
        <v>0</v>
      </c>
      <c r="Y597" s="1691">
        <v>0</v>
      </c>
      <c r="Z597" s="1723">
        <v>0</v>
      </c>
      <c r="AA597" s="1734">
        <v>0</v>
      </c>
      <c r="AB597" s="1353" t="e">
        <v>#N/A</v>
      </c>
      <c r="AC597" s="47"/>
      <c r="AF597" s="218"/>
    </row>
    <row r="598" spans="1:32" ht="14.45" hidden="1" customHeight="1" x14ac:dyDescent="0.25">
      <c r="A598" s="10" t="s">
        <v>459</v>
      </c>
      <c r="C598" s="42"/>
      <c r="J598" s="2037"/>
      <c r="K598" s="2038"/>
      <c r="L598" s="2038"/>
      <c r="M598" s="2039"/>
      <c r="N598" s="995" t="s">
        <v>1</v>
      </c>
      <c r="O598" s="995"/>
      <c r="P598" s="995"/>
      <c r="Q598" s="995"/>
      <c r="R598" s="995"/>
      <c r="S598" s="1363" t="s">
        <v>637</v>
      </c>
      <c r="T598" s="1617">
        <v>0</v>
      </c>
      <c r="U598" s="1618">
        <v>0</v>
      </c>
      <c r="V598" s="1618">
        <v>0</v>
      </c>
      <c r="W598" s="1618">
        <v>0</v>
      </c>
      <c r="X598" s="1618">
        <v>0</v>
      </c>
      <c r="Y598" s="1618">
        <v>0</v>
      </c>
      <c r="Z598" s="1642">
        <v>0</v>
      </c>
      <c r="AA598" s="1643">
        <v>0</v>
      </c>
      <c r="AB598" s="1353" t="e">
        <v>#N/A</v>
      </c>
      <c r="AC598" s="47"/>
      <c r="AF598" s="218"/>
    </row>
    <row r="599" spans="1:32" ht="14.45" hidden="1" customHeight="1" x14ac:dyDescent="0.25">
      <c r="A599" s="10" t="s">
        <v>459</v>
      </c>
      <c r="C599" s="42"/>
      <c r="J599" s="2037"/>
      <c r="K599" s="2038"/>
      <c r="L599" s="2038"/>
      <c r="M599" s="2039"/>
      <c r="N599" s="997" t="s">
        <v>163</v>
      </c>
      <c r="O599" s="997"/>
      <c r="P599" s="997"/>
      <c r="Q599" s="997"/>
      <c r="R599" s="997"/>
      <c r="S599" s="1405" t="s">
        <v>638</v>
      </c>
      <c r="T599" s="1644">
        <v>-0.25</v>
      </c>
      <c r="U599" s="1645">
        <v>-0.25</v>
      </c>
      <c r="V599" s="1645">
        <v>-0.25</v>
      </c>
      <c r="W599" s="1645">
        <v>-0.25</v>
      </c>
      <c r="X599" s="1645">
        <v>-0.25</v>
      </c>
      <c r="Y599" s="1645">
        <v>-0.375</v>
      </c>
      <c r="Z599" s="1646">
        <v>-0.375</v>
      </c>
      <c r="AA599" s="1647">
        <v>-0.375</v>
      </c>
      <c r="AB599" s="1353" t="e">
        <v>#N/A</v>
      </c>
      <c r="AC599" s="47"/>
      <c r="AF599" s="218"/>
    </row>
    <row r="600" spans="1:32" ht="14.45" hidden="1" customHeight="1" x14ac:dyDescent="0.25">
      <c r="A600" s="10" t="s">
        <v>459</v>
      </c>
      <c r="C600" s="42"/>
      <c r="J600" s="2037"/>
      <c r="K600" s="2038"/>
      <c r="L600" s="2038"/>
      <c r="M600" s="2039"/>
      <c r="N600" s="995" t="s">
        <v>98</v>
      </c>
      <c r="O600" s="995"/>
      <c r="P600" s="995"/>
      <c r="Q600" s="995"/>
      <c r="R600" s="995"/>
      <c r="S600" s="1368" t="s">
        <v>639</v>
      </c>
      <c r="T600" s="1640">
        <v>0</v>
      </c>
      <c r="U600" s="1641">
        <v>0</v>
      </c>
      <c r="V600" s="1641">
        <v>0</v>
      </c>
      <c r="W600" s="1641">
        <v>0</v>
      </c>
      <c r="X600" s="1641">
        <v>0</v>
      </c>
      <c r="Y600" s="1641">
        <v>0</v>
      </c>
      <c r="Z600" s="1648">
        <v>0</v>
      </c>
      <c r="AA600" s="1649">
        <v>0</v>
      </c>
      <c r="AB600" s="1353" t="e">
        <v>#N/A</v>
      </c>
      <c r="AC600" s="47"/>
      <c r="AF600" s="218"/>
    </row>
    <row r="601" spans="1:32" ht="14.45" hidden="1" customHeight="1" x14ac:dyDescent="0.25">
      <c r="A601" s="10" t="s">
        <v>459</v>
      </c>
      <c r="C601" s="42"/>
      <c r="J601" s="2040"/>
      <c r="K601" s="2041"/>
      <c r="L601" s="2041"/>
      <c r="M601" s="2042"/>
      <c r="N601" s="997" t="s">
        <v>4</v>
      </c>
      <c r="O601" s="997"/>
      <c r="P601" s="997"/>
      <c r="Q601" s="997"/>
      <c r="R601" s="997"/>
      <c r="S601" s="1369" t="s">
        <v>640</v>
      </c>
      <c r="T601" s="1644">
        <v>-0.5</v>
      </c>
      <c r="U601" s="1645">
        <v>-0.5</v>
      </c>
      <c r="V601" s="1645">
        <v>-0.5</v>
      </c>
      <c r="W601" s="1645">
        <v>-0.5</v>
      </c>
      <c r="X601" s="1645">
        <v>-0.75</v>
      </c>
      <c r="Y601" s="1645">
        <v>-0.875</v>
      </c>
      <c r="Z601" s="1646">
        <v>-1.375</v>
      </c>
      <c r="AA601" s="1755" t="e">
        <v>#N/A</v>
      </c>
      <c r="AB601" s="1353" t="e">
        <v>#N/A</v>
      </c>
      <c r="AC601" s="47"/>
      <c r="AF601" s="218"/>
    </row>
    <row r="602" spans="1:32" ht="14.45" hidden="1" customHeight="1" x14ac:dyDescent="0.25">
      <c r="A602" s="10" t="s">
        <v>461</v>
      </c>
      <c r="C602" s="42"/>
      <c r="J602" s="2034" t="s">
        <v>8</v>
      </c>
      <c r="K602" s="2035"/>
      <c r="L602" s="2035"/>
      <c r="M602" s="2036"/>
      <c r="N602" s="1005" t="s">
        <v>1782</v>
      </c>
      <c r="O602" s="1005"/>
      <c r="P602" s="1005"/>
      <c r="Q602" s="1005"/>
      <c r="R602" s="1005"/>
      <c r="S602" s="1368" t="s">
        <v>2315</v>
      </c>
      <c r="T602" s="1346" t="e">
        <v>#N/A</v>
      </c>
      <c r="U602" s="1347" t="e">
        <v>#N/A</v>
      </c>
      <c r="V602" s="1347" t="e">
        <v>#N/A</v>
      </c>
      <c r="W602" s="1347" t="e">
        <v>#N/A</v>
      </c>
      <c r="X602" s="1347" t="e">
        <v>#N/A</v>
      </c>
      <c r="Y602" s="1347" t="e">
        <v>#N/A</v>
      </c>
      <c r="Z602" s="1628" t="e">
        <v>#N/A</v>
      </c>
      <c r="AA602" s="1635" t="e">
        <v>#N/A</v>
      </c>
      <c r="AB602" s="1353" t="e">
        <v>#N/A</v>
      </c>
      <c r="AC602" s="47"/>
    </row>
    <row r="603" spans="1:32" ht="14.45" hidden="1" customHeight="1" x14ac:dyDescent="0.25">
      <c r="A603" s="10" t="s">
        <v>461</v>
      </c>
      <c r="C603" s="42"/>
      <c r="J603" s="2037"/>
      <c r="K603" s="2038"/>
      <c r="L603" s="2038"/>
      <c r="M603" s="2039"/>
      <c r="N603" s="984" t="s">
        <v>1783</v>
      </c>
      <c r="O603" s="984"/>
      <c r="P603" s="984"/>
      <c r="Q603" s="984"/>
      <c r="R603" s="984"/>
      <c r="S603" s="1370" t="s">
        <v>2316</v>
      </c>
      <c r="T603" s="1351" t="e">
        <v>#N/A</v>
      </c>
      <c r="U603" s="1352" t="e">
        <v>#N/A</v>
      </c>
      <c r="V603" s="1352" t="e">
        <v>#N/A</v>
      </c>
      <c r="W603" s="1352" t="e">
        <v>#N/A</v>
      </c>
      <c r="X603" s="1352" t="e">
        <v>#N/A</v>
      </c>
      <c r="Y603" s="1352" t="e">
        <v>#N/A</v>
      </c>
      <c r="Z603" s="1599" t="e">
        <v>#N/A</v>
      </c>
      <c r="AA603" s="1518" t="e">
        <v>#N/A</v>
      </c>
      <c r="AB603" s="1353" t="e">
        <v>#N/A</v>
      </c>
      <c r="AC603" s="47"/>
    </row>
    <row r="604" spans="1:32" ht="14.45" hidden="1" customHeight="1" x14ac:dyDescent="0.25">
      <c r="A604" s="10" t="s">
        <v>461</v>
      </c>
      <c r="C604" s="42"/>
      <c r="J604" s="2037"/>
      <c r="K604" s="2038"/>
      <c r="L604" s="2038"/>
      <c r="M604" s="2039"/>
      <c r="N604" s="984" t="s">
        <v>1132</v>
      </c>
      <c r="O604" s="984"/>
      <c r="P604" s="984"/>
      <c r="Q604" s="984"/>
      <c r="R604" s="984"/>
      <c r="S604" s="1370" t="s">
        <v>2317</v>
      </c>
      <c r="T604" s="1351" t="e">
        <v>#N/A</v>
      </c>
      <c r="U604" s="1352" t="e">
        <v>#N/A</v>
      </c>
      <c r="V604" s="1352" t="e">
        <v>#N/A</v>
      </c>
      <c r="W604" s="1352" t="e">
        <v>#N/A</v>
      </c>
      <c r="X604" s="1352" t="e">
        <v>#N/A</v>
      </c>
      <c r="Y604" s="1352" t="e">
        <v>#N/A</v>
      </c>
      <c r="Z604" s="1599" t="e">
        <v>#N/A</v>
      </c>
      <c r="AA604" s="1518" t="e">
        <v>#N/A</v>
      </c>
      <c r="AB604" s="1353" t="e">
        <v>#N/A</v>
      </c>
      <c r="AC604" s="47"/>
    </row>
    <row r="605" spans="1:32" ht="14.45" hidden="1" customHeight="1" x14ac:dyDescent="0.25">
      <c r="A605" s="10" t="s">
        <v>459</v>
      </c>
      <c r="C605" s="42"/>
      <c r="J605" s="2037"/>
      <c r="K605" s="2038"/>
      <c r="L605" s="2038"/>
      <c r="M605" s="2039"/>
      <c r="N605" s="984" t="s">
        <v>2198</v>
      </c>
      <c r="O605" s="984"/>
      <c r="P605" s="984"/>
      <c r="Q605" s="984"/>
      <c r="R605" s="984"/>
      <c r="S605" s="1370" t="s">
        <v>2318</v>
      </c>
      <c r="T605" s="1615">
        <v>-0.5</v>
      </c>
      <c r="U605" s="1616">
        <v>-0.5</v>
      </c>
      <c r="V605" s="1616">
        <v>-0.5</v>
      </c>
      <c r="W605" s="1616">
        <v>-0.5</v>
      </c>
      <c r="X605" s="1616">
        <v>-0.5</v>
      </c>
      <c r="Y605" s="1616">
        <v>-0.75</v>
      </c>
      <c r="Z605" s="1650">
        <v>-0.75</v>
      </c>
      <c r="AA605" s="1651">
        <v>-0.875</v>
      </c>
      <c r="AB605" s="1353" t="e">
        <v>#N/A</v>
      </c>
      <c r="AC605" s="47"/>
    </row>
    <row r="606" spans="1:32" ht="14.45" hidden="1" customHeight="1" x14ac:dyDescent="0.25">
      <c r="A606" s="10" t="s">
        <v>459</v>
      </c>
      <c r="C606" s="42"/>
      <c r="J606" s="2037"/>
      <c r="K606" s="2038"/>
      <c r="L606" s="2038"/>
      <c r="M606" s="2039"/>
      <c r="N606" s="984" t="s">
        <v>1134</v>
      </c>
      <c r="O606" s="984"/>
      <c r="P606" s="984"/>
      <c r="Q606" s="984"/>
      <c r="R606" s="984"/>
      <c r="S606" s="1370" t="s">
        <v>2319</v>
      </c>
      <c r="T606" s="1617">
        <v>-0.375</v>
      </c>
      <c r="U606" s="1618">
        <v>-0.375</v>
      </c>
      <c r="V606" s="1618">
        <v>-0.375</v>
      </c>
      <c r="W606" s="1618">
        <v>-0.375</v>
      </c>
      <c r="X606" s="1618">
        <v>-0.375</v>
      </c>
      <c r="Y606" s="1618">
        <v>-0.625</v>
      </c>
      <c r="Z606" s="1642">
        <v>-0.625</v>
      </c>
      <c r="AA606" s="1643">
        <v>-0.75</v>
      </c>
      <c r="AB606" s="1353" t="e">
        <v>#N/A</v>
      </c>
      <c r="AC606" s="47"/>
    </row>
    <row r="607" spans="1:32" ht="14.45" hidden="1" customHeight="1" x14ac:dyDescent="0.25">
      <c r="A607" s="10" t="s">
        <v>459</v>
      </c>
      <c r="C607" s="42"/>
      <c r="J607" s="2037"/>
      <c r="K607" s="2038"/>
      <c r="L607" s="2038"/>
      <c r="M607" s="2039"/>
      <c r="N607" s="984" t="s">
        <v>1135</v>
      </c>
      <c r="O607" s="984"/>
      <c r="P607" s="984"/>
      <c r="Q607" s="984"/>
      <c r="R607" s="984"/>
      <c r="S607" s="1370" t="s">
        <v>2320</v>
      </c>
      <c r="T607" s="1617">
        <v>-0.125</v>
      </c>
      <c r="U607" s="1618">
        <v>-0.125</v>
      </c>
      <c r="V607" s="1618">
        <v>-0.125</v>
      </c>
      <c r="W607" s="1618">
        <v>-0.125</v>
      </c>
      <c r="X607" s="1618">
        <v>-0.25</v>
      </c>
      <c r="Y607" s="1618">
        <v>-0.375</v>
      </c>
      <c r="Z607" s="1642">
        <v>-0.375</v>
      </c>
      <c r="AA607" s="1643">
        <v>-0.625</v>
      </c>
      <c r="AB607" s="1353" t="e">
        <v>#N/A</v>
      </c>
      <c r="AC607" s="47"/>
    </row>
    <row r="608" spans="1:32" ht="14.45" hidden="1" customHeight="1" x14ac:dyDescent="0.25">
      <c r="A608" s="10" t="s">
        <v>459</v>
      </c>
      <c r="C608" s="42"/>
      <c r="J608" s="2037"/>
      <c r="K608" s="2038"/>
      <c r="L608" s="2038"/>
      <c r="M608" s="2039"/>
      <c r="N608" s="983" t="s">
        <v>1136</v>
      </c>
      <c r="O608" s="985"/>
      <c r="P608" s="985"/>
      <c r="Q608" s="985"/>
      <c r="R608" s="985"/>
      <c r="S608" s="1370" t="s">
        <v>2321</v>
      </c>
      <c r="T608" s="1617">
        <v>-0.125</v>
      </c>
      <c r="U608" s="1618">
        <v>-0.125</v>
      </c>
      <c r="V608" s="1618">
        <v>-0.125</v>
      </c>
      <c r="W608" s="1618">
        <v>-0.125</v>
      </c>
      <c r="X608" s="1618">
        <v>-0.25</v>
      </c>
      <c r="Y608" s="1618">
        <v>-0.375</v>
      </c>
      <c r="Z608" s="1642">
        <v>-0.375</v>
      </c>
      <c r="AA608" s="1643">
        <v>-0.625</v>
      </c>
      <c r="AB608" s="1353" t="e">
        <v>#N/A</v>
      </c>
      <c r="AC608" s="47"/>
    </row>
    <row r="609" spans="1:32" ht="14.45" hidden="1" customHeight="1" x14ac:dyDescent="0.25">
      <c r="A609" s="10" t="s">
        <v>459</v>
      </c>
      <c r="C609" s="42"/>
      <c r="I609" s="5"/>
      <c r="J609" s="2037"/>
      <c r="K609" s="2038"/>
      <c r="L609" s="2038"/>
      <c r="M609" s="2039"/>
      <c r="N609" s="983" t="s">
        <v>310</v>
      </c>
      <c r="O609" s="985"/>
      <c r="P609" s="985"/>
      <c r="Q609" s="985"/>
      <c r="R609" s="985"/>
      <c r="S609" s="1366" t="s">
        <v>2322</v>
      </c>
      <c r="T609" s="1617">
        <v>0</v>
      </c>
      <c r="U609" s="1618">
        <v>0</v>
      </c>
      <c r="V609" s="1618">
        <v>0</v>
      </c>
      <c r="W609" s="1618">
        <v>0</v>
      </c>
      <c r="X609" s="1618">
        <v>0</v>
      </c>
      <c r="Y609" s="1618">
        <v>0</v>
      </c>
      <c r="Z609" s="1642">
        <v>0</v>
      </c>
      <c r="AA609" s="1643">
        <v>-0.25</v>
      </c>
      <c r="AB609" s="1353" t="e">
        <v>#N/A</v>
      </c>
      <c r="AC609" s="47"/>
    </row>
    <row r="610" spans="1:32" ht="14.45" hidden="1" customHeight="1" x14ac:dyDescent="0.25">
      <c r="A610" s="10" t="s">
        <v>459</v>
      </c>
      <c r="C610" s="42"/>
      <c r="I610" s="5"/>
      <c r="J610" s="2037"/>
      <c r="K610" s="2038"/>
      <c r="L610" s="2038"/>
      <c r="M610" s="2039"/>
      <c r="N610" s="983" t="s">
        <v>250</v>
      </c>
      <c r="O610" s="985"/>
      <c r="P610" s="985"/>
      <c r="Q610" s="985"/>
      <c r="R610" s="985"/>
      <c r="S610" s="1366" t="s">
        <v>2323</v>
      </c>
      <c r="T610" s="1617">
        <v>0</v>
      </c>
      <c r="U610" s="1618">
        <v>0</v>
      </c>
      <c r="V610" s="1618">
        <v>0</v>
      </c>
      <c r="W610" s="1618">
        <v>0</v>
      </c>
      <c r="X610" s="1618">
        <v>0</v>
      </c>
      <c r="Y610" s="1618">
        <v>0</v>
      </c>
      <c r="Z610" s="1642">
        <v>0</v>
      </c>
      <c r="AA610" s="1643">
        <v>0</v>
      </c>
      <c r="AB610" s="1353" t="e">
        <v>#N/A</v>
      </c>
      <c r="AC610" s="47"/>
    </row>
    <row r="611" spans="1:32" ht="14.45" hidden="1" customHeight="1" x14ac:dyDescent="0.25">
      <c r="A611" s="10" t="s">
        <v>459</v>
      </c>
      <c r="C611" s="42"/>
      <c r="I611" s="5"/>
      <c r="J611" s="2037"/>
      <c r="K611" s="2038"/>
      <c r="L611" s="2038"/>
      <c r="M611" s="2039"/>
      <c r="N611" s="983" t="s">
        <v>12</v>
      </c>
      <c r="O611" s="985"/>
      <c r="P611" s="985"/>
      <c r="Q611" s="985"/>
      <c r="R611" s="985"/>
      <c r="S611" s="1366" t="s">
        <v>2324</v>
      </c>
      <c r="T611" s="1617">
        <v>0</v>
      </c>
      <c r="U611" s="1618">
        <v>0</v>
      </c>
      <c r="V611" s="1618">
        <v>0</v>
      </c>
      <c r="W611" s="1618">
        <v>0</v>
      </c>
      <c r="X611" s="1618">
        <v>0</v>
      </c>
      <c r="Y611" s="1618">
        <v>0</v>
      </c>
      <c r="Z611" s="1642">
        <v>0</v>
      </c>
      <c r="AA611" s="1643">
        <v>0</v>
      </c>
      <c r="AB611" s="1353" t="e">
        <v>#N/A</v>
      </c>
      <c r="AC611" s="47"/>
    </row>
    <row r="612" spans="1:32" ht="14.45" hidden="1" customHeight="1" x14ac:dyDescent="0.25">
      <c r="A612" s="10" t="s">
        <v>459</v>
      </c>
      <c r="C612" s="42"/>
      <c r="I612" s="5"/>
      <c r="J612" s="2037"/>
      <c r="K612" s="2038"/>
      <c r="L612" s="2038"/>
      <c r="M612" s="2039"/>
      <c r="N612" s="985" t="s">
        <v>13</v>
      </c>
      <c r="O612" s="985"/>
      <c r="P612" s="985"/>
      <c r="Q612" s="985"/>
      <c r="R612" s="985"/>
      <c r="S612" s="1366" t="s">
        <v>2325</v>
      </c>
      <c r="T612" s="1617">
        <v>0</v>
      </c>
      <c r="U612" s="1618">
        <v>0</v>
      </c>
      <c r="V612" s="1618">
        <v>0</v>
      </c>
      <c r="W612" s="1618">
        <v>0</v>
      </c>
      <c r="X612" s="1618">
        <v>0</v>
      </c>
      <c r="Y612" s="1618">
        <v>0</v>
      </c>
      <c r="Z612" s="1642">
        <v>0</v>
      </c>
      <c r="AA612" s="1643">
        <v>0</v>
      </c>
      <c r="AB612" s="1353" t="e">
        <v>#N/A</v>
      </c>
      <c r="AC612" s="47"/>
    </row>
    <row r="613" spans="1:32" ht="14.45" hidden="1" customHeight="1" x14ac:dyDescent="0.25">
      <c r="A613" s="10" t="s">
        <v>459</v>
      </c>
      <c r="C613" s="42"/>
      <c r="J613" s="2037"/>
      <c r="K613" s="2038"/>
      <c r="L613" s="2038"/>
      <c r="M613" s="2039"/>
      <c r="N613" s="985" t="s">
        <v>89</v>
      </c>
      <c r="O613" s="985"/>
      <c r="P613" s="985"/>
      <c r="Q613" s="985"/>
      <c r="R613" s="985"/>
      <c r="S613" s="1366" t="s">
        <v>2326</v>
      </c>
      <c r="T613" s="1617">
        <v>0</v>
      </c>
      <c r="U613" s="1618">
        <v>0</v>
      </c>
      <c r="V613" s="1618">
        <v>0</v>
      </c>
      <c r="W613" s="1618">
        <v>0</v>
      </c>
      <c r="X613" s="1618">
        <v>0</v>
      </c>
      <c r="Y613" s="1618">
        <v>0</v>
      </c>
      <c r="Z613" s="1642">
        <v>0</v>
      </c>
      <c r="AA613" s="1643">
        <v>0</v>
      </c>
      <c r="AB613" s="1353" t="e">
        <v>#N/A</v>
      </c>
      <c r="AC613" s="43"/>
    </row>
    <row r="614" spans="1:32" ht="14.45" hidden="1" customHeight="1" x14ac:dyDescent="0.25">
      <c r="A614" s="10" t="s">
        <v>459</v>
      </c>
      <c r="C614" s="42"/>
      <c r="J614" s="2037"/>
      <c r="K614" s="2038"/>
      <c r="L614" s="2038"/>
      <c r="M614" s="2039"/>
      <c r="N614" s="985" t="s">
        <v>86</v>
      </c>
      <c r="O614" s="985"/>
      <c r="P614" s="985"/>
      <c r="Q614" s="985"/>
      <c r="R614" s="985"/>
      <c r="S614" s="1366" t="s">
        <v>2327</v>
      </c>
      <c r="T614" s="1617">
        <v>0</v>
      </c>
      <c r="U614" s="1618">
        <v>0</v>
      </c>
      <c r="V614" s="1618">
        <v>0</v>
      </c>
      <c r="W614" s="1618">
        <v>0</v>
      </c>
      <c r="X614" s="1618">
        <v>0</v>
      </c>
      <c r="Y614" s="1618">
        <v>0</v>
      </c>
      <c r="Z614" s="1642">
        <v>0</v>
      </c>
      <c r="AA614" s="1643">
        <v>0</v>
      </c>
      <c r="AB614" s="1353" t="e">
        <v>#N/A</v>
      </c>
      <c r="AC614" s="43"/>
    </row>
    <row r="615" spans="1:32" ht="14.45" hidden="1" customHeight="1" x14ac:dyDescent="0.25">
      <c r="A615" s="10" t="s">
        <v>459</v>
      </c>
      <c r="C615" s="42"/>
      <c r="J615" s="2037"/>
      <c r="K615" s="2038"/>
      <c r="L615" s="2038"/>
      <c r="M615" s="2039"/>
      <c r="N615" s="985" t="s">
        <v>87</v>
      </c>
      <c r="O615" s="985"/>
      <c r="P615" s="985"/>
      <c r="Q615" s="985"/>
      <c r="R615" s="985"/>
      <c r="S615" s="1366" t="s">
        <v>2328</v>
      </c>
      <c r="T615" s="1617">
        <v>0</v>
      </c>
      <c r="U615" s="1618">
        <v>0</v>
      </c>
      <c r="V615" s="1618">
        <v>0</v>
      </c>
      <c r="W615" s="1618">
        <v>0</v>
      </c>
      <c r="X615" s="1618">
        <v>0</v>
      </c>
      <c r="Y615" s="1618">
        <v>0</v>
      </c>
      <c r="Z615" s="1618">
        <v>0</v>
      </c>
      <c r="AA615" s="1757" t="e">
        <v>#N/A</v>
      </c>
      <c r="AB615" s="1353" t="e">
        <v>#N/A</v>
      </c>
      <c r="AC615" s="43"/>
    </row>
    <row r="616" spans="1:32" ht="14.45" hidden="1" customHeight="1" x14ac:dyDescent="0.25">
      <c r="A616" s="10" t="s">
        <v>459</v>
      </c>
      <c r="C616" s="42"/>
      <c r="J616" s="2037"/>
      <c r="K616" s="2038"/>
      <c r="L616" s="2038"/>
      <c r="M616" s="2039"/>
      <c r="N616" s="985" t="s">
        <v>144</v>
      </c>
      <c r="O616" s="985"/>
      <c r="P616" s="985"/>
      <c r="Q616" s="985"/>
      <c r="R616" s="985"/>
      <c r="S616" s="1366" t="s">
        <v>2329</v>
      </c>
      <c r="T616" s="1617">
        <v>-0.25</v>
      </c>
      <c r="U616" s="1618">
        <v>-0.25</v>
      </c>
      <c r="V616" s="1618">
        <v>-0.25</v>
      </c>
      <c r="W616" s="1618">
        <v>-0.25</v>
      </c>
      <c r="X616" s="1618">
        <v>-0.375</v>
      </c>
      <c r="Y616" s="1618">
        <v>-0.375</v>
      </c>
      <c r="Z616" s="1756" t="e">
        <v>#N/A</v>
      </c>
      <c r="AA616" s="1757" t="e">
        <v>#N/A</v>
      </c>
      <c r="AB616" s="1353" t="e">
        <v>#N/A</v>
      </c>
      <c r="AC616" s="43"/>
    </row>
    <row r="617" spans="1:32" ht="14.45" hidden="1" customHeight="1" x14ac:dyDescent="0.25">
      <c r="A617" s="10" t="s">
        <v>459</v>
      </c>
      <c r="C617" s="42"/>
      <c r="J617" s="2037"/>
      <c r="K617" s="2038"/>
      <c r="L617" s="2038"/>
      <c r="M617" s="2039"/>
      <c r="N617" s="985" t="s">
        <v>145</v>
      </c>
      <c r="O617" s="985"/>
      <c r="P617" s="985"/>
      <c r="Q617" s="985"/>
      <c r="R617" s="985"/>
      <c r="S617" s="1366" t="s">
        <v>2330</v>
      </c>
      <c r="T617" s="1617">
        <v>-0.5</v>
      </c>
      <c r="U617" s="1618">
        <v>-0.5</v>
      </c>
      <c r="V617" s="1618">
        <v>-0.5</v>
      </c>
      <c r="W617" s="1618">
        <v>-0.5</v>
      </c>
      <c r="X617" s="1618">
        <v>-0.625</v>
      </c>
      <c r="Y617" s="1618">
        <v>-0.625</v>
      </c>
      <c r="Z617" s="1756" t="e">
        <v>#N/A</v>
      </c>
      <c r="AA617" s="1757" t="e">
        <v>#N/A</v>
      </c>
      <c r="AB617" s="1353" t="e">
        <v>#N/A</v>
      </c>
      <c r="AC617" s="43"/>
    </row>
    <row r="618" spans="1:32" ht="14.45" hidden="1" customHeight="1" x14ac:dyDescent="0.25">
      <c r="A618" s="10" t="s">
        <v>459</v>
      </c>
      <c r="C618" s="42"/>
      <c r="J618" s="2037"/>
      <c r="K618" s="2038"/>
      <c r="L618" s="2038"/>
      <c r="M618" s="2039"/>
      <c r="N618" s="985" t="s">
        <v>123</v>
      </c>
      <c r="O618" s="985"/>
      <c r="P618" s="985"/>
      <c r="Q618" s="985"/>
      <c r="R618" s="985"/>
      <c r="S618" s="1366" t="s">
        <v>2331</v>
      </c>
      <c r="T618" s="1617">
        <v>-0.875</v>
      </c>
      <c r="U618" s="1618">
        <v>-0.875</v>
      </c>
      <c r="V618" s="1618">
        <v>-0.875</v>
      </c>
      <c r="W618" s="1618">
        <v>-0.875</v>
      </c>
      <c r="X618" s="1618">
        <v>-1.125</v>
      </c>
      <c r="Y618" s="1749" t="e">
        <v>#N/A</v>
      </c>
      <c r="Z618" s="1756" t="e">
        <v>#N/A</v>
      </c>
      <c r="AA618" s="1757" t="e">
        <v>#N/A</v>
      </c>
      <c r="AB618" s="1353" t="e">
        <v>#N/A</v>
      </c>
      <c r="AC618" s="43"/>
    </row>
    <row r="619" spans="1:32" ht="14.45" hidden="1" customHeight="1" x14ac:dyDescent="0.25">
      <c r="A619" s="10" t="s">
        <v>459</v>
      </c>
      <c r="C619" s="42"/>
      <c r="J619" s="2037"/>
      <c r="K619" s="2038"/>
      <c r="L619" s="2038"/>
      <c r="M619" s="2039"/>
      <c r="N619" s="1006" t="s">
        <v>229</v>
      </c>
      <c r="O619" s="1027"/>
      <c r="P619" s="1027"/>
      <c r="Q619" s="1027"/>
      <c r="R619" s="1027"/>
      <c r="S619" s="1405" t="s">
        <v>2332</v>
      </c>
      <c r="T619" s="1819">
        <v>-1.5</v>
      </c>
      <c r="U619" s="1645">
        <v>-1.5</v>
      </c>
      <c r="V619" s="1645">
        <v>-1.5</v>
      </c>
      <c r="W619" s="1758" t="e">
        <v>#N/A</v>
      </c>
      <c r="X619" s="1758" t="e">
        <v>#N/A</v>
      </c>
      <c r="Y619" s="1758" t="e">
        <v>#N/A</v>
      </c>
      <c r="Z619" s="1759" t="e">
        <v>#N/A</v>
      </c>
      <c r="AA619" s="1755" t="e">
        <v>#N/A</v>
      </c>
      <c r="AB619" s="1353" t="e">
        <v>#N/A</v>
      </c>
      <c r="AC619" s="43"/>
    </row>
    <row r="620" spans="1:32" ht="14.45" hidden="1" customHeight="1" x14ac:dyDescent="0.25">
      <c r="A620" s="10" t="s">
        <v>461</v>
      </c>
      <c r="C620" s="42"/>
      <c r="J620" s="2037"/>
      <c r="K620" s="2038"/>
      <c r="L620" s="2038"/>
      <c r="M620" s="2039"/>
      <c r="N620" s="984" t="s">
        <v>230</v>
      </c>
      <c r="O620" s="984"/>
      <c r="P620" s="984"/>
      <c r="Q620" s="984"/>
      <c r="R620" s="984"/>
      <c r="S620" s="1397" t="s">
        <v>2333</v>
      </c>
      <c r="T620" s="1351" t="e">
        <v>#N/A</v>
      </c>
      <c r="U620" s="1202" t="e">
        <v>#N/A</v>
      </c>
      <c r="V620" s="1202" t="e">
        <v>#N/A</v>
      </c>
      <c r="W620" s="1202" t="e">
        <v>#N/A</v>
      </c>
      <c r="X620" s="1202" t="e">
        <v>#N/A</v>
      </c>
      <c r="Y620" s="1202" t="e">
        <v>#N/A</v>
      </c>
      <c r="Z620" s="1202" t="e">
        <v>#N/A</v>
      </c>
      <c r="AA620" s="1635" t="e">
        <v>#N/A</v>
      </c>
      <c r="AB620" s="1908" t="e">
        <v>#N/A</v>
      </c>
      <c r="AC620" s="43"/>
    </row>
    <row r="621" spans="1:32" ht="14.45" hidden="1" customHeight="1" x14ac:dyDescent="0.25">
      <c r="A621" s="10" t="s">
        <v>461</v>
      </c>
      <c r="C621" s="42"/>
      <c r="J621" s="2037"/>
      <c r="K621" s="2038"/>
      <c r="L621" s="2038"/>
      <c r="M621" s="2039"/>
      <c r="N621" s="985" t="s">
        <v>231</v>
      </c>
      <c r="O621" s="985"/>
      <c r="P621" s="985"/>
      <c r="Q621" s="985"/>
      <c r="R621" s="985"/>
      <c r="S621" s="1394" t="s">
        <v>2334</v>
      </c>
      <c r="T621" s="1355" t="e">
        <v>#N/A</v>
      </c>
      <c r="U621" s="1202" t="e">
        <v>#N/A</v>
      </c>
      <c r="V621" s="1202" t="e">
        <v>#N/A</v>
      </c>
      <c r="W621" s="1202" t="e">
        <v>#N/A</v>
      </c>
      <c r="X621" s="1202" t="e">
        <v>#N/A</v>
      </c>
      <c r="Y621" s="1202" t="e">
        <v>#N/A</v>
      </c>
      <c r="Z621" s="1202" t="e">
        <v>#N/A</v>
      </c>
      <c r="AA621" s="1469" t="e">
        <v>#N/A</v>
      </c>
      <c r="AB621" s="1908" t="e">
        <v>#N/A</v>
      </c>
      <c r="AC621" s="43"/>
    </row>
    <row r="622" spans="1:32" ht="14.45" hidden="1" customHeight="1" x14ac:dyDescent="0.25">
      <c r="A622" s="10" t="s">
        <v>461</v>
      </c>
      <c r="C622" s="42"/>
      <c r="J622" s="2040"/>
      <c r="K622" s="2041"/>
      <c r="L622" s="2041"/>
      <c r="M622" s="2042"/>
      <c r="N622" s="1027" t="s">
        <v>228</v>
      </c>
      <c r="O622" s="1027"/>
      <c r="P622" s="1027"/>
      <c r="Q622" s="1027"/>
      <c r="R622" s="1027"/>
      <c r="S622" s="1372" t="s">
        <v>2335</v>
      </c>
      <c r="T622" s="1349" t="e">
        <v>#N/A</v>
      </c>
      <c r="U622" s="1201" t="e">
        <v>#N/A</v>
      </c>
      <c r="V622" s="1201" t="e">
        <v>#N/A</v>
      </c>
      <c r="W622" s="1201" t="e">
        <v>#N/A</v>
      </c>
      <c r="X622" s="1201" t="e">
        <v>#N/A</v>
      </c>
      <c r="Y622" s="1201" t="e">
        <v>#N/A</v>
      </c>
      <c r="Z622" s="1201" t="e">
        <v>#N/A</v>
      </c>
      <c r="AA622" s="1909" t="e">
        <v>#N/A</v>
      </c>
      <c r="AB622" s="1908" t="e">
        <v>#N/A</v>
      </c>
      <c r="AC622" s="43"/>
    </row>
    <row r="623" spans="1:32" ht="14.45" hidden="1" customHeight="1" x14ac:dyDescent="0.25">
      <c r="A623" s="10" t="s">
        <v>461</v>
      </c>
      <c r="C623" s="42"/>
      <c r="J623" s="2034" t="s">
        <v>14</v>
      </c>
      <c r="K623" s="2035"/>
      <c r="L623" s="2035"/>
      <c r="M623" s="2036"/>
      <c r="N623" s="1005" t="s">
        <v>111</v>
      </c>
      <c r="O623" s="1005"/>
      <c r="P623" s="1005"/>
      <c r="Q623" s="1005"/>
      <c r="R623" s="1005"/>
      <c r="S623" s="1368" t="s">
        <v>641</v>
      </c>
      <c r="T623" s="1615">
        <v>0</v>
      </c>
      <c r="U623" s="1616">
        <v>0</v>
      </c>
      <c r="V623" s="1616">
        <v>0</v>
      </c>
      <c r="W623" s="1616">
        <v>0</v>
      </c>
      <c r="X623" s="1616">
        <v>0</v>
      </c>
      <c r="Y623" s="1616">
        <v>0</v>
      </c>
      <c r="Z623" s="1650">
        <v>0</v>
      </c>
      <c r="AA623" s="1651">
        <v>0</v>
      </c>
      <c r="AB623" s="1353" t="e">
        <v>#N/A</v>
      </c>
      <c r="AC623" s="43"/>
      <c r="AF623" s="218"/>
    </row>
    <row r="624" spans="1:32" ht="14.45" hidden="1" customHeight="1" x14ac:dyDescent="0.25">
      <c r="A624" s="10" t="s">
        <v>459</v>
      </c>
      <c r="C624" s="42"/>
      <c r="J624" s="2037"/>
      <c r="K624" s="2038"/>
      <c r="L624" s="2038"/>
      <c r="M624" s="2039"/>
      <c r="N624" s="985" t="s">
        <v>32</v>
      </c>
      <c r="O624" s="985"/>
      <c r="P624" s="985"/>
      <c r="Q624" s="985"/>
      <c r="R624" s="985"/>
      <c r="S624" s="1366" t="s">
        <v>642</v>
      </c>
      <c r="T624" s="1615">
        <v>0</v>
      </c>
      <c r="U624" s="1616">
        <v>0</v>
      </c>
      <c r="V624" s="1616">
        <v>0</v>
      </c>
      <c r="W624" s="1616">
        <v>0</v>
      </c>
      <c r="X624" s="1616">
        <v>0</v>
      </c>
      <c r="Y624" s="1616">
        <v>0</v>
      </c>
      <c r="Z624" s="1650">
        <v>0</v>
      </c>
      <c r="AA624" s="1651">
        <v>0</v>
      </c>
      <c r="AB624" s="1353" t="e">
        <v>#N/A</v>
      </c>
      <c r="AC624" s="43"/>
      <c r="AF624" s="218"/>
    </row>
    <row r="625" spans="1:32" ht="14.45" hidden="1" customHeight="1" x14ac:dyDescent="0.25">
      <c r="A625" s="10" t="s">
        <v>459</v>
      </c>
      <c r="C625" s="42"/>
      <c r="J625" s="2037"/>
      <c r="K625" s="2038"/>
      <c r="L625" s="2038"/>
      <c r="M625" s="2039"/>
      <c r="N625" s="983" t="s">
        <v>1319</v>
      </c>
      <c r="O625" s="985"/>
      <c r="P625" s="985"/>
      <c r="Q625" s="985"/>
      <c r="R625" s="985"/>
      <c r="S625" s="1366" t="s">
        <v>1327</v>
      </c>
      <c r="T625" s="1617">
        <v>0</v>
      </c>
      <c r="U625" s="1618">
        <v>0</v>
      </c>
      <c r="V625" s="1618">
        <v>0</v>
      </c>
      <c r="W625" s="1618">
        <v>0</v>
      </c>
      <c r="X625" s="1618">
        <v>0</v>
      </c>
      <c r="Y625" s="1618">
        <v>0</v>
      </c>
      <c r="Z625" s="1642">
        <v>-0.125</v>
      </c>
      <c r="AA625" s="1643">
        <v>-0.125</v>
      </c>
      <c r="AB625" s="1353" t="e">
        <v>#N/A</v>
      </c>
      <c r="AC625" s="43"/>
      <c r="AF625" s="218"/>
    </row>
    <row r="626" spans="1:32" ht="14.45" hidden="1" customHeight="1" x14ac:dyDescent="0.25">
      <c r="A626" s="10" t="s">
        <v>459</v>
      </c>
      <c r="C626" s="42"/>
      <c r="J626" s="2037"/>
      <c r="K626" s="2038"/>
      <c r="L626" s="2038"/>
      <c r="M626" s="2039"/>
      <c r="N626" s="983" t="s">
        <v>1320</v>
      </c>
      <c r="O626" s="985"/>
      <c r="P626" s="985"/>
      <c r="Q626" s="985"/>
      <c r="R626" s="985"/>
      <c r="S626" s="1366" t="s">
        <v>1328</v>
      </c>
      <c r="T626" s="1617">
        <v>0</v>
      </c>
      <c r="U626" s="1618">
        <v>0</v>
      </c>
      <c r="V626" s="1618">
        <v>0</v>
      </c>
      <c r="W626" s="1618">
        <v>0</v>
      </c>
      <c r="X626" s="1618">
        <v>-0.125</v>
      </c>
      <c r="Y626" s="1618">
        <v>-0.125</v>
      </c>
      <c r="Z626" s="1642">
        <v>-0.125</v>
      </c>
      <c r="AA626" s="1643">
        <v>-0.25</v>
      </c>
      <c r="AB626" s="1353" t="e">
        <v>#N/A</v>
      </c>
      <c r="AC626" s="43"/>
      <c r="AF626" s="218"/>
    </row>
    <row r="627" spans="1:32" ht="14.45" hidden="1" customHeight="1" x14ac:dyDescent="0.25">
      <c r="A627" s="10" t="s">
        <v>459</v>
      </c>
      <c r="C627" s="42"/>
      <c r="J627" s="2040"/>
      <c r="K627" s="2041"/>
      <c r="L627" s="2041"/>
      <c r="M627" s="2042"/>
      <c r="N627" s="1027" t="s">
        <v>15</v>
      </c>
      <c r="O627" s="1027"/>
      <c r="P627" s="1027"/>
      <c r="Q627" s="1027"/>
      <c r="R627" s="1027"/>
      <c r="S627" s="1372" t="s">
        <v>643</v>
      </c>
      <c r="T627" s="1644">
        <v>-0.125</v>
      </c>
      <c r="U627" s="1645">
        <v>-0.125</v>
      </c>
      <c r="V627" s="1645">
        <v>-0.125</v>
      </c>
      <c r="W627" s="1645">
        <v>-0.25</v>
      </c>
      <c r="X627" s="1645">
        <v>-0.375</v>
      </c>
      <c r="Y627" s="1645">
        <v>-0.375</v>
      </c>
      <c r="Z627" s="1646">
        <v>-0.375</v>
      </c>
      <c r="AA627" s="1647">
        <v>-0.5</v>
      </c>
      <c r="AB627" s="1353" t="e">
        <v>#N/A</v>
      </c>
      <c r="AC627" s="43"/>
      <c r="AF627" s="218"/>
    </row>
    <row r="628" spans="1:32" ht="14.45" hidden="1" customHeight="1" x14ac:dyDescent="0.25">
      <c r="A628" s="10" t="s">
        <v>459</v>
      </c>
      <c r="C628" s="42"/>
      <c r="J628" s="2034" t="s">
        <v>62</v>
      </c>
      <c r="K628" s="2035"/>
      <c r="L628" s="2035"/>
      <c r="M628" s="2036"/>
      <c r="N628" s="1005" t="s">
        <v>99</v>
      </c>
      <c r="O628" s="1005"/>
      <c r="P628" s="1005"/>
      <c r="Q628" s="1005"/>
      <c r="R628" s="1005"/>
      <c r="S628" s="1368" t="s">
        <v>644</v>
      </c>
      <c r="T628" s="1615">
        <v>0</v>
      </c>
      <c r="U628" s="1616">
        <v>0</v>
      </c>
      <c r="V628" s="1616">
        <v>0</v>
      </c>
      <c r="W628" s="1616">
        <v>0</v>
      </c>
      <c r="X628" s="1616">
        <v>0</v>
      </c>
      <c r="Y628" s="1616">
        <v>0</v>
      </c>
      <c r="Z628" s="1650">
        <v>0</v>
      </c>
      <c r="AA628" s="1651">
        <v>0</v>
      </c>
      <c r="AB628" s="1353" t="e">
        <v>#N/A</v>
      </c>
      <c r="AC628" s="43"/>
      <c r="AF628" s="218"/>
    </row>
    <row r="629" spans="1:32" ht="14.45" hidden="1" customHeight="1" x14ac:dyDescent="0.25">
      <c r="A629" s="10" t="s">
        <v>459</v>
      </c>
      <c r="C629" s="42"/>
      <c r="J629" s="2037"/>
      <c r="K629" s="2038"/>
      <c r="L629" s="2038"/>
      <c r="M629" s="2039"/>
      <c r="N629" s="306" t="s">
        <v>1143</v>
      </c>
      <c r="O629" s="306"/>
      <c r="P629" s="306"/>
      <c r="Q629" s="306"/>
      <c r="R629" s="306"/>
      <c r="S629" s="1382" t="s">
        <v>645</v>
      </c>
      <c r="T629" s="1617">
        <v>0.5</v>
      </c>
      <c r="U629" s="1618">
        <v>0.5</v>
      </c>
      <c r="V629" s="1618">
        <v>0.5</v>
      </c>
      <c r="W629" s="1618">
        <v>0.5</v>
      </c>
      <c r="X629" s="1618">
        <v>0.5</v>
      </c>
      <c r="Y629" s="1618">
        <v>0.5</v>
      </c>
      <c r="Z629" s="1642">
        <v>0.5</v>
      </c>
      <c r="AA629" s="1353" t="e">
        <v>#N/A</v>
      </c>
      <c r="AB629" s="1353" t="e">
        <v>#N/A</v>
      </c>
      <c r="AC629" s="43"/>
      <c r="AF629" s="218"/>
    </row>
    <row r="630" spans="1:32" ht="14.45" hidden="1" customHeight="1" x14ac:dyDescent="0.25">
      <c r="A630" s="10" t="s">
        <v>459</v>
      </c>
      <c r="C630" s="42"/>
      <c r="J630" s="2037"/>
      <c r="K630" s="2038"/>
      <c r="L630" s="2038"/>
      <c r="M630" s="2039"/>
      <c r="N630" s="306" t="s">
        <v>299</v>
      </c>
      <c r="O630" s="306"/>
      <c r="P630" s="306"/>
      <c r="Q630" s="306"/>
      <c r="R630" s="306"/>
      <c r="S630" s="1382" t="s">
        <v>646</v>
      </c>
      <c r="T630" s="1617">
        <v>0.375</v>
      </c>
      <c r="U630" s="1618">
        <v>0.375</v>
      </c>
      <c r="V630" s="1618">
        <v>0.375</v>
      </c>
      <c r="W630" s="1618">
        <v>0.375</v>
      </c>
      <c r="X630" s="1618">
        <v>0.375</v>
      </c>
      <c r="Y630" s="1618">
        <v>0.375</v>
      </c>
      <c r="Z630" s="1642">
        <v>0.375</v>
      </c>
      <c r="AA630" s="1353" t="e">
        <v>#N/A</v>
      </c>
      <c r="AB630" s="1353" t="e">
        <v>#N/A</v>
      </c>
      <c r="AC630" s="43"/>
      <c r="AF630" s="218"/>
    </row>
    <row r="631" spans="1:32" ht="14.45" hidden="1" customHeight="1" x14ac:dyDescent="0.25">
      <c r="A631" s="10" t="s">
        <v>459</v>
      </c>
      <c r="C631" s="42"/>
      <c r="J631" s="2037"/>
      <c r="K631" s="2038"/>
      <c r="L631" s="2038"/>
      <c r="M631" s="2039"/>
      <c r="N631" s="306" t="s">
        <v>298</v>
      </c>
      <c r="O631" s="306"/>
      <c r="P631" s="306"/>
      <c r="Q631" s="306"/>
      <c r="R631" s="306"/>
      <c r="S631" s="1382" t="s">
        <v>647</v>
      </c>
      <c r="T631" s="1617">
        <v>0.125</v>
      </c>
      <c r="U631" s="1618">
        <v>0.125</v>
      </c>
      <c r="V631" s="1618">
        <v>0.125</v>
      </c>
      <c r="W631" s="1618">
        <v>0.125</v>
      </c>
      <c r="X631" s="1618">
        <v>0.125</v>
      </c>
      <c r="Y631" s="1618">
        <v>0.125</v>
      </c>
      <c r="Z631" s="1642">
        <v>0.125</v>
      </c>
      <c r="AA631" s="1353" t="e">
        <v>#N/A</v>
      </c>
      <c r="AB631" s="1353" t="e">
        <v>#N/A</v>
      </c>
      <c r="AC631" s="43"/>
      <c r="AF631" s="218"/>
    </row>
    <row r="632" spans="1:32" ht="14.45" hidden="1" customHeight="1" x14ac:dyDescent="0.25">
      <c r="A632" s="10" t="s">
        <v>459</v>
      </c>
      <c r="C632" s="42"/>
      <c r="J632" s="2037"/>
      <c r="K632" s="2038"/>
      <c r="L632" s="2038"/>
      <c r="M632" s="2039"/>
      <c r="N632" s="306" t="s">
        <v>350</v>
      </c>
      <c r="O632" s="306"/>
      <c r="P632" s="306"/>
      <c r="Q632" s="306"/>
      <c r="R632" s="306"/>
      <c r="S632" s="1382" t="s">
        <v>648</v>
      </c>
      <c r="T632" s="1617">
        <v>0</v>
      </c>
      <c r="U632" s="1618">
        <v>0</v>
      </c>
      <c r="V632" s="1618">
        <v>0</v>
      </c>
      <c r="W632" s="1618">
        <v>0</v>
      </c>
      <c r="X632" s="1618">
        <v>0</v>
      </c>
      <c r="Y632" s="1618">
        <v>0</v>
      </c>
      <c r="Z632" s="1642">
        <v>0</v>
      </c>
      <c r="AA632" s="1353" t="e">
        <v>#N/A</v>
      </c>
      <c r="AB632" s="1353" t="e">
        <v>#N/A</v>
      </c>
      <c r="AC632" s="43"/>
      <c r="AF632" s="218"/>
    </row>
    <row r="633" spans="1:32" ht="14.45" hidden="1" customHeight="1" x14ac:dyDescent="0.25">
      <c r="A633" s="10" t="s">
        <v>459</v>
      </c>
      <c r="C633" s="42"/>
      <c r="J633" s="2037"/>
      <c r="K633" s="2038"/>
      <c r="L633" s="2038"/>
      <c r="M633" s="2039"/>
      <c r="N633" s="306" t="s">
        <v>351</v>
      </c>
      <c r="O633" s="306"/>
      <c r="P633" s="306"/>
      <c r="Q633" s="306"/>
      <c r="R633" s="306"/>
      <c r="S633" s="1382" t="s">
        <v>649</v>
      </c>
      <c r="T633" s="1617">
        <v>-1.625</v>
      </c>
      <c r="U633" s="1618">
        <v>-1.625</v>
      </c>
      <c r="V633" s="1618">
        <v>-1.625</v>
      </c>
      <c r="W633" s="1618">
        <v>-1.625</v>
      </c>
      <c r="X633" s="1618">
        <v>-3</v>
      </c>
      <c r="Y633" s="1618">
        <v>-3.25</v>
      </c>
      <c r="Z633" s="1642">
        <v>-4</v>
      </c>
      <c r="AA633" s="1353" t="e">
        <v>#N/A</v>
      </c>
      <c r="AB633" s="1353" t="e">
        <v>#N/A</v>
      </c>
      <c r="AC633" s="43"/>
      <c r="AF633" s="218"/>
    </row>
    <row r="634" spans="1:32" ht="14.45" hidden="1" customHeight="1" x14ac:dyDescent="0.25">
      <c r="A634" s="10" t="s">
        <v>459</v>
      </c>
      <c r="C634" s="42"/>
      <c r="J634" s="2040"/>
      <c r="K634" s="2041"/>
      <c r="L634" s="2041"/>
      <c r="M634" s="2042"/>
      <c r="N634" s="306" t="s">
        <v>352</v>
      </c>
      <c r="O634" s="306"/>
      <c r="P634" s="306"/>
      <c r="Q634" s="306"/>
      <c r="R634" s="306"/>
      <c r="S634" s="1372" t="s">
        <v>650</v>
      </c>
      <c r="T634" s="1984">
        <v>-5.625</v>
      </c>
      <c r="U634" s="1741">
        <v>-5.625</v>
      </c>
      <c r="V634" s="1741">
        <v>-5.625</v>
      </c>
      <c r="W634" s="1741">
        <v>-5.625</v>
      </c>
      <c r="X634" s="1741">
        <v>-7</v>
      </c>
      <c r="Y634" s="1741">
        <v>-7.5</v>
      </c>
      <c r="Z634" s="1631" t="e">
        <v>#N/A</v>
      </c>
      <c r="AA634" s="1983" t="e">
        <v>#N/A</v>
      </c>
      <c r="AB634" s="1353" t="e">
        <v>#N/A</v>
      </c>
      <c r="AC634" s="43"/>
      <c r="AF634" s="218"/>
    </row>
    <row r="635" spans="1:32" ht="14.45" hidden="1" customHeight="1" x14ac:dyDescent="0.25">
      <c r="A635" s="10" t="s">
        <v>459</v>
      </c>
      <c r="C635" s="42"/>
      <c r="J635" s="2034" t="s">
        <v>33</v>
      </c>
      <c r="K635" s="2035"/>
      <c r="L635" s="2035"/>
      <c r="M635" s="2036"/>
      <c r="N635" s="1028" t="s">
        <v>34</v>
      </c>
      <c r="O635" s="1028"/>
      <c r="P635" s="1028"/>
      <c r="Q635" s="1028"/>
      <c r="R635" s="1028"/>
      <c r="S635" s="1374" t="s">
        <v>651</v>
      </c>
      <c r="T635" s="1615">
        <v>0.25</v>
      </c>
      <c r="U635" s="1616">
        <v>0.25</v>
      </c>
      <c r="V635" s="1616">
        <v>0.25</v>
      </c>
      <c r="W635" s="1616">
        <v>0.25</v>
      </c>
      <c r="X635" s="1616">
        <v>0.25</v>
      </c>
      <c r="Y635" s="1616">
        <v>0.25</v>
      </c>
      <c r="Z635" s="1650">
        <v>0.125</v>
      </c>
      <c r="AA635" s="1649">
        <v>0.125</v>
      </c>
      <c r="AB635" s="1353" t="e">
        <v>#N/A</v>
      </c>
      <c r="AC635" s="43"/>
      <c r="AF635" s="218"/>
    </row>
    <row r="636" spans="1:32" ht="14.45" hidden="1" customHeight="1" x14ac:dyDescent="0.25">
      <c r="A636" s="10" t="s">
        <v>459</v>
      </c>
      <c r="C636" s="42"/>
      <c r="J636" s="2037"/>
      <c r="K636" s="2038"/>
      <c r="L636" s="2038"/>
      <c r="M636" s="2039"/>
      <c r="N636" s="986" t="s">
        <v>35</v>
      </c>
      <c r="O636" s="986"/>
      <c r="P636" s="986"/>
      <c r="Q636" s="986"/>
      <c r="R636" s="986"/>
      <c r="S636" s="1375" t="s">
        <v>652</v>
      </c>
      <c r="T636" s="1617">
        <v>0</v>
      </c>
      <c r="U636" s="1618">
        <v>0</v>
      </c>
      <c r="V636" s="1618">
        <v>0</v>
      </c>
      <c r="W636" s="1618">
        <v>0</v>
      </c>
      <c r="X636" s="1618">
        <v>0</v>
      </c>
      <c r="Y636" s="1618">
        <v>0</v>
      </c>
      <c r="Z636" s="1642">
        <v>0</v>
      </c>
      <c r="AA636" s="1643">
        <v>0</v>
      </c>
      <c r="AB636" s="1353" t="e">
        <v>#N/A</v>
      </c>
      <c r="AC636" s="43"/>
      <c r="AF636" s="218"/>
    </row>
    <row r="637" spans="1:32" ht="14.45" hidden="1" customHeight="1" x14ac:dyDescent="0.25">
      <c r="A637" s="10" t="s">
        <v>459</v>
      </c>
      <c r="C637" s="42"/>
      <c r="J637" s="2040"/>
      <c r="K637" s="2041"/>
      <c r="L637" s="2041"/>
      <c r="M637" s="2042"/>
      <c r="N637" s="991" t="s">
        <v>16</v>
      </c>
      <c r="O637" s="991"/>
      <c r="P637" s="991"/>
      <c r="Q637" s="991"/>
      <c r="R637" s="991"/>
      <c r="S637" s="1376" t="s">
        <v>653</v>
      </c>
      <c r="T637" s="1644">
        <v>-0.375</v>
      </c>
      <c r="U637" s="1645">
        <v>-0.375</v>
      </c>
      <c r="V637" s="1645">
        <v>-0.375</v>
      </c>
      <c r="W637" s="1645">
        <v>-0.5</v>
      </c>
      <c r="X637" s="1645">
        <v>-0.75</v>
      </c>
      <c r="Y637" s="1645">
        <v>-1.25</v>
      </c>
      <c r="Z637" s="1646">
        <v>-1.875</v>
      </c>
      <c r="AA637" s="1755" t="e">
        <v>#N/A</v>
      </c>
      <c r="AB637" s="1353" t="e">
        <v>#N/A</v>
      </c>
      <c r="AC637" s="43"/>
      <c r="AF637" s="218"/>
    </row>
    <row r="638" spans="1:32" ht="14.45" hidden="1" customHeight="1" x14ac:dyDescent="0.25">
      <c r="A638" s="10" t="s">
        <v>459</v>
      </c>
      <c r="C638" s="42"/>
      <c r="J638" s="2176" t="s">
        <v>39</v>
      </c>
      <c r="K638" s="2177"/>
      <c r="L638" s="2177"/>
      <c r="M638" s="2178"/>
      <c r="N638" s="1029" t="s">
        <v>38</v>
      </c>
      <c r="O638" s="1029"/>
      <c r="P638" s="1029"/>
      <c r="Q638" s="1029"/>
      <c r="R638" s="1029"/>
      <c r="S638" s="1376" t="s">
        <v>654</v>
      </c>
      <c r="T638" s="1712">
        <v>0</v>
      </c>
      <c r="U638" s="1695">
        <v>0</v>
      </c>
      <c r="V638" s="1695">
        <v>0</v>
      </c>
      <c r="W638" s="1695">
        <v>0</v>
      </c>
      <c r="X638" s="1695">
        <v>0</v>
      </c>
      <c r="Y638" s="1695">
        <v>0</v>
      </c>
      <c r="Z638" s="1735">
        <v>0</v>
      </c>
      <c r="AA638" s="1736">
        <v>0</v>
      </c>
      <c r="AB638" s="1353" t="e">
        <v>#N/A</v>
      </c>
      <c r="AC638" s="43"/>
      <c r="AF638" s="218"/>
    </row>
    <row r="639" spans="1:32" ht="14.45" hidden="1" customHeight="1" x14ac:dyDescent="0.25">
      <c r="A639" s="10" t="s">
        <v>461</v>
      </c>
      <c r="C639" s="42"/>
      <c r="J639" s="2179" t="s">
        <v>426</v>
      </c>
      <c r="K639" s="2180"/>
      <c r="L639" s="2180"/>
      <c r="M639" s="2181"/>
      <c r="N639" s="1010" t="s">
        <v>425</v>
      </c>
      <c r="O639" s="1028"/>
      <c r="P639" s="1028"/>
      <c r="Q639" s="1028"/>
      <c r="R639" s="1028"/>
      <c r="S639" s="1378" t="s">
        <v>655</v>
      </c>
      <c r="T639" s="1737">
        <v>0</v>
      </c>
      <c r="U639" s="1675">
        <v>0</v>
      </c>
      <c r="V639" s="1675">
        <v>0</v>
      </c>
      <c r="W639" s="1675">
        <v>0</v>
      </c>
      <c r="X639" s="1675">
        <v>0</v>
      </c>
      <c r="Y639" s="1675">
        <v>0</v>
      </c>
      <c r="Z639" s="1738">
        <v>0</v>
      </c>
      <c r="AA639" s="1733">
        <v>0</v>
      </c>
      <c r="AB639" s="1353" t="e">
        <v>#N/A</v>
      </c>
      <c r="AC639" s="43"/>
      <c r="AF639" s="218"/>
    </row>
    <row r="640" spans="1:32" ht="14.45" hidden="1" customHeight="1" x14ac:dyDescent="0.25">
      <c r="A640" s="10" t="s">
        <v>459</v>
      </c>
      <c r="C640" s="42"/>
      <c r="J640" s="2034" t="s">
        <v>40</v>
      </c>
      <c r="K640" s="2035"/>
      <c r="L640" s="2035"/>
      <c r="M640" s="2036"/>
      <c r="N640" s="1030" t="s">
        <v>41</v>
      </c>
      <c r="O640" s="1030"/>
      <c r="P640" s="1030"/>
      <c r="Q640" s="1030"/>
      <c r="R640" s="1030"/>
      <c r="S640" s="1380" t="s">
        <v>656</v>
      </c>
      <c r="T640" s="1696">
        <v>0</v>
      </c>
      <c r="U640" s="1697">
        <v>0</v>
      </c>
      <c r="V640" s="1697">
        <v>0</v>
      </c>
      <c r="W640" s="1697">
        <v>0</v>
      </c>
      <c r="X640" s="1697">
        <v>0</v>
      </c>
      <c r="Y640" s="1697">
        <v>0</v>
      </c>
      <c r="Z640" s="1719">
        <v>0</v>
      </c>
      <c r="AA640" s="1720">
        <v>0</v>
      </c>
      <c r="AB640" s="1353" t="e">
        <v>#N/A</v>
      </c>
      <c r="AC640" s="43"/>
      <c r="AF640" s="218"/>
    </row>
    <row r="641" spans="1:32" ht="14.45" hidden="1" customHeight="1" x14ac:dyDescent="0.25">
      <c r="A641" s="10" t="s">
        <v>459</v>
      </c>
      <c r="C641" s="42"/>
      <c r="J641" s="2037"/>
      <c r="K641" s="2038"/>
      <c r="L641" s="2038"/>
      <c r="M641" s="2039"/>
      <c r="N641" s="307" t="s">
        <v>374</v>
      </c>
      <c r="O641" s="307"/>
      <c r="P641" s="307"/>
      <c r="Q641" s="307"/>
      <c r="R641" s="307"/>
      <c r="S641" s="1381" t="s">
        <v>1428</v>
      </c>
      <c r="T641" s="1699">
        <v>-0.375</v>
      </c>
      <c r="U641" s="1700">
        <v>-0.375</v>
      </c>
      <c r="V641" s="1700">
        <v>-0.375</v>
      </c>
      <c r="W641" s="1700">
        <v>-0.375</v>
      </c>
      <c r="X641" s="1700">
        <v>-0.375</v>
      </c>
      <c r="Y641" s="1700">
        <v>-0.375</v>
      </c>
      <c r="Z641" s="1721">
        <v>-0.375</v>
      </c>
      <c r="AA641" s="1722">
        <v>-0.375</v>
      </c>
      <c r="AB641" s="1353" t="e">
        <v>#N/A</v>
      </c>
      <c r="AC641" s="43"/>
      <c r="AF641" s="218"/>
    </row>
    <row r="642" spans="1:32" ht="14.45" hidden="1" customHeight="1" x14ac:dyDescent="0.25">
      <c r="A642" s="10" t="s">
        <v>459</v>
      </c>
      <c r="C642" s="42"/>
      <c r="J642" s="2037"/>
      <c r="K642" s="2038"/>
      <c r="L642" s="2038"/>
      <c r="M642" s="2039"/>
      <c r="N642" s="307" t="s">
        <v>367</v>
      </c>
      <c r="O642" s="307"/>
      <c r="P642" s="307"/>
      <c r="Q642" s="307"/>
      <c r="R642" s="307"/>
      <c r="S642" s="1381" t="s">
        <v>1432</v>
      </c>
      <c r="T642" s="1699">
        <v>-0.375</v>
      </c>
      <c r="U642" s="1700">
        <v>-0.375</v>
      </c>
      <c r="V642" s="1700">
        <v>-0.375</v>
      </c>
      <c r="W642" s="1700">
        <v>-0.375</v>
      </c>
      <c r="X642" s="1700">
        <v>-0.375</v>
      </c>
      <c r="Y642" s="1700">
        <v>-0.375</v>
      </c>
      <c r="Z642" s="1721">
        <v>-0.375</v>
      </c>
      <c r="AA642" s="1722">
        <v>-0.375</v>
      </c>
      <c r="AB642" s="1353" t="e">
        <v>#N/A</v>
      </c>
      <c r="AC642" s="43"/>
      <c r="AF642" s="218"/>
    </row>
    <row r="643" spans="1:32" ht="14.45" hidden="1" customHeight="1" x14ac:dyDescent="0.25">
      <c r="A643" s="10" t="s">
        <v>459</v>
      </c>
      <c r="C643" s="42"/>
      <c r="J643" s="2040"/>
      <c r="K643" s="2041"/>
      <c r="L643" s="2041"/>
      <c r="M643" s="2042"/>
      <c r="N643" s="991" t="s">
        <v>320</v>
      </c>
      <c r="O643" s="991"/>
      <c r="P643" s="991"/>
      <c r="Q643" s="991"/>
      <c r="R643" s="991"/>
      <c r="S643" s="1388" t="s">
        <v>657</v>
      </c>
      <c r="T643" s="1702">
        <v>0</v>
      </c>
      <c r="U643" s="1691">
        <v>0</v>
      </c>
      <c r="V643" s="1691">
        <v>0</v>
      </c>
      <c r="W643" s="1691">
        <v>0</v>
      </c>
      <c r="X643" s="1691">
        <v>0</v>
      </c>
      <c r="Y643" s="1691">
        <v>0</v>
      </c>
      <c r="Z643" s="1723">
        <v>0</v>
      </c>
      <c r="AA643" s="1724">
        <v>0</v>
      </c>
      <c r="AB643" s="1353" t="e">
        <v>#N/A</v>
      </c>
      <c r="AC643" s="43"/>
      <c r="AF643" s="218"/>
    </row>
    <row r="644" spans="1:32" ht="14.45" hidden="1" customHeight="1" x14ac:dyDescent="0.25">
      <c r="A644" s="10" t="s">
        <v>459</v>
      </c>
      <c r="C644" s="42"/>
      <c r="J644" s="2034" t="s">
        <v>91</v>
      </c>
      <c r="K644" s="2035"/>
      <c r="L644" s="2035"/>
      <c r="M644" s="2036"/>
      <c r="N644" s="1031" t="s">
        <v>83</v>
      </c>
      <c r="O644" s="1031"/>
      <c r="P644" s="1031"/>
      <c r="Q644" s="1031"/>
      <c r="R644" s="1031"/>
      <c r="S644" s="1378" t="s">
        <v>658</v>
      </c>
      <c r="T644" s="1615">
        <v>0</v>
      </c>
      <c r="U644" s="1616">
        <v>0</v>
      </c>
      <c r="V644" s="1616">
        <v>0</v>
      </c>
      <c r="W644" s="1616">
        <v>0</v>
      </c>
      <c r="X644" s="1616">
        <v>0</v>
      </c>
      <c r="Y644" s="1616">
        <v>0</v>
      </c>
      <c r="Z644" s="1650">
        <v>0</v>
      </c>
      <c r="AA644" s="1651">
        <v>0</v>
      </c>
      <c r="AB644" s="1353" t="e">
        <v>#N/A</v>
      </c>
      <c r="AC644" s="43"/>
      <c r="AF644" s="218"/>
    </row>
    <row r="645" spans="1:32" ht="14.45" hidden="1" customHeight="1" x14ac:dyDescent="0.25">
      <c r="A645" s="10" t="s">
        <v>461</v>
      </c>
      <c r="C645" s="42"/>
      <c r="J645" s="2037"/>
      <c r="K645" s="2038"/>
      <c r="L645" s="2038"/>
      <c r="M645" s="2039"/>
      <c r="N645" s="988" t="s">
        <v>1402</v>
      </c>
      <c r="O645" s="988"/>
      <c r="P645" s="988"/>
      <c r="Q645" s="988"/>
      <c r="R645" s="988"/>
      <c r="S645" s="1375" t="s">
        <v>1406</v>
      </c>
      <c r="T645" s="1617">
        <v>0</v>
      </c>
      <c r="U645" s="1618">
        <v>0</v>
      </c>
      <c r="V645" s="1618">
        <v>0</v>
      </c>
      <c r="W645" s="1618">
        <v>0</v>
      </c>
      <c r="X645" s="1618">
        <v>0</v>
      </c>
      <c r="Y645" s="1618">
        <v>0</v>
      </c>
      <c r="Z645" s="1642">
        <v>0</v>
      </c>
      <c r="AA645" s="1643">
        <v>0</v>
      </c>
      <c r="AB645" s="1353" t="e">
        <v>#N/A</v>
      </c>
      <c r="AC645" s="43"/>
      <c r="AF645" s="218"/>
    </row>
    <row r="646" spans="1:32" ht="14.45" hidden="1" customHeight="1" x14ac:dyDescent="0.25">
      <c r="A646" s="10" t="s">
        <v>459</v>
      </c>
      <c r="C646" s="42"/>
      <c r="J646" s="2037"/>
      <c r="K646" s="2038"/>
      <c r="L646" s="2038"/>
      <c r="M646" s="2039"/>
      <c r="N646" s="307" t="s">
        <v>154</v>
      </c>
      <c r="O646" s="307"/>
      <c r="P646" s="307"/>
      <c r="Q646" s="307"/>
      <c r="R646" s="307"/>
      <c r="S646" s="1381" t="s">
        <v>659</v>
      </c>
      <c r="T646" s="1617">
        <v>0</v>
      </c>
      <c r="U646" s="1618">
        <v>0</v>
      </c>
      <c r="V646" s="1618">
        <v>0</v>
      </c>
      <c r="W646" s="1618">
        <v>0</v>
      </c>
      <c r="X646" s="1618">
        <v>0</v>
      </c>
      <c r="Y646" s="1618">
        <v>0</v>
      </c>
      <c r="Z646" s="1642">
        <v>0</v>
      </c>
      <c r="AA646" s="1643">
        <v>0</v>
      </c>
      <c r="AB646" s="1353" t="e">
        <v>#N/A</v>
      </c>
      <c r="AC646" s="43"/>
      <c r="AF646" s="218"/>
    </row>
    <row r="647" spans="1:32" ht="14.45" hidden="1" customHeight="1" x14ac:dyDescent="0.25">
      <c r="A647" s="10" t="s">
        <v>459</v>
      </c>
      <c r="C647" s="42"/>
      <c r="J647" s="2037"/>
      <c r="K647" s="2038"/>
      <c r="L647" s="2038"/>
      <c r="M647" s="2039"/>
      <c r="N647" s="986" t="s">
        <v>127</v>
      </c>
      <c r="O647" s="986"/>
      <c r="P647" s="986"/>
      <c r="Q647" s="986"/>
      <c r="R647" s="986"/>
      <c r="S647" s="1381" t="s">
        <v>660</v>
      </c>
      <c r="T647" s="1617">
        <v>0</v>
      </c>
      <c r="U647" s="1618">
        <v>0</v>
      </c>
      <c r="V647" s="1618">
        <v>0</v>
      </c>
      <c r="W647" s="1618">
        <v>0</v>
      </c>
      <c r="X647" s="1618">
        <v>0</v>
      </c>
      <c r="Y647" s="1618">
        <v>0</v>
      </c>
      <c r="Z647" s="1642">
        <v>0</v>
      </c>
      <c r="AA647" s="1643">
        <v>0</v>
      </c>
      <c r="AB647" s="1353" t="e">
        <v>#N/A</v>
      </c>
      <c r="AC647" s="43"/>
      <c r="AF647" s="218"/>
    </row>
    <row r="648" spans="1:32" ht="14.45" hidden="1" customHeight="1" x14ac:dyDescent="0.25">
      <c r="A648" s="10" t="s">
        <v>459</v>
      </c>
      <c r="C648" s="42"/>
      <c r="J648" s="2037"/>
      <c r="K648" s="2038"/>
      <c r="L648" s="2038"/>
      <c r="M648" s="2039"/>
      <c r="N648" s="986" t="s">
        <v>2308</v>
      </c>
      <c r="O648" s="986"/>
      <c r="P648" s="986"/>
      <c r="Q648" s="986"/>
      <c r="R648" s="986"/>
      <c r="S648" s="1381" t="s">
        <v>2312</v>
      </c>
      <c r="T648" s="1617">
        <v>0</v>
      </c>
      <c r="U648" s="1618">
        <v>0</v>
      </c>
      <c r="V648" s="1618">
        <v>0</v>
      </c>
      <c r="W648" s="1618">
        <v>0</v>
      </c>
      <c r="X648" s="1618">
        <v>0</v>
      </c>
      <c r="Y648" s="1618">
        <v>0</v>
      </c>
      <c r="Z648" s="1642">
        <v>0</v>
      </c>
      <c r="AA648" s="1643">
        <v>0</v>
      </c>
      <c r="AB648" s="1353" t="e">
        <v>#N/A</v>
      </c>
      <c r="AC648" s="43"/>
      <c r="AF648" s="218"/>
    </row>
    <row r="649" spans="1:32" ht="14.45" hidden="1" customHeight="1" x14ac:dyDescent="0.25">
      <c r="A649" s="10" t="s">
        <v>459</v>
      </c>
      <c r="C649" s="42"/>
      <c r="J649" s="2037"/>
      <c r="K649" s="2038"/>
      <c r="L649" s="2038"/>
      <c r="M649" s="2039"/>
      <c r="N649" s="307" t="s">
        <v>152</v>
      </c>
      <c r="O649" s="307"/>
      <c r="P649" s="307"/>
      <c r="Q649" s="307"/>
      <c r="R649" s="307"/>
      <c r="S649" s="1381" t="s">
        <v>661</v>
      </c>
      <c r="T649" s="1617">
        <v>0</v>
      </c>
      <c r="U649" s="1618">
        <v>0</v>
      </c>
      <c r="V649" s="1618">
        <v>0</v>
      </c>
      <c r="W649" s="1618">
        <v>0</v>
      </c>
      <c r="X649" s="1618">
        <v>0</v>
      </c>
      <c r="Y649" s="1618">
        <v>0</v>
      </c>
      <c r="Z649" s="1642">
        <v>0</v>
      </c>
      <c r="AA649" s="1643">
        <v>0</v>
      </c>
      <c r="AB649" s="1353" t="e">
        <v>#N/A</v>
      </c>
      <c r="AC649" s="43"/>
      <c r="AF649" s="218"/>
    </row>
    <row r="650" spans="1:32" ht="14.45" hidden="1" customHeight="1" x14ac:dyDescent="0.25">
      <c r="A650" s="10" t="s">
        <v>459</v>
      </c>
      <c r="C650" s="42"/>
      <c r="J650" s="2037"/>
      <c r="K650" s="2038"/>
      <c r="L650" s="2038"/>
      <c r="M650" s="2039"/>
      <c r="N650" s="307" t="s">
        <v>153</v>
      </c>
      <c r="O650" s="307"/>
      <c r="P650" s="307"/>
      <c r="Q650" s="307"/>
      <c r="R650" s="307"/>
      <c r="S650" s="1381" t="s">
        <v>662</v>
      </c>
      <c r="T650" s="1617">
        <v>0</v>
      </c>
      <c r="U650" s="1618">
        <v>0</v>
      </c>
      <c r="V650" s="1618">
        <v>0</v>
      </c>
      <c r="W650" s="1618">
        <v>0</v>
      </c>
      <c r="X650" s="1618">
        <v>0</v>
      </c>
      <c r="Y650" s="1618">
        <v>0</v>
      </c>
      <c r="Z650" s="1642">
        <v>0</v>
      </c>
      <c r="AA650" s="1643">
        <v>0</v>
      </c>
      <c r="AB650" s="1353" t="e">
        <v>#N/A</v>
      </c>
      <c r="AC650" s="43"/>
      <c r="AF650" s="218"/>
    </row>
    <row r="651" spans="1:32" ht="14.45" hidden="1" customHeight="1" x14ac:dyDescent="0.25">
      <c r="A651" s="10" t="s">
        <v>459</v>
      </c>
      <c r="C651" s="42"/>
      <c r="J651" s="2037"/>
      <c r="K651" s="2038"/>
      <c r="L651" s="2038"/>
      <c r="M651" s="2039"/>
      <c r="N651" s="986" t="s">
        <v>221</v>
      </c>
      <c r="O651" s="986"/>
      <c r="P651" s="986"/>
      <c r="Q651" s="986"/>
      <c r="R651" s="986"/>
      <c r="S651" s="1381" t="s">
        <v>663</v>
      </c>
      <c r="T651" s="1617">
        <v>0</v>
      </c>
      <c r="U651" s="1618">
        <v>0</v>
      </c>
      <c r="V651" s="1618">
        <v>0</v>
      </c>
      <c r="W651" s="1618">
        <v>0</v>
      </c>
      <c r="X651" s="1618">
        <v>0</v>
      </c>
      <c r="Y651" s="1618">
        <v>0</v>
      </c>
      <c r="Z651" s="1642">
        <v>0</v>
      </c>
      <c r="AA651" s="1643">
        <v>0</v>
      </c>
      <c r="AB651" s="1353" t="e">
        <v>#N/A</v>
      </c>
      <c r="AC651" s="43"/>
      <c r="AF651" s="218"/>
    </row>
    <row r="652" spans="1:32" ht="14.45" hidden="1" customHeight="1" x14ac:dyDescent="0.25">
      <c r="A652" s="10" t="s">
        <v>459</v>
      </c>
      <c r="C652" s="42"/>
      <c r="J652" s="2037"/>
      <c r="K652" s="2038"/>
      <c r="L652" s="2038"/>
      <c r="M652" s="2039"/>
      <c r="N652" s="986" t="s">
        <v>130</v>
      </c>
      <c r="O652" s="986"/>
      <c r="P652" s="986"/>
      <c r="Q652" s="986"/>
      <c r="R652" s="986"/>
      <c r="S652" s="1375" t="s">
        <v>664</v>
      </c>
      <c r="T652" s="1617">
        <v>-0.125</v>
      </c>
      <c r="U652" s="1618">
        <v>-0.125</v>
      </c>
      <c r="V652" s="1618">
        <v>-0.125</v>
      </c>
      <c r="W652" s="1618">
        <v>-0.125</v>
      </c>
      <c r="X652" s="1618">
        <v>-0.25</v>
      </c>
      <c r="Y652" s="1618">
        <v>-0.375</v>
      </c>
      <c r="Z652" s="1642">
        <v>-0.5</v>
      </c>
      <c r="AA652" s="1643">
        <v>-0.75</v>
      </c>
      <c r="AB652" s="1353" t="e">
        <v>#N/A</v>
      </c>
      <c r="AC652" s="43"/>
      <c r="AF652" s="218"/>
    </row>
    <row r="653" spans="1:32" ht="14.45" hidden="1" customHeight="1" x14ac:dyDescent="0.25">
      <c r="A653" s="10" t="s">
        <v>459</v>
      </c>
      <c r="C653" s="42"/>
      <c r="J653" s="2037"/>
      <c r="K653" s="2038"/>
      <c r="L653" s="2038"/>
      <c r="M653" s="2039"/>
      <c r="N653" s="986" t="s">
        <v>131</v>
      </c>
      <c r="O653" s="986"/>
      <c r="P653" s="986"/>
      <c r="Q653" s="986"/>
      <c r="R653" s="986"/>
      <c r="S653" s="1375" t="s">
        <v>665</v>
      </c>
      <c r="T653" s="1617">
        <v>-0.5</v>
      </c>
      <c r="U653" s="1618">
        <v>-0.5</v>
      </c>
      <c r="V653" s="1618">
        <v>-0.5</v>
      </c>
      <c r="W653" s="1618">
        <v>-0.5</v>
      </c>
      <c r="X653" s="1618">
        <v>-0.75</v>
      </c>
      <c r="Y653" s="1618">
        <v>-0.75</v>
      </c>
      <c r="Z653" s="1642">
        <v>-1</v>
      </c>
      <c r="AA653" s="1757" t="e">
        <v>#N/A</v>
      </c>
      <c r="AB653" s="1353" t="e">
        <v>#N/A</v>
      </c>
      <c r="AC653" s="43"/>
      <c r="AF653" s="218"/>
    </row>
    <row r="654" spans="1:32" ht="14.45" hidden="1" customHeight="1" x14ac:dyDescent="0.25">
      <c r="A654" s="10" t="s">
        <v>459</v>
      </c>
      <c r="C654" s="42"/>
      <c r="J654" s="2037"/>
      <c r="K654" s="2038"/>
      <c r="L654" s="2038"/>
      <c r="M654" s="2039"/>
      <c r="N654" s="986" t="s">
        <v>1397</v>
      </c>
      <c r="O654" s="986"/>
      <c r="P654" s="986"/>
      <c r="Q654" s="986"/>
      <c r="R654" s="986"/>
      <c r="S654" s="1375" t="s">
        <v>1401</v>
      </c>
      <c r="T654" s="1617">
        <v>-1.5</v>
      </c>
      <c r="U654" s="1618">
        <v>-1.5</v>
      </c>
      <c r="V654" s="1618">
        <v>-1.5</v>
      </c>
      <c r="W654" s="1618">
        <v>-1.5</v>
      </c>
      <c r="X654" s="1618">
        <v>-2.25</v>
      </c>
      <c r="Y654" s="1618">
        <v>-2.25</v>
      </c>
      <c r="Z654" s="1756" t="e">
        <v>#N/A</v>
      </c>
      <c r="AA654" s="1757" t="e">
        <v>#N/A</v>
      </c>
      <c r="AB654" s="1353" t="e">
        <v>#N/A</v>
      </c>
      <c r="AC654" s="43"/>
      <c r="AF654" s="218"/>
    </row>
    <row r="655" spans="1:32" ht="14.45" hidden="1" customHeight="1" x14ac:dyDescent="0.25">
      <c r="A655" s="10" t="s">
        <v>459</v>
      </c>
      <c r="C655" s="42"/>
      <c r="J655" s="2037"/>
      <c r="K655" s="2038"/>
      <c r="L655" s="2038"/>
      <c r="M655" s="2039"/>
      <c r="N655" s="986" t="s">
        <v>132</v>
      </c>
      <c r="O655" s="986"/>
      <c r="P655" s="986"/>
      <c r="Q655" s="986"/>
      <c r="R655" s="986"/>
      <c r="S655" s="1375" t="s">
        <v>666</v>
      </c>
      <c r="T655" s="1617">
        <v>-0.25</v>
      </c>
      <c r="U655" s="1618">
        <v>-0.25</v>
      </c>
      <c r="V655" s="1618">
        <v>-0.25</v>
      </c>
      <c r="W655" s="1618">
        <v>-0.25</v>
      </c>
      <c r="X655" s="1618">
        <v>-0.375</v>
      </c>
      <c r="Y655" s="1618">
        <v>-0.375</v>
      </c>
      <c r="Z655" s="1642">
        <v>-0.5</v>
      </c>
      <c r="AA655" s="1757" t="e">
        <v>#N/A</v>
      </c>
      <c r="AB655" s="1353" t="e">
        <v>#N/A</v>
      </c>
      <c r="AC655" s="43"/>
      <c r="AF655" s="218"/>
    </row>
    <row r="656" spans="1:32" ht="14.45" hidden="1" customHeight="1" x14ac:dyDescent="0.25">
      <c r="A656" s="10" t="s">
        <v>459</v>
      </c>
      <c r="C656" s="42"/>
      <c r="J656" s="2037"/>
      <c r="K656" s="2038"/>
      <c r="L656" s="2038"/>
      <c r="M656" s="2039"/>
      <c r="N656" s="986" t="s">
        <v>133</v>
      </c>
      <c r="O656" s="986"/>
      <c r="P656" s="986"/>
      <c r="Q656" s="986"/>
      <c r="R656" s="986"/>
      <c r="S656" s="1375" t="s">
        <v>667</v>
      </c>
      <c r="T656" s="1617">
        <v>-0.25</v>
      </c>
      <c r="U656" s="1618">
        <v>-0.25</v>
      </c>
      <c r="V656" s="1618">
        <v>-0.25</v>
      </c>
      <c r="W656" s="1618">
        <v>-0.25</v>
      </c>
      <c r="X656" s="1618">
        <v>-0.375</v>
      </c>
      <c r="Y656" s="1618">
        <v>-0.375</v>
      </c>
      <c r="Z656" s="1642">
        <v>-0.5</v>
      </c>
      <c r="AA656" s="1757" t="e">
        <v>#N/A</v>
      </c>
      <c r="AB656" s="1353" t="e">
        <v>#N/A</v>
      </c>
      <c r="AC656" s="43"/>
      <c r="AF656" s="218"/>
    </row>
    <row r="657" spans="1:32" ht="14.45" hidden="1" customHeight="1" x14ac:dyDescent="0.25">
      <c r="A657" s="10" t="s">
        <v>459</v>
      </c>
      <c r="C657" s="42"/>
      <c r="J657" s="2037"/>
      <c r="K657" s="2038"/>
      <c r="L657" s="2038"/>
      <c r="M657" s="2039"/>
      <c r="N657" s="986" t="s">
        <v>134</v>
      </c>
      <c r="O657" s="986"/>
      <c r="P657" s="986"/>
      <c r="Q657" s="986"/>
      <c r="R657" s="986"/>
      <c r="S657" s="1375" t="s">
        <v>668</v>
      </c>
      <c r="T657" s="1617">
        <v>-0.25</v>
      </c>
      <c r="U657" s="1618">
        <v>-0.25</v>
      </c>
      <c r="V657" s="1618">
        <v>-0.25</v>
      </c>
      <c r="W657" s="1618">
        <v>-0.25</v>
      </c>
      <c r="X657" s="1618">
        <v>-0.375</v>
      </c>
      <c r="Y657" s="1618">
        <v>-0.375</v>
      </c>
      <c r="Z657" s="1642">
        <v>-0.5</v>
      </c>
      <c r="AA657" s="1757" t="e">
        <v>#N/A</v>
      </c>
      <c r="AB657" s="1353" t="e">
        <v>#N/A</v>
      </c>
      <c r="AC657" s="43"/>
      <c r="AF657" s="218"/>
    </row>
    <row r="658" spans="1:32" ht="14.45" hidden="1" customHeight="1" x14ac:dyDescent="0.25">
      <c r="A658" s="10" t="s">
        <v>459</v>
      </c>
      <c r="C658" s="42"/>
      <c r="J658" s="2037"/>
      <c r="K658" s="2038"/>
      <c r="L658" s="2038"/>
      <c r="M658" s="2039"/>
      <c r="N658" s="986" t="s">
        <v>19</v>
      </c>
      <c r="O658" s="986"/>
      <c r="P658" s="986"/>
      <c r="Q658" s="986"/>
      <c r="R658" s="986"/>
      <c r="S658" s="1375" t="s">
        <v>669</v>
      </c>
      <c r="T658" s="1644">
        <v>-1</v>
      </c>
      <c r="U658" s="1645">
        <v>-1</v>
      </c>
      <c r="V658" s="1645">
        <v>-1</v>
      </c>
      <c r="W658" s="1645">
        <v>-1</v>
      </c>
      <c r="X658" s="1645">
        <v>-1</v>
      </c>
      <c r="Y658" s="1645">
        <v>-1</v>
      </c>
      <c r="Z658" s="1646">
        <v>-1</v>
      </c>
      <c r="AA658" s="1755" t="e">
        <v>#N/A</v>
      </c>
      <c r="AB658" s="1353" t="e">
        <v>#N/A</v>
      </c>
      <c r="AC658" s="43"/>
      <c r="AF658" s="218"/>
    </row>
    <row r="659" spans="1:32" ht="14.45" hidden="1" customHeight="1" x14ac:dyDescent="0.25">
      <c r="A659" s="10" t="s">
        <v>461</v>
      </c>
      <c r="C659" s="42"/>
      <c r="J659" s="2040"/>
      <c r="K659" s="2041"/>
      <c r="L659" s="2041"/>
      <c r="M659" s="2042"/>
      <c r="N659" s="991" t="s">
        <v>129</v>
      </c>
      <c r="O659" s="991"/>
      <c r="P659" s="991"/>
      <c r="Q659" s="991"/>
      <c r="R659" s="991"/>
      <c r="S659" s="1376" t="s">
        <v>670</v>
      </c>
      <c r="T659" s="1349" t="e">
        <v>#N/A</v>
      </c>
      <c r="U659" s="1201" t="e">
        <v>#N/A</v>
      </c>
      <c r="V659" s="1201" t="e">
        <v>#N/A</v>
      </c>
      <c r="W659" s="1201" t="e">
        <v>#N/A</v>
      </c>
      <c r="X659" s="1356" t="e">
        <v>#N/A</v>
      </c>
      <c r="Y659" s="1356" t="e">
        <v>#N/A</v>
      </c>
      <c r="Z659" s="1630" t="e">
        <v>#N/A</v>
      </c>
      <c r="AA659" s="1634" t="e">
        <v>#N/A</v>
      </c>
      <c r="AB659" s="1353" t="e">
        <v>#N/A</v>
      </c>
      <c r="AC659" s="43"/>
      <c r="AF659" s="218"/>
    </row>
    <row r="660" spans="1:32" ht="14.45" hidden="1" customHeight="1" x14ac:dyDescent="0.25">
      <c r="A660" s="10" t="s">
        <v>459</v>
      </c>
      <c r="C660" s="42"/>
      <c r="J660" s="2024" t="s">
        <v>46</v>
      </c>
      <c r="K660" s="2025"/>
      <c r="L660" s="2025"/>
      <c r="M660" s="2026"/>
      <c r="N660" s="1031" t="s">
        <v>216</v>
      </c>
      <c r="O660" s="1031"/>
      <c r="P660" s="1031"/>
      <c r="Q660" s="1031"/>
      <c r="R660" s="1031"/>
      <c r="S660" s="1378" t="s">
        <v>671</v>
      </c>
      <c r="T660" s="1696">
        <v>0</v>
      </c>
      <c r="U660" s="1697">
        <v>0</v>
      </c>
      <c r="V660" s="1697">
        <v>0</v>
      </c>
      <c r="W660" s="1697">
        <v>0</v>
      </c>
      <c r="X660" s="1697">
        <v>0</v>
      </c>
      <c r="Y660" s="1697">
        <v>0</v>
      </c>
      <c r="Z660" s="1719">
        <v>0</v>
      </c>
      <c r="AA660" s="1720">
        <v>0</v>
      </c>
      <c r="AB660" s="1353" t="e">
        <v>#N/A</v>
      </c>
      <c r="AC660" s="43"/>
      <c r="AF660" s="218"/>
    </row>
    <row r="661" spans="1:32" ht="14.45" hidden="1" customHeight="1" x14ac:dyDescent="0.25">
      <c r="A661" s="10" t="s">
        <v>459</v>
      </c>
      <c r="C661" s="42"/>
      <c r="J661" s="2145"/>
      <c r="K661" s="2146"/>
      <c r="L661" s="2146"/>
      <c r="M661" s="2147"/>
      <c r="N661" s="989" t="s">
        <v>214</v>
      </c>
      <c r="O661" s="989"/>
      <c r="P661" s="989"/>
      <c r="Q661" s="989"/>
      <c r="R661" s="989"/>
      <c r="S661" s="1382" t="s">
        <v>672</v>
      </c>
      <c r="T661" s="1699">
        <v>0</v>
      </c>
      <c r="U661" s="1700">
        <v>0</v>
      </c>
      <c r="V661" s="1700">
        <v>0</v>
      </c>
      <c r="W661" s="1700">
        <v>0</v>
      </c>
      <c r="X661" s="1700">
        <v>0</v>
      </c>
      <c r="Y661" s="1700">
        <v>0</v>
      </c>
      <c r="Z661" s="1721">
        <v>0</v>
      </c>
      <c r="AA661" s="1722">
        <v>0</v>
      </c>
      <c r="AB661" s="1353" t="e">
        <v>#N/A</v>
      </c>
      <c r="AC661" s="43"/>
      <c r="AF661" s="218"/>
    </row>
    <row r="662" spans="1:32" ht="14.45" hidden="1" customHeight="1" x14ac:dyDescent="0.25">
      <c r="A662" s="10" t="s">
        <v>459</v>
      </c>
      <c r="C662" s="42"/>
      <c r="J662" s="2145"/>
      <c r="K662" s="2146"/>
      <c r="L662" s="2146"/>
      <c r="M662" s="2147"/>
      <c r="N662" s="989" t="s">
        <v>236</v>
      </c>
      <c r="O662" s="989"/>
      <c r="P662" s="989"/>
      <c r="Q662" s="989"/>
      <c r="R662" s="989"/>
      <c r="S662" s="1382" t="s">
        <v>673</v>
      </c>
      <c r="T662" s="1699">
        <v>0</v>
      </c>
      <c r="U662" s="1700">
        <v>0</v>
      </c>
      <c r="V662" s="1700">
        <v>0</v>
      </c>
      <c r="W662" s="1700">
        <v>0</v>
      </c>
      <c r="X662" s="1700">
        <v>0</v>
      </c>
      <c r="Y662" s="1700">
        <v>0</v>
      </c>
      <c r="Z662" s="1721">
        <v>0</v>
      </c>
      <c r="AA662" s="1722">
        <v>0</v>
      </c>
      <c r="AB662" s="1353" t="e">
        <v>#N/A</v>
      </c>
      <c r="AC662" s="43"/>
      <c r="AF662" s="218"/>
    </row>
    <row r="663" spans="1:32" ht="14.45" hidden="1" customHeight="1" x14ac:dyDescent="0.25">
      <c r="A663" s="10" t="s">
        <v>459</v>
      </c>
      <c r="C663" s="42"/>
      <c r="J663" s="2027"/>
      <c r="K663" s="2028"/>
      <c r="L663" s="2028"/>
      <c r="M663" s="2029"/>
      <c r="N663" s="306" t="s">
        <v>442</v>
      </c>
      <c r="O663" s="306"/>
      <c r="P663" s="306"/>
      <c r="Q663" s="306"/>
      <c r="R663" s="306"/>
      <c r="S663" s="1822" t="s">
        <v>674</v>
      </c>
      <c r="T663" s="1702">
        <v>-3</v>
      </c>
      <c r="U663" s="1691">
        <v>-3</v>
      </c>
      <c r="V663" s="1691">
        <v>-3</v>
      </c>
      <c r="W663" s="1691">
        <v>-3</v>
      </c>
      <c r="X663" s="1691">
        <v>-3</v>
      </c>
      <c r="Y663" s="1691">
        <v>-3</v>
      </c>
      <c r="Z663" s="1723">
        <v>-3</v>
      </c>
      <c r="AA663" s="1760" t="e">
        <v>#N/A</v>
      </c>
      <c r="AB663" s="1353" t="e">
        <v>#N/A</v>
      </c>
      <c r="AC663" s="43"/>
      <c r="AF663" s="218"/>
    </row>
    <row r="664" spans="1:32" ht="14.45" hidden="1" customHeight="1" x14ac:dyDescent="0.25">
      <c r="A664" s="10" t="s">
        <v>461</v>
      </c>
      <c r="C664" s="42"/>
      <c r="J664" s="2024" t="s">
        <v>1434</v>
      </c>
      <c r="K664" s="2025"/>
      <c r="L664" s="2025"/>
      <c r="M664" s="2026"/>
      <c r="N664" s="1031" t="s">
        <v>1811</v>
      </c>
      <c r="O664" s="1031"/>
      <c r="P664" s="1031"/>
      <c r="Q664" s="1031"/>
      <c r="R664" s="1031"/>
      <c r="S664" s="1378" t="s">
        <v>2461</v>
      </c>
      <c r="T664" s="1696">
        <v>0</v>
      </c>
      <c r="U664" s="1697">
        <v>0</v>
      </c>
      <c r="V664" s="1697">
        <v>0</v>
      </c>
      <c r="W664" s="1697">
        <v>0</v>
      </c>
      <c r="X664" s="1697">
        <v>0</v>
      </c>
      <c r="Y664" s="1697">
        <v>0</v>
      </c>
      <c r="Z664" s="1719">
        <v>0</v>
      </c>
      <c r="AA664" s="1720">
        <v>0</v>
      </c>
      <c r="AB664" s="1353" t="e">
        <v>#N/A</v>
      </c>
      <c r="AC664" s="43"/>
      <c r="AF664" s="218"/>
    </row>
    <row r="665" spans="1:32" ht="14.45" hidden="1" customHeight="1" x14ac:dyDescent="0.25">
      <c r="A665" s="10" t="s">
        <v>461</v>
      </c>
      <c r="C665" s="42"/>
      <c r="J665" s="2145"/>
      <c r="K665" s="2146"/>
      <c r="L665" s="2146"/>
      <c r="M665" s="2147"/>
      <c r="N665" s="989" t="s">
        <v>1435</v>
      </c>
      <c r="O665" s="989"/>
      <c r="P665" s="989"/>
      <c r="Q665" s="989"/>
      <c r="R665" s="989"/>
      <c r="S665" s="1382" t="s">
        <v>2462</v>
      </c>
      <c r="T665" s="1699">
        <v>0</v>
      </c>
      <c r="U665" s="1700">
        <v>0</v>
      </c>
      <c r="V665" s="1700">
        <v>0</v>
      </c>
      <c r="W665" s="1700">
        <v>0</v>
      </c>
      <c r="X665" s="1700">
        <v>0</v>
      </c>
      <c r="Y665" s="1700">
        <v>0</v>
      </c>
      <c r="Z665" s="1721">
        <v>0</v>
      </c>
      <c r="AA665" s="1722">
        <v>0</v>
      </c>
      <c r="AB665" s="1353" t="e">
        <v>#N/A</v>
      </c>
      <c r="AC665" s="43"/>
      <c r="AF665" s="218"/>
    </row>
    <row r="666" spans="1:32" ht="14.45" hidden="1" customHeight="1" x14ac:dyDescent="0.25">
      <c r="A666" s="10" t="s">
        <v>461</v>
      </c>
      <c r="C666" s="42"/>
      <c r="J666" s="2145"/>
      <c r="K666" s="2146"/>
      <c r="L666" s="2146"/>
      <c r="M666" s="2147"/>
      <c r="N666" s="989" t="s">
        <v>2409</v>
      </c>
      <c r="O666" s="989"/>
      <c r="P666" s="989"/>
      <c r="Q666" s="989"/>
      <c r="R666" s="989"/>
      <c r="S666" s="1382" t="s">
        <v>2412</v>
      </c>
      <c r="T666" s="1699">
        <v>0</v>
      </c>
      <c r="U666" s="1700">
        <v>0</v>
      </c>
      <c r="V666" s="1700">
        <v>0</v>
      </c>
      <c r="W666" s="1700">
        <v>0</v>
      </c>
      <c r="X666" s="1700">
        <v>0</v>
      </c>
      <c r="Y666" s="1700">
        <v>0</v>
      </c>
      <c r="Z666" s="1721">
        <v>0</v>
      </c>
      <c r="AA666" s="1722">
        <v>0</v>
      </c>
      <c r="AB666" s="1353" t="e">
        <v>#N/A</v>
      </c>
      <c r="AC666" s="43"/>
      <c r="AF666" s="218"/>
    </row>
    <row r="667" spans="1:32" ht="14.45" hidden="1" customHeight="1" x14ac:dyDescent="0.25">
      <c r="A667" s="10" t="s">
        <v>461</v>
      </c>
      <c r="C667" s="42"/>
      <c r="J667" s="2145"/>
      <c r="K667" s="2146"/>
      <c r="L667" s="2146"/>
      <c r="M667" s="2147"/>
      <c r="N667" s="989" t="s">
        <v>2414</v>
      </c>
      <c r="O667" s="989"/>
      <c r="P667" s="989"/>
      <c r="Q667" s="989"/>
      <c r="R667" s="989"/>
      <c r="S667" s="1382" t="s">
        <v>2420</v>
      </c>
      <c r="T667" s="1699">
        <v>0</v>
      </c>
      <c r="U667" s="1700">
        <v>0</v>
      </c>
      <c r="V667" s="1700">
        <v>0</v>
      </c>
      <c r="W667" s="1700">
        <v>0</v>
      </c>
      <c r="X667" s="1700">
        <v>0</v>
      </c>
      <c r="Y667" s="1700">
        <v>0</v>
      </c>
      <c r="Z667" s="1721">
        <v>0</v>
      </c>
      <c r="AA667" s="1722">
        <v>0</v>
      </c>
      <c r="AB667" s="1353" t="e">
        <v>#N/A</v>
      </c>
      <c r="AC667" s="43"/>
      <c r="AF667" s="218"/>
    </row>
    <row r="668" spans="1:32" ht="14.45" hidden="1" customHeight="1" x14ac:dyDescent="0.25">
      <c r="A668" s="10" t="s">
        <v>461</v>
      </c>
      <c r="C668" s="42"/>
      <c r="J668" s="2145"/>
      <c r="K668" s="2146"/>
      <c r="L668" s="2146"/>
      <c r="M668" s="2147"/>
      <c r="N668" s="1890" t="s">
        <v>1860</v>
      </c>
      <c r="O668" s="1890"/>
      <c r="P668" s="1890"/>
      <c r="Q668" s="1890"/>
      <c r="R668" s="1890"/>
      <c r="S668" s="1891" t="s">
        <v>2463</v>
      </c>
      <c r="T668" s="1892">
        <v>0</v>
      </c>
      <c r="U668" s="1893">
        <v>0</v>
      </c>
      <c r="V668" s="1893">
        <v>0</v>
      </c>
      <c r="W668" s="1893">
        <v>0</v>
      </c>
      <c r="X668" s="1893">
        <v>0</v>
      </c>
      <c r="Y668" s="1893">
        <v>0</v>
      </c>
      <c r="Z668" s="1894">
        <v>0</v>
      </c>
      <c r="AA668" s="1655">
        <v>0</v>
      </c>
      <c r="AB668" s="1353" t="e">
        <v>#N/A</v>
      </c>
      <c r="AC668" s="43"/>
      <c r="AF668" s="218"/>
    </row>
    <row r="669" spans="1:32" ht="14.45" hidden="1" customHeight="1" x14ac:dyDescent="0.25">
      <c r="A669" s="10" t="s">
        <v>461</v>
      </c>
      <c r="C669" s="42"/>
      <c r="J669" s="1870" t="s">
        <v>2399</v>
      </c>
      <c r="K669" s="1871"/>
      <c r="L669" s="1871"/>
      <c r="M669" s="1872"/>
      <c r="N669" s="1895" t="s">
        <v>2422</v>
      </c>
      <c r="O669" s="1895"/>
      <c r="P669" s="1895"/>
      <c r="Q669" s="1895"/>
      <c r="R669" s="1895"/>
      <c r="S669" s="1896" t="s">
        <v>2455</v>
      </c>
      <c r="T669" s="1696">
        <v>0</v>
      </c>
      <c r="U669" s="1697">
        <v>0</v>
      </c>
      <c r="V669" s="1697">
        <v>0</v>
      </c>
      <c r="W669" s="1697">
        <v>0</v>
      </c>
      <c r="X669" s="1697">
        <v>0</v>
      </c>
      <c r="Y669" s="1697">
        <v>0</v>
      </c>
      <c r="Z669" s="1719">
        <v>0</v>
      </c>
      <c r="AA669" s="1720">
        <v>0</v>
      </c>
      <c r="AB669" s="1353" t="e">
        <v>#N/A</v>
      </c>
      <c r="AC669" s="43"/>
      <c r="AF669" s="218"/>
    </row>
    <row r="670" spans="1:32" ht="14.45" hidden="1" customHeight="1" x14ac:dyDescent="0.25">
      <c r="A670" s="10" t="s">
        <v>461</v>
      </c>
      <c r="C670" s="42"/>
      <c r="J670" s="1873"/>
      <c r="K670" s="1888"/>
      <c r="L670" s="1888"/>
      <c r="M670" s="1874"/>
      <c r="N670" s="1889" t="s">
        <v>2431</v>
      </c>
      <c r="O670" s="1889"/>
      <c r="P670" s="1889"/>
      <c r="Q670" s="1889"/>
      <c r="R670" s="1889"/>
      <c r="S670" s="1382" t="s">
        <v>2456</v>
      </c>
      <c r="T670" s="1699">
        <v>0</v>
      </c>
      <c r="U670" s="1700">
        <v>0</v>
      </c>
      <c r="V670" s="1700">
        <v>0</v>
      </c>
      <c r="W670" s="1700">
        <v>0</v>
      </c>
      <c r="X670" s="1700">
        <v>0</v>
      </c>
      <c r="Y670" s="1700">
        <v>0</v>
      </c>
      <c r="Z670" s="1721">
        <v>0</v>
      </c>
      <c r="AA670" s="1722">
        <v>0</v>
      </c>
      <c r="AB670" s="1353" t="e">
        <v>#N/A</v>
      </c>
      <c r="AC670" s="43"/>
      <c r="AF670" s="218"/>
    </row>
    <row r="671" spans="1:32" ht="14.45" hidden="1" customHeight="1" x14ac:dyDescent="0.25">
      <c r="A671" s="10" t="s">
        <v>461</v>
      </c>
      <c r="C671" s="42"/>
      <c r="J671" s="1873"/>
      <c r="K671" s="1888"/>
      <c r="L671" s="1888"/>
      <c r="M671" s="1874"/>
      <c r="N671" s="1889" t="s">
        <v>2423</v>
      </c>
      <c r="O671" s="1889"/>
      <c r="P671" s="1889"/>
      <c r="Q671" s="1889"/>
      <c r="R671" s="1889"/>
      <c r="S671" s="1382" t="s">
        <v>2457</v>
      </c>
      <c r="T671" s="1699">
        <v>0</v>
      </c>
      <c r="U671" s="1700">
        <v>0</v>
      </c>
      <c r="V671" s="1700">
        <v>0</v>
      </c>
      <c r="W671" s="1700">
        <v>0</v>
      </c>
      <c r="X671" s="1700">
        <v>0</v>
      </c>
      <c r="Y671" s="1700">
        <v>0</v>
      </c>
      <c r="Z671" s="1721">
        <v>0</v>
      </c>
      <c r="AA671" s="1722">
        <v>0</v>
      </c>
      <c r="AB671" s="1353" t="e">
        <v>#N/A</v>
      </c>
      <c r="AC671" s="43"/>
      <c r="AF671" s="218"/>
    </row>
    <row r="672" spans="1:32" ht="14.45" hidden="1" customHeight="1" x14ac:dyDescent="0.25">
      <c r="A672" s="10" t="s">
        <v>461</v>
      </c>
      <c r="C672" s="42"/>
      <c r="J672" s="1873"/>
      <c r="K672" s="1888"/>
      <c r="L672" s="1888"/>
      <c r="M672" s="1874"/>
      <c r="N672" s="1889" t="s">
        <v>2425</v>
      </c>
      <c r="O672" s="1889"/>
      <c r="P672" s="1889"/>
      <c r="Q672" s="1889"/>
      <c r="R672" s="1889"/>
      <c r="S672" s="1382" t="s">
        <v>2458</v>
      </c>
      <c r="T672" s="1699">
        <v>0</v>
      </c>
      <c r="U672" s="1700">
        <v>0</v>
      </c>
      <c r="V672" s="1700">
        <v>0</v>
      </c>
      <c r="W672" s="1700">
        <v>0</v>
      </c>
      <c r="X672" s="1700">
        <v>0</v>
      </c>
      <c r="Y672" s="1700">
        <v>0</v>
      </c>
      <c r="Z672" s="1721">
        <v>0</v>
      </c>
      <c r="AA672" s="1722">
        <v>0</v>
      </c>
      <c r="AB672" s="1353" t="e">
        <v>#N/A</v>
      </c>
      <c r="AC672" s="43"/>
      <c r="AF672" s="218"/>
    </row>
    <row r="673" spans="1:32" ht="14.45" hidden="1" customHeight="1" x14ac:dyDescent="0.25">
      <c r="A673" s="10" t="s">
        <v>461</v>
      </c>
      <c r="C673" s="42"/>
      <c r="J673" s="1873"/>
      <c r="K673" s="1888"/>
      <c r="L673" s="1888"/>
      <c r="M673" s="1874"/>
      <c r="N673" s="1889" t="s">
        <v>2427</v>
      </c>
      <c r="O673" s="1889"/>
      <c r="P673" s="1889"/>
      <c r="Q673" s="1889"/>
      <c r="R673" s="1889"/>
      <c r="S673" s="1382" t="s">
        <v>2459</v>
      </c>
      <c r="T673" s="1699">
        <v>0</v>
      </c>
      <c r="U673" s="1700">
        <v>0</v>
      </c>
      <c r="V673" s="1700">
        <v>0</v>
      </c>
      <c r="W673" s="1700">
        <v>0</v>
      </c>
      <c r="X673" s="1700">
        <v>0</v>
      </c>
      <c r="Y673" s="1700">
        <v>0</v>
      </c>
      <c r="Z673" s="1721">
        <v>0</v>
      </c>
      <c r="AA673" s="1722">
        <v>0</v>
      </c>
      <c r="AB673" s="1353" t="e">
        <v>#N/A</v>
      </c>
      <c r="AC673" s="43"/>
      <c r="AF673" s="218"/>
    </row>
    <row r="674" spans="1:32" ht="14.45" hidden="1" customHeight="1" x14ac:dyDescent="0.25">
      <c r="A674" s="10" t="s">
        <v>461</v>
      </c>
      <c r="C674" s="42"/>
      <c r="J674" s="1873"/>
      <c r="K674" s="1888"/>
      <c r="L674" s="1888"/>
      <c r="M674" s="1874"/>
      <c r="N674" s="1889" t="s">
        <v>2429</v>
      </c>
      <c r="O674" s="1889"/>
      <c r="P674" s="1889"/>
      <c r="Q674" s="1889"/>
      <c r="R674" s="1889"/>
      <c r="S674" s="1822" t="s">
        <v>2460</v>
      </c>
      <c r="T674" s="1702">
        <v>0</v>
      </c>
      <c r="U674" s="1691">
        <v>0</v>
      </c>
      <c r="V674" s="1691">
        <v>0</v>
      </c>
      <c r="W674" s="1691">
        <v>0</v>
      </c>
      <c r="X674" s="1691">
        <v>0</v>
      </c>
      <c r="Y674" s="1691">
        <v>0</v>
      </c>
      <c r="Z674" s="1723">
        <v>0</v>
      </c>
      <c r="AA674" s="1647">
        <v>0</v>
      </c>
      <c r="AB674" s="1353" t="e">
        <v>#N/A</v>
      </c>
      <c r="AC674" s="43"/>
      <c r="AF674" s="218"/>
    </row>
    <row r="675" spans="1:32" ht="14.45" hidden="1" customHeight="1" x14ac:dyDescent="0.25">
      <c r="A675" s="10" t="s">
        <v>461</v>
      </c>
      <c r="C675" s="42"/>
      <c r="J675" s="212" t="s">
        <v>44</v>
      </c>
      <c r="K675" s="213"/>
      <c r="L675" s="213"/>
      <c r="M675" s="214"/>
      <c r="N675" s="1031" t="s">
        <v>283</v>
      </c>
      <c r="O675" s="1031"/>
      <c r="P675" s="1031"/>
      <c r="Q675" s="1031"/>
      <c r="R675" s="1031"/>
      <c r="S675" s="1386" t="s">
        <v>675</v>
      </c>
      <c r="T675" s="1615">
        <v>0</v>
      </c>
      <c r="U675" s="1616">
        <v>0</v>
      </c>
      <c r="V675" s="1616">
        <v>0</v>
      </c>
      <c r="W675" s="1616">
        <v>0</v>
      </c>
      <c r="X675" s="1616">
        <v>0</v>
      </c>
      <c r="Y675" s="1616">
        <v>0</v>
      </c>
      <c r="Z675" s="1650">
        <v>0</v>
      </c>
      <c r="AA675" s="1651">
        <v>0</v>
      </c>
      <c r="AB675" s="1353" t="e">
        <v>#N/A</v>
      </c>
      <c r="AC675" s="43"/>
      <c r="AF675" s="218"/>
    </row>
    <row r="676" spans="1:32" ht="14.45" hidden="1" customHeight="1" x14ac:dyDescent="0.25">
      <c r="A676" s="10" t="s">
        <v>461</v>
      </c>
      <c r="C676" s="42"/>
      <c r="J676" s="215"/>
      <c r="K676" s="216"/>
      <c r="L676" s="216"/>
      <c r="M676" s="217"/>
      <c r="N676" s="1782" t="s">
        <v>124</v>
      </c>
      <c r="O676" s="1782"/>
      <c r="P676" s="1782"/>
      <c r="Q676" s="1782"/>
      <c r="R676" s="1782"/>
      <c r="S676" s="1384" t="s">
        <v>676</v>
      </c>
      <c r="T676" s="1617">
        <v>0</v>
      </c>
      <c r="U676" s="1618">
        <v>0</v>
      </c>
      <c r="V676" s="1618">
        <v>0</v>
      </c>
      <c r="W676" s="1618">
        <v>0</v>
      </c>
      <c r="X676" s="1618">
        <v>0</v>
      </c>
      <c r="Y676" s="1618">
        <v>0</v>
      </c>
      <c r="Z676" s="1642">
        <v>0</v>
      </c>
      <c r="AA676" s="1643">
        <v>0</v>
      </c>
      <c r="AB676" s="1353" t="e">
        <v>#N/A</v>
      </c>
      <c r="AC676" s="43"/>
      <c r="AF676" s="218"/>
    </row>
    <row r="677" spans="1:32" ht="14.45" hidden="1" customHeight="1" x14ac:dyDescent="0.25">
      <c r="A677" s="10" t="s">
        <v>459</v>
      </c>
      <c r="C677" s="42"/>
      <c r="J677" s="215"/>
      <c r="K677" s="216"/>
      <c r="L677" s="216"/>
      <c r="M677" s="217"/>
      <c r="N677" s="1783" t="s">
        <v>18</v>
      </c>
      <c r="O677" s="1784"/>
      <c r="P677" s="1784"/>
      <c r="Q677" s="1784"/>
      <c r="R677" s="1785"/>
      <c r="S677" s="1384" t="s">
        <v>677</v>
      </c>
      <c r="T677" s="1617">
        <v>-0.75</v>
      </c>
      <c r="U677" s="1618">
        <v>-0.75</v>
      </c>
      <c r="V677" s="1618">
        <v>-0.75</v>
      </c>
      <c r="W677" s="1618">
        <v>-0.75</v>
      </c>
      <c r="X677" s="1618">
        <v>-0.75</v>
      </c>
      <c r="Y677" s="1618">
        <v>-0.75</v>
      </c>
      <c r="Z677" s="1642">
        <v>-0.75</v>
      </c>
      <c r="AA677" s="1643">
        <v>-0.75</v>
      </c>
      <c r="AB677" s="1353" t="e">
        <v>#N/A</v>
      </c>
      <c r="AC677" s="43"/>
      <c r="AF677" s="218"/>
    </row>
    <row r="678" spans="1:32" ht="14.45" hidden="1" customHeight="1" x14ac:dyDescent="0.25">
      <c r="A678" s="10" t="s">
        <v>459</v>
      </c>
      <c r="C678" s="42"/>
      <c r="J678" s="215"/>
      <c r="K678" s="216"/>
      <c r="L678" s="216"/>
      <c r="M678" s="217"/>
      <c r="N678" s="989" t="s">
        <v>237</v>
      </c>
      <c r="O678" s="989"/>
      <c r="P678" s="989"/>
      <c r="Q678" s="989"/>
      <c r="R678" s="989"/>
      <c r="S678" s="1821" t="s">
        <v>678</v>
      </c>
      <c r="T678" s="1652">
        <v>-2.25</v>
      </c>
      <c r="U678" s="1653">
        <v>-2.25</v>
      </c>
      <c r="V678" s="1653">
        <v>-2.25</v>
      </c>
      <c r="W678" s="1653">
        <v>-2.25</v>
      </c>
      <c r="X678" s="1653">
        <v>-2.25</v>
      </c>
      <c r="Y678" s="1653">
        <v>-2.25</v>
      </c>
      <c r="Z678" s="1654">
        <v>-2.5</v>
      </c>
      <c r="AA678" s="1761" t="e">
        <v>#N/A</v>
      </c>
      <c r="AB678" s="1353" t="e">
        <v>#N/A</v>
      </c>
      <c r="AC678" s="43"/>
      <c r="AF678" s="218"/>
    </row>
    <row r="679" spans="1:32" ht="14.45" hidden="1" customHeight="1" x14ac:dyDescent="0.25">
      <c r="A679" s="10" t="s">
        <v>461</v>
      </c>
      <c r="C679" s="42"/>
      <c r="J679" s="215"/>
      <c r="K679" s="216"/>
      <c r="L679" s="216"/>
      <c r="M679" s="217"/>
      <c r="N679" s="989" t="s">
        <v>151</v>
      </c>
      <c r="O679" s="989"/>
      <c r="P679" s="989"/>
      <c r="Q679" s="989"/>
      <c r="R679" s="989"/>
      <c r="S679" s="1820" t="s">
        <v>679</v>
      </c>
      <c r="T679" s="1355" t="e">
        <v>#N/A</v>
      </c>
      <c r="U679" s="1202" t="e">
        <v>#N/A</v>
      </c>
      <c r="V679" s="1202" t="e">
        <v>#N/A</v>
      </c>
      <c r="W679" s="1202" t="e">
        <v>#N/A</v>
      </c>
      <c r="X679" s="1202" t="e">
        <v>#N/A</v>
      </c>
      <c r="Y679" s="1202" t="e">
        <v>#N/A</v>
      </c>
      <c r="Z679" s="1629" t="e">
        <v>#N/A</v>
      </c>
      <c r="AA679" s="1469" t="e">
        <v>#N/A</v>
      </c>
      <c r="AB679" s="1353" t="e">
        <v>#N/A</v>
      </c>
      <c r="AC679" s="43"/>
      <c r="AF679" s="218"/>
    </row>
    <row r="680" spans="1:32" ht="14.45" hidden="1" customHeight="1" x14ac:dyDescent="0.25">
      <c r="A680" s="10" t="s">
        <v>461</v>
      </c>
      <c r="C680" s="42"/>
      <c r="J680" s="262"/>
      <c r="K680" s="263"/>
      <c r="L680" s="263"/>
      <c r="M680" s="264"/>
      <c r="N680" s="1033" t="s">
        <v>2021</v>
      </c>
      <c r="O680" s="1033"/>
      <c r="P680" s="1033"/>
      <c r="Q680" s="1033"/>
      <c r="R680" s="1033"/>
      <c r="S680" s="1383" t="s">
        <v>2024</v>
      </c>
      <c r="T680" s="1600" t="e">
        <v>#N/A</v>
      </c>
      <c r="U680" s="1601" t="e">
        <v>#N/A</v>
      </c>
      <c r="V680" s="1601" t="e">
        <v>#N/A</v>
      </c>
      <c r="W680" s="1601" t="e">
        <v>#N/A</v>
      </c>
      <c r="X680" s="1601" t="e">
        <v>#N/A</v>
      </c>
      <c r="Y680" s="1601" t="e">
        <v>#N/A</v>
      </c>
      <c r="Z680" s="1631" t="e">
        <v>#N/A</v>
      </c>
      <c r="AA680" s="1634" t="e">
        <v>#N/A</v>
      </c>
      <c r="AB680" s="1353" t="e">
        <v>#N/A</v>
      </c>
      <c r="AC680" s="43"/>
      <c r="AF680" s="218"/>
    </row>
    <row r="681" spans="1:32" ht="14.45" hidden="1" customHeight="1" x14ac:dyDescent="0.25">
      <c r="A681" s="10" t="s">
        <v>459</v>
      </c>
      <c r="C681" s="42"/>
      <c r="J681" s="215" t="s">
        <v>43</v>
      </c>
      <c r="K681" s="216"/>
      <c r="L681" s="1200"/>
      <c r="M681" s="217"/>
      <c r="N681" s="1015" t="s">
        <v>1827</v>
      </c>
      <c r="O681" s="1031"/>
      <c r="P681" s="1031"/>
      <c r="Q681" s="1031"/>
      <c r="R681" s="1031"/>
      <c r="S681" s="1386" t="s">
        <v>1834</v>
      </c>
      <c r="T681" s="1615">
        <v>0</v>
      </c>
      <c r="U681" s="1616">
        <v>0</v>
      </c>
      <c r="V681" s="1616">
        <v>0</v>
      </c>
      <c r="W681" s="1616">
        <v>0</v>
      </c>
      <c r="X681" s="1616">
        <v>0</v>
      </c>
      <c r="Y681" s="1616">
        <v>0</v>
      </c>
      <c r="Z681" s="1650">
        <v>0</v>
      </c>
      <c r="AA681" s="1651">
        <v>0</v>
      </c>
      <c r="AB681" s="1353" t="e">
        <v>#N/A</v>
      </c>
      <c r="AC681" s="43"/>
      <c r="AF681" s="218"/>
    </row>
    <row r="682" spans="1:32" ht="14.45" hidden="1" customHeight="1" x14ac:dyDescent="0.25">
      <c r="A682" s="10" t="s">
        <v>459</v>
      </c>
      <c r="C682" s="42"/>
      <c r="J682" s="215"/>
      <c r="K682" s="216"/>
      <c r="L682" s="1200"/>
      <c r="M682" s="217"/>
      <c r="N682" s="1013" t="s">
        <v>1828</v>
      </c>
      <c r="O682" s="307"/>
      <c r="P682" s="307"/>
      <c r="Q682" s="307"/>
      <c r="R682" s="307"/>
      <c r="S682" s="1386" t="s">
        <v>2283</v>
      </c>
      <c r="T682" s="1617">
        <v>-1</v>
      </c>
      <c r="U682" s="1618">
        <v>-1</v>
      </c>
      <c r="V682" s="1618">
        <v>-1</v>
      </c>
      <c r="W682" s="1618">
        <v>-1</v>
      </c>
      <c r="X682" s="1618">
        <v>-1</v>
      </c>
      <c r="Y682" s="1618">
        <v>-1</v>
      </c>
      <c r="Z682" s="1642">
        <v>-1</v>
      </c>
      <c r="AA682" s="1643">
        <v>-1</v>
      </c>
      <c r="AB682" s="1353" t="e">
        <v>#N/A</v>
      </c>
      <c r="AC682" s="43"/>
      <c r="AF682" s="218"/>
    </row>
    <row r="683" spans="1:32" ht="14.45" hidden="1" customHeight="1" x14ac:dyDescent="0.25">
      <c r="A683" s="10" t="s">
        <v>459</v>
      </c>
      <c r="C683" s="42"/>
      <c r="J683" s="215"/>
      <c r="K683" s="216"/>
      <c r="L683" s="1200"/>
      <c r="M683" s="217"/>
      <c r="N683" s="1013" t="s">
        <v>1829</v>
      </c>
      <c r="O683" s="307"/>
      <c r="P683" s="307"/>
      <c r="Q683" s="307"/>
      <c r="R683" s="307"/>
      <c r="S683" s="1387" t="s">
        <v>2284</v>
      </c>
      <c r="T683" s="1617">
        <v>-1.75</v>
      </c>
      <c r="U683" s="1618">
        <v>-1.75</v>
      </c>
      <c r="V683" s="1618">
        <v>-1.75</v>
      </c>
      <c r="W683" s="1618">
        <v>-1.75</v>
      </c>
      <c r="X683" s="1618">
        <v>-1.75</v>
      </c>
      <c r="Y683" s="1618">
        <v>-1.75</v>
      </c>
      <c r="Z683" s="1642">
        <v>-1.75</v>
      </c>
      <c r="AA683" s="1643">
        <v>-1.75</v>
      </c>
      <c r="AB683" s="1353" t="e">
        <v>#N/A</v>
      </c>
      <c r="AC683" s="43"/>
      <c r="AF683" s="218"/>
    </row>
    <row r="684" spans="1:32" ht="14.45" hidden="1" customHeight="1" x14ac:dyDescent="0.25">
      <c r="A684" s="10" t="s">
        <v>459</v>
      </c>
      <c r="C684" s="42"/>
      <c r="J684" s="215"/>
      <c r="K684" s="216"/>
      <c r="L684" s="1200"/>
      <c r="M684" s="217"/>
      <c r="N684" s="1014" t="s">
        <v>1830</v>
      </c>
      <c r="O684" s="987"/>
      <c r="P684" s="987"/>
      <c r="Q684" s="987"/>
      <c r="R684" s="987"/>
      <c r="S684" s="1387" t="s">
        <v>2285</v>
      </c>
      <c r="T684" s="1652">
        <v>-2.5</v>
      </c>
      <c r="U684" s="1653">
        <v>-2.5</v>
      </c>
      <c r="V684" s="1653">
        <v>-2.5</v>
      </c>
      <c r="W684" s="1653">
        <v>-2.5</v>
      </c>
      <c r="X684" s="1653">
        <v>-2.5</v>
      </c>
      <c r="Y684" s="1653">
        <v>-2.5</v>
      </c>
      <c r="Z684" s="1654">
        <v>-2.5</v>
      </c>
      <c r="AA684" s="1655">
        <v>-2.5</v>
      </c>
      <c r="AB684" s="1353" t="e">
        <v>#N/A</v>
      </c>
      <c r="AC684" s="43"/>
      <c r="AF684" s="218"/>
    </row>
    <row r="685" spans="1:32" ht="14.45" hidden="1" customHeight="1" x14ac:dyDescent="0.25">
      <c r="A685" s="10" t="s">
        <v>461</v>
      </c>
      <c r="C685" s="42"/>
      <c r="J685" s="215"/>
      <c r="K685" s="216"/>
      <c r="L685" s="1200"/>
      <c r="M685" s="217"/>
      <c r="N685" s="1013" t="s">
        <v>2262</v>
      </c>
      <c r="O685" s="307"/>
      <c r="P685" s="307"/>
      <c r="Q685" s="307"/>
      <c r="R685" s="307"/>
      <c r="S685" s="1387" t="s">
        <v>2286</v>
      </c>
      <c r="T685" s="1617">
        <v>-1</v>
      </c>
      <c r="U685" s="1618">
        <v>-1</v>
      </c>
      <c r="V685" s="1618">
        <v>-1</v>
      </c>
      <c r="W685" s="1618">
        <v>-1</v>
      </c>
      <c r="X685" s="1618">
        <v>-1</v>
      </c>
      <c r="Y685" s="1618">
        <v>-1</v>
      </c>
      <c r="Z685" s="1642">
        <v>-1</v>
      </c>
      <c r="AA685" s="1643">
        <v>-1</v>
      </c>
      <c r="AB685" s="1353" t="e">
        <v>#N/A</v>
      </c>
      <c r="AC685" s="43"/>
      <c r="AF685" s="218"/>
    </row>
    <row r="686" spans="1:32" ht="14.45" hidden="1" customHeight="1" x14ac:dyDescent="0.25">
      <c r="A686" s="10" t="s">
        <v>461</v>
      </c>
      <c r="C686" s="42"/>
      <c r="J686" s="215"/>
      <c r="K686" s="216"/>
      <c r="L686" s="1200"/>
      <c r="M686" s="217"/>
      <c r="N686" s="1013" t="s">
        <v>2263</v>
      </c>
      <c r="O686" s="307"/>
      <c r="P686" s="307"/>
      <c r="Q686" s="307"/>
      <c r="R686" s="307"/>
      <c r="S686" s="1387" t="s">
        <v>2287</v>
      </c>
      <c r="T686" s="1617">
        <v>-1.75</v>
      </c>
      <c r="U686" s="1618">
        <v>-1.75</v>
      </c>
      <c r="V686" s="1618">
        <v>-1.75</v>
      </c>
      <c r="W686" s="1618">
        <v>-1.75</v>
      </c>
      <c r="X686" s="1618">
        <v>-1.75</v>
      </c>
      <c r="Y686" s="1618">
        <v>-1.75</v>
      </c>
      <c r="Z686" s="1642">
        <v>-1.75</v>
      </c>
      <c r="AA686" s="1643">
        <v>-1.75</v>
      </c>
      <c r="AB686" s="1353" t="e">
        <v>#N/A</v>
      </c>
      <c r="AC686" s="43"/>
      <c r="AF686" s="218"/>
    </row>
    <row r="687" spans="1:32" ht="14.45" hidden="1" customHeight="1" x14ac:dyDescent="0.25">
      <c r="A687" s="10" t="s">
        <v>461</v>
      </c>
      <c r="C687" s="42"/>
      <c r="J687" s="215"/>
      <c r="K687" s="216"/>
      <c r="L687" s="1200"/>
      <c r="M687" s="217"/>
      <c r="N687" s="1014" t="s">
        <v>2264</v>
      </c>
      <c r="O687" s="987"/>
      <c r="P687" s="987"/>
      <c r="Q687" s="987"/>
      <c r="R687" s="987"/>
      <c r="S687" s="1387" t="s">
        <v>2288</v>
      </c>
      <c r="T687" s="1644">
        <v>-2.5</v>
      </c>
      <c r="U687" s="1645">
        <v>-2.5</v>
      </c>
      <c r="V687" s="1645">
        <v>-2.5</v>
      </c>
      <c r="W687" s="1645">
        <v>-2.5</v>
      </c>
      <c r="X687" s="1645">
        <v>-2.5</v>
      </c>
      <c r="Y687" s="1645">
        <v>-2.5</v>
      </c>
      <c r="Z687" s="1646">
        <v>-2.5</v>
      </c>
      <c r="AA687" s="1647">
        <v>-2.5</v>
      </c>
      <c r="AB687" s="1353" t="e">
        <v>#N/A</v>
      </c>
      <c r="AC687" s="43"/>
      <c r="AF687" s="218"/>
    </row>
    <row r="688" spans="1:32" ht="14.45" hidden="1" customHeight="1" x14ac:dyDescent="0.25">
      <c r="A688" s="10" t="s">
        <v>459</v>
      </c>
      <c r="C688" s="42"/>
      <c r="J688" s="2148" t="s">
        <v>90</v>
      </c>
      <c r="K688" s="2149"/>
      <c r="L688" s="2149"/>
      <c r="M688" s="2150"/>
      <c r="N688" s="1030" t="s">
        <v>50</v>
      </c>
      <c r="O688" s="1030"/>
      <c r="P688" s="1030"/>
      <c r="Q688" s="1030"/>
      <c r="R688" s="1030"/>
      <c r="S688" s="1377" t="s">
        <v>680</v>
      </c>
      <c r="T688" s="1696">
        <v>0</v>
      </c>
      <c r="U688" s="1697">
        <v>0</v>
      </c>
      <c r="V688" s="1697">
        <v>0</v>
      </c>
      <c r="W688" s="1697">
        <v>0</v>
      </c>
      <c r="X688" s="1697">
        <v>0</v>
      </c>
      <c r="Y688" s="1697">
        <v>0</v>
      </c>
      <c r="Z688" s="1719">
        <v>0</v>
      </c>
      <c r="AA688" s="1720">
        <v>0</v>
      </c>
      <c r="AB688" s="1353" t="e">
        <v>#N/A</v>
      </c>
      <c r="AC688" s="43"/>
      <c r="AF688" s="218"/>
    </row>
    <row r="689" spans="1:32" ht="14.45" hidden="1" customHeight="1" x14ac:dyDescent="0.25">
      <c r="A689" s="10" t="s">
        <v>459</v>
      </c>
      <c r="C689" s="42"/>
      <c r="J689" s="2151"/>
      <c r="K689" s="2152"/>
      <c r="L689" s="2152"/>
      <c r="M689" s="2153"/>
      <c r="N689" s="991" t="s">
        <v>20</v>
      </c>
      <c r="O689" s="991"/>
      <c r="P689" s="991"/>
      <c r="Q689" s="991"/>
      <c r="R689" s="991"/>
      <c r="S689" s="1376" t="s">
        <v>681</v>
      </c>
      <c r="T689" s="1702">
        <v>0.125</v>
      </c>
      <c r="U689" s="1691">
        <v>0.125</v>
      </c>
      <c r="V689" s="1691">
        <v>0.125</v>
      </c>
      <c r="W689" s="1691">
        <v>0.125</v>
      </c>
      <c r="X689" s="1691">
        <v>0.125</v>
      </c>
      <c r="Y689" s="1691">
        <v>0.125</v>
      </c>
      <c r="Z689" s="1723">
        <v>0.125</v>
      </c>
      <c r="AA689" s="1724">
        <v>0.125</v>
      </c>
      <c r="AB689" s="1353" t="e">
        <v>#N/A</v>
      </c>
      <c r="AC689" s="43"/>
      <c r="AF689" s="218"/>
    </row>
    <row r="690" spans="1:32" ht="14.45" hidden="1" customHeight="1" x14ac:dyDescent="0.25">
      <c r="A690" s="10" t="s">
        <v>459</v>
      </c>
      <c r="C690" s="42"/>
      <c r="J690" s="2151"/>
      <c r="K690" s="2152"/>
      <c r="L690" s="2152"/>
      <c r="M690" s="2153"/>
      <c r="N690" s="1030" t="s">
        <v>49</v>
      </c>
      <c r="O690" s="1030"/>
      <c r="P690" s="1030"/>
      <c r="Q690" s="1030"/>
      <c r="R690" s="1030"/>
      <c r="S690" s="1374" t="s">
        <v>682</v>
      </c>
      <c r="T690" s="1696">
        <v>0</v>
      </c>
      <c r="U690" s="1697">
        <v>0</v>
      </c>
      <c r="V690" s="1697">
        <v>0</v>
      </c>
      <c r="W690" s="1697">
        <v>0</v>
      </c>
      <c r="X690" s="1697">
        <v>0</v>
      </c>
      <c r="Y690" s="1697">
        <v>0</v>
      </c>
      <c r="Z690" s="1719">
        <v>0</v>
      </c>
      <c r="AA690" s="1720">
        <v>0</v>
      </c>
      <c r="AB690" s="1353" t="e">
        <v>#N/A</v>
      </c>
      <c r="AC690" s="43"/>
      <c r="AF690" s="218"/>
    </row>
    <row r="691" spans="1:32" ht="14.45" hidden="1" customHeight="1" x14ac:dyDescent="0.25">
      <c r="A691" s="10" t="s">
        <v>459</v>
      </c>
      <c r="C691" s="42"/>
      <c r="J691" s="2154"/>
      <c r="K691" s="2155"/>
      <c r="L691" s="2155"/>
      <c r="M691" s="2156"/>
      <c r="N691" s="991" t="s">
        <v>22</v>
      </c>
      <c r="O691" s="991"/>
      <c r="P691" s="991"/>
      <c r="Q691" s="991"/>
      <c r="R691" s="991"/>
      <c r="S691" s="1388" t="s">
        <v>683</v>
      </c>
      <c r="T691" s="1702">
        <v>-0.15</v>
      </c>
      <c r="U691" s="1691">
        <v>-0.15</v>
      </c>
      <c r="V691" s="1691">
        <v>-0.15</v>
      </c>
      <c r="W691" s="1691">
        <v>-0.15</v>
      </c>
      <c r="X691" s="1691">
        <v>-0.15</v>
      </c>
      <c r="Y691" s="1691">
        <v>-0.15</v>
      </c>
      <c r="Z691" s="1723">
        <v>-0.15</v>
      </c>
      <c r="AA691" s="1724">
        <v>-0.15</v>
      </c>
      <c r="AB691" s="1353" t="e">
        <v>#N/A</v>
      </c>
      <c r="AC691" s="43"/>
      <c r="AF691" s="218"/>
    </row>
    <row r="692" spans="1:32" ht="14.45" hidden="1" customHeight="1" x14ac:dyDescent="0.25">
      <c r="A692" s="10" t="s">
        <v>459</v>
      </c>
      <c r="C692" s="42"/>
      <c r="J692" s="2034" t="s">
        <v>64</v>
      </c>
      <c r="K692" s="2035"/>
      <c r="L692" s="2035"/>
      <c r="M692" s="2036"/>
      <c r="N692" s="1030" t="s">
        <v>82</v>
      </c>
      <c r="O692" s="1030"/>
      <c r="P692" s="1030"/>
      <c r="Q692" s="1030"/>
      <c r="R692" s="1030"/>
      <c r="S692" s="1378" t="s">
        <v>512</v>
      </c>
      <c r="T692" s="1615">
        <v>-1.75</v>
      </c>
      <c r="U692" s="1616">
        <v>-1.75</v>
      </c>
      <c r="V692" s="1616">
        <v>-1.75</v>
      </c>
      <c r="W692" s="1616">
        <v>-1.75</v>
      </c>
      <c r="X692" s="1616">
        <v>-1.75</v>
      </c>
      <c r="Y692" s="1616">
        <v>-1.75</v>
      </c>
      <c r="Z692" s="1650">
        <v>-1.75</v>
      </c>
      <c r="AA692" s="1651">
        <v>-1.75</v>
      </c>
      <c r="AB692" s="1353" t="e">
        <v>#N/A</v>
      </c>
      <c r="AC692" s="43"/>
      <c r="AF692" s="218"/>
    </row>
    <row r="693" spans="1:32" ht="14.45" hidden="1" customHeight="1" x14ac:dyDescent="0.25">
      <c r="A693" s="10" t="s">
        <v>459</v>
      </c>
      <c r="C693" s="42"/>
      <c r="J693" s="2037"/>
      <c r="K693" s="2038"/>
      <c r="L693" s="2038"/>
      <c r="M693" s="2039"/>
      <c r="N693" s="993" t="s">
        <v>1817</v>
      </c>
      <c r="O693" s="993"/>
      <c r="P693" s="993"/>
      <c r="Q693" s="993"/>
      <c r="R693" s="993"/>
      <c r="S693" s="1398" t="s">
        <v>1822</v>
      </c>
      <c r="T693" s="1617">
        <v>-1.125</v>
      </c>
      <c r="U693" s="1618">
        <v>-1.125</v>
      </c>
      <c r="V693" s="1618">
        <v>-1.125</v>
      </c>
      <c r="W693" s="1618">
        <v>-1.125</v>
      </c>
      <c r="X693" s="1618">
        <v>-1.125</v>
      </c>
      <c r="Y693" s="1618">
        <v>-1.125</v>
      </c>
      <c r="Z693" s="1642">
        <v>-1.125</v>
      </c>
      <c r="AA693" s="1643">
        <v>-1.125</v>
      </c>
      <c r="AB693" s="1353" t="e">
        <v>#N/A</v>
      </c>
      <c r="AC693" s="43"/>
      <c r="AF693" s="218"/>
    </row>
    <row r="694" spans="1:32" ht="14.45" hidden="1" customHeight="1" x14ac:dyDescent="0.25">
      <c r="A694" s="10" t="s">
        <v>459</v>
      </c>
      <c r="C694" s="42"/>
      <c r="J694" s="2037"/>
      <c r="K694" s="2038"/>
      <c r="L694" s="2038"/>
      <c r="M694" s="2039"/>
      <c r="N694" s="993" t="s">
        <v>1818</v>
      </c>
      <c r="O694" s="993"/>
      <c r="P694" s="993"/>
      <c r="Q694" s="993"/>
      <c r="R694" s="993"/>
      <c r="S694" s="1398" t="s">
        <v>1823</v>
      </c>
      <c r="T694" s="1617">
        <v>-0.5</v>
      </c>
      <c r="U694" s="1618">
        <v>-0.5</v>
      </c>
      <c r="V694" s="1618">
        <v>-0.5</v>
      </c>
      <c r="W694" s="1618">
        <v>-0.5</v>
      </c>
      <c r="X694" s="1618">
        <v>-0.5</v>
      </c>
      <c r="Y694" s="1618">
        <v>-0.5</v>
      </c>
      <c r="Z694" s="1642">
        <v>-0.5</v>
      </c>
      <c r="AA694" s="1643">
        <v>-0.5</v>
      </c>
      <c r="AB694" s="1353" t="e">
        <v>#N/A</v>
      </c>
      <c r="AC694" s="43"/>
      <c r="AF694" s="218"/>
    </row>
    <row r="695" spans="1:32" ht="14.45" hidden="1" customHeight="1" x14ac:dyDescent="0.25">
      <c r="A695" s="10" t="s">
        <v>459</v>
      </c>
      <c r="C695" s="42"/>
      <c r="J695" s="2037"/>
      <c r="K695" s="2038"/>
      <c r="L695" s="2038"/>
      <c r="M695" s="2039"/>
      <c r="N695" s="993" t="s">
        <v>1819</v>
      </c>
      <c r="O695" s="993"/>
      <c r="P695" s="993"/>
      <c r="Q695" s="993"/>
      <c r="R695" s="993"/>
      <c r="S695" s="1399" t="s">
        <v>1824</v>
      </c>
      <c r="T695" s="1617">
        <v>0</v>
      </c>
      <c r="U695" s="1618">
        <v>0</v>
      </c>
      <c r="V695" s="1618">
        <v>0</v>
      </c>
      <c r="W695" s="1618">
        <v>0</v>
      </c>
      <c r="X695" s="1618">
        <v>0</v>
      </c>
      <c r="Y695" s="1618">
        <v>0</v>
      </c>
      <c r="Z695" s="1642">
        <v>0</v>
      </c>
      <c r="AA695" s="1643">
        <v>0</v>
      </c>
      <c r="AB695" s="1353" t="e">
        <v>#N/A</v>
      </c>
      <c r="AC695" s="43"/>
      <c r="AF695" s="218"/>
    </row>
    <row r="696" spans="1:32" ht="14.45" hidden="1" customHeight="1" x14ac:dyDescent="0.25">
      <c r="A696" s="10" t="s">
        <v>459</v>
      </c>
      <c r="C696" s="42"/>
      <c r="J696" s="2037"/>
      <c r="K696" s="2038"/>
      <c r="L696" s="2038"/>
      <c r="M696" s="2039"/>
      <c r="N696" s="993" t="s">
        <v>1820</v>
      </c>
      <c r="O696" s="993"/>
      <c r="P696" s="993"/>
      <c r="Q696" s="993"/>
      <c r="R696" s="993"/>
      <c r="S696" s="1400" t="s">
        <v>1825</v>
      </c>
      <c r="T696" s="1617">
        <v>0.5</v>
      </c>
      <c r="U696" s="1618">
        <v>0.5</v>
      </c>
      <c r="V696" s="1618">
        <v>0.5</v>
      </c>
      <c r="W696" s="1618">
        <v>0.5</v>
      </c>
      <c r="X696" s="1618">
        <v>0.5</v>
      </c>
      <c r="Y696" s="1618">
        <v>0.5</v>
      </c>
      <c r="Z696" s="1642">
        <v>0.5</v>
      </c>
      <c r="AA696" s="1643">
        <v>0.5</v>
      </c>
      <c r="AB696" s="1353" t="e">
        <v>#N/A</v>
      </c>
      <c r="AC696" s="43"/>
      <c r="AF696" s="218"/>
    </row>
    <row r="697" spans="1:32" ht="14.45" hidden="1" customHeight="1" x14ac:dyDescent="0.25">
      <c r="A697" s="10" t="s">
        <v>459</v>
      </c>
      <c r="C697" s="42"/>
      <c r="J697" s="2037"/>
      <c r="K697" s="2038"/>
      <c r="L697" s="2038"/>
      <c r="M697" s="2039"/>
      <c r="N697" s="1036" t="s">
        <v>1821</v>
      </c>
      <c r="O697" s="1036"/>
      <c r="P697" s="1036"/>
      <c r="Q697" s="1036"/>
      <c r="R697" s="1036"/>
      <c r="S697" s="1401" t="s">
        <v>1826</v>
      </c>
      <c r="T697" s="1652">
        <v>0.875</v>
      </c>
      <c r="U697" s="1653">
        <v>0.875</v>
      </c>
      <c r="V697" s="1653">
        <v>0.875</v>
      </c>
      <c r="W697" s="1653">
        <v>0.875</v>
      </c>
      <c r="X697" s="1653">
        <v>0.875</v>
      </c>
      <c r="Y697" s="1653">
        <v>0.875</v>
      </c>
      <c r="Z697" s="1654">
        <v>0.875</v>
      </c>
      <c r="AA697" s="1655">
        <v>0.875</v>
      </c>
      <c r="AB697" s="1353" t="e">
        <v>#N/A</v>
      </c>
      <c r="AC697" s="43"/>
      <c r="AF697" s="218"/>
    </row>
    <row r="698" spans="1:32" ht="14.45" hidden="1" customHeight="1" x14ac:dyDescent="0.25">
      <c r="A698" s="10" t="s">
        <v>459</v>
      </c>
      <c r="C698" s="42"/>
      <c r="J698" s="2037"/>
      <c r="K698" s="2038"/>
      <c r="L698" s="2038"/>
      <c r="M698" s="2039"/>
      <c r="N698" s="993" t="s">
        <v>2293</v>
      </c>
      <c r="O698" s="993"/>
      <c r="P698" s="993"/>
      <c r="Q698" s="993"/>
      <c r="R698" s="993"/>
      <c r="S698" s="1402" t="s">
        <v>2303</v>
      </c>
      <c r="T698" s="1615">
        <v>-1.125</v>
      </c>
      <c r="U698" s="1616">
        <v>-1.125</v>
      </c>
      <c r="V698" s="1616">
        <v>-1.125</v>
      </c>
      <c r="W698" s="1616">
        <v>-1.125</v>
      </c>
      <c r="X698" s="1616">
        <v>-1.125</v>
      </c>
      <c r="Y698" s="1616">
        <v>-1.125</v>
      </c>
      <c r="Z698" s="1650">
        <v>-1.125</v>
      </c>
      <c r="AA698" s="1651">
        <v>-1.125</v>
      </c>
      <c r="AB698" s="1353" t="e">
        <v>#N/A</v>
      </c>
      <c r="AC698" s="43"/>
      <c r="AF698" s="218"/>
    </row>
    <row r="699" spans="1:32" ht="14.45" hidden="1" customHeight="1" x14ac:dyDescent="0.25">
      <c r="A699" s="10" t="s">
        <v>459</v>
      </c>
      <c r="C699" s="42"/>
      <c r="J699" s="2037"/>
      <c r="K699" s="2038"/>
      <c r="L699" s="2038"/>
      <c r="M699" s="2039"/>
      <c r="N699" s="993" t="s">
        <v>2295</v>
      </c>
      <c r="O699" s="993"/>
      <c r="P699" s="993"/>
      <c r="Q699" s="993"/>
      <c r="R699" s="993"/>
      <c r="S699" s="1402" t="s">
        <v>2304</v>
      </c>
      <c r="T699" s="1617">
        <v>-0.5</v>
      </c>
      <c r="U699" s="1618">
        <v>-0.5</v>
      </c>
      <c r="V699" s="1618">
        <v>-0.5</v>
      </c>
      <c r="W699" s="1618">
        <v>-0.5</v>
      </c>
      <c r="X699" s="1618">
        <v>-0.5</v>
      </c>
      <c r="Y699" s="1618">
        <v>-0.5</v>
      </c>
      <c r="Z699" s="1642">
        <v>-0.5</v>
      </c>
      <c r="AA699" s="1643">
        <v>-0.5</v>
      </c>
      <c r="AB699" s="1353" t="e">
        <v>#N/A</v>
      </c>
      <c r="AC699" s="43"/>
      <c r="AF699" s="218"/>
    </row>
    <row r="700" spans="1:32" ht="14.45" hidden="1" customHeight="1" x14ac:dyDescent="0.25">
      <c r="A700" s="10" t="s">
        <v>459</v>
      </c>
      <c r="C700" s="42"/>
      <c r="J700" s="2037"/>
      <c r="K700" s="2038"/>
      <c r="L700" s="2038"/>
      <c r="M700" s="2039"/>
      <c r="N700" s="993" t="s">
        <v>2297</v>
      </c>
      <c r="O700" s="993"/>
      <c r="P700" s="993"/>
      <c r="Q700" s="993"/>
      <c r="R700" s="993"/>
      <c r="S700" s="1399" t="s">
        <v>2305</v>
      </c>
      <c r="T700" s="1617">
        <v>0</v>
      </c>
      <c r="U700" s="1618">
        <v>0</v>
      </c>
      <c r="V700" s="1618">
        <v>0</v>
      </c>
      <c r="W700" s="1618">
        <v>0</v>
      </c>
      <c r="X700" s="1618">
        <v>0</v>
      </c>
      <c r="Y700" s="1618">
        <v>0</v>
      </c>
      <c r="Z700" s="1642">
        <v>0</v>
      </c>
      <c r="AA700" s="1643">
        <v>0</v>
      </c>
      <c r="AB700" s="1353" t="e">
        <v>#N/A</v>
      </c>
      <c r="AC700" s="43"/>
      <c r="AF700" s="218"/>
    </row>
    <row r="701" spans="1:32" ht="14.45" hidden="1" customHeight="1" x14ac:dyDescent="0.25">
      <c r="A701" s="10" t="s">
        <v>459</v>
      </c>
      <c r="C701" s="42"/>
      <c r="J701" s="2037"/>
      <c r="K701" s="2038"/>
      <c r="L701" s="2038"/>
      <c r="M701" s="2039"/>
      <c r="N701" s="993" t="s">
        <v>2299</v>
      </c>
      <c r="O701" s="993"/>
      <c r="P701" s="993"/>
      <c r="Q701" s="993"/>
      <c r="R701" s="993"/>
      <c r="S701" s="1399" t="s">
        <v>2306</v>
      </c>
      <c r="T701" s="1617">
        <v>0.5</v>
      </c>
      <c r="U701" s="1618">
        <v>0.5</v>
      </c>
      <c r="V701" s="1618">
        <v>0.5</v>
      </c>
      <c r="W701" s="1618">
        <v>0.5</v>
      </c>
      <c r="X701" s="1618">
        <v>0.5</v>
      </c>
      <c r="Y701" s="1618">
        <v>0.5</v>
      </c>
      <c r="Z701" s="1642">
        <v>0.5</v>
      </c>
      <c r="AA701" s="1643">
        <v>0.5</v>
      </c>
      <c r="AB701" s="1353" t="e">
        <v>#N/A</v>
      </c>
      <c r="AC701" s="43"/>
      <c r="AF701" s="218"/>
    </row>
    <row r="702" spans="1:32" ht="14.45" hidden="1" customHeight="1" x14ac:dyDescent="0.25">
      <c r="A702" s="10" t="s">
        <v>459</v>
      </c>
      <c r="C702" s="42"/>
      <c r="J702" s="2037"/>
      <c r="K702" s="2038"/>
      <c r="L702" s="2038"/>
      <c r="M702" s="2039"/>
      <c r="N702" s="1036" t="s">
        <v>2301</v>
      </c>
      <c r="O702" s="1036"/>
      <c r="P702" s="1036"/>
      <c r="Q702" s="1036"/>
      <c r="R702" s="1036"/>
      <c r="S702" s="1403" t="s">
        <v>2307</v>
      </c>
      <c r="T702" s="1652">
        <v>0.875</v>
      </c>
      <c r="U702" s="1653">
        <v>0.875</v>
      </c>
      <c r="V702" s="1653">
        <v>0.875</v>
      </c>
      <c r="W702" s="1653">
        <v>0.875</v>
      </c>
      <c r="X702" s="1653">
        <v>0.875</v>
      </c>
      <c r="Y702" s="1653">
        <v>0.875</v>
      </c>
      <c r="Z702" s="1654">
        <v>0.875</v>
      </c>
      <c r="AA702" s="1655">
        <v>0.875</v>
      </c>
      <c r="AB702" s="1353" t="e">
        <v>#N/A</v>
      </c>
      <c r="AC702" s="43"/>
      <c r="AF702" s="218"/>
    </row>
    <row r="703" spans="1:32" ht="14.45" hidden="1" customHeight="1" x14ac:dyDescent="0.25">
      <c r="A703" s="10" t="s">
        <v>459</v>
      </c>
      <c r="C703" s="42"/>
      <c r="J703" s="2037"/>
      <c r="K703" s="2038"/>
      <c r="L703" s="2038"/>
      <c r="M703" s="2039"/>
      <c r="N703" s="993" t="s">
        <v>693</v>
      </c>
      <c r="O703" s="993"/>
      <c r="P703" s="993"/>
      <c r="Q703" s="993"/>
      <c r="R703" s="993"/>
      <c r="S703" s="1402" t="s">
        <v>703</v>
      </c>
      <c r="T703" s="1615">
        <v>-1.125</v>
      </c>
      <c r="U703" s="1616">
        <v>-1.125</v>
      </c>
      <c r="V703" s="1616">
        <v>-1.125</v>
      </c>
      <c r="W703" s="1616">
        <v>-1.125</v>
      </c>
      <c r="X703" s="1616">
        <v>-1.125</v>
      </c>
      <c r="Y703" s="1616">
        <v>-1.125</v>
      </c>
      <c r="Z703" s="1650">
        <v>-1.125</v>
      </c>
      <c r="AA703" s="1651">
        <v>-1.125</v>
      </c>
      <c r="AB703" s="1353" t="e">
        <v>#N/A</v>
      </c>
      <c r="AC703" s="43"/>
      <c r="AF703" s="218"/>
    </row>
    <row r="704" spans="1:32" ht="14.45" hidden="1" customHeight="1" x14ac:dyDescent="0.25">
      <c r="A704" s="10" t="s">
        <v>459</v>
      </c>
      <c r="C704" s="42"/>
      <c r="J704" s="2037"/>
      <c r="K704" s="2038"/>
      <c r="L704" s="2038"/>
      <c r="M704" s="2039"/>
      <c r="N704" s="993" t="s">
        <v>692</v>
      </c>
      <c r="O704" s="993"/>
      <c r="P704" s="993"/>
      <c r="Q704" s="993"/>
      <c r="R704" s="993"/>
      <c r="S704" s="1402" t="s">
        <v>702</v>
      </c>
      <c r="T704" s="1617">
        <v>-0.5</v>
      </c>
      <c r="U704" s="1618">
        <v>-0.5</v>
      </c>
      <c r="V704" s="1618">
        <v>-0.5</v>
      </c>
      <c r="W704" s="1618">
        <v>-0.5</v>
      </c>
      <c r="X704" s="1618">
        <v>-0.5</v>
      </c>
      <c r="Y704" s="1618">
        <v>-0.5</v>
      </c>
      <c r="Z704" s="1642">
        <v>-0.5</v>
      </c>
      <c r="AA704" s="1643">
        <v>-0.5</v>
      </c>
      <c r="AB704" s="1353" t="e">
        <v>#N/A</v>
      </c>
      <c r="AC704" s="43"/>
      <c r="AF704" s="218"/>
    </row>
    <row r="705" spans="1:34" ht="14.45" hidden="1" customHeight="1" x14ac:dyDescent="0.25">
      <c r="A705" s="10" t="s">
        <v>459</v>
      </c>
      <c r="C705" s="42"/>
      <c r="J705" s="2037"/>
      <c r="K705" s="2038"/>
      <c r="L705" s="2038"/>
      <c r="M705" s="2039"/>
      <c r="N705" s="993" t="s">
        <v>691</v>
      </c>
      <c r="O705" s="993"/>
      <c r="P705" s="993"/>
      <c r="Q705" s="993"/>
      <c r="R705" s="993"/>
      <c r="S705" s="1399" t="s">
        <v>701</v>
      </c>
      <c r="T705" s="1617">
        <v>0.25</v>
      </c>
      <c r="U705" s="1618">
        <v>0.25</v>
      </c>
      <c r="V705" s="1618">
        <v>0.25</v>
      </c>
      <c r="W705" s="1618">
        <v>0.25</v>
      </c>
      <c r="X705" s="1618">
        <v>0.25</v>
      </c>
      <c r="Y705" s="1618">
        <v>0.25</v>
      </c>
      <c r="Z705" s="1642">
        <v>0.25</v>
      </c>
      <c r="AA705" s="1643">
        <v>0.25</v>
      </c>
      <c r="AB705" s="1353" t="e">
        <v>#N/A</v>
      </c>
      <c r="AC705" s="43"/>
      <c r="AF705" s="218"/>
    </row>
    <row r="706" spans="1:34" ht="14.45" hidden="1" customHeight="1" x14ac:dyDescent="0.25">
      <c r="A706" s="10" t="s">
        <v>459</v>
      </c>
      <c r="C706" s="42"/>
      <c r="J706" s="2037"/>
      <c r="K706" s="2038"/>
      <c r="L706" s="2038"/>
      <c r="M706" s="2039"/>
      <c r="N706" s="993" t="s">
        <v>690</v>
      </c>
      <c r="O706" s="993"/>
      <c r="P706" s="993"/>
      <c r="Q706" s="993"/>
      <c r="R706" s="993"/>
      <c r="S706" s="1399" t="s">
        <v>700</v>
      </c>
      <c r="T706" s="1617">
        <v>0.875</v>
      </c>
      <c r="U706" s="1618">
        <v>0.875</v>
      </c>
      <c r="V706" s="1618">
        <v>0.875</v>
      </c>
      <c r="W706" s="1618">
        <v>0.875</v>
      </c>
      <c r="X706" s="1618">
        <v>0.875</v>
      </c>
      <c r="Y706" s="1618">
        <v>0.875</v>
      </c>
      <c r="Z706" s="1642">
        <v>0.875</v>
      </c>
      <c r="AA706" s="1643">
        <v>0.875</v>
      </c>
      <c r="AB706" s="1353" t="e">
        <v>#N/A</v>
      </c>
      <c r="AC706" s="43"/>
      <c r="AF706" s="218"/>
    </row>
    <row r="707" spans="1:34" ht="14.45" hidden="1" customHeight="1" x14ac:dyDescent="0.25">
      <c r="A707" s="10" t="s">
        <v>459</v>
      </c>
      <c r="C707" s="42"/>
      <c r="J707" s="2037"/>
      <c r="K707" s="2038"/>
      <c r="L707" s="2038"/>
      <c r="M707" s="2039"/>
      <c r="N707" s="1036" t="s">
        <v>689</v>
      </c>
      <c r="O707" s="1036"/>
      <c r="P707" s="1036"/>
      <c r="Q707" s="1036"/>
      <c r="R707" s="1036"/>
      <c r="S707" s="1403" t="s">
        <v>699</v>
      </c>
      <c r="T707" s="1652">
        <v>1</v>
      </c>
      <c r="U707" s="1653">
        <v>1</v>
      </c>
      <c r="V707" s="1653">
        <v>1</v>
      </c>
      <c r="W707" s="1653">
        <v>1</v>
      </c>
      <c r="X707" s="1653">
        <v>1</v>
      </c>
      <c r="Y707" s="1653">
        <v>1</v>
      </c>
      <c r="Z707" s="1654">
        <v>1</v>
      </c>
      <c r="AA707" s="1655">
        <v>1</v>
      </c>
      <c r="AB707" s="1353" t="e">
        <v>#N/A</v>
      </c>
      <c r="AC707" s="43"/>
      <c r="AF707" s="218"/>
    </row>
    <row r="708" spans="1:34" ht="14.45" hidden="1" customHeight="1" x14ac:dyDescent="0.25">
      <c r="A708" s="10" t="s">
        <v>459</v>
      </c>
      <c r="C708" s="42"/>
      <c r="J708" s="2037"/>
      <c r="K708" s="2038"/>
      <c r="L708" s="2038"/>
      <c r="M708" s="2039"/>
      <c r="N708" s="993" t="s">
        <v>698</v>
      </c>
      <c r="O708" s="993"/>
      <c r="P708" s="993"/>
      <c r="Q708" s="993"/>
      <c r="R708" s="993"/>
      <c r="S708" s="1402" t="s">
        <v>708</v>
      </c>
      <c r="T708" s="1615">
        <v>-1.125</v>
      </c>
      <c r="U708" s="1616">
        <v>-1.125</v>
      </c>
      <c r="V708" s="1616">
        <v>-1.125</v>
      </c>
      <c r="W708" s="1616">
        <v>-1.125</v>
      </c>
      <c r="X708" s="1616">
        <v>-1.125</v>
      </c>
      <c r="Y708" s="1616">
        <v>-1.125</v>
      </c>
      <c r="Z708" s="1650">
        <v>-1.125</v>
      </c>
      <c r="AA708" s="1651">
        <v>-1.125</v>
      </c>
      <c r="AB708" s="1353" t="e">
        <v>#N/A</v>
      </c>
      <c r="AC708" s="43"/>
      <c r="AF708" s="218"/>
    </row>
    <row r="709" spans="1:34" ht="14.45" hidden="1" customHeight="1" x14ac:dyDescent="0.25">
      <c r="A709" s="10" t="s">
        <v>459</v>
      </c>
      <c r="C709" s="42"/>
      <c r="J709" s="2037"/>
      <c r="K709" s="2038"/>
      <c r="L709" s="2038"/>
      <c r="M709" s="2039"/>
      <c r="N709" s="993" t="s">
        <v>697</v>
      </c>
      <c r="O709" s="993"/>
      <c r="P709" s="993"/>
      <c r="Q709" s="993"/>
      <c r="R709" s="993"/>
      <c r="S709" s="1402" t="s">
        <v>707</v>
      </c>
      <c r="T709" s="1617">
        <v>-0.5</v>
      </c>
      <c r="U709" s="1618">
        <v>-0.5</v>
      </c>
      <c r="V709" s="1618">
        <v>-0.5</v>
      </c>
      <c r="W709" s="1618">
        <v>-0.5</v>
      </c>
      <c r="X709" s="1618">
        <v>-0.5</v>
      </c>
      <c r="Y709" s="1618">
        <v>-0.5</v>
      </c>
      <c r="Z709" s="1642">
        <v>-0.5</v>
      </c>
      <c r="AA709" s="1643">
        <v>-0.5</v>
      </c>
      <c r="AB709" s="1353" t="e">
        <v>#N/A</v>
      </c>
      <c r="AC709" s="43"/>
      <c r="AF709" s="218"/>
    </row>
    <row r="710" spans="1:34" ht="14.45" hidden="1" customHeight="1" x14ac:dyDescent="0.25">
      <c r="A710" s="10" t="s">
        <v>459</v>
      </c>
      <c r="C710" s="42"/>
      <c r="J710" s="2037"/>
      <c r="K710" s="2038"/>
      <c r="L710" s="2038"/>
      <c r="M710" s="2039"/>
      <c r="N710" s="993" t="s">
        <v>696</v>
      </c>
      <c r="O710" s="993"/>
      <c r="P710" s="993"/>
      <c r="Q710" s="993"/>
      <c r="R710" s="993"/>
      <c r="S710" s="1399" t="s">
        <v>706</v>
      </c>
      <c r="T710" s="1617">
        <v>-0.25</v>
      </c>
      <c r="U710" s="1618">
        <v>-0.25</v>
      </c>
      <c r="V710" s="1618">
        <v>-0.25</v>
      </c>
      <c r="W710" s="1618">
        <v>-0.25</v>
      </c>
      <c r="X710" s="1618">
        <v>-0.25</v>
      </c>
      <c r="Y710" s="1618">
        <v>-0.25</v>
      </c>
      <c r="Z710" s="1642">
        <v>-0.25</v>
      </c>
      <c r="AA710" s="1643">
        <v>-0.25</v>
      </c>
      <c r="AB710" s="1353" t="e">
        <v>#N/A</v>
      </c>
      <c r="AC710" s="43"/>
      <c r="AF710" s="218"/>
    </row>
    <row r="711" spans="1:34" ht="14.45" hidden="1" customHeight="1" x14ac:dyDescent="0.25">
      <c r="A711" s="10" t="s">
        <v>459</v>
      </c>
      <c r="C711" s="42"/>
      <c r="J711" s="2037"/>
      <c r="K711" s="2038"/>
      <c r="L711" s="2038"/>
      <c r="M711" s="2039"/>
      <c r="N711" s="993" t="s">
        <v>695</v>
      </c>
      <c r="O711" s="993"/>
      <c r="P711" s="993"/>
      <c r="Q711" s="993"/>
      <c r="R711" s="993"/>
      <c r="S711" s="1399" t="s">
        <v>705</v>
      </c>
      <c r="T711" s="1617">
        <v>0.5</v>
      </c>
      <c r="U711" s="1618">
        <v>0.5</v>
      </c>
      <c r="V711" s="1618">
        <v>0.5</v>
      </c>
      <c r="W711" s="1618">
        <v>0.5</v>
      </c>
      <c r="X711" s="1618">
        <v>0.5</v>
      </c>
      <c r="Y711" s="1618">
        <v>0.5</v>
      </c>
      <c r="Z711" s="1642">
        <v>0.5</v>
      </c>
      <c r="AA711" s="1643">
        <v>0.5</v>
      </c>
      <c r="AB711" s="1353" t="e">
        <v>#N/A</v>
      </c>
      <c r="AC711" s="43"/>
      <c r="AF711" s="218"/>
    </row>
    <row r="712" spans="1:34" ht="14.45" hidden="1" customHeight="1" x14ac:dyDescent="0.25">
      <c r="A712" s="10" t="s">
        <v>459</v>
      </c>
      <c r="C712" s="42"/>
      <c r="J712" s="2040"/>
      <c r="K712" s="2041"/>
      <c r="L712" s="2041"/>
      <c r="M712" s="2042"/>
      <c r="N712" s="1036" t="s">
        <v>694</v>
      </c>
      <c r="O712" s="1036"/>
      <c r="P712" s="1036"/>
      <c r="Q712" s="1036"/>
      <c r="R712" s="1036"/>
      <c r="S712" s="1403" t="s">
        <v>704</v>
      </c>
      <c r="T712" s="1644">
        <v>0.875</v>
      </c>
      <c r="U712" s="1645">
        <v>0.875</v>
      </c>
      <c r="V712" s="1645">
        <v>0.875</v>
      </c>
      <c r="W712" s="1645">
        <v>0.875</v>
      </c>
      <c r="X712" s="1645">
        <v>0.875</v>
      </c>
      <c r="Y712" s="1645">
        <v>0.875</v>
      </c>
      <c r="Z712" s="1646">
        <v>0.875</v>
      </c>
      <c r="AA712" s="1647">
        <v>0.875</v>
      </c>
      <c r="AB712" s="1353" t="e">
        <v>#N/A</v>
      </c>
      <c r="AC712" s="43"/>
      <c r="AF712" s="218"/>
    </row>
    <row r="713" spans="1:34" ht="14.45" hidden="1" customHeight="1" x14ac:dyDescent="0.25">
      <c r="A713" s="10" t="s">
        <v>459</v>
      </c>
      <c r="C713" s="42"/>
      <c r="J713" s="2034" t="s">
        <v>23</v>
      </c>
      <c r="K713" s="2035"/>
      <c r="L713" s="2035"/>
      <c r="M713" s="2036"/>
      <c r="N713" s="1028" t="s">
        <v>73</v>
      </c>
      <c r="O713" s="1028"/>
      <c r="P713" s="1028"/>
      <c r="Q713" s="1028"/>
      <c r="R713" s="1028"/>
      <c r="S713" s="1377" t="s">
        <v>684</v>
      </c>
      <c r="T713" s="1696" cm="1">
        <f t="array" ref="T713">[1]!LLPA_PN_000050_30_Day</f>
        <v>0</v>
      </c>
      <c r="U713" s="1697" cm="1">
        <f t="array" ref="U713">[1]!LLPA_PN_000050_30_Day</f>
        <v>0</v>
      </c>
      <c r="V713" s="1697" cm="1">
        <f t="array" ref="V713">[1]!LLPA_PN_000050_30_Day</f>
        <v>0</v>
      </c>
      <c r="W713" s="1697" cm="1">
        <f t="array" ref="W713">[1]!LLPA_PN_000050_30_Day</f>
        <v>0</v>
      </c>
      <c r="X713" s="1697" cm="1">
        <f t="array" ref="X713">[1]!LLPA_PN_000050_30_Day</f>
        <v>0</v>
      </c>
      <c r="Y713" s="1697" cm="1">
        <f t="array" ref="Y713">[1]!LLPA_PN_000050_30_Day</f>
        <v>0</v>
      </c>
      <c r="Z713" s="1719" cm="1">
        <f t="array" ref="Z713">[1]!LLPA_PN_000050_30_Day</f>
        <v>0</v>
      </c>
      <c r="AA713" s="1720" cm="1">
        <f t="array" ref="AA713">[1]!LLPA_PN_000050_30_Day</f>
        <v>0</v>
      </c>
      <c r="AB713" s="1353" t="e">
        <v>#N/A</v>
      </c>
      <c r="AC713" s="43"/>
      <c r="AF713" s="218"/>
    </row>
    <row r="714" spans="1:34" ht="14.45" hidden="1" customHeight="1" x14ac:dyDescent="0.25">
      <c r="A714" s="10" t="s">
        <v>459</v>
      </c>
      <c r="C714" s="42"/>
      <c r="J714" s="2037"/>
      <c r="K714" s="2038"/>
      <c r="L714" s="2038"/>
      <c r="M714" s="2039"/>
      <c r="N714" s="990" t="s">
        <v>74</v>
      </c>
      <c r="O714" s="986"/>
      <c r="P714" s="986"/>
      <c r="Q714" s="986"/>
      <c r="R714" s="986"/>
      <c r="S714" s="1406" t="s">
        <v>685</v>
      </c>
      <c r="T714" s="1699" cm="1">
        <f t="array" ref="T714">[1]!LLPA_PN_000050_45_Day</f>
        <v>-0.25</v>
      </c>
      <c r="U714" s="1700" cm="1">
        <f t="array" ref="U714">[1]!LLPA_PN_000050_45_Day</f>
        <v>-0.25</v>
      </c>
      <c r="V714" s="1700" cm="1">
        <f t="array" ref="V714">[1]!LLPA_PN_000050_45_Day</f>
        <v>-0.25</v>
      </c>
      <c r="W714" s="1700" cm="1">
        <f t="array" ref="W714">[1]!LLPA_PN_000050_45_Day</f>
        <v>-0.25</v>
      </c>
      <c r="X714" s="1700" cm="1">
        <f t="array" ref="X714">[1]!LLPA_PN_000050_45_Day</f>
        <v>-0.25</v>
      </c>
      <c r="Y714" s="1700" cm="1">
        <f t="array" ref="Y714">[1]!LLPA_PN_000050_45_Day</f>
        <v>-0.25</v>
      </c>
      <c r="Z714" s="1721" cm="1">
        <f t="array" ref="Z714">[1]!LLPA_PN_000050_45_Day</f>
        <v>-0.25</v>
      </c>
      <c r="AA714" s="1722" cm="1">
        <f t="array" ref="AA714">[1]!LLPA_PN_000050_45_Day</f>
        <v>-0.25</v>
      </c>
      <c r="AB714" s="1353" t="e">
        <v>#N/A</v>
      </c>
      <c r="AC714" s="43"/>
      <c r="AF714" s="218"/>
    </row>
    <row r="715" spans="1:34" ht="14.45" hidden="1" customHeight="1" x14ac:dyDescent="0.25">
      <c r="A715" s="10" t="s">
        <v>459</v>
      </c>
      <c r="C715" s="42"/>
      <c r="J715" s="2040"/>
      <c r="K715" s="2041"/>
      <c r="L715" s="2041"/>
      <c r="M715" s="2042"/>
      <c r="N715" s="1037" t="s">
        <v>75</v>
      </c>
      <c r="O715" s="1037"/>
      <c r="P715" s="1037"/>
      <c r="Q715" s="1037"/>
      <c r="R715" s="1037"/>
      <c r="S715" s="1390" t="s">
        <v>686</v>
      </c>
      <c r="T715" s="1702" cm="1">
        <f t="array" ref="T715">[1]!LLPA_PN_000050_60_Day</f>
        <v>-0.5</v>
      </c>
      <c r="U715" s="1691" cm="1">
        <f t="array" ref="U715">[1]!LLPA_PN_000050_60_Day</f>
        <v>-0.5</v>
      </c>
      <c r="V715" s="1691" cm="1">
        <f t="array" ref="V715">[1]!LLPA_PN_000050_60_Day</f>
        <v>-0.5</v>
      </c>
      <c r="W715" s="1691" cm="1">
        <f t="array" ref="W715">[1]!LLPA_PN_000050_60_Day</f>
        <v>-0.5</v>
      </c>
      <c r="X715" s="1691" cm="1">
        <f t="array" ref="X715">[1]!LLPA_PN_000050_60_Day</f>
        <v>-0.5</v>
      </c>
      <c r="Y715" s="1691" cm="1">
        <f t="array" ref="Y715">[1]!LLPA_PN_000050_60_Day</f>
        <v>-0.5</v>
      </c>
      <c r="Z715" s="1723" cm="1">
        <f t="array" ref="Z715">[1]!LLPA_PN_000050_60_Day</f>
        <v>-0.5</v>
      </c>
      <c r="AA715" s="1724" cm="1">
        <f t="array" ref="AA715">[1]!LLPA_PN_000050_60_Day</f>
        <v>-0.5</v>
      </c>
      <c r="AB715" s="1353" t="e">
        <v>#N/A</v>
      </c>
      <c r="AC715" s="43"/>
      <c r="AF715" s="218"/>
    </row>
    <row r="716" spans="1:34" ht="14.45" hidden="1" customHeight="1" x14ac:dyDescent="0.25">
      <c r="A716" s="10" t="s">
        <v>461</v>
      </c>
      <c r="C716" s="42"/>
      <c r="J716" s="2024" t="s">
        <v>359</v>
      </c>
      <c r="K716" s="2025"/>
      <c r="L716" s="2025"/>
      <c r="M716" s="2026"/>
      <c r="N716" s="1010" t="s">
        <v>360</v>
      </c>
      <c r="O716" s="1028"/>
      <c r="P716" s="1028"/>
      <c r="Q716" s="1028"/>
      <c r="R716" s="1028"/>
      <c r="S716" s="1378" t="s">
        <v>687</v>
      </c>
      <c r="T716" s="1696" cm="1">
        <f t="array" ref="T716">[1]!LLPA_PN_000050_Mandatory</f>
        <v>0</v>
      </c>
      <c r="U716" s="1697" cm="1">
        <f t="array" ref="U716">[1]!LLPA_PN_000050_Mandatory</f>
        <v>0</v>
      </c>
      <c r="V716" s="1697" cm="1">
        <f t="array" ref="V716">[1]!LLPA_PN_000050_Mandatory</f>
        <v>0</v>
      </c>
      <c r="W716" s="1697" cm="1">
        <f t="array" ref="W716">[1]!LLPA_PN_000050_Mandatory</f>
        <v>0</v>
      </c>
      <c r="X716" s="1697" cm="1">
        <f t="array" ref="X716">[1]!LLPA_PN_000050_Mandatory</f>
        <v>0</v>
      </c>
      <c r="Y716" s="1697" cm="1">
        <f t="array" ref="Y716">[1]!LLPA_PN_000050_Mandatory</f>
        <v>0</v>
      </c>
      <c r="Z716" s="1719" cm="1">
        <f t="array" ref="Z716">[1]!LLPA_PN_000050_Mandatory</f>
        <v>0</v>
      </c>
      <c r="AA716" s="1720" cm="1">
        <f t="array" ref="AA716">[1]!LLPA_PN_000050_Mandatory</f>
        <v>0</v>
      </c>
      <c r="AB716" s="1353" t="e">
        <v>#N/A</v>
      </c>
      <c r="AC716" s="43"/>
      <c r="AF716" s="218"/>
    </row>
    <row r="717" spans="1:34" ht="14.45" hidden="1" customHeight="1" x14ac:dyDescent="0.25">
      <c r="A717" s="10" t="s">
        <v>461</v>
      </c>
      <c r="C717" s="42"/>
      <c r="J717" s="2027"/>
      <c r="K717" s="2028"/>
      <c r="L717" s="2028"/>
      <c r="M717" s="2029"/>
      <c r="N717" s="1011" t="s">
        <v>361</v>
      </c>
      <c r="O717" s="991"/>
      <c r="P717" s="991"/>
      <c r="Q717" s="991"/>
      <c r="R717" s="991"/>
      <c r="S717" s="1391" t="s">
        <v>688</v>
      </c>
      <c r="T717" s="1716" cm="1">
        <f t="array" ref="T717">[1]!LLPA_PN_000050_Best_Efforts</f>
        <v>0</v>
      </c>
      <c r="U717" s="1717" cm="1">
        <f t="array" ref="U717">[1]!LLPA_PN_000050_Best_Efforts</f>
        <v>0</v>
      </c>
      <c r="V717" s="1717" cm="1">
        <f t="array" ref="V717">[1]!LLPA_PN_000050_Best_Efforts</f>
        <v>0</v>
      </c>
      <c r="W717" s="1717" cm="1">
        <f t="array" ref="W717">[1]!LLPA_PN_000050_Best_Efforts</f>
        <v>0</v>
      </c>
      <c r="X717" s="1717" cm="1">
        <f t="array" ref="X717">[1]!LLPA_PN_000050_Best_Efforts</f>
        <v>0</v>
      </c>
      <c r="Y717" s="1717" cm="1">
        <f t="array" ref="Y717">[1]!LLPA_PN_000050_Best_Efforts</f>
        <v>0</v>
      </c>
      <c r="Z717" s="1739" cm="1">
        <f t="array" ref="Z717">[1]!LLPA_PN_000050_Best_Efforts</f>
        <v>0</v>
      </c>
      <c r="AA717" s="1740" cm="1">
        <f t="array" ref="AA717">[1]!LLPA_PN_000050_Best_Efforts</f>
        <v>0</v>
      </c>
      <c r="AB717" s="1519" t="e">
        <v>#N/A</v>
      </c>
      <c r="AC717" s="43"/>
      <c r="AF717" s="218"/>
    </row>
    <row r="718" spans="1:34" s="5" customFormat="1" ht="10.15" hidden="1" customHeight="1" x14ac:dyDescent="0.2">
      <c r="A718" s="10" t="s">
        <v>460</v>
      </c>
      <c r="C718" s="41"/>
      <c r="J718" s="75"/>
      <c r="K718" s="75"/>
      <c r="L718" s="75"/>
      <c r="M718" s="75"/>
      <c r="N718" s="75"/>
      <c r="O718" s="75"/>
      <c r="P718" s="75"/>
      <c r="Q718" s="75"/>
      <c r="R718" s="75"/>
      <c r="S718" s="77"/>
      <c r="T718" s="78"/>
      <c r="U718" s="78"/>
      <c r="V718" s="78"/>
      <c r="W718" s="78"/>
      <c r="X718" s="78"/>
      <c r="Y718" s="78"/>
      <c r="Z718" s="78"/>
      <c r="AA718" s="78"/>
      <c r="AB718" s="202"/>
      <c r="AC718" s="47"/>
      <c r="AE718" s="10"/>
      <c r="AF718" s="218"/>
      <c r="AG718" s="10"/>
      <c r="AH718" s="10"/>
    </row>
    <row r="719" spans="1:34" s="5" customFormat="1" ht="10.15" hidden="1" customHeight="1" x14ac:dyDescent="0.2">
      <c r="A719" s="10" t="s">
        <v>459</v>
      </c>
      <c r="C719" s="241"/>
      <c r="D719" s="2030" t="str">
        <f>Input_Disclaimer_01</f>
        <v>The information in this document is intended for use by licensed mortgage bankers and mortgage loans officers, and may not to be viewed, used, or relied upon by consumers. The information disclosed in this document is subject to change without notice. Not available in all states.</v>
      </c>
      <c r="E719" s="2030"/>
      <c r="F719" s="2030"/>
      <c r="G719" s="2030"/>
      <c r="H719" s="2030"/>
      <c r="I719" s="2030"/>
      <c r="J719" s="2030"/>
      <c r="K719" s="2030"/>
      <c r="L719" s="2030"/>
      <c r="M719" s="2030"/>
      <c r="N719" s="2030"/>
      <c r="O719" s="2030"/>
      <c r="P719" s="2030"/>
      <c r="Q719" s="2030"/>
      <c r="R719" s="2030"/>
      <c r="S719" s="2030"/>
      <c r="T719" s="2030"/>
      <c r="U719" s="2030"/>
      <c r="V719" s="2030"/>
      <c r="W719" s="2030"/>
      <c r="X719" s="2030"/>
      <c r="Y719" s="2030"/>
      <c r="Z719" s="2030"/>
      <c r="AA719" s="2030"/>
      <c r="AB719" s="2030"/>
      <c r="AC719" s="2031"/>
      <c r="AE719" s="10"/>
      <c r="AF719" s="218"/>
      <c r="AG719" s="10"/>
      <c r="AH719" s="10"/>
    </row>
    <row r="720" spans="1:34" s="5" customFormat="1" ht="10.15" hidden="1" customHeight="1" x14ac:dyDescent="0.2">
      <c r="A720" s="10" t="s">
        <v>459</v>
      </c>
      <c r="C720" s="242"/>
      <c r="D720" s="2032"/>
      <c r="E720" s="2032"/>
      <c r="F720" s="2032"/>
      <c r="G720" s="2032"/>
      <c r="H720" s="2032"/>
      <c r="I720" s="2032"/>
      <c r="J720" s="2032"/>
      <c r="K720" s="2032"/>
      <c r="L720" s="2032"/>
      <c r="M720" s="2032"/>
      <c r="N720" s="2032"/>
      <c r="O720" s="2032"/>
      <c r="P720" s="2032"/>
      <c r="Q720" s="2032"/>
      <c r="R720" s="2032"/>
      <c r="S720" s="2032"/>
      <c r="T720" s="2032"/>
      <c r="U720" s="2032"/>
      <c r="V720" s="2032"/>
      <c r="W720" s="2032"/>
      <c r="X720" s="2032"/>
      <c r="Y720" s="2032"/>
      <c r="Z720" s="2032"/>
      <c r="AA720" s="2032"/>
      <c r="AB720" s="2032"/>
      <c r="AC720" s="2033"/>
      <c r="AE720" s="10"/>
      <c r="AF720" s="218"/>
      <c r="AG720" s="10"/>
      <c r="AH720" s="10"/>
    </row>
    <row r="721" ht="10.15" customHeight="1" x14ac:dyDescent="0.25"/>
  </sheetData>
  <sheetProtection algorithmName="SHA-512" hashValue="8Dxc02u5oLyjktL6+FOYVyLJoZrUBjhVsVxOfs4OBdpnnoBhAjGUajpJsiNFzgsAdYmE0GGK3rjX2jM7rIbjyg==" saltValue="qKbyOlNBb/oZAVrJ41Rz8w==" spinCount="100000" sheet="1" objects="1" scenarios="1"/>
  <sortState xmlns:xlrd2="http://schemas.microsoft.com/office/spreadsheetml/2017/richdata2" ref="N368:Y372">
    <sortCondition ref="N368:N372"/>
  </sortState>
  <mergeCells count="166">
    <mergeCell ref="F9:G9"/>
    <mergeCell ref="F15:G15"/>
    <mergeCell ref="N9:Q9"/>
    <mergeCell ref="F22:G22"/>
    <mergeCell ref="F27:G27"/>
    <mergeCell ref="I21:L21"/>
    <mergeCell ref="I26:L26"/>
    <mergeCell ref="I27:L27"/>
    <mergeCell ref="F26:G26"/>
    <mergeCell ref="F25:G25"/>
    <mergeCell ref="I23:L23"/>
    <mergeCell ref="I13:L13"/>
    <mergeCell ref="I14:L14"/>
    <mergeCell ref="F17:G17"/>
    <mergeCell ref="F24:G24"/>
    <mergeCell ref="I22:L22"/>
    <mergeCell ref="I24:L24"/>
    <mergeCell ref="F18:G18"/>
    <mergeCell ref="J664:M668"/>
    <mergeCell ref="J499:M503"/>
    <mergeCell ref="J164:M168"/>
    <mergeCell ref="J324:M328"/>
    <mergeCell ref="J543:AB543"/>
    <mergeCell ref="J531:M532"/>
    <mergeCell ref="J388:AB388"/>
    <mergeCell ref="J262:M282"/>
    <mergeCell ref="D379:AC380"/>
    <mergeCell ref="J298:M298"/>
    <mergeCell ref="J635:M637"/>
    <mergeCell ref="J638:M638"/>
    <mergeCell ref="T389:AB389"/>
    <mergeCell ref="J373:M375"/>
    <mergeCell ref="D543:F543"/>
    <mergeCell ref="J578:J586"/>
    <mergeCell ref="J231:J240"/>
    <mergeCell ref="J639:M639"/>
    <mergeCell ref="J376:M377"/>
    <mergeCell ref="J523:M527"/>
    <mergeCell ref="J546:J553"/>
    <mergeCell ref="AA541:AB541"/>
    <mergeCell ref="J475:M478"/>
    <mergeCell ref="J472:M473"/>
    <mergeCell ref="D55:AB55"/>
    <mergeCell ref="J99:M106"/>
    <mergeCell ref="J188:M192"/>
    <mergeCell ref="J202:S206"/>
    <mergeCell ref="AA386:AB386"/>
    <mergeCell ref="J254:M261"/>
    <mergeCell ref="J76:J85"/>
    <mergeCell ref="J107:M127"/>
    <mergeCell ref="J128:M132"/>
    <mergeCell ref="J133:M133"/>
    <mergeCell ref="J469:M471"/>
    <mergeCell ref="J463:M467"/>
    <mergeCell ref="J427:M429"/>
    <mergeCell ref="J288:M294"/>
    <mergeCell ref="D199:AC200"/>
    <mergeCell ref="J96:M98"/>
    <mergeCell ref="D208:F208"/>
    <mergeCell ref="D388:F388"/>
    <mergeCell ref="J295:M297"/>
    <mergeCell ref="J251:M253"/>
    <mergeCell ref="J299:M300"/>
    <mergeCell ref="J301:M304"/>
    <mergeCell ref="J160:M163"/>
    <mergeCell ref="J134:M136"/>
    <mergeCell ref="J320:M323"/>
    <mergeCell ref="J241:J250"/>
    <mergeCell ref="J411:J418"/>
    <mergeCell ref="J468:M468"/>
    <mergeCell ref="J713:M715"/>
    <mergeCell ref="J660:M663"/>
    <mergeCell ref="J688:M691"/>
    <mergeCell ref="J590:M601"/>
    <mergeCell ref="J382:S386"/>
    <mergeCell ref="J391:J400"/>
    <mergeCell ref="J401:J410"/>
    <mergeCell ref="J537:S541"/>
    <mergeCell ref="J348:M351"/>
    <mergeCell ref="J644:M659"/>
    <mergeCell ref="J623:M627"/>
    <mergeCell ref="J587:M589"/>
    <mergeCell ref="J628:M634"/>
    <mergeCell ref="J554:J561"/>
    <mergeCell ref="J562:J569"/>
    <mergeCell ref="J692:M712"/>
    <mergeCell ref="J528:M530"/>
    <mergeCell ref="J570:J577"/>
    <mergeCell ref="J602:M622"/>
    <mergeCell ref="D534:AC535"/>
    <mergeCell ref="J495:M498"/>
    <mergeCell ref="J640:M643"/>
    <mergeCell ref="T544:AB544"/>
    <mergeCell ref="J352:M372"/>
    <mergeCell ref="I30:L30"/>
    <mergeCell ref="T64:AB64"/>
    <mergeCell ref="J66:J75"/>
    <mergeCell ref="D63:F63"/>
    <mergeCell ref="I28:L28"/>
    <mergeCell ref="F34:G34"/>
    <mergeCell ref="I34:L34"/>
    <mergeCell ref="T18:U18"/>
    <mergeCell ref="I38:L38"/>
    <mergeCell ref="I36:L36"/>
    <mergeCell ref="I37:L37"/>
    <mergeCell ref="D54:AB54"/>
    <mergeCell ref="F36:G36"/>
    <mergeCell ref="I42:L42"/>
    <mergeCell ref="F37:G37"/>
    <mergeCell ref="F31:G31"/>
    <mergeCell ref="F28:G28"/>
    <mergeCell ref="F29:G29"/>
    <mergeCell ref="I31:L31"/>
    <mergeCell ref="F30:G30"/>
    <mergeCell ref="F39:G39"/>
    <mergeCell ref="I39:L39"/>
    <mergeCell ref="I41:L41"/>
    <mergeCell ref="I40:L40"/>
    <mergeCell ref="AA6:AB6"/>
    <mergeCell ref="J211:J220"/>
    <mergeCell ref="J221:J230"/>
    <mergeCell ref="X18:Y18"/>
    <mergeCell ref="I11:L11"/>
    <mergeCell ref="I15:L15"/>
    <mergeCell ref="J137:M138"/>
    <mergeCell ref="J139:M140"/>
    <mergeCell ref="J141:M144"/>
    <mergeCell ref="AA206:AB206"/>
    <mergeCell ref="T209:Z209"/>
    <mergeCell ref="E45:I45"/>
    <mergeCell ref="E49:I49"/>
    <mergeCell ref="E50:I50"/>
    <mergeCell ref="T35:AB39"/>
    <mergeCell ref="T41:AB52"/>
    <mergeCell ref="J2:S6"/>
    <mergeCell ref="T17:W17"/>
    <mergeCell ref="F11:G11"/>
    <mergeCell ref="F16:G16"/>
    <mergeCell ref="J193:M195"/>
    <mergeCell ref="I35:L35"/>
    <mergeCell ref="X17:AB17"/>
    <mergeCell ref="I32:L32"/>
    <mergeCell ref="J716:M717"/>
    <mergeCell ref="D719:AC720"/>
    <mergeCell ref="J283:M287"/>
    <mergeCell ref="I25:L25"/>
    <mergeCell ref="J57:S61"/>
    <mergeCell ref="AA61:AB61"/>
    <mergeCell ref="J63:AB63"/>
    <mergeCell ref="I9:L9"/>
    <mergeCell ref="I10:L10"/>
    <mergeCell ref="I12:L12"/>
    <mergeCell ref="J208:AB208"/>
    <mergeCell ref="I16:L16"/>
    <mergeCell ref="I19:L19"/>
    <mergeCell ref="I17:L18"/>
    <mergeCell ref="I20:L20"/>
    <mergeCell ref="I29:L29"/>
    <mergeCell ref="J196:M197"/>
    <mergeCell ref="J86:J95"/>
    <mergeCell ref="J430:M441"/>
    <mergeCell ref="J442:M462"/>
    <mergeCell ref="Z24:AB24"/>
    <mergeCell ref="Z25:AB25"/>
    <mergeCell ref="I33:L33"/>
    <mergeCell ref="J419:J426"/>
  </mergeCells>
  <phoneticPr fontId="10" type="noConversion"/>
  <conditionalFormatting sqref="D64:F64">
    <cfRule type="cellIs" dxfId="178" priority="4206" operator="between">
      <formula>101</formula>
      <formula>101.5</formula>
    </cfRule>
  </conditionalFormatting>
  <conditionalFormatting sqref="D209:F209">
    <cfRule type="cellIs" dxfId="177" priority="5116" operator="between">
      <formula>101</formula>
      <formula>101.5</formula>
    </cfRule>
  </conditionalFormatting>
  <conditionalFormatting sqref="D389:F389">
    <cfRule type="cellIs" dxfId="176" priority="14302" operator="between">
      <formula>101</formula>
      <formula>101.5</formula>
    </cfRule>
  </conditionalFormatting>
  <conditionalFormatting sqref="D544:F544">
    <cfRule type="cellIs" dxfId="175" priority="13351" operator="between">
      <formula>101</formula>
      <formula>101.5</formula>
    </cfRule>
  </conditionalFormatting>
  <conditionalFormatting sqref="F9">
    <cfRule type="expression" dxfId="174" priority="5953">
      <formula>Input_Product = "InvestPointSelect"</formula>
    </cfRule>
    <cfRule type="expression" dxfId="173" priority="5967">
      <formula>Input_Product = "MultiPoint"</formula>
    </cfRule>
    <cfRule type="expression" dxfId="172" priority="5954">
      <formula>Input_Product = "PrimePointSelect"</formula>
    </cfRule>
    <cfRule type="expression" dxfId="171" priority="5955">
      <formula>Input_Product = "InvestPointVantage"</formula>
    </cfRule>
    <cfRule type="expression" dxfId="170" priority="5968">
      <formula>Input_Product = "InvestPoint"</formula>
    </cfRule>
    <cfRule type="expression" dxfId="169" priority="5969">
      <formula>Input_Product = "PrimePoint"</formula>
    </cfRule>
    <cfRule type="expression" dxfId="168" priority="5970">
      <formula>Input_Product = "PrimePointVantage"</formula>
    </cfRule>
  </conditionalFormatting>
  <conditionalFormatting sqref="F12">
    <cfRule type="expression" dxfId="167" priority="5987">
      <formula>TRIM($I$12)&lt;&gt;""</formula>
    </cfRule>
    <cfRule type="expression" dxfId="166" priority="5986">
      <formula>AND($F$29="Foreign National", $F$12&lt;660)</formula>
    </cfRule>
  </conditionalFormatting>
  <conditionalFormatting sqref="F13">
    <cfRule type="expression" dxfId="165" priority="5959">
      <formula>TRIM($I$13)&lt;&gt;""</formula>
    </cfRule>
  </conditionalFormatting>
  <conditionalFormatting sqref="F14">
    <cfRule type="expression" dxfId="164" priority="5960">
      <formula>TRIM($I$14)&lt;&gt;""</formula>
    </cfRule>
  </conditionalFormatting>
  <conditionalFormatting sqref="F18">
    <cfRule type="expression" dxfId="163" priority="5949">
      <formula>FIND("Quick",$F$9)&gt;=1</formula>
    </cfRule>
    <cfRule type="expression" dxfId="162" priority="5983">
      <formula>Error_BankStmt="Y"</formula>
    </cfRule>
  </conditionalFormatting>
  <conditionalFormatting sqref="F19">
    <cfRule type="expression" dxfId="161" priority="5958">
      <formula>TRIM($I$19)&lt;&gt;""</formula>
    </cfRule>
  </conditionalFormatting>
  <conditionalFormatting sqref="F20">
    <cfRule type="expression" dxfId="160" priority="5985">
      <formula>Error_DTI="Y"</formula>
    </cfRule>
  </conditionalFormatting>
  <conditionalFormatting sqref="F21">
    <cfRule type="expression" dxfId="159" priority="5984">
      <formula>Error_DSCR="Y"</formula>
    </cfRule>
  </conditionalFormatting>
  <conditionalFormatting sqref="F23">
    <cfRule type="expression" dxfId="158" priority="5956">
      <formula>AND($F$23=0,$F$22="Cash-Out")</formula>
    </cfRule>
    <cfRule type="expression" dxfId="157" priority="5957">
      <formula>AND($F$23&gt;0,$F$22&lt;&gt;"Cash-Out")</formula>
    </cfRule>
  </conditionalFormatting>
  <conditionalFormatting sqref="F25">
    <cfRule type="expression" dxfId="156" priority="5950">
      <formula>FIND("Quick",$F$9)&gt;=1</formula>
    </cfRule>
  </conditionalFormatting>
  <conditionalFormatting sqref="F215:F217">
    <cfRule type="expression" dxfId="155" priority="6067">
      <formula>ISERROR(F215)</formula>
    </cfRule>
  </conditionalFormatting>
  <conditionalFormatting sqref="H10:H11">
    <cfRule type="expression" dxfId="154" priority="5980">
      <formula>H10&lt;&gt;0</formula>
    </cfRule>
    <cfRule type="expression" dxfId="153" priority="5981">
      <formula>ISERROR(H10)</formula>
    </cfRule>
  </conditionalFormatting>
  <conditionalFormatting sqref="H14:H39">
    <cfRule type="expression" dxfId="152" priority="4218">
      <formula>H14&lt;&gt;0</formula>
    </cfRule>
  </conditionalFormatting>
  <conditionalFormatting sqref="H14:H42">
    <cfRule type="expression" dxfId="151" priority="4219">
      <formula>ISERROR(H14)</formula>
    </cfRule>
  </conditionalFormatting>
  <conditionalFormatting sqref="I29:L30">
    <cfRule type="expression" dxfId="150" priority="5948">
      <formula>AND($F$29="Foreign National", $F$12&lt;&gt;660)</formula>
    </cfRule>
  </conditionalFormatting>
  <conditionalFormatting sqref="N66:R66">
    <cfRule type="cellIs" dxfId="149" priority="3900" operator="between">
      <formula>101</formula>
      <formula>101.5</formula>
    </cfRule>
  </conditionalFormatting>
  <conditionalFormatting sqref="N75:R76">
    <cfRule type="cellIs" dxfId="148" priority="3895" operator="between">
      <formula>101</formula>
      <formula>101.5</formula>
    </cfRule>
  </conditionalFormatting>
  <conditionalFormatting sqref="N85:R86">
    <cfRule type="cellIs" dxfId="147" priority="451" operator="between">
      <formula>101</formula>
      <formula>101.5</formula>
    </cfRule>
  </conditionalFormatting>
  <conditionalFormatting sqref="N211:R211">
    <cfRule type="cellIs" dxfId="146" priority="3890" operator="between">
      <formula>101</formula>
      <formula>101.5</formula>
    </cfRule>
  </conditionalFormatting>
  <conditionalFormatting sqref="N220:R221">
    <cfRule type="cellIs" dxfId="145" priority="3889" operator="between">
      <formula>101</formula>
      <formula>101.5</formula>
    </cfRule>
  </conditionalFormatting>
  <conditionalFormatting sqref="N230:R231">
    <cfRule type="cellIs" dxfId="144" priority="419" operator="between">
      <formula>101</formula>
      <formula>101.5</formula>
    </cfRule>
  </conditionalFormatting>
  <conditionalFormatting sqref="N240:R241">
    <cfRule type="cellIs" dxfId="143" priority="249" operator="between">
      <formula>101</formula>
      <formula>101.5</formula>
    </cfRule>
  </conditionalFormatting>
  <conditionalFormatting sqref="N250:R250">
    <cfRule type="cellIs" dxfId="142" priority="3891" operator="between">
      <formula>101</formula>
      <formula>101.5</formula>
    </cfRule>
  </conditionalFormatting>
  <conditionalFormatting sqref="N391:R391">
    <cfRule type="cellIs" dxfId="141" priority="3888" operator="between">
      <formula>101</formula>
      <formula>101.5</formula>
    </cfRule>
  </conditionalFormatting>
  <conditionalFormatting sqref="N401:R401">
    <cfRule type="cellIs" dxfId="140" priority="3887" operator="between">
      <formula>101</formula>
      <formula>101.5</formula>
    </cfRule>
  </conditionalFormatting>
  <conditionalFormatting sqref="N411:R411">
    <cfRule type="cellIs" dxfId="139" priority="3886" operator="between">
      <formula>101</formula>
      <formula>101.5</formula>
    </cfRule>
  </conditionalFormatting>
  <conditionalFormatting sqref="N419:R419">
    <cfRule type="cellIs" dxfId="138" priority="3885" operator="between">
      <formula>101</formula>
      <formula>101.5</formula>
    </cfRule>
  </conditionalFormatting>
  <conditionalFormatting sqref="N546:R546">
    <cfRule type="cellIs" dxfId="137" priority="3884" operator="between">
      <formula>101</formula>
      <formula>101.5</formula>
    </cfRule>
  </conditionalFormatting>
  <conditionalFormatting sqref="N554:R554">
    <cfRule type="cellIs" dxfId="136" priority="3883" operator="between">
      <formula>101</formula>
      <formula>101.5</formula>
    </cfRule>
  </conditionalFormatting>
  <conditionalFormatting sqref="N562:R562">
    <cfRule type="cellIs" dxfId="135" priority="3882" operator="between">
      <formula>101</formula>
      <formula>101.5</formula>
    </cfRule>
  </conditionalFormatting>
  <conditionalFormatting sqref="N570:R570">
    <cfRule type="cellIs" dxfId="134" priority="3881" operator="between">
      <formula>101</formula>
      <formula>101.5</formula>
    </cfRule>
  </conditionalFormatting>
  <conditionalFormatting sqref="N578:R578">
    <cfRule type="cellIs" dxfId="133" priority="3880" operator="between">
      <formula>101</formula>
      <formula>101.5</formula>
    </cfRule>
  </conditionalFormatting>
  <conditionalFormatting sqref="N95:AB95">
    <cfRule type="cellIs" dxfId="132" priority="3896" operator="between">
      <formula>101</formula>
      <formula>101.5</formula>
    </cfRule>
  </conditionalFormatting>
  <conditionalFormatting sqref="S66:S94">
    <cfRule type="cellIs" dxfId="131" priority="457" operator="between">
      <formula>101</formula>
      <formula>101.5</formula>
    </cfRule>
  </conditionalFormatting>
  <conditionalFormatting sqref="S211:S212">
    <cfRule type="cellIs" dxfId="130" priority="5672" operator="between">
      <formula>101</formula>
      <formula>101.5</formula>
    </cfRule>
  </conditionalFormatting>
  <conditionalFormatting sqref="S221:S222">
    <cfRule type="cellIs" dxfId="129" priority="5674" operator="between">
      <formula>101</formula>
      <formula>101.5</formula>
    </cfRule>
  </conditionalFormatting>
  <conditionalFormatting sqref="S231:S232">
    <cfRule type="cellIs" dxfId="128" priority="444" operator="between">
      <formula>101</formula>
      <formula>101.5</formula>
    </cfRule>
  </conditionalFormatting>
  <conditionalFormatting sqref="S241:S242">
    <cfRule type="cellIs" dxfId="127" priority="250" operator="between">
      <formula>101</formula>
      <formula>101.5</formula>
    </cfRule>
  </conditionalFormatting>
  <conditionalFormatting sqref="S391:S425">
    <cfRule type="cellIs" dxfId="126" priority="3108" operator="between">
      <formula>101</formula>
      <formula>101.5</formula>
    </cfRule>
  </conditionalFormatting>
  <conditionalFormatting sqref="S546:S547">
    <cfRule type="cellIs" dxfId="125" priority="5644" operator="between">
      <formula>101</formula>
      <formula>101.5</formula>
    </cfRule>
  </conditionalFormatting>
  <conditionalFormatting sqref="S554:S555">
    <cfRule type="cellIs" dxfId="124" priority="5641" operator="between">
      <formula>101</formula>
      <formula>101.5</formula>
    </cfRule>
  </conditionalFormatting>
  <conditionalFormatting sqref="S562:S563">
    <cfRule type="cellIs" dxfId="123" priority="5638" operator="between">
      <formula>101</formula>
      <formula>101.5</formula>
    </cfRule>
  </conditionalFormatting>
  <conditionalFormatting sqref="S570:S571">
    <cfRule type="cellIs" dxfId="122" priority="5622" operator="between">
      <formula>101</formula>
      <formula>101.5</formula>
    </cfRule>
  </conditionalFormatting>
  <conditionalFormatting sqref="S578:S579">
    <cfRule type="cellIs" dxfId="121" priority="5612" operator="between">
      <formula>101</formula>
      <formula>101.5</formula>
    </cfRule>
  </conditionalFormatting>
  <conditionalFormatting sqref="T64:T65">
    <cfRule type="cellIs" dxfId="120" priority="4208" operator="between">
      <formula>101</formula>
      <formula>101.5</formula>
    </cfRule>
  </conditionalFormatting>
  <conditionalFormatting sqref="T209:T210">
    <cfRule type="cellIs" dxfId="119" priority="5561" operator="between">
      <formula>101</formula>
      <formula>101.5</formula>
    </cfRule>
  </conditionalFormatting>
  <conditionalFormatting sqref="T239">
    <cfRule type="cellIs" dxfId="118" priority="431" operator="between">
      <formula>101</formula>
      <formula>101.5</formula>
    </cfRule>
  </conditionalFormatting>
  <conditionalFormatting sqref="T249">
    <cfRule type="cellIs" dxfId="117" priority="242" operator="between">
      <formula>101</formula>
      <formula>101.5</formula>
    </cfRule>
  </conditionalFormatting>
  <conditionalFormatting sqref="T389:T390">
    <cfRule type="cellIs" dxfId="116" priority="14406" operator="between">
      <formula>101</formula>
      <formula>101.5</formula>
    </cfRule>
  </conditionalFormatting>
  <conditionalFormatting sqref="T544">
    <cfRule type="cellIs" dxfId="115" priority="5797" operator="between">
      <formula>101</formula>
      <formula>101.5</formula>
    </cfRule>
  </conditionalFormatting>
  <conditionalFormatting sqref="T211:Z218">
    <cfRule type="cellIs" dxfId="114" priority="192" operator="equal">
      <formula>"#N/A"</formula>
    </cfRule>
  </conditionalFormatting>
  <conditionalFormatting sqref="T219:Z220">
    <cfRule type="cellIs" dxfId="113" priority="5433" operator="between">
      <formula>101</formula>
      <formula>101.5</formula>
    </cfRule>
  </conditionalFormatting>
  <conditionalFormatting sqref="T221:Z228">
    <cfRule type="cellIs" dxfId="112" priority="191" operator="equal">
      <formula>"#N/A"</formula>
    </cfRule>
  </conditionalFormatting>
  <conditionalFormatting sqref="T229:Z230">
    <cfRule type="cellIs" dxfId="111" priority="5469" operator="between">
      <formula>101</formula>
      <formula>101.5</formula>
    </cfRule>
  </conditionalFormatting>
  <conditionalFormatting sqref="T231:Z238">
    <cfRule type="cellIs" dxfId="110" priority="190" operator="equal">
      <formula>"#N/A"</formula>
    </cfRule>
  </conditionalFormatting>
  <conditionalFormatting sqref="T239:Z240">
    <cfRule type="cellIs" dxfId="109" priority="432" operator="between">
      <formula>101</formula>
      <formula>101.5</formula>
    </cfRule>
  </conditionalFormatting>
  <conditionalFormatting sqref="T241:Z248">
    <cfRule type="cellIs" dxfId="108" priority="179" operator="equal">
      <formula>"#N/A"</formula>
    </cfRule>
  </conditionalFormatting>
  <conditionalFormatting sqref="T249:Z250">
    <cfRule type="cellIs" dxfId="107" priority="243" operator="between">
      <formula>101</formula>
      <formula>101.5</formula>
    </cfRule>
  </conditionalFormatting>
  <conditionalFormatting sqref="T254:Z259">
    <cfRule type="cellIs" dxfId="106" priority="187" operator="equal">
      <formula>"#N/A"</formula>
    </cfRule>
  </conditionalFormatting>
  <conditionalFormatting sqref="T263:Z272">
    <cfRule type="cellIs" dxfId="105" priority="189" operator="equal">
      <formula>"#N/A"</formula>
    </cfRule>
  </conditionalFormatting>
  <conditionalFormatting sqref="T284:Z286">
    <cfRule type="cellIs" dxfId="104" priority="185" operator="equal">
      <formula>"#N/A"</formula>
    </cfRule>
  </conditionalFormatting>
  <conditionalFormatting sqref="T288:Z293">
    <cfRule type="cellIs" dxfId="103" priority="180" operator="equal">
      <formula>"#N/A"</formula>
    </cfRule>
  </conditionalFormatting>
  <conditionalFormatting sqref="T353:Z372">
    <cfRule type="cellIs" dxfId="102" priority="181" operator="equal">
      <formula>"#N/A"</formula>
    </cfRule>
  </conditionalFormatting>
  <conditionalFormatting sqref="T629:Z633">
    <cfRule type="cellIs" dxfId="101" priority="214" operator="equal">
      <formula>"#N/A"</formula>
    </cfRule>
  </conditionalFormatting>
  <conditionalFormatting sqref="T94:AA94">
    <cfRule type="cellIs" dxfId="100" priority="401" operator="between">
      <formula>101</formula>
      <formula>101.5</formula>
    </cfRule>
  </conditionalFormatting>
  <conditionalFormatting sqref="T545:AA545">
    <cfRule type="cellIs" dxfId="99" priority="225" operator="between">
      <formula>101</formula>
      <formula>101.5</formula>
    </cfRule>
  </conditionalFormatting>
  <conditionalFormatting sqref="T546:AA586">
    <cfRule type="cellIs" dxfId="98" priority="1" operator="equal">
      <formula>"#N/A"</formula>
    </cfRule>
  </conditionalFormatting>
  <conditionalFormatting sqref="T590:AA591">
    <cfRule type="cellIs" dxfId="97" priority="5805" operator="between">
      <formula>101</formula>
      <formula>101.5</formula>
    </cfRule>
  </conditionalFormatting>
  <conditionalFormatting sqref="T593:AA594">
    <cfRule type="cellIs" dxfId="96" priority="206" operator="between">
      <formula>101</formula>
      <formula>101.5</formula>
    </cfRule>
  </conditionalFormatting>
  <conditionalFormatting sqref="T598:AA601">
    <cfRule type="cellIs" dxfId="95" priority="217" operator="equal">
      <formula>"#N/A"</formula>
    </cfRule>
  </conditionalFormatting>
  <conditionalFormatting sqref="T605:AA619">
    <cfRule type="cellIs" dxfId="94" priority="219" operator="equal">
      <formula>"#N/A"</formula>
    </cfRule>
  </conditionalFormatting>
  <conditionalFormatting sqref="T623:AA628">
    <cfRule type="cellIs" dxfId="93" priority="212" operator="equal">
      <formula>"#N/A"</formula>
    </cfRule>
  </conditionalFormatting>
  <conditionalFormatting sqref="T635:AA637">
    <cfRule type="cellIs" dxfId="92" priority="216" operator="equal">
      <formula>"#N/A"</formula>
    </cfRule>
  </conditionalFormatting>
  <conditionalFormatting sqref="T644:AA658">
    <cfRule type="cellIs" dxfId="91" priority="215" operator="equal">
      <formula>"#N/A"</formula>
    </cfRule>
  </conditionalFormatting>
  <conditionalFormatting sqref="T675:AA687">
    <cfRule type="cellIs" dxfId="90" priority="178" operator="equal">
      <formula>"#N/A"</formula>
    </cfRule>
  </conditionalFormatting>
  <conditionalFormatting sqref="T692:AA712">
    <cfRule type="cellIs" dxfId="89" priority="207" operator="equal">
      <formula>"#N/A"</formula>
    </cfRule>
  </conditionalFormatting>
  <conditionalFormatting sqref="T7:AB7">
    <cfRule type="cellIs" dxfId="88" priority="13314" operator="between">
      <formula>101</formula>
      <formula>101.5</formula>
    </cfRule>
  </conditionalFormatting>
  <conditionalFormatting sqref="T10:AB14">
    <cfRule type="expression" dxfId="87" priority="5440">
      <formula>AND($F$9&lt;&gt;"Second",$F$9&lt;&gt;"AgencyCompanionSecond",$F$9&lt;&gt;"HELOC")</formula>
    </cfRule>
  </conditionalFormatting>
  <conditionalFormatting sqref="T66:AB73">
    <cfRule type="cellIs" dxfId="86" priority="200" operator="equal">
      <formula>"#N/A"</formula>
    </cfRule>
  </conditionalFormatting>
  <conditionalFormatting sqref="T74:AB75">
    <cfRule type="cellIs" dxfId="85" priority="4132" operator="between">
      <formula>101</formula>
      <formula>101.5</formula>
    </cfRule>
  </conditionalFormatting>
  <conditionalFormatting sqref="T76:AB83">
    <cfRule type="cellIs" dxfId="84" priority="199" operator="equal">
      <formula>"#N/A"</formula>
    </cfRule>
  </conditionalFormatting>
  <conditionalFormatting sqref="T84:AB85">
    <cfRule type="cellIs" dxfId="83" priority="4122" operator="between">
      <formula>101</formula>
      <formula>101.5</formula>
    </cfRule>
  </conditionalFormatting>
  <conditionalFormatting sqref="T86:AB93">
    <cfRule type="cellIs" dxfId="82" priority="198" operator="equal">
      <formula>"#N/A"</formula>
    </cfRule>
  </conditionalFormatting>
  <conditionalFormatting sqref="T99:AB104">
    <cfRule type="cellIs" dxfId="81" priority="195" operator="equal">
      <formula>"#N/A"</formula>
    </cfRule>
  </conditionalFormatting>
  <conditionalFormatting sqref="T108:AB117">
    <cfRule type="cellIs" dxfId="80" priority="197" operator="equal">
      <formula>"#N/A"</formula>
    </cfRule>
  </conditionalFormatting>
  <conditionalFormatting sqref="T129:AB131">
    <cfRule type="cellIs" dxfId="79" priority="193" operator="equal">
      <formula>"#N/A"</formula>
    </cfRule>
  </conditionalFormatting>
  <conditionalFormatting sqref="T145:AB158 T305:Z318 T479:AB493">
    <cfRule type="cellIs" dxfId="78" priority="239" operator="equal">
      <formula>"#N/A"</formula>
    </cfRule>
  </conditionalFormatting>
  <conditionalFormatting sqref="T391:AB426">
    <cfRule type="cellIs" dxfId="77" priority="236" operator="equal">
      <formula>"#N/A"</formula>
    </cfRule>
  </conditionalFormatting>
  <conditionalFormatting sqref="T440:AB441">
    <cfRule type="cellIs" dxfId="76" priority="234" operator="equal">
      <formula>"#N/A"</formula>
    </cfRule>
  </conditionalFormatting>
  <conditionalFormatting sqref="T445:AB459">
    <cfRule type="cellIs" dxfId="75" priority="235" operator="equal">
      <formula>"#N/A"</formula>
    </cfRule>
  </conditionalFormatting>
  <conditionalFormatting sqref="T464:AB467">
    <cfRule type="cellIs" dxfId="74" priority="5" operator="equal">
      <formula>"#N/A"</formula>
    </cfRule>
  </conditionalFormatting>
  <conditionalFormatting sqref="T469:AB473">
    <cfRule type="cellIs" dxfId="73" priority="6" operator="equal">
      <formula>"#N/A"</formula>
    </cfRule>
  </conditionalFormatting>
  <conditionalFormatting sqref="T512:AB522">
    <cfRule type="cellIs" dxfId="72" priority="177" operator="equal">
      <formula>"#N/A"</formula>
    </cfRule>
  </conditionalFormatting>
  <conditionalFormatting sqref="U210:Z210">
    <cfRule type="cellIs" dxfId="71" priority="5562" operator="between">
      <formula>101</formula>
      <formula>101.5</formula>
    </cfRule>
  </conditionalFormatting>
  <conditionalFormatting sqref="U259:Z259">
    <cfRule type="cellIs" dxfId="70" priority="188" operator="equal">
      <formula>"#N/A"</formula>
    </cfRule>
  </conditionalFormatting>
  <conditionalFormatting sqref="U65:AB65">
    <cfRule type="cellIs" dxfId="69" priority="4216" operator="between">
      <formula>101</formula>
      <formula>101.5</formula>
    </cfRule>
  </conditionalFormatting>
  <conditionalFormatting sqref="U104:AB104">
    <cfRule type="cellIs" dxfId="68" priority="196" operator="equal">
      <formula>"#N/A"</formula>
    </cfRule>
  </conditionalFormatting>
  <conditionalFormatting sqref="U390:AB390">
    <cfRule type="cellIs" dxfId="67" priority="5795" operator="between">
      <formula>101</formula>
      <formula>101.5</formula>
    </cfRule>
  </conditionalFormatting>
  <conditionalFormatting sqref="Y75">
    <cfRule type="cellIs" dxfId="66" priority="4133" operator="between">
      <formula>101</formula>
      <formula>101.5</formula>
    </cfRule>
  </conditionalFormatting>
  <conditionalFormatting sqref="Y85">
    <cfRule type="cellIs" dxfId="65" priority="4123" operator="between">
      <formula>101</formula>
      <formula>101.5</formula>
    </cfRule>
  </conditionalFormatting>
  <conditionalFormatting sqref="Y230">
    <cfRule type="cellIs" dxfId="64" priority="5470" operator="between">
      <formula>101</formula>
      <formula>101.5</formula>
    </cfRule>
  </conditionalFormatting>
  <conditionalFormatting sqref="Z260:Z262">
    <cfRule type="cellIs" dxfId="63" priority="5188" operator="between">
      <formula>101</formula>
      <formula>101.5</formula>
    </cfRule>
  </conditionalFormatting>
  <conditionalFormatting sqref="Z283 Z287">
    <cfRule type="cellIs" dxfId="62" priority="5454" operator="between">
      <formula>101</formula>
      <formula>101.5</formula>
    </cfRule>
  </conditionalFormatting>
  <conditionalFormatting sqref="Z295:Z297">
    <cfRule type="cellIs" dxfId="61" priority="5452" operator="between">
      <formula>101</formula>
      <formula>101.5</formula>
    </cfRule>
  </conditionalFormatting>
  <conditionalFormatting sqref="Z328">
    <cfRule type="cellIs" dxfId="60" priority="11" operator="equal">
      <formula>"#N/A"</formula>
    </cfRule>
  </conditionalFormatting>
  <conditionalFormatting sqref="Z334">
    <cfRule type="cellIs" dxfId="59" priority="10" operator="equal">
      <formula>"#N/A"</formula>
    </cfRule>
  </conditionalFormatting>
  <conditionalFormatting sqref="Z96:AB98 Z159:AB163 Z251:AB253 AA596:AA597">
    <cfRule type="cellIs" dxfId="58" priority="14495" operator="between">
      <formula>101</formula>
      <formula>101.5</formula>
    </cfRule>
  </conditionalFormatting>
  <conditionalFormatting sqref="Z105:AB107">
    <cfRule type="cellIs" dxfId="57" priority="4196" operator="between">
      <formula>101</formula>
      <formula>101.5</formula>
    </cfRule>
  </conditionalFormatting>
  <conditionalFormatting sqref="Z118:AB128">
    <cfRule type="cellIs" dxfId="56" priority="4199" operator="between">
      <formula>101</formula>
      <formula>101.5</formula>
    </cfRule>
  </conditionalFormatting>
  <conditionalFormatting sqref="Z132:AB144">
    <cfRule type="cellIs" dxfId="55" priority="4153" operator="between">
      <formula>101</formula>
      <formula>101.5</formula>
    </cfRule>
  </conditionalFormatting>
  <conditionalFormatting sqref="Z173:AB197">
    <cfRule type="cellIs" dxfId="54" priority="8" operator="between">
      <formula>101</formula>
      <formula>101.5</formula>
    </cfRule>
  </conditionalFormatting>
  <conditionalFormatting sqref="Z302:AB303">
    <cfRule type="cellIs" dxfId="53" priority="3305" operator="between">
      <formula>101</formula>
      <formula>101.5</formula>
    </cfRule>
  </conditionalFormatting>
  <conditionalFormatting sqref="AA283:AA297">
    <cfRule type="cellIs" dxfId="52" priority="3318" operator="between">
      <formula>101</formula>
      <formula>101.5</formula>
    </cfRule>
  </conditionalFormatting>
  <conditionalFormatting sqref="AA509">
    <cfRule type="cellIs" dxfId="51" priority="14" operator="equal">
      <formula>"#N/A"</formula>
    </cfRule>
  </conditionalFormatting>
  <conditionalFormatting sqref="AA668">
    <cfRule type="cellIs" dxfId="50" priority="17" operator="equal">
      <formula>"#N/A"</formula>
    </cfRule>
  </conditionalFormatting>
  <conditionalFormatting sqref="AA674">
    <cfRule type="cellIs" dxfId="49" priority="16" operator="equal">
      <formula>"#N/A"</formula>
    </cfRule>
  </conditionalFormatting>
  <conditionalFormatting sqref="AA168:AB168">
    <cfRule type="cellIs" dxfId="48" priority="13" operator="equal">
      <formula>"#N/A"</formula>
    </cfRule>
  </conditionalFormatting>
  <conditionalFormatting sqref="AA211:AB250">
    <cfRule type="cellIs" dxfId="47" priority="415" operator="between">
      <formula>101</formula>
      <formula>101.5</formula>
    </cfRule>
  </conditionalFormatting>
  <conditionalFormatting sqref="AA254:AB271">
    <cfRule type="cellIs" dxfId="46" priority="3304" operator="between">
      <formula>101</formula>
      <formula>101.5</formula>
    </cfRule>
  </conditionalFormatting>
  <conditionalFormatting sqref="AA299:AB300">
    <cfRule type="cellIs" dxfId="45" priority="3348" operator="between">
      <formula>101</formula>
      <formula>101.5</formula>
    </cfRule>
  </conditionalFormatting>
  <conditionalFormatting sqref="AA305:AB318">
    <cfRule type="cellIs" dxfId="44" priority="3310" operator="between">
      <formula>101</formula>
      <formula>101.5</formula>
    </cfRule>
  </conditionalFormatting>
  <conditionalFormatting sqref="AA503:AB503">
    <cfRule type="cellIs" dxfId="43" priority="15" operator="equal">
      <formula>"#N/A"</formula>
    </cfRule>
  </conditionalFormatting>
  <conditionalFormatting sqref="AB20:AB23">
    <cfRule type="expression" dxfId="42" priority="4055">
      <formula>AB20="Fail"</formula>
    </cfRule>
  </conditionalFormatting>
  <conditionalFormatting sqref="AB75">
    <cfRule type="cellIs" dxfId="41" priority="4130" operator="between">
      <formula>101</formula>
      <formula>101.5</formula>
    </cfRule>
  </conditionalFormatting>
  <conditionalFormatting sqref="AB85">
    <cfRule type="cellIs" dxfId="40" priority="4120" operator="between">
      <formula>101</formula>
      <formula>101.5</formula>
    </cfRule>
  </conditionalFormatting>
  <conditionalFormatting sqref="AB94:AB95">
    <cfRule type="cellIs" dxfId="39" priority="448" operator="between">
      <formula>101</formula>
      <formula>101.5</formula>
    </cfRule>
  </conditionalFormatting>
  <conditionalFormatting sqref="AB474">
    <cfRule type="cellIs" dxfId="38" priority="5888" operator="between">
      <formula>101</formula>
      <formula>101.5</formula>
    </cfRule>
  </conditionalFormatting>
  <conditionalFormatting sqref="AF570:AG574">
    <cfRule type="cellIs" dxfId="37" priority="4" operator="equal">
      <formula>"#N/A"</formula>
    </cfRule>
  </conditionalFormatting>
  <dataValidations count="21">
    <dataValidation type="list" allowBlank="1" showInputMessage="1" showErrorMessage="1" sqref="F35 F38" xr:uid="{A4C1F63B-EEBE-48A9-A5E7-E9160DFC2FB6}">
      <formula1>List_LockTerm</formula1>
    </dataValidation>
    <dataValidation type="list" allowBlank="1" showInputMessage="1" showErrorMessage="1" sqref="F9" xr:uid="{250BB07F-5392-441A-AA7F-F283A2B7EA27}">
      <formula1>List_ProductClass</formula1>
    </dataValidation>
    <dataValidation type="list" allowBlank="1" showInputMessage="1" showErrorMessage="1" sqref="F22" xr:uid="{3976EC59-4B60-4A6E-9F6A-97C2CC3DE861}">
      <formula1>List_Purpose</formula1>
    </dataValidation>
    <dataValidation type="list" allowBlank="1" showInputMessage="1" showErrorMessage="1" sqref="F24" xr:uid="{BD84D71D-F7C4-4F0A-A0A9-66C2A2AE0A22}">
      <formula1>List_PropertyType_Dropdown</formula1>
    </dataValidation>
    <dataValidation type="list" allowBlank="1" showInputMessage="1" showErrorMessage="1" sqref="F11" xr:uid="{AD338A34-A9CE-40F3-A822-F42AC94E49A4}">
      <formula1>List_Occupancy</formula1>
    </dataValidation>
    <dataValidation type="list" allowBlank="1" showInputMessage="1" showErrorMessage="1" sqref="F26" xr:uid="{8ED9F704-9759-4C81-A1CC-F4B5BB2E2191}">
      <formula1>List_State</formula1>
    </dataValidation>
    <dataValidation type="list" allowBlank="1" showInputMessage="1" showErrorMessage="1" sqref="F16" xr:uid="{E65F1B80-3E65-44ED-BAA4-3F7C6F5B3D02}">
      <formula1>List_AmortType</formula1>
    </dataValidation>
    <dataValidation type="list" allowBlank="1" showInputMessage="1" showErrorMessage="1" sqref="F27" xr:uid="{81C931BE-12C9-4E17-983B-2577D048E9C2}">
      <formula1>List_CreditHistory</formula1>
    </dataValidation>
    <dataValidation type="list" allowBlank="1" showInputMessage="1" showErrorMessage="1" sqref="F28" xr:uid="{A8C05E29-F0D9-47AF-A5B6-5BD70B422A26}">
      <formula1>List_HousingHistory</formula1>
    </dataValidation>
    <dataValidation type="list" allowBlank="1" showInputMessage="1" showErrorMessage="1" sqref="F32" xr:uid="{7F9BB0B4-B8CD-42CD-A43E-6F546E7E771B}">
      <formula1>List_Payment</formula1>
    </dataValidation>
    <dataValidation type="list" allowBlank="1" showInputMessage="1" showErrorMessage="1" sqref="F33" xr:uid="{6199D091-4D82-4F82-B41D-03E9099146A4}">
      <formula1>List_Servicing</formula1>
    </dataValidation>
    <dataValidation type="list" allowBlank="1" showInputMessage="1" showErrorMessage="1" sqref="F34" xr:uid="{FFAE118A-A52A-4CA8-969C-ECD0341AAE30}">
      <formula1>List_PrepayPenalty</formula1>
    </dataValidation>
    <dataValidation type="list" allowBlank="1" showInputMessage="1" showErrorMessage="1" sqref="F17" xr:uid="{E51C20F4-A958-4872-8F74-9717F05EA6B7}">
      <formula1>List_DocType</formula1>
    </dataValidation>
    <dataValidation type="list" allowBlank="1" showInputMessage="1" showErrorMessage="1" sqref="F18" xr:uid="{7C60021B-BDAD-4A81-9383-B1C4243DD9F9}">
      <formula1>List_BankStmt</formula1>
    </dataValidation>
    <dataValidation type="list" allowBlank="1" showInputMessage="1" showErrorMessage="1" sqref="F15" xr:uid="{7F87CB6A-FE29-4A3B-9FFE-D82035E2534A}">
      <formula1>List_AmortTerm_Dropdown</formula1>
    </dataValidation>
    <dataValidation type="list" allowBlank="1" showInputMessage="1" showErrorMessage="1" sqref="F29" xr:uid="{6BFD79E7-721C-4108-85EF-0438D260C4C8}">
      <formula1>List_Citizenship</formula1>
    </dataValidation>
    <dataValidation type="list" allowBlank="1" showInputMessage="1" showErrorMessage="1" sqref="F31" xr:uid="{D27458E1-B7BB-4A8B-BF84-891D917C3978}">
      <formula1>List_FirstTimeHomebuyer</formula1>
    </dataValidation>
    <dataValidation type="list" allowBlank="1" showInputMessage="1" showErrorMessage="1" sqref="F36" xr:uid="{20D7F161-53DB-4260-9572-DB463F2E9791}">
      <formula1>List_LockType</formula1>
    </dataValidation>
    <dataValidation type="list" allowBlank="1" showInputMessage="1" showErrorMessage="1" sqref="F25" xr:uid="{126EB502-B686-40D8-85A5-781800F5C5AC}">
      <formula1>List_ValuationType</formula1>
    </dataValidation>
    <dataValidation type="list" allowBlank="1" showInputMessage="1" showErrorMessage="1" sqref="F30" xr:uid="{4078AD22-A655-4F81-9681-FD401773F72E}">
      <formula1>List_Employment</formula1>
    </dataValidation>
    <dataValidation type="list" allowBlank="1" showInputMessage="1" showErrorMessage="1" sqref="F37" xr:uid="{C4B96A4A-89A6-4DB9-BA16-5BA175E00F63}">
      <formula1>List_CompensationType</formula1>
    </dataValidation>
  </dataValidations>
  <pageMargins left="0.35" right="0.25" top="0.25" bottom="0.25" header="0.3" footer="0.3"/>
  <pageSetup scale="54" fitToHeight="0" orientation="portrait" r:id="rId1"/>
  <rowBreaks count="7" manualBreakCount="7">
    <brk id="201" min="2" max="28" man="1"/>
    <brk id="56" min="2" max="24" man="1"/>
    <brk id="201" min="2" max="24" man="1"/>
    <brk id="381" min="2" max="28" man="1"/>
    <brk id="536" min="2" max="28" man="1"/>
    <brk id="381" min="2" max="24" man="1"/>
    <brk id="536" min="2" max="28" man="1"/>
  </rowBreaks>
  <ignoredErrors>
    <ignoredError sqref="P11:P39 H24" evalError="1"/>
    <ignoredError sqref="Z32 AE2:AE5"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E24E4-932D-4BFF-880C-E673BCB51667}">
  <sheetPr codeName="Sheet3"/>
  <dimension ref="B1:CH491"/>
  <sheetViews>
    <sheetView showGridLines="0" zoomScaleNormal="100" workbookViewId="0">
      <pane ySplit="4" topLeftCell="A5" activePane="bottomLeft" state="frozen"/>
      <selection activeCell="F39" sqref="F39:G39"/>
      <selection pane="bottomLeft" activeCell="B2" sqref="B2:K2"/>
    </sheetView>
  </sheetViews>
  <sheetFormatPr defaultColWidth="9.140625" defaultRowHeight="11.25" x14ac:dyDescent="0.2"/>
  <cols>
    <col min="1" max="1" width="1.42578125" style="460" customWidth="1"/>
    <col min="2" max="2" width="1.7109375" style="460" customWidth="1"/>
    <col min="3" max="3" width="10" style="460" customWidth="1"/>
    <col min="4" max="9" width="8.42578125" style="460" customWidth="1"/>
    <col min="10" max="10" width="9.7109375" style="460" customWidth="1"/>
    <col min="11" max="11" width="16.28515625" style="460" bestFit="1" customWidth="1"/>
    <col min="12" max="12" width="10.85546875" style="460" customWidth="1"/>
    <col min="13" max="14" width="15.7109375" style="460" customWidth="1"/>
    <col min="15" max="15" width="21.28515625" style="460" bestFit="1" customWidth="1"/>
    <col min="16" max="19" width="7.7109375" style="460" customWidth="1"/>
    <col min="20" max="20" width="16.7109375" style="460" customWidth="1"/>
    <col min="21" max="21" width="11.28515625" style="460" bestFit="1" customWidth="1"/>
    <col min="22" max="22" width="11.28515625" style="460" customWidth="1"/>
    <col min="23" max="23" width="1.7109375" style="460" customWidth="1"/>
    <col min="24" max="24" width="14.5703125" style="460" customWidth="1"/>
    <col min="25" max="25" width="13" style="460" customWidth="1"/>
    <col min="26" max="26" width="7.28515625" style="460" customWidth="1"/>
    <col min="27" max="27" width="11.5703125" style="460" customWidth="1"/>
    <col min="28" max="28" width="10.7109375" style="460" customWidth="1"/>
    <col min="29" max="29" width="14.42578125" style="460" customWidth="1"/>
    <col min="30" max="30" width="19.7109375" style="460" customWidth="1"/>
    <col min="31" max="31" width="15.28515625" style="460" customWidth="1"/>
    <col min="32" max="33" width="14.7109375" style="460" customWidth="1"/>
    <col min="34" max="41" width="11.7109375" style="460" customWidth="1"/>
    <col min="42" max="42" width="1.28515625" style="460" customWidth="1"/>
    <col min="43" max="43" width="9.5703125" style="460" customWidth="1"/>
    <col min="44" max="44" width="16.28515625" style="460" customWidth="1"/>
    <col min="45" max="45" width="5.28515625" style="460" customWidth="1"/>
    <col min="46" max="46" width="6.7109375" style="460" customWidth="1"/>
    <col min="47" max="47" width="1.28515625" style="460" customWidth="1"/>
    <col min="48" max="48" width="7.85546875" style="460" customWidth="1"/>
    <col min="49" max="49" width="15" style="460" customWidth="1"/>
    <col min="50" max="50" width="14.42578125" style="460" customWidth="1"/>
    <col min="51" max="53" width="6.7109375" style="460" bestFit="1" customWidth="1"/>
    <col min="54" max="54" width="5.85546875" style="460" bestFit="1" customWidth="1"/>
    <col min="55" max="55" width="14.42578125" style="460" customWidth="1"/>
    <col min="56" max="57" width="5.140625" style="460" bestFit="1" customWidth="1"/>
    <col min="58" max="58" width="1.7109375" style="460" customWidth="1"/>
    <col min="59" max="62" width="5.7109375" style="460" customWidth="1"/>
    <col min="63" max="63" width="6.28515625" style="460" customWidth="1"/>
    <col min="64" max="64" width="19" style="460" customWidth="1"/>
    <col min="65" max="65" width="24.7109375" style="460" customWidth="1"/>
    <col min="66" max="67" width="7.85546875" style="460" customWidth="1"/>
    <col min="68" max="70" width="6.7109375" style="460" customWidth="1"/>
    <col min="71" max="71" width="7.7109375" style="460" customWidth="1"/>
    <col min="72" max="72" width="8.42578125" style="460" bestFit="1" customWidth="1"/>
    <col min="73" max="73" width="5.85546875" style="460" bestFit="1" customWidth="1"/>
    <col min="74" max="74" width="6.42578125" style="460" customWidth="1"/>
    <col min="75" max="82" width="9.140625" style="460"/>
    <col min="83" max="83" width="15.85546875" style="460" customWidth="1"/>
    <col min="84" max="16384" width="9.140625" style="460"/>
  </cols>
  <sheetData>
    <row r="1" spans="2:86" ht="6" customHeight="1" x14ac:dyDescent="0.2">
      <c r="I1" s="460" t="str">
        <f>Elig_OverlayMessage_All</f>
        <v/>
      </c>
      <c r="L1" s="460" t="e" cm="1" vm="1">
        <f t="array" aca="1" ref="L1" ca="1">List_HousingHistory_All</f>
        <v>#VALUE!</v>
      </c>
      <c r="M1" s="461"/>
      <c r="N1" s="461"/>
      <c r="O1" s="461"/>
      <c r="P1" s="461"/>
      <c r="Q1" s="461"/>
      <c r="R1" s="461"/>
      <c r="S1" s="461"/>
      <c r="T1" s="461"/>
      <c r="U1" s="461"/>
      <c r="V1" s="461"/>
      <c r="X1" s="1470">
        <f>IF(Input_CompensationType="Lender Paid",ABS(Input_Price_CompensationType),0)</f>
        <v>0</v>
      </c>
      <c r="Y1" s="460" t="str">
        <f>INDEX(Elig_All,MATCH(Input_Product,Elig_Product,0),10)</f>
        <v>SF, DP, PD, CS, 2U, 3U, 4U, CW, TH, RW, MD, RL</v>
      </c>
      <c r="AC1" s="462" t="s">
        <v>21</v>
      </c>
      <c r="AD1" s="463" t="s">
        <v>341</v>
      </c>
      <c r="AV1" s="2194" t="s">
        <v>1062</v>
      </c>
      <c r="AW1" s="2194"/>
      <c r="AX1" s="2194"/>
      <c r="AY1" s="2194"/>
      <c r="AZ1" s="2194"/>
      <c r="BA1" s="2194"/>
      <c r="BB1" s="2194"/>
      <c r="BC1" s="2194"/>
      <c r="BD1" s="2194"/>
      <c r="BE1" s="2194"/>
    </row>
    <row r="2" spans="2:86" ht="10.15" customHeight="1" x14ac:dyDescent="0.2">
      <c r="B2" s="2194" t="s">
        <v>713</v>
      </c>
      <c r="C2" s="2194"/>
      <c r="D2" s="2194"/>
      <c r="E2" s="2194"/>
      <c r="F2" s="2194"/>
      <c r="G2" s="2194"/>
      <c r="H2" s="2194"/>
      <c r="I2" s="2194"/>
      <c r="J2" s="2194"/>
      <c r="K2" s="2194"/>
      <c r="M2" s="2203" t="s">
        <v>1058</v>
      </c>
      <c r="N2" s="2204"/>
      <c r="O2" s="2204"/>
      <c r="P2" s="2204"/>
      <c r="Q2" s="2204"/>
      <c r="R2" s="2204"/>
      <c r="S2" s="2204"/>
      <c r="T2" s="2204"/>
      <c r="U2" s="2204"/>
      <c r="V2" s="461"/>
      <c r="W2" s="464"/>
      <c r="X2" s="2209" t="s">
        <v>1059</v>
      </c>
      <c r="Y2" s="2210"/>
      <c r="Z2" s="2210"/>
      <c r="AA2" s="2210"/>
      <c r="AB2" s="464"/>
      <c r="AC2" s="2205" t="s">
        <v>1060</v>
      </c>
      <c r="AD2" s="2194"/>
      <c r="AE2" s="2194"/>
      <c r="AF2" s="2194"/>
      <c r="AG2" s="2194"/>
      <c r="AH2" s="2194"/>
      <c r="AI2" s="2194"/>
      <c r="AJ2" s="2194"/>
      <c r="AK2" s="2194"/>
      <c r="AL2" s="2194"/>
      <c r="AM2" s="2194"/>
      <c r="AN2" s="2194"/>
      <c r="AO2" s="2194"/>
      <c r="AP2" s="464"/>
      <c r="AQ2" s="2205" t="s">
        <v>1061</v>
      </c>
      <c r="AR2" s="2194"/>
      <c r="AS2" s="2194"/>
      <c r="AT2" s="2194"/>
      <c r="AU2" s="464"/>
      <c r="AV2" s="2194"/>
      <c r="AW2" s="2194"/>
      <c r="AX2" s="2194"/>
      <c r="AY2" s="2194"/>
      <c r="AZ2" s="2194"/>
      <c r="BA2" s="2194"/>
      <c r="BB2" s="2194"/>
      <c r="BC2" s="2194"/>
      <c r="BD2" s="2194"/>
      <c r="BE2" s="2194"/>
      <c r="BF2" s="464"/>
      <c r="BG2" s="2205" t="s">
        <v>1063</v>
      </c>
      <c r="BH2" s="2194"/>
      <c r="BI2" s="2194"/>
      <c r="BJ2" s="2194"/>
      <c r="BK2" s="2194"/>
      <c r="BL2" s="2194"/>
      <c r="BM2" s="2194"/>
      <c r="BN2" s="2194"/>
      <c r="BO2" s="2194"/>
      <c r="BP2" s="2194"/>
      <c r="BQ2" s="2194"/>
      <c r="BR2" s="2194"/>
      <c r="BS2" s="2194"/>
      <c r="BT2" s="2194"/>
      <c r="BU2" s="2194"/>
      <c r="BV2" s="2194"/>
      <c r="BW2" s="2194"/>
      <c r="BX2" s="2194"/>
      <c r="BY2" s="2194"/>
      <c r="BZ2" s="2194"/>
      <c r="CA2" s="2194"/>
      <c r="CB2" s="2194"/>
      <c r="CC2" s="2194"/>
      <c r="CD2" s="2194"/>
      <c r="CE2" s="2194"/>
    </row>
    <row r="3" spans="2:86" ht="10.15" customHeight="1" x14ac:dyDescent="0.2">
      <c r="B3" s="465"/>
      <c r="C3" s="466"/>
      <c r="D3" s="466"/>
      <c r="E3" s="466"/>
      <c r="F3" s="466"/>
      <c r="G3" s="466"/>
      <c r="H3" s="467"/>
      <c r="I3" s="467"/>
      <c r="J3" s="467"/>
      <c r="K3" s="468"/>
      <c r="M3" s="1866"/>
      <c r="N3" s="461"/>
      <c r="O3" s="469" t="str">
        <f>Input_ProductClass</f>
        <v>Life Force 2nds</v>
      </c>
      <c r="P3" s="469" t="str">
        <f>INDEX(List_ProductAll,MATCH(Input_Product,List_Product,0),3)</f>
        <v>IT</v>
      </c>
      <c r="Q3" s="469">
        <f>INDEX(List_ProductAll,MATCH(Input_Product,List_Product,0),4)</f>
        <v>2</v>
      </c>
      <c r="R3" s="461"/>
      <c r="S3" s="461"/>
      <c r="T3" s="461"/>
      <c r="U3" s="461"/>
      <c r="V3" s="461"/>
      <c r="X3" s="470"/>
      <c r="Y3" s="471"/>
      <c r="Z3" s="472" t="s">
        <v>193</v>
      </c>
      <c r="AA3" s="473" t="s">
        <v>192</v>
      </c>
      <c r="AB3" s="464"/>
      <c r="AH3" s="460" t="s">
        <v>76</v>
      </c>
      <c r="AV3" s="474" t="s">
        <v>710</v>
      </c>
      <c r="AY3" s="474" t="s">
        <v>711</v>
      </c>
      <c r="BG3" s="2216" t="s">
        <v>712</v>
      </c>
      <c r="BH3" s="2217"/>
      <c r="BI3" s="2217"/>
      <c r="BJ3" s="2217"/>
      <c r="BK3" s="2217"/>
      <c r="BL3" s="2217"/>
      <c r="BM3" s="2217"/>
      <c r="BN3" s="2218"/>
      <c r="BO3" s="2211" t="s">
        <v>1990</v>
      </c>
      <c r="BP3" s="2212"/>
      <c r="BQ3" s="2213" t="s">
        <v>1992</v>
      </c>
      <c r="BR3" s="2214"/>
      <c r="BS3" s="2215"/>
      <c r="BT3" s="475" t="s">
        <v>1318</v>
      </c>
      <c r="BU3" s="476"/>
      <c r="BV3" s="2219" t="s">
        <v>1475</v>
      </c>
      <c r="BW3" s="2220"/>
      <c r="BX3" s="2220"/>
      <c r="BY3" s="2220"/>
      <c r="BZ3" s="2220"/>
      <c r="CA3" s="2220"/>
      <c r="CB3" s="2220"/>
      <c r="CC3" s="2220"/>
      <c r="CD3" s="2220"/>
      <c r="CE3" s="2220"/>
    </row>
    <row r="4" spans="2:86" s="478" customFormat="1" ht="10.15" customHeight="1" x14ac:dyDescent="0.2">
      <c r="B4" s="477"/>
      <c r="D4" s="1059" t="s">
        <v>238</v>
      </c>
      <c r="E4" s="968" t="s">
        <v>1054</v>
      </c>
      <c r="H4" s="479"/>
      <c r="I4" s="479"/>
      <c r="J4" s="479"/>
      <c r="K4" s="480"/>
      <c r="L4" s="460" t="str">
        <f>Elig_OverlayMsg_LTV</f>
        <v/>
      </c>
      <c r="M4" s="1253" t="str">
        <f>INDEX(List_ProductFindAll,MATCH((Input_ProductClass&amp;INDEX(List_OccupancyAll,MATCH(Input_Occupancy,List_Occupancy,0),3)),List_ProductFind,0),2)</f>
        <v>Second NOO</v>
      </c>
      <c r="N4" s="481" t="s">
        <v>2</v>
      </c>
      <c r="O4" s="1242"/>
      <c r="P4" s="1243" t="s">
        <v>146</v>
      </c>
      <c r="Q4" s="1244" t="s">
        <v>1476</v>
      </c>
      <c r="S4" s="482" t="s">
        <v>473</v>
      </c>
      <c r="T4" s="482" t="s">
        <v>462</v>
      </c>
      <c r="V4" s="461"/>
      <c r="X4" s="1129" t="s">
        <v>513</v>
      </c>
      <c r="Y4" s="1129" t="s">
        <v>82</v>
      </c>
      <c r="Z4" s="483" t="e">
        <f>-Input_PL_IncentiveMaxAdj_LenderPaidComp+Input_PL_MaxPriceBase_PN_NoPP+Input_PL_Incentive_PN+Input_PL_IncentiveMaxAdj_PN</f>
        <v>#N/A</v>
      </c>
      <c r="AA4" s="484" cm="1">
        <f t="array" ref="AA4">[1]!Input_MaxPriceNet_PN_NoPP</f>
        <v>103</v>
      </c>
      <c r="AB4" s="464"/>
      <c r="AC4" s="485" t="s">
        <v>36</v>
      </c>
      <c r="AD4" s="486" t="str">
        <f>INDEX(List_PropertyTypeAll,MATCH(Input_PropertyType,List_PropertyType,),2)</f>
        <v>SF</v>
      </c>
      <c r="AE4" s="486">
        <f>INDEX(List_PropertyTypeAll,MATCH(Input_PropertyType,List_PropertyType,),3)</f>
        <v>1</v>
      </c>
      <c r="AF4" s="487" t="s">
        <v>356</v>
      </c>
      <c r="AG4" s="487" t="s">
        <v>357</v>
      </c>
      <c r="AH4" s="487" t="s">
        <v>358</v>
      </c>
      <c r="AQ4" s="488" t="s">
        <v>24</v>
      </c>
      <c r="AR4" s="489"/>
      <c r="AS4" s="490"/>
      <c r="AV4" s="491" t="s">
        <v>709</v>
      </c>
      <c r="AW4" s="491" t="s">
        <v>2</v>
      </c>
      <c r="AX4" s="491" t="s">
        <v>143</v>
      </c>
      <c r="AY4" s="491" t="s">
        <v>92</v>
      </c>
      <c r="AZ4" s="491" t="s">
        <v>1388</v>
      </c>
      <c r="BA4" s="491" t="s">
        <v>1</v>
      </c>
      <c r="BB4" s="491" t="s">
        <v>314</v>
      </c>
      <c r="BC4" s="491" t="s">
        <v>314</v>
      </c>
      <c r="BD4" s="491" t="s">
        <v>1395</v>
      </c>
      <c r="BE4" s="491" t="s">
        <v>1694</v>
      </c>
      <c r="BG4" s="494" t="s">
        <v>1032</v>
      </c>
      <c r="BH4" s="495" t="s">
        <v>119</v>
      </c>
      <c r="BI4" s="495" t="s">
        <v>118</v>
      </c>
      <c r="BJ4" s="492" t="s">
        <v>120</v>
      </c>
      <c r="BK4" s="492" t="s">
        <v>122</v>
      </c>
      <c r="BL4" s="496" t="s">
        <v>65</v>
      </c>
      <c r="BM4" s="496" t="s">
        <v>148</v>
      </c>
      <c r="BN4" s="497" t="s">
        <v>1031</v>
      </c>
      <c r="BO4" s="493" t="s">
        <v>1315</v>
      </c>
      <c r="BP4" s="493" t="s">
        <v>1316</v>
      </c>
      <c r="BQ4" s="493" t="s">
        <v>1315</v>
      </c>
      <c r="BR4" s="498" t="s">
        <v>1316</v>
      </c>
      <c r="BS4" s="499" t="s">
        <v>1317</v>
      </c>
      <c r="BT4" s="500" t="s">
        <v>1317</v>
      </c>
      <c r="BU4" s="499" t="s">
        <v>1433</v>
      </c>
      <c r="BV4" s="499" t="s">
        <v>1467</v>
      </c>
      <c r="BW4" s="500" t="s">
        <v>1471</v>
      </c>
      <c r="BX4" s="500" t="s">
        <v>1472</v>
      </c>
      <c r="BY4" s="500" t="s">
        <v>1473</v>
      </c>
      <c r="BZ4" s="500" t="s">
        <v>1474</v>
      </c>
      <c r="CA4" s="500" t="s">
        <v>1462</v>
      </c>
      <c r="CB4" s="500" t="s">
        <v>39</v>
      </c>
      <c r="CC4" s="500" t="s">
        <v>1463</v>
      </c>
      <c r="CD4" s="500" t="s">
        <v>319</v>
      </c>
      <c r="CE4" s="1413" t="s">
        <v>1864</v>
      </c>
    </row>
    <row r="5" spans="2:86" ht="9.6" customHeight="1" x14ac:dyDescent="0.2">
      <c r="B5" s="501"/>
      <c r="D5" s="460" t="s">
        <v>65</v>
      </c>
      <c r="E5" s="969" t="s">
        <v>278</v>
      </c>
      <c r="H5" s="502"/>
      <c r="I5" s="502"/>
      <c r="J5" s="479"/>
      <c r="K5" s="480"/>
      <c r="M5" s="1241" t="str">
        <f>Input_Name_ClassA&amp;"OO"</f>
        <v xml:space="preserve"> OO</v>
      </c>
      <c r="N5" s="1239" t="str">
        <f>Input_Name_Product1</f>
        <v>NonQM OO</v>
      </c>
      <c r="O5" s="1245" t="s">
        <v>481</v>
      </c>
      <c r="P5" s="1245" t="s">
        <v>481</v>
      </c>
      <c r="Q5" s="1246">
        <v>1</v>
      </c>
      <c r="S5" s="503" t="str">
        <f>IF(OR(Elig!BD11=0,TRIM(Output_Msg_LLPA_CreditScore)&lt;&gt;"",TRIM(Output_Msg_LLPA_LTV)&lt;&gt;"",TRIM(Output_Msg_LLPA_LoanAmt)&lt;&gt;"",TRIM(Output_Msg_LLPA_ReservesMonths)&lt;&gt;"",TRIM(Output_Msg_LLPA_CashoutAmt)&lt;&gt;"",TRIM(Output_Msg_LLPA_DTI)&lt;&gt;""),"Ineligible Scenario","")</f>
        <v/>
      </c>
      <c r="T5" s="504" t="str">
        <f>Input_Name_ClassA</f>
        <v xml:space="preserve"> </v>
      </c>
      <c r="U5" s="461"/>
      <c r="V5" s="461"/>
      <c r="X5" s="505" t="s">
        <v>512</v>
      </c>
      <c r="Y5" s="505" t="s">
        <v>82</v>
      </c>
      <c r="Z5" s="506" t="e">
        <f>-Input_PL_IncentiveMaxAdj_LenderPaidComp+Input_PL_MaxPriceBase_IN_NoPP+Input_PL_Incentive_IN+Input_PL_IncentiveMaxAdj_IN</f>
        <v>#N/A</v>
      </c>
      <c r="AA5" s="507" cm="1">
        <f t="array" ref="AA5">[1]!Input_MaxPriceNet_IN_NoPP</f>
        <v>101.5</v>
      </c>
      <c r="AB5" s="464"/>
      <c r="AC5" s="1915" t="s">
        <v>83</v>
      </c>
      <c r="AD5" s="1911" t="s">
        <v>331</v>
      </c>
      <c r="AE5" s="508">
        <v>1</v>
      </c>
      <c r="AF5" s="509" t="str">
        <f t="shared" ref="AF5:AF24" si="0">IFERROR(IF(FIND(AD5,INDEX(Elig_All,MATCH(Input_Product,Elig_Product,0),10))&gt;=1,AC5,""),"")</f>
        <v>SFR</v>
      </c>
      <c r="AG5" s="510">
        <f>IF(AF5="","",MAX(AG$4:AG4)+1)</f>
        <v>1</v>
      </c>
      <c r="AH5" s="511" t="str">
        <f t="shared" ref="AH5:AH24" si="1">IFERROR(INDEX(List_PropertyType_Find,MATCH(ROW()-ROW($AH$4),$AG$5:$AG$24,0)),"")</f>
        <v>SFR</v>
      </c>
      <c r="AI5" s="460" t="s">
        <v>76</v>
      </c>
      <c r="AQ5" s="512"/>
      <c r="AR5" s="513" t="s">
        <v>101</v>
      </c>
      <c r="AS5" s="514" t="s">
        <v>100</v>
      </c>
      <c r="AV5" s="1121" t="s">
        <v>1303</v>
      </c>
      <c r="AW5" s="1122" t="s">
        <v>1068</v>
      </c>
      <c r="AX5" s="1102" t="str">
        <f t="shared" ref="AX5:AX45" si="2">"PT_"&amp;RIGHT("000"&amp;TRUNC(Lookup_NoteRate),3)&amp;TEXT(Lookup_NoteRate-TRUNC(Lookup_NoteRate),".0000000000")</f>
        <v>PT_012.6250000000</v>
      </c>
      <c r="AY5" s="1103">
        <f>[1]!PR_R01</f>
        <v>12.625</v>
      </c>
      <c r="AZ5" s="1104">
        <f>[1]!PR_ARM05_P01+Input_PL_Incentive_PR</f>
        <v>-2</v>
      </c>
      <c r="BA5" s="1104">
        <f>[1]!PR_FRM30_P01+Input_PL_Incentive_PR</f>
        <v>112</v>
      </c>
      <c r="BB5" s="1102">
        <f t="shared" ref="BB5:BB46" si="3">IF(INDEX(List_AmortTermAll,MATCH(Input_AmortTerm,List_AmortTerm,0),3)=1,AZ5,IF(INDEX(List_AmortTermAll,MATCH(Input_AmortTerm,List_AmortTerm,0),3)=2,BA5,#N/A))</f>
        <v>112</v>
      </c>
      <c r="BC5" s="1102" t="str">
        <f t="shared" ref="BC5:BC45" si="4">"PT_"&amp;RIGHT("000"&amp;TRUNC(Lookup_PriceText),3)&amp;TEXT(Lookup_PriceText-TRUNC(Lookup_PriceText),".0000000000")</f>
        <v>PT_112.0000000000</v>
      </c>
      <c r="BD5" s="1102"/>
      <c r="BE5" s="1123" t="s">
        <v>1557</v>
      </c>
      <c r="BG5" s="515" t="s">
        <v>366</v>
      </c>
      <c r="BH5" s="516" t="str">
        <f>INDEX([1]!List_StateInputAll,MATCH(BG5,[1]!List_StateInput,0),2)</f>
        <v>Non-CA</v>
      </c>
      <c r="BI5" s="517" t="str">
        <f>INDEX([1]!List_StateInputAll,MATCH(BG5,[1]!List_StateInput,0),3)</f>
        <v>Y</v>
      </c>
      <c r="BJ5" s="517" t="str">
        <f>INDEX([1]!List_StateInputAll,MATCH(BG5,[1]!List_StateInput,0),4)</f>
        <v>Y</v>
      </c>
      <c r="BK5" s="517" t="str">
        <f>INDEX([1]!List_StateInputAll,MATCH(BG5,[1]!List_StateInput,0),5)</f>
        <v xml:space="preserve"> </v>
      </c>
      <c r="BL5" s="518" t="str">
        <f>INDEX([1]!List_StateInputAll,MATCH(BG5,[1]!List_StateInput,0),6)</f>
        <v>No Prepay</v>
      </c>
      <c r="BM5" s="518" t="str">
        <f>INDEX([1]!List_StateInputAll,MATCH(BG5,[1]!List_StateInput,0),7)</f>
        <v>No Prepay Allowed</v>
      </c>
      <c r="BN5" s="517" t="str">
        <f>INDEX([1]!List_StateInputAll,MATCH(BG5,[1]!List_StateInput,0),8)</f>
        <v>Alaska</v>
      </c>
      <c r="BO5" s="517" t="str">
        <f>INDEX([1]!List_StateInputAll,MATCH(BG5,[1]!List_StateInput,0),9)</f>
        <v>Y</v>
      </c>
      <c r="BP5" s="519" t="str">
        <f>INDEX([1]!List_StateInputAll,MATCH(BG5,[1]!List_StateInput,0),10)</f>
        <v>Y</v>
      </c>
      <c r="BQ5" s="517" t="str">
        <f>INDEX([1]!List_StateInputAll,MATCH(BG5,[1]!List_StateInput,0),11)</f>
        <v>N</v>
      </c>
      <c r="BR5" s="520" t="str">
        <f>INDEX([1]!List_StateInputAll,MATCH(BG5,[1]!List_StateInput,0),12)</f>
        <v>Y</v>
      </c>
      <c r="BS5" s="521" t="str">
        <f>INDEX([1]!List_StateInputAll,MATCH(BG5,[1]!List_StateInput,0),13)</f>
        <v xml:space="preserve"> </v>
      </c>
      <c r="BT5" s="522" t="str">
        <f>IF(OR(Input_Ratesheet_Source="Corr1",Input_Ratesheet_Source="Corr2",Input_Ratesheet_Source="Corr3",Input_Ratesheet_Source="CorrND"),BI5,IF(Input_Ratesheet_Source="Whol",IF(Input_Occupancy="Non Owner Occupied",BP5,BO5),IF(Input_Ratesheet_Source="Retl",IF(Input_Occupancy="Non Owner Occupied",IF(IF(IFERROR(FIND(Input_ProductClass,Structure!BS5),0)&gt;=1,"N","Y")="N","N",BR5),BQ5),"")))</f>
        <v>Y</v>
      </c>
      <c r="BU5" s="521" t="str">
        <f>INDEX([1]!List_StateInputAll,MATCH(BG5,[1]!List_StateInput,0),14)</f>
        <v>Dry</v>
      </c>
      <c r="BV5" s="521">
        <f>INDEX([1]!List_StateInputAll,MATCH(BG5,[1]!List_StateInput,0),15)</f>
        <v>2</v>
      </c>
      <c r="BW5" s="523" t="str">
        <f>INDEX([1]!List_StateInputAll,MATCH(BG5,[1]!List_StateInput,0),16)</f>
        <v>APOR</v>
      </c>
      <c r="BX5" s="524">
        <f>INDEX([1]!List_StateInputAll,MATCH(BG5,[1]!List_StateInput,0),17)</f>
        <v>6.5</v>
      </c>
      <c r="BY5" s="524">
        <f>INDEX([1]!List_StateInputAll,MATCH(BG5,[1]!List_StateInput,0),18)</f>
        <v>8.5</v>
      </c>
      <c r="BZ5" s="524">
        <f>INDEX([1]!List_StateInputAll,MATCH(BG5,[1]!List_StateInput,0),19)</f>
        <v>5</v>
      </c>
      <c r="CA5" s="525">
        <f>INDEX([1]!List_StateInputAll,MATCH(BG5,[1]!List_StateInput,0),20)</f>
        <v>0</v>
      </c>
      <c r="CB5" s="525" t="str">
        <f>INDEX([1]!List_StateInputAll,MATCH(BG5,[1]!List_StateInput,0),21)</f>
        <v>Owner Occupied</v>
      </c>
      <c r="CC5" s="525" t="str">
        <f>INDEX([1]!List_StateInputAll,MATCH(BG5,[1]!List_StateInput,0),22)</f>
        <v>Purchase, Rate-Term, Cash-Out</v>
      </c>
      <c r="CD5" s="521">
        <f>INDEX([1]!List_StateInputAll,MATCH(BG5,[1]!List_StateInput,0),23)</f>
        <v>0</v>
      </c>
      <c r="CE5" s="521" t="str">
        <f>INDEX([1]!List_StateInputAll,MATCH(BG5,[1]!List_StateInput,0),24)</f>
        <v>Y</v>
      </c>
      <c r="CF5" s="1235" cm="1">
        <f t="array" ref="CF5">IF(OR(Input_Ratesheet_Source="Corr1",Input_Ratesheet_Source="Corr2",Input_Ratesheet_Source="Corr3",Input_Ratesheet_Source="CorrND"),[1]!Corr_PL_Incentive_PN,IF(Input_Ratesheet_Source="Whol",[1]!Whol_PL_Incentive_PN,IF(Input_Ratesheet_Source="Retl",[1]!Retl_PL_Incentive_PN,#N/A)))</f>
        <v>0.125</v>
      </c>
      <c r="CG5" s="522">
        <f>IF(OR(Input_Ratesheet_Source="Corr1",Input_Ratesheet_Source="Corr2",Input_Ratesheet_Source="Corr3",Input_Ratesheet_Source="CorrND"),BV5,IF(Input_Ratesheet_Source="Whol",IF(Input_Occupancy="Non Owner Occupied",CC5,CB5),IF(Input_Ratesheet_Source="Retail",IF(Input_Occupancy="Non Owner Occupied",IF(IF(IFERROR(FIND(Input_ProductClass,Structure!#REF!),0)&gt;=1,"N","Y")="N","N",CE5),CD5),"")))</f>
        <v>2</v>
      </c>
      <c r="CH5" s="460" t="str">
        <f>Input_ProductClass</f>
        <v>Life Force 2nds</v>
      </c>
    </row>
    <row r="6" spans="2:86" ht="9.6" customHeight="1" x14ac:dyDescent="0.2">
      <c r="B6" s="501"/>
      <c r="D6" s="460" t="s">
        <v>312</v>
      </c>
      <c r="E6" s="969" t="s">
        <v>313</v>
      </c>
      <c r="F6" s="526">
        <f>IF(Input_Pricing_Type="Points",-1,1)</f>
        <v>1</v>
      </c>
      <c r="H6" s="502"/>
      <c r="J6" s="479"/>
      <c r="K6" s="480"/>
      <c r="M6" s="1236" t="str">
        <f>Input_Name_ClassA&amp;"NOO"</f>
        <v xml:space="preserve"> NOO</v>
      </c>
      <c r="N6" s="1237" t="str">
        <f>Input_Name_Product2</f>
        <v>NonQM NOO</v>
      </c>
      <c r="O6" s="1247" t="s">
        <v>377</v>
      </c>
      <c r="P6" s="1247" t="s">
        <v>377</v>
      </c>
      <c r="Q6" s="1248">
        <v>1</v>
      </c>
      <c r="S6" s="527"/>
      <c r="T6" s="1796" t="str">
        <f>Input_Name_ClassC</f>
        <v>Life Force 2nds</v>
      </c>
      <c r="U6" s="461"/>
      <c r="V6" s="461"/>
      <c r="X6" s="528" t="s">
        <v>1822</v>
      </c>
      <c r="Y6" s="528" t="s">
        <v>68</v>
      </c>
      <c r="Z6" s="529" t="e">
        <f>-Input_PL_IncentiveMaxAdj_LenderPaidComp+Input_PL_MaxPriceBase_IN_01PP+Input_PL_Incentive_IN+Input_PL_IncentiveMaxAdj_IN</f>
        <v>#N/A</v>
      </c>
      <c r="AA6" s="530" cm="1">
        <f t="array" ref="AA6">[1]!Input_MaxPriceNet_IN_01PP</f>
        <v>102.5</v>
      </c>
      <c r="AB6" s="464"/>
      <c r="AC6" s="1916" t="s">
        <v>1402</v>
      </c>
      <c r="AD6" s="1912" t="s">
        <v>341</v>
      </c>
      <c r="AE6" s="531">
        <v>1</v>
      </c>
      <c r="AF6" s="532" t="str">
        <f t="shared" si="0"/>
        <v>SFR-Rural</v>
      </c>
      <c r="AG6" s="533">
        <f>IF(AF6="","",MAX(AG$4:AG5)+1)</f>
        <v>2</v>
      </c>
      <c r="AH6" s="534" t="str">
        <f t="shared" si="1"/>
        <v>SFR-Rural</v>
      </c>
      <c r="AI6" s="460" t="s">
        <v>76</v>
      </c>
      <c r="AQ6" s="535">
        <v>90</v>
      </c>
      <c r="AR6" s="536" t="s">
        <v>26</v>
      </c>
      <c r="AS6" s="537">
        <v>9</v>
      </c>
      <c r="AV6" s="1124" t="s">
        <v>1303</v>
      </c>
      <c r="AW6" s="1096" t="s">
        <v>1068</v>
      </c>
      <c r="AX6" s="1097" t="str">
        <f t="shared" si="2"/>
        <v>PT_012.5000000000</v>
      </c>
      <c r="AY6" s="1098">
        <f>[1]!PR_R02</f>
        <v>12.5</v>
      </c>
      <c r="AZ6" s="1099">
        <f>[1]!PR_ARM05_P03+Input_PL_Incentive_PR</f>
        <v>-2</v>
      </c>
      <c r="BA6" s="1099">
        <f>[1]!PR_FRM30_P02+Input_PL_Incentive_PR</f>
        <v>111.75</v>
      </c>
      <c r="BB6" s="1097">
        <f t="shared" ref="BB6" si="5">IF(INDEX(List_AmortTermAll,MATCH(Input_AmortTerm,List_AmortTerm,0),3)=1,AZ6,IF(INDEX(List_AmortTermAll,MATCH(Input_AmortTerm,List_AmortTerm,0),3)=2,BA6,#N/A))</f>
        <v>111.75</v>
      </c>
      <c r="BC6" s="1097" t="str">
        <f t="shared" si="4"/>
        <v>PT_111.7500000000</v>
      </c>
      <c r="BD6" s="1097"/>
      <c r="BE6" s="1125" t="s">
        <v>1558</v>
      </c>
      <c r="BG6" s="538" t="s">
        <v>367</v>
      </c>
      <c r="BH6" s="539" t="str">
        <f>INDEX([1]!List_StateInputAll,MATCH(BG6,[1]!List_StateInput,0),2)</f>
        <v>AL</v>
      </c>
      <c r="BI6" s="540" t="str">
        <f>INDEX([1]!List_StateInputAll,MATCH(BG6,[1]!List_StateInput,0),3)</f>
        <v>Y</v>
      </c>
      <c r="BJ6" s="540" t="str">
        <f>INDEX([1]!List_StateInputAll,MATCH(BG6,[1]!List_StateInput,0),4)</f>
        <v>Y</v>
      </c>
      <c r="BK6" s="540" t="str">
        <f>INDEX([1]!List_StateInputAll,MATCH(BG6,[1]!List_StateInput,0),5)</f>
        <v xml:space="preserve"> </v>
      </c>
      <c r="BL6" s="540" t="str">
        <f>INDEX([1]!List_StateInputAll,MATCH(BG6,[1]!List_StateInput,0),6)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6" s="540" t="str">
        <f>INDEX([1]!List_StateInputAll,MATCH(BG6,[1]!List_StateInput,0),7)</f>
        <v>Prepay only available on Business Purpose Loans</v>
      </c>
      <c r="BN6" s="540" t="str">
        <f>INDEX([1]!List_StateInputAll,MATCH(BG6,[1]!List_StateInput,0),8)</f>
        <v>Alabama</v>
      </c>
      <c r="BO6" s="540" t="str">
        <f>INDEX([1]!List_StateInputAll,MATCH(BG6,[1]!List_StateInput,0),9)</f>
        <v>Y</v>
      </c>
      <c r="BP6" s="541" t="str">
        <f>INDEX([1]!List_StateInputAll,MATCH(BG6,[1]!List_StateInput,0),10)</f>
        <v>Y</v>
      </c>
      <c r="BQ6" s="540" t="str">
        <f>INDEX([1]!List_StateInputAll,MATCH(BG6,[1]!List_StateInput,0),11)</f>
        <v>N</v>
      </c>
      <c r="BR6" s="542" t="str">
        <f>INDEX([1]!List_StateInputAll,MATCH(BG6,[1]!List_StateInput,0),12)</f>
        <v>N</v>
      </c>
      <c r="BS6" s="541" t="str">
        <f>INDEX([1]!List_StateInputAll,MATCH(BG6,[1]!List_StateInput,0),13)</f>
        <v xml:space="preserve"> </v>
      </c>
      <c r="BT6" s="522" t="str">
        <f>IF(OR(Input_Ratesheet_Source="Corr1",Input_Ratesheet_Source="Corr2",Input_Ratesheet_Source="Corr3",Input_Ratesheet_Source="CorrND"),BI6,IF(Input_Ratesheet_Source="Whol",IF(Input_Occupancy="Non Owner Occupied",BP6,BO6),IF(Input_Ratesheet_Source="Retl",IF(Input_Occupancy="Non Owner Occupied",IF(IF(IFERROR(FIND(Input_ProductClass,Structure!BS6),0)&gt;=1,"N","Y")="N","N",BR6),BQ6),"")))</f>
        <v>Y</v>
      </c>
      <c r="BU6" s="541" t="str">
        <f>INDEX([1]!List_StateInputAll,MATCH(BG6,[1]!List_StateInput,0),14)</f>
        <v>Wet</v>
      </c>
      <c r="BV6" s="541">
        <f>INDEX([1]!List_StateInputAll,MATCH(BG6,[1]!List_StateInput,0),15)</f>
        <v>1</v>
      </c>
      <c r="BW6" s="539" t="str">
        <f>INDEX([1]!List_StateInputAll,MATCH(BG6,[1]!List_StateInput,0),16)</f>
        <v>APOR</v>
      </c>
      <c r="BX6" s="543">
        <f>INDEX([1]!List_StateInputAll,MATCH(BG6,[1]!List_StateInput,0),17)</f>
        <v>6.5</v>
      </c>
      <c r="BY6" s="543">
        <f>INDEX([1]!List_StateInputAll,MATCH(BG6,[1]!List_StateInput,0),18)</f>
        <v>8.5</v>
      </c>
      <c r="BZ6" s="543">
        <f>INDEX([1]!List_StateInputAll,MATCH(BG6,[1]!List_StateInput,0),19)</f>
        <v>5</v>
      </c>
      <c r="CA6" s="540">
        <f>INDEX([1]!List_StateInputAll,MATCH(BG6,[1]!List_StateInput,0),20)</f>
        <v>0</v>
      </c>
      <c r="CB6" s="540" t="str">
        <f>INDEX([1]!List_StateInputAll,MATCH(BG6,[1]!List_StateInput,0),21)</f>
        <v>Owner Occupied</v>
      </c>
      <c r="CC6" s="540" t="str">
        <f>INDEX([1]!List_StateInputAll,MATCH(BG6,[1]!List_StateInput,0),22)</f>
        <v>Purchase, Rate-Term, Cash-Out</v>
      </c>
      <c r="CD6" s="541">
        <f>INDEX([1]!List_StateInputAll,MATCH(BG6,[1]!List_StateInput,0),23)</f>
        <v>0</v>
      </c>
      <c r="CE6" s="541" t="str">
        <f>INDEX([1]!List_StateInputAll,MATCH(BG6,[1]!List_StateInput,0),24)</f>
        <v>Y</v>
      </c>
    </row>
    <row r="7" spans="2:86" ht="9.6" customHeight="1" x14ac:dyDescent="0.2">
      <c r="B7" s="550"/>
      <c r="C7" s="551"/>
      <c r="D7" s="551"/>
      <c r="E7" s="551"/>
      <c r="F7" s="551"/>
      <c r="G7" s="551"/>
      <c r="H7" s="1056"/>
      <c r="I7" s="551"/>
      <c r="J7" s="1057"/>
      <c r="K7" s="1058"/>
      <c r="M7" s="1238" t="str">
        <f>Input_Name_ClassC&amp;"OO"</f>
        <v>Life Force 2ndsOO</v>
      </c>
      <c r="N7" s="1239" t="str">
        <f>Input_Name_Product4</f>
        <v>Second OO</v>
      </c>
      <c r="O7" s="1249" t="s">
        <v>1303</v>
      </c>
      <c r="P7" s="1249" t="s">
        <v>1303</v>
      </c>
      <c r="Q7" s="1250">
        <v>2</v>
      </c>
      <c r="U7" s="461"/>
      <c r="V7" s="461"/>
      <c r="X7" s="544" t="s">
        <v>1823</v>
      </c>
      <c r="Y7" s="544" t="s">
        <v>67</v>
      </c>
      <c r="Z7" s="545" t="e">
        <f>-Input_PL_IncentiveMaxAdj_LenderPaidComp+Input_PL_MaxPriceBase_IN_02PP+Input_PL_Incentive_IN+Input_PL_IncentiveMaxAdj_IN</f>
        <v>#N/A</v>
      </c>
      <c r="AA7" s="546" cm="1">
        <f t="array" ref="AA7">[1]!Input_MaxPriceNet_IN_02PP</f>
        <v>102.75</v>
      </c>
      <c r="AB7" s="464"/>
      <c r="AC7" s="1916" t="s">
        <v>154</v>
      </c>
      <c r="AD7" s="1912" t="s">
        <v>332</v>
      </c>
      <c r="AE7" s="531">
        <v>1</v>
      </c>
      <c r="AF7" s="532" t="str">
        <f t="shared" si="0"/>
        <v>D-PUD</v>
      </c>
      <c r="AG7" s="533">
        <f>IF(AF7="","",MAX(AG$4:AG6)+1)</f>
        <v>3</v>
      </c>
      <c r="AH7" s="534" t="str">
        <f t="shared" si="1"/>
        <v>D-PUD</v>
      </c>
      <c r="AI7" s="460" t="s">
        <v>76</v>
      </c>
      <c r="AQ7" s="547">
        <v>85</v>
      </c>
      <c r="AR7" s="548" t="s">
        <v>27</v>
      </c>
      <c r="AS7" s="549">
        <v>8</v>
      </c>
      <c r="AV7" s="1124" t="s">
        <v>1303</v>
      </c>
      <c r="AW7" s="1096" t="s">
        <v>1068</v>
      </c>
      <c r="AX7" s="1097" t="str">
        <f t="shared" si="2"/>
        <v>PT_012.3750000000</v>
      </c>
      <c r="AY7" s="1098">
        <f>[1]!PR_R03</f>
        <v>12.375</v>
      </c>
      <c r="AZ7" s="1099">
        <f>[1]!PR_ARM05_P03+Input_PL_Incentive_PR</f>
        <v>-2</v>
      </c>
      <c r="BA7" s="1099">
        <f>[1]!PR_FRM30_P03+Input_PL_Incentive_PR</f>
        <v>111.5</v>
      </c>
      <c r="BB7" s="1097">
        <f t="shared" si="3"/>
        <v>111.5</v>
      </c>
      <c r="BC7" s="1097" t="str">
        <f t="shared" si="4"/>
        <v>PT_111.5000000000</v>
      </c>
      <c r="BD7" s="1097"/>
      <c r="BE7" s="1125" t="s">
        <v>1559</v>
      </c>
      <c r="BG7" s="538" t="s">
        <v>368</v>
      </c>
      <c r="BH7" s="539" t="str">
        <f>INDEX([1]!List_StateInputAll,MATCH(BG7,[1]!List_StateInput,0),2)</f>
        <v>Non-CA</v>
      </c>
      <c r="BI7" s="540" t="str">
        <f>INDEX([1]!List_StateInputAll,MATCH(BG7,[1]!List_StateInput,0),3)</f>
        <v>Y</v>
      </c>
      <c r="BJ7" s="540" t="str">
        <f>INDEX([1]!List_StateInputAll,MATCH(BG7,[1]!List_StateInput,0),4)</f>
        <v>Y</v>
      </c>
      <c r="BK7" s="540" t="str">
        <f>INDEX([1]!List_StateInputAll,MATCH(BG7,[1]!List_StateInput,0),5)</f>
        <v xml:space="preserve"> </v>
      </c>
      <c r="BL7" s="540" t="str">
        <f>INDEX([1]!List_StateInputAll,MATCH(BG7,[1]!List_StateInput,0),6)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7" s="540" t="str">
        <f>INDEX([1]!List_StateInputAll,MATCH(BG7,[1]!List_StateInput,0),7)</f>
        <v>Prepay only available on Business Purpose Loans</v>
      </c>
      <c r="BN7" s="540" t="str">
        <f>INDEX([1]!List_StateInputAll,MATCH(BG7,[1]!List_StateInput,0),8)</f>
        <v>Arkansas</v>
      </c>
      <c r="BO7" s="540" t="str">
        <f>INDEX([1]!List_StateInputAll,MATCH(BG7,[1]!List_StateInput,0),9)</f>
        <v>Y</v>
      </c>
      <c r="BP7" s="541" t="str">
        <f>INDEX([1]!List_StateInputAll,MATCH(BG7,[1]!List_StateInput,0),10)</f>
        <v>Y</v>
      </c>
      <c r="BQ7" s="540" t="str">
        <f>INDEX([1]!List_StateInputAll,MATCH(BG7,[1]!List_StateInput,0),11)</f>
        <v>N</v>
      </c>
      <c r="BR7" s="542" t="str">
        <f>INDEX([1]!List_StateInputAll,MATCH(BG7,[1]!List_StateInput,0),12)</f>
        <v>Y</v>
      </c>
      <c r="BS7" s="541" t="str">
        <f>INDEX([1]!List_StateInputAll,MATCH(BG7,[1]!List_StateInput,0),13)</f>
        <v xml:space="preserve"> </v>
      </c>
      <c r="BT7" s="522" t="str">
        <f>IF(OR(Input_Ratesheet_Source="Corr1",Input_Ratesheet_Source="Corr2",Input_Ratesheet_Source="Corr3",Input_Ratesheet_Source="CorrND"),BI7,IF(Input_Ratesheet_Source="Whol",IF(Input_Occupancy="Non Owner Occupied",BP7,BO7),IF(Input_Ratesheet_Source="Retl",IF(Input_Occupancy="Non Owner Occupied",IF(IF(IFERROR(FIND(Input_ProductClass,Structure!BS7),0)&gt;=1,"N","Y")="N","N",BR7),BQ7),"")))</f>
        <v>Y</v>
      </c>
      <c r="BU7" s="541" t="str">
        <f>INDEX([1]!List_StateInputAll,MATCH(BG7,[1]!List_StateInput,0),14)</f>
        <v>Wet</v>
      </c>
      <c r="BV7" s="541">
        <f>INDEX([1]!List_StateInputAll,MATCH(BG7,[1]!List_StateInput,0),15)</f>
        <v>1</v>
      </c>
      <c r="BW7" s="539" t="str">
        <f>INDEX([1]!List_StateInputAll,MATCH(BG7,[1]!List_StateInput,0),16)</f>
        <v>APOR</v>
      </c>
      <c r="BX7" s="543">
        <f>INDEX([1]!List_StateInputAll,MATCH(BG7,[1]!List_StateInput,0),17)</f>
        <v>6.5</v>
      </c>
      <c r="BY7" s="543">
        <f>INDEX([1]!List_StateInputAll,MATCH(BG7,[1]!List_StateInput,0),18)</f>
        <v>8.5</v>
      </c>
      <c r="BZ7" s="543">
        <f>INDEX([1]!List_StateInputAll,MATCH(BG7,[1]!List_StateInput,0),19)</f>
        <v>5</v>
      </c>
      <c r="CA7" s="540">
        <f>INDEX([1]!List_StateInputAll,MATCH(BG7,[1]!List_StateInput,0),20)</f>
        <v>150000</v>
      </c>
      <c r="CB7" s="540" t="str">
        <f>INDEX([1]!List_StateInputAll,MATCH(BG7,[1]!List_StateInput,0),21)</f>
        <v>Owner Occupied</v>
      </c>
      <c r="CC7" s="540" t="str">
        <f>INDEX([1]!List_StateInputAll,MATCH(BG7,[1]!List_StateInput,0),22)</f>
        <v>Purchase, Rate-Term, Cash-Out</v>
      </c>
      <c r="CD7" s="541">
        <f>INDEX([1]!List_StateInputAll,MATCH(BG7,[1]!List_StateInput,0),23)</f>
        <v>0</v>
      </c>
      <c r="CE7" s="541" t="str">
        <f>INDEX([1]!List_StateInputAll,MATCH(BG7,[1]!List_StateInput,0),24)</f>
        <v>N</v>
      </c>
    </row>
    <row r="8" spans="2:86" ht="9.6" customHeight="1" x14ac:dyDescent="0.2">
      <c r="B8" s="466"/>
      <c r="C8" s="466"/>
      <c r="D8" s="466"/>
      <c r="E8" s="466"/>
      <c r="F8" s="466"/>
      <c r="G8" s="466"/>
      <c r="H8" s="466"/>
      <c r="I8" s="466"/>
      <c r="J8" s="466"/>
      <c r="K8" s="466"/>
      <c r="M8" s="1240" t="str">
        <f>Input_Name_ClassC&amp;"NOO"</f>
        <v>Life Force 2ndsNOO</v>
      </c>
      <c r="N8" s="1237" t="str">
        <f>Input_Name_Product5</f>
        <v>Second NOO</v>
      </c>
      <c r="O8" s="1251" t="s">
        <v>1304</v>
      </c>
      <c r="P8" s="1251" t="s">
        <v>1304</v>
      </c>
      <c r="Q8" s="1252">
        <v>2</v>
      </c>
      <c r="U8" s="461"/>
      <c r="V8" s="461"/>
      <c r="X8" s="544" t="s">
        <v>1824</v>
      </c>
      <c r="Y8" s="544" t="s">
        <v>66</v>
      </c>
      <c r="Z8" s="545" t="e">
        <f>-Input_PL_IncentiveMaxAdj_LenderPaidComp+Input_PL_MaxPriceBase_IN_03PP+Input_PL_Incentive_IN+Input_PL_IncentiveMaxAdj_IN</f>
        <v>#N/A</v>
      </c>
      <c r="AA8" s="546" cm="1">
        <f t="array" ref="AA8">[1]!Input_MaxPriceNet_IN_03PP</f>
        <v>103.25</v>
      </c>
      <c r="AB8" s="464"/>
      <c r="AC8" s="1916" t="s">
        <v>127</v>
      </c>
      <c r="AD8" s="1912" t="s">
        <v>333</v>
      </c>
      <c r="AE8" s="531">
        <v>1</v>
      </c>
      <c r="AF8" s="532" t="str">
        <f t="shared" si="0"/>
        <v>PUD</v>
      </c>
      <c r="AG8" s="533">
        <f>IF(AF8="","",MAX(AG$4:AG7)+1)</f>
        <v>4</v>
      </c>
      <c r="AH8" s="534" t="str">
        <f t="shared" si="1"/>
        <v>PUD</v>
      </c>
      <c r="AI8" s="460" t="s">
        <v>76</v>
      </c>
      <c r="AQ8" s="547">
        <v>80</v>
      </c>
      <c r="AR8" s="548" t="s">
        <v>28</v>
      </c>
      <c r="AS8" s="549">
        <v>7</v>
      </c>
      <c r="AV8" s="1124" t="s">
        <v>1303</v>
      </c>
      <c r="AW8" s="1096" t="s">
        <v>1068</v>
      </c>
      <c r="AX8" s="1097" t="str">
        <f t="shared" si="2"/>
        <v>PT_012.2500000000</v>
      </c>
      <c r="AY8" s="1098">
        <f>[1]!PR_R04</f>
        <v>12.25</v>
      </c>
      <c r="AZ8" s="1099">
        <f>[1]!PR_ARM05_P04+Input_PL_Incentive_PR</f>
        <v>-2</v>
      </c>
      <c r="BA8" s="1099">
        <f>[1]!PR_FRM30_P04+Input_PL_Incentive_PR</f>
        <v>111.25</v>
      </c>
      <c r="BB8" s="1097">
        <f t="shared" ref="BB8:BB45" si="6">IF(INDEX(List_AmortTermAll,MATCH(Input_AmortTerm,List_AmortTerm,0),3)=1,AZ8,IF(INDEX(List_AmortTermAll,MATCH(Input_AmortTerm,List_AmortTerm,0),3)=2,BA8,#N/A))</f>
        <v>111.25</v>
      </c>
      <c r="BC8" s="1097" t="str">
        <f t="shared" si="4"/>
        <v>PT_111.2500000000</v>
      </c>
      <c r="BD8" s="1097"/>
      <c r="BE8" s="1125" t="s">
        <v>1560</v>
      </c>
      <c r="BG8" s="538" t="s">
        <v>369</v>
      </c>
      <c r="BH8" s="539" t="str">
        <f>INDEX([1]!List_StateInputAll,MATCH(BG8,[1]!List_StateInput,0),2)</f>
        <v>Non-CA</v>
      </c>
      <c r="BI8" s="540" t="str">
        <f>INDEX([1]!List_StateInputAll,MATCH(BG8,[1]!List_StateInput,0),3)</f>
        <v>Y</v>
      </c>
      <c r="BJ8" s="540" t="str">
        <f>INDEX([1]!List_StateInputAll,MATCH(BG8,[1]!List_StateInput,0),4)</f>
        <v>Y</v>
      </c>
      <c r="BK8" s="540" t="str">
        <f>INDEX([1]!List_StateInputAll,MATCH(BG8,[1]!List_StateInput,0),5)</f>
        <v xml:space="preserve"> </v>
      </c>
      <c r="BL8" s="540" t="str">
        <f>INDEX([1]!List_StateInputAll,MATCH(BG8,[1]!List_StateInput,0),6)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8" s="540" t="str">
        <f>INDEX([1]!List_StateInputAll,MATCH(BG8,[1]!List_StateInput,0),7)</f>
        <v>Prepay only available on Business Purpose Loans</v>
      </c>
      <c r="BN8" s="540" t="str">
        <f>INDEX([1]!List_StateInputAll,MATCH(BG8,[1]!List_StateInput,0),8)</f>
        <v>Arizona</v>
      </c>
      <c r="BO8" s="540" t="str">
        <f>INDEX([1]!List_StateInputAll,MATCH(BG8,[1]!List_StateInput,0),9)</f>
        <v>Y</v>
      </c>
      <c r="BP8" s="541" t="str">
        <f>INDEX([1]!List_StateInputAll,MATCH(BG8,[1]!List_StateInput,0),10)</f>
        <v>Y</v>
      </c>
      <c r="BQ8" s="540" t="str">
        <f>INDEX([1]!List_StateInputAll,MATCH(BG8,[1]!List_StateInput,0),11)</f>
        <v>Y</v>
      </c>
      <c r="BR8" s="542" t="str">
        <f>INDEX([1]!List_StateInputAll,MATCH(BG8,[1]!List_StateInput,0),12)</f>
        <v>Y</v>
      </c>
      <c r="BS8" s="541" t="str">
        <f>INDEX([1]!List_StateInputAll,MATCH(BG8,[1]!List_StateInput,0),13)</f>
        <v xml:space="preserve"> </v>
      </c>
      <c r="BT8" s="522" t="str">
        <f>IF(OR(Input_Ratesheet_Source="Corr1",Input_Ratesheet_Source="Corr2",Input_Ratesheet_Source="Corr3",Input_Ratesheet_Source="CorrND"),BI8,IF(Input_Ratesheet_Source="Whol",IF(Input_Occupancy="Non Owner Occupied",BP8,BO8),IF(Input_Ratesheet_Source="Retl",IF(Input_Occupancy="Non Owner Occupied",IF(IF(IFERROR(FIND(Input_ProductClass,Structure!BS8),0)&gt;=1,"N","Y")="N","N",BR8),BQ8),"")))</f>
        <v>Y</v>
      </c>
      <c r="BU8" s="541" t="str">
        <f>INDEX([1]!List_StateInputAll,MATCH(BG8,[1]!List_StateInput,0),14)</f>
        <v>Dry</v>
      </c>
      <c r="BV8" s="541">
        <f>INDEX([1]!List_StateInputAll,MATCH(BG8,[1]!List_StateInput,0),15)</f>
        <v>1</v>
      </c>
      <c r="BW8" s="539" t="str">
        <f>INDEX([1]!List_StateInputAll,MATCH(BG8,[1]!List_StateInput,0),16)</f>
        <v>APOR</v>
      </c>
      <c r="BX8" s="543">
        <f>INDEX([1]!List_StateInputAll,MATCH(BG8,[1]!List_StateInput,0),17)</f>
        <v>6.5</v>
      </c>
      <c r="BY8" s="543">
        <f>INDEX([1]!List_StateInputAll,MATCH(BG8,[1]!List_StateInput,0),18)</f>
        <v>8.5</v>
      </c>
      <c r="BZ8" s="543">
        <f>INDEX([1]!List_StateInputAll,MATCH(BG8,[1]!List_StateInput,0),19)</f>
        <v>5</v>
      </c>
      <c r="CA8" s="540">
        <f>INDEX([1]!List_StateInputAll,MATCH(BG8,[1]!List_StateInput,0),20)</f>
        <v>0</v>
      </c>
      <c r="CB8" s="540" t="str">
        <f>INDEX([1]!List_StateInputAll,MATCH(BG8,[1]!List_StateInput,0),21)</f>
        <v>Owner Occupied</v>
      </c>
      <c r="CC8" s="540" t="str">
        <f>INDEX([1]!List_StateInputAll,MATCH(BG8,[1]!List_StateInput,0),22)</f>
        <v>Purchase, Rate-Term, Cash-Out</v>
      </c>
      <c r="CD8" s="541">
        <f>INDEX([1]!List_StateInputAll,MATCH(BG8,[1]!List_StateInput,0),23)</f>
        <v>0</v>
      </c>
      <c r="CE8" s="541" t="str">
        <f>INDEX([1]!List_StateInputAll,MATCH(BG8,[1]!List_StateInput,0),24)</f>
        <v>Y</v>
      </c>
    </row>
    <row r="9" spans="2:86" ht="9.6" customHeight="1" x14ac:dyDescent="0.2">
      <c r="B9" s="2206" t="str">
        <f>Input_Name_Pricer</f>
        <v>LEAD PLUS Seconds Calculator</v>
      </c>
      <c r="C9" s="2207"/>
      <c r="D9" s="2207"/>
      <c r="E9" s="2207"/>
      <c r="F9" s="2207"/>
      <c r="G9" s="2207"/>
      <c r="H9" s="2207"/>
      <c r="I9" s="2207"/>
      <c r="J9" s="2207"/>
      <c r="K9" s="2208"/>
      <c r="U9" s="461"/>
      <c r="V9" s="461"/>
      <c r="X9" s="544" t="s">
        <v>1825</v>
      </c>
      <c r="Y9" s="544" t="s">
        <v>164</v>
      </c>
      <c r="Z9" s="545" t="e">
        <f>-Input_PL_IncentiveMaxAdj_LenderPaidComp+Input_PL_MaxPriceBase_IN_04PP+Input_PL_Incentive_IN+Input_PL_IncentiveMaxAdj_IN</f>
        <v>#N/A</v>
      </c>
      <c r="AA9" s="546" cm="1">
        <f t="array" ref="AA9">[1]!Input_MaxPriceNet_IN_04PP</f>
        <v>103.5</v>
      </c>
      <c r="AB9" s="464"/>
      <c r="AC9" s="1916" t="s">
        <v>2308</v>
      </c>
      <c r="AD9" s="1912" t="s">
        <v>341</v>
      </c>
      <c r="AE9" s="531">
        <v>1</v>
      </c>
      <c r="AF9" s="532" t="str">
        <f t="shared" si="0"/>
        <v>PUD-Rural</v>
      </c>
      <c r="AG9" s="533">
        <f>IF(AF9="","",MAX(AG$4:AG8)+1)</f>
        <v>5</v>
      </c>
      <c r="AH9" s="534" t="str">
        <f t="shared" si="1"/>
        <v>PUD-Rural</v>
      </c>
      <c r="AI9" s="460" t="s">
        <v>76</v>
      </c>
      <c r="AQ9" s="547">
        <v>75</v>
      </c>
      <c r="AR9" s="548" t="s">
        <v>29</v>
      </c>
      <c r="AS9" s="549">
        <v>6</v>
      </c>
      <c r="AV9" s="1124" t="s">
        <v>1303</v>
      </c>
      <c r="AW9" s="1096" t="s">
        <v>1068</v>
      </c>
      <c r="AX9" s="1097" t="str">
        <f t="shared" si="2"/>
        <v>PT_012.1250000000</v>
      </c>
      <c r="AY9" s="1098">
        <f>[1]!PR_R05</f>
        <v>12.125</v>
      </c>
      <c r="AZ9" s="1099">
        <f>[1]!PR_ARM05_P05+Input_PL_Incentive_PR</f>
        <v>-2</v>
      </c>
      <c r="BA9" s="1099">
        <f>[1]!PR_FRM30_P05+Input_PL_Incentive_PR</f>
        <v>111</v>
      </c>
      <c r="BB9" s="1097">
        <f t="shared" si="6"/>
        <v>111</v>
      </c>
      <c r="BC9" s="1097" t="str">
        <f t="shared" si="4"/>
        <v>PT_111.0000000000</v>
      </c>
      <c r="BD9" s="1097"/>
      <c r="BE9" s="1125" t="s">
        <v>1561</v>
      </c>
      <c r="BG9" s="538" t="s">
        <v>41</v>
      </c>
      <c r="BH9" s="539" t="str">
        <f>INDEX([1]!List_StateInputAll,MATCH(BG9,[1]!List_StateInput,0),2)</f>
        <v>CA</v>
      </c>
      <c r="BI9" s="540" t="str">
        <f>INDEX([1]!List_StateInputAll,MATCH(BG9,[1]!List_StateInput,0),3)</f>
        <v>Y</v>
      </c>
      <c r="BJ9" s="540" t="str">
        <f>INDEX([1]!List_StateInputAll,MATCH(BG9,[1]!List_StateInput,0),4)</f>
        <v>Y</v>
      </c>
      <c r="BK9" s="540" t="str">
        <f>INDEX([1]!List_StateInputAll,MATCH(BG9,[1]!List_StateInput,0),5)</f>
        <v xml:space="preserve"> </v>
      </c>
      <c r="BL9" s="540" t="str">
        <f>INDEX([1]!List_StateInputAll,MATCH(BG9,[1]!List_StateInput,0),6)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9" s="540" t="str">
        <f>INDEX([1]!List_StateInputAll,MATCH(BG9,[1]!List_StateInput,0),7)</f>
        <v>Prepay only available on Business Purpose Loans</v>
      </c>
      <c r="BN9" s="540" t="str">
        <f>INDEX([1]!List_StateInputAll,MATCH(BG9,[1]!List_StateInput,0),8)</f>
        <v>California</v>
      </c>
      <c r="BO9" s="540" t="str">
        <f>INDEX([1]!List_StateInputAll,MATCH(BG9,[1]!List_StateInput,0),9)</f>
        <v>Y</v>
      </c>
      <c r="BP9" s="541" t="str">
        <f>INDEX([1]!List_StateInputAll,MATCH(BG9,[1]!List_StateInput,0),10)</f>
        <v>Y</v>
      </c>
      <c r="BQ9" s="540" t="str">
        <f>INDEX([1]!List_StateInputAll,MATCH(BG9,[1]!List_StateInput,0),11)</f>
        <v>Y</v>
      </c>
      <c r="BR9" s="542" t="str">
        <f>INDEX([1]!List_StateInputAll,MATCH(BG9,[1]!List_StateInput,0),12)</f>
        <v>Y</v>
      </c>
      <c r="BS9" s="541" t="str">
        <f>INDEX([1]!List_StateInputAll,MATCH(BG9,[1]!List_StateInput,0),13)</f>
        <v xml:space="preserve"> </v>
      </c>
      <c r="BT9" s="522" t="str">
        <f>IF(OR(Input_Ratesheet_Source="Corr1",Input_Ratesheet_Source="Corr2",Input_Ratesheet_Source="Corr3",Input_Ratesheet_Source="CorrND"),BI9,IF(Input_Ratesheet_Source="Whol",IF(Input_Occupancy="Non Owner Occupied",BP9,BO9),IF(Input_Ratesheet_Source="Retl",IF(Input_Occupancy="Non Owner Occupied",IF(IF(IFERROR(FIND(Input_ProductClass,Structure!BS9),0)&gt;=1,"N","Y")="N","N",BR9),BQ9),"")))</f>
        <v>Y</v>
      </c>
      <c r="BU9" s="541" t="str">
        <f>INDEX([1]!List_StateInputAll,MATCH(BG9,[1]!List_StateInput,0),14)</f>
        <v>Dry</v>
      </c>
      <c r="BV9" s="541">
        <f>INDEX([1]!List_StateInputAll,MATCH(BG9,[1]!List_StateInput,0),15)</f>
        <v>1</v>
      </c>
      <c r="BW9" s="539" t="str">
        <f>INDEX([1]!List_StateInputAll,MATCH(BG9,[1]!List_StateInput,0),16)</f>
        <v>Treasury</v>
      </c>
      <c r="BX9" s="543">
        <f>INDEX([1]!List_StateInputAll,MATCH(BG9,[1]!List_StateInput,0),17)</f>
        <v>8</v>
      </c>
      <c r="BY9" s="543">
        <f>INDEX([1]!List_StateInputAll,MATCH(BG9,[1]!List_StateInput,0),18)</f>
        <v>8</v>
      </c>
      <c r="BZ9" s="543">
        <f>INDEX([1]!List_StateInputAll,MATCH(BG9,[1]!List_StateInput,0),19)</f>
        <v>6</v>
      </c>
      <c r="CA9" s="540" t="str">
        <f>INDEX([1]!List_StateInputAll,MATCH(BG9,[1]!List_StateInput,0),20)</f>
        <v>Agency</v>
      </c>
      <c r="CB9" s="540" t="str">
        <f>INDEX([1]!List_StateInputAll,MATCH(BG9,[1]!List_StateInput,0),21)</f>
        <v>Owner Occupied</v>
      </c>
      <c r="CC9" s="540" t="str">
        <f>INDEX([1]!List_StateInputAll,MATCH(BG9,[1]!List_StateInput,0),22)</f>
        <v>Purchase, Rate-Term, Cash-Out</v>
      </c>
      <c r="CD9" s="541">
        <f>INDEX([1]!List_StateInputAll,MATCH(BG9,[1]!List_StateInput,0),23)</f>
        <v>0</v>
      </c>
      <c r="CE9" s="541" t="str">
        <f>INDEX([1]!List_StateInputAll,MATCH(BG9,[1]!List_StateInput,0),24)</f>
        <v>Y</v>
      </c>
    </row>
    <row r="10" spans="2:86" ht="9.6" customHeight="1" x14ac:dyDescent="0.2">
      <c r="B10" s="2201" t="s">
        <v>1064</v>
      </c>
      <c r="C10" s="2202"/>
      <c r="D10" s="2202"/>
      <c r="E10" s="2202"/>
      <c r="F10" s="2202"/>
      <c r="G10" s="2202"/>
      <c r="H10" s="2202"/>
      <c r="I10" s="2202"/>
      <c r="J10" s="2202"/>
      <c r="K10" s="2202"/>
      <c r="L10" s="460" t="s">
        <v>76</v>
      </c>
      <c r="P10" s="469" t="str">
        <f>INDEX(List_DocTypeAll,MATCH(Input_DocType,List_DocType,0),4)</f>
        <v>Doc05</v>
      </c>
      <c r="V10" s="461"/>
      <c r="X10" s="552" t="s">
        <v>1826</v>
      </c>
      <c r="Y10" s="552" t="s">
        <v>165</v>
      </c>
      <c r="Z10" s="553" t="e">
        <f>-Input_PL_IncentiveMaxAdj_LenderPaidComp+Input_PL_MaxPriceBase_IN_05PP+Input_PL_Incentive_IN+Input_PL_IncentiveMaxAdj_IN</f>
        <v>#N/A</v>
      </c>
      <c r="AA10" s="554" cm="1">
        <f t="array" ref="AA10">[1]!Input_MaxPriceNet_IN_05PP</f>
        <v>104</v>
      </c>
      <c r="AB10" s="464"/>
      <c r="AC10" s="1916" t="s">
        <v>222</v>
      </c>
      <c r="AD10" s="1912" t="s">
        <v>275</v>
      </c>
      <c r="AE10" s="531">
        <v>1</v>
      </c>
      <c r="AF10" s="532" t="str">
        <f t="shared" si="0"/>
        <v>Condo-Site</v>
      </c>
      <c r="AG10" s="533">
        <f>IF(AF10="","",MAX(AG$4:AG9)+1)</f>
        <v>6</v>
      </c>
      <c r="AH10" s="534" t="str">
        <f t="shared" si="1"/>
        <v>Condo-Site</v>
      </c>
      <c r="AI10" s="460" t="s">
        <v>76</v>
      </c>
      <c r="AQ10" s="547">
        <v>70</v>
      </c>
      <c r="AR10" s="548" t="s">
        <v>30</v>
      </c>
      <c r="AS10" s="549">
        <v>5</v>
      </c>
      <c r="AV10" s="1124" t="s">
        <v>1303</v>
      </c>
      <c r="AW10" s="1096" t="s">
        <v>1068</v>
      </c>
      <c r="AX10" s="1097" t="str">
        <f t="shared" si="2"/>
        <v>PT_012.0000000000</v>
      </c>
      <c r="AY10" s="1098">
        <f>[1]!PR_R06</f>
        <v>12</v>
      </c>
      <c r="AZ10" s="1099">
        <f>[1]!PR_ARM05_P06+Input_PL_Incentive_PR</f>
        <v>-2</v>
      </c>
      <c r="BA10" s="1099">
        <f>[1]!PR_FRM30_P06+Input_PL_Incentive_PR</f>
        <v>110.75</v>
      </c>
      <c r="BB10" s="1097">
        <f t="shared" si="6"/>
        <v>110.75</v>
      </c>
      <c r="BC10" s="1097" t="str">
        <f t="shared" si="4"/>
        <v>PT_110.7500000000</v>
      </c>
      <c r="BD10" s="1097"/>
      <c r="BE10" s="1125" t="s">
        <v>1562</v>
      </c>
      <c r="BG10" s="538" t="s">
        <v>370</v>
      </c>
      <c r="BH10" s="539" t="str">
        <f>INDEX([1]!List_StateInputAll,MATCH(BG10,[1]!List_StateInput,0),2)</f>
        <v>Non-CA</v>
      </c>
      <c r="BI10" s="540" t="str">
        <f>INDEX([1]!List_StateInputAll,MATCH(BG10,[1]!List_StateInput,0),3)</f>
        <v>Y</v>
      </c>
      <c r="BJ10" s="540" t="str">
        <f>INDEX([1]!List_StateInputAll,MATCH(BG10,[1]!List_StateInput,0),4)</f>
        <v>Y</v>
      </c>
      <c r="BK10" s="540" t="str">
        <f>INDEX([1]!List_StateInputAll,MATCH(BG10,[1]!List_StateInput,0),5)</f>
        <v xml:space="preserve"> </v>
      </c>
      <c r="BL10" s="540" t="str">
        <f>INDEX([1]!List_StateInputAll,MATCH(BG10,[1]!List_StateInput,0),6)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10" s="540" t="str">
        <f>INDEX([1]!List_StateInputAll,MATCH(BG10,[1]!List_StateInput,0),7)</f>
        <v>Prepay only available on Business Purpose Loans</v>
      </c>
      <c r="BN10" s="540" t="str">
        <f>INDEX([1]!List_StateInputAll,MATCH(BG10,[1]!List_StateInput,0),8)</f>
        <v>Colorado</v>
      </c>
      <c r="BO10" s="540" t="str">
        <f>INDEX([1]!List_StateInputAll,MATCH(BG10,[1]!List_StateInput,0),9)</f>
        <v>Y</v>
      </c>
      <c r="BP10" s="541" t="str">
        <f>INDEX([1]!List_StateInputAll,MATCH(BG10,[1]!List_StateInput,0),10)</f>
        <v>Y</v>
      </c>
      <c r="BQ10" s="540" t="str">
        <f>INDEX([1]!List_StateInputAll,MATCH(BG10,[1]!List_StateInput,0),11)</f>
        <v>Y</v>
      </c>
      <c r="BR10" s="542" t="str">
        <f>INDEX([1]!List_StateInputAll,MATCH(BG10,[1]!List_StateInput,0),12)</f>
        <v>Y</v>
      </c>
      <c r="BS10" s="541" t="str">
        <f>INDEX([1]!List_StateInputAll,MATCH(BG10,[1]!List_StateInput,0),13)</f>
        <v xml:space="preserve"> </v>
      </c>
      <c r="BT10" s="522" t="str">
        <f>IF(OR(Input_Ratesheet_Source="Corr1",Input_Ratesheet_Source="Corr2",Input_Ratesheet_Source="Corr3",Input_Ratesheet_Source="CorrND"),BI10,IF(Input_Ratesheet_Source="Whol",IF(Input_Occupancy="Non Owner Occupied",BP10,BO10),IF(Input_Ratesheet_Source="Retl",IF(Input_Occupancy="Non Owner Occupied",IF(IF(IFERROR(FIND(Input_ProductClass,Structure!BS10),0)&gt;=1,"N","Y")="N","N",BR10),BQ10),"")))</f>
        <v>Y</v>
      </c>
      <c r="BU10" s="541" t="str">
        <f>INDEX([1]!List_StateInputAll,MATCH(BG10,[1]!List_StateInput,0),14)</f>
        <v>Wet</v>
      </c>
      <c r="BV10" s="541">
        <f>INDEX([1]!List_StateInputAll,MATCH(BG10,[1]!List_StateInput,0),15)</f>
        <v>1</v>
      </c>
      <c r="BW10" s="539" t="str">
        <f>INDEX([1]!List_StateInputAll,MATCH(BG10,[1]!List_StateInput,0),16)</f>
        <v>APOR</v>
      </c>
      <c r="BX10" s="543">
        <f>INDEX([1]!List_StateInputAll,MATCH(BG10,[1]!List_StateInput,0),17)</f>
        <v>6.5</v>
      </c>
      <c r="BY10" s="543">
        <f>INDEX([1]!List_StateInputAll,MATCH(BG10,[1]!List_StateInput,0),18)</f>
        <v>8.5</v>
      </c>
      <c r="BZ10" s="543">
        <f>INDEX([1]!List_StateInputAll,MATCH(BG10,[1]!List_StateInput,0),19)</f>
        <v>6</v>
      </c>
      <c r="CA10" s="540">
        <f>INDEX([1]!List_StateInputAll,MATCH(BG10,[1]!List_StateInput,0),20)</f>
        <v>0</v>
      </c>
      <c r="CB10" s="540" t="str">
        <f>INDEX([1]!List_StateInputAll,MATCH(BG10,[1]!List_StateInput,0),21)</f>
        <v>Owner Occupied, Second Home</v>
      </c>
      <c r="CC10" s="540" t="str">
        <f>INDEX([1]!List_StateInputAll,MATCH(BG10,[1]!List_StateInput,0),22)</f>
        <v>Purchase, Rate-Term, Cash-Out</v>
      </c>
      <c r="CD10" s="541">
        <f>INDEX([1]!List_StateInputAll,MATCH(BG10,[1]!List_StateInput,0),23)</f>
        <v>0</v>
      </c>
      <c r="CE10" s="541" t="str">
        <f>INDEX([1]!List_StateInputAll,MATCH(BG10,[1]!List_StateInput,0),24)</f>
        <v>N</v>
      </c>
    </row>
    <row r="11" spans="2:86" ht="9.6" customHeight="1" x14ac:dyDescent="0.2">
      <c r="B11" s="555"/>
      <c r="C11" s="556"/>
      <c r="D11" s="556"/>
      <c r="E11" s="556"/>
      <c r="F11" s="557" t="str">
        <f>INDEX(List_ProductAll,MATCH(Input_Product,List_Product,0),2)&amp;"_"&amp;RIGHT("000"&amp;TRUNC(Input_NoteRate),3)&amp;TEXT(Input_NoteRate-TRUNC(Input_NoteRate),".0000000000")</f>
        <v>IT_009.0000000000</v>
      </c>
      <c r="G11" s="556"/>
      <c r="H11" s="556"/>
      <c r="I11" s="971">
        <f>IF(Error_NoteRate="Y",#N/A,IF(Input_NoteRate&lt;=Find_NoteRate_Min,Find_MarginGross02,Find_MarginGross01-((Find_NoteRate01-Input_NoteRate)/(Find_NoteRate01-Find_NoteRate02))*(Find_MarginGross01-Find_MarginGross02)))</f>
        <v>0</v>
      </c>
      <c r="J11" s="556"/>
      <c r="K11" s="558" t="s">
        <v>1033</v>
      </c>
      <c r="L11" s="460" t="s">
        <v>76</v>
      </c>
      <c r="M11" s="566" t="s">
        <v>70</v>
      </c>
      <c r="N11" s="567" t="s">
        <v>69</v>
      </c>
      <c r="O11" s="567" t="s">
        <v>71</v>
      </c>
      <c r="P11" s="567" t="s">
        <v>63</v>
      </c>
      <c r="Q11" s="568" t="s">
        <v>142</v>
      </c>
      <c r="R11" s="568" t="s">
        <v>109</v>
      </c>
      <c r="S11" s="568" t="s">
        <v>110</v>
      </c>
      <c r="T11" s="568" t="s">
        <v>147</v>
      </c>
      <c r="U11" s="569" t="s">
        <v>182</v>
      </c>
      <c r="V11" s="461"/>
      <c r="X11" s="544" t="s">
        <v>703</v>
      </c>
      <c r="Y11" s="544" t="s">
        <v>68</v>
      </c>
      <c r="Z11" s="545" t="e">
        <f>-Input_PL_IncentiveMaxAdj_LenderPaidComp+Input_PL_MaxPriceBase_IN_01PP+Input_PL_Incentive_IN+Input_PL_IncentiveMaxAdj_IN</f>
        <v>#N/A</v>
      </c>
      <c r="AA11" s="546" cm="1">
        <f t="array" ref="AA11">[1]!Input_MaxPriceNet_IN_01PP</f>
        <v>102.5</v>
      </c>
      <c r="AB11" s="464"/>
      <c r="AC11" s="1916" t="s">
        <v>130</v>
      </c>
      <c r="AD11" s="1912" t="s">
        <v>337</v>
      </c>
      <c r="AE11" s="531">
        <v>1</v>
      </c>
      <c r="AF11" s="532" t="str">
        <f t="shared" si="0"/>
        <v>Condo-Warrantable</v>
      </c>
      <c r="AG11" s="533">
        <f>IF(AF11="","",MAX(AG$4:AG10)+1)</f>
        <v>7</v>
      </c>
      <c r="AH11" s="534" t="str">
        <f t="shared" si="1"/>
        <v>Condo-Warrantable</v>
      </c>
      <c r="AI11" s="460" t="s">
        <v>76</v>
      </c>
      <c r="AQ11" s="547">
        <v>65</v>
      </c>
      <c r="AR11" s="548" t="s">
        <v>31</v>
      </c>
      <c r="AS11" s="549">
        <v>4</v>
      </c>
      <c r="AV11" s="1124" t="s">
        <v>1303</v>
      </c>
      <c r="AW11" s="1096" t="s">
        <v>1068</v>
      </c>
      <c r="AX11" s="1097" t="str">
        <f t="shared" si="2"/>
        <v>PT_011.8750000000</v>
      </c>
      <c r="AY11" s="1098">
        <f>[1]!PR_R07</f>
        <v>11.875</v>
      </c>
      <c r="AZ11" s="1099">
        <f>[1]!PR_ARM05_P07+Input_PL_Incentive_PR</f>
        <v>-2</v>
      </c>
      <c r="BA11" s="1099">
        <f>[1]!PR_FRM30_P07+Input_PL_Incentive_PR</f>
        <v>110.5</v>
      </c>
      <c r="BB11" s="1097">
        <f t="shared" si="6"/>
        <v>110.5</v>
      </c>
      <c r="BC11" s="1097" t="str">
        <f t="shared" si="4"/>
        <v>PT_110.5000000000</v>
      </c>
      <c r="BD11" s="1097"/>
      <c r="BE11" s="1125" t="s">
        <v>1563</v>
      </c>
      <c r="BG11" s="538" t="s">
        <v>112</v>
      </c>
      <c r="BH11" s="539" t="str">
        <f>INDEX([1]!List_StateInputAll,MATCH(BG11,[1]!List_StateInput,0),2)</f>
        <v>Non-CA</v>
      </c>
      <c r="BI11" s="540" t="str">
        <f>INDEX([1]!List_StateInputAll,MATCH(BG11,[1]!List_StateInput,0),3)</f>
        <v>Y</v>
      </c>
      <c r="BJ11" s="540" t="str">
        <f>INDEX([1]!List_StateInputAll,MATCH(BG11,[1]!List_StateInput,0),4)</f>
        <v>Y</v>
      </c>
      <c r="BK11" s="540" t="str">
        <f>INDEX([1]!List_StateInputAll,MATCH(BG11,[1]!List_StateInput,0),5)</f>
        <v xml:space="preserve"> </v>
      </c>
      <c r="BL11" s="540" t="str">
        <f>INDEX([1]!List_StateInputAll,MATCH(BG11,[1]!List_StateInput,0),6)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11" s="540" t="str">
        <f>INDEX([1]!List_StateInputAll,MATCH(BG11,[1]!List_StateInput,0),7)</f>
        <v>Prepay only available on Business Purpose Loans</v>
      </c>
      <c r="BN11" s="540" t="str">
        <f>INDEX([1]!List_StateInputAll,MATCH(BG11,[1]!List_StateInput,0),8)</f>
        <v>Connecticut</v>
      </c>
      <c r="BO11" s="540" t="str">
        <f>INDEX([1]!List_StateInputAll,MATCH(BG11,[1]!List_StateInput,0),9)</f>
        <v>Y</v>
      </c>
      <c r="BP11" s="541" t="str">
        <f>INDEX([1]!List_StateInputAll,MATCH(BG11,[1]!List_StateInput,0),10)</f>
        <v>Y</v>
      </c>
      <c r="BQ11" s="540" t="str">
        <f>INDEX([1]!List_StateInputAll,MATCH(BG11,[1]!List_StateInput,0),11)</f>
        <v>N</v>
      </c>
      <c r="BR11" s="542" t="str">
        <f>INDEX([1]!List_StateInputAll,MATCH(BG11,[1]!List_StateInput,0),12)</f>
        <v>Y</v>
      </c>
      <c r="BS11" s="541" t="str">
        <f>INDEX([1]!List_StateInputAll,MATCH(BG11,[1]!List_StateInput,0),13)</f>
        <v xml:space="preserve"> </v>
      </c>
      <c r="BT11" s="522" t="str">
        <f>IF(OR(Input_Ratesheet_Source="Corr1",Input_Ratesheet_Source="Corr2",Input_Ratesheet_Source="Corr3",Input_Ratesheet_Source="CorrND"),BI11,IF(Input_Ratesheet_Source="Whol",IF(Input_Occupancy="Non Owner Occupied",BP11,BO11),IF(Input_Ratesheet_Source="Retl",IF(Input_Occupancy="Non Owner Occupied",IF(IF(IFERROR(FIND(Input_ProductClass,Structure!BS11),0)&gt;=1,"N","Y")="N","N",BR11),BQ11),"")))</f>
        <v>Y</v>
      </c>
      <c r="BU11" s="541" t="str">
        <f>INDEX([1]!List_StateInputAll,MATCH(BG11,[1]!List_StateInput,0),14)</f>
        <v>Wet</v>
      </c>
      <c r="BV11" s="541">
        <f>INDEX([1]!List_StateInputAll,MATCH(BG11,[1]!List_StateInput,0),15)</f>
        <v>1</v>
      </c>
      <c r="BW11" s="539" t="str">
        <f>INDEX([1]!List_StateInputAll,MATCH(BG11,[1]!List_StateInput,0),16)</f>
        <v>APOR</v>
      </c>
      <c r="BX11" s="543">
        <f>INDEX([1]!List_StateInputAll,MATCH(BG11,[1]!List_StateInput,0),17)</f>
        <v>6.5</v>
      </c>
      <c r="BY11" s="543">
        <f>INDEX([1]!List_StateInputAll,MATCH(BG11,[1]!List_StateInput,0),18)</f>
        <v>8.5</v>
      </c>
      <c r="BZ11" s="543">
        <f>INDEX([1]!List_StateInputAll,MATCH(BG11,[1]!List_StateInput,0),19)</f>
        <v>5</v>
      </c>
      <c r="CA11" s="540">
        <f>INDEX([1]!List_StateInputAll,MATCH(BG11,[1]!List_StateInput,0),20)</f>
        <v>0</v>
      </c>
      <c r="CB11" s="540" t="str">
        <f>INDEX([1]!List_StateInputAll,MATCH(BG11,[1]!List_StateInput,0),21)</f>
        <v>Owner Occupied</v>
      </c>
      <c r="CC11" s="540" t="str">
        <f>INDEX([1]!List_StateInputAll,MATCH(BG11,[1]!List_StateInput,0),22)</f>
        <v>Purchase, Rate-Term, Cash-Out</v>
      </c>
      <c r="CD11" s="541">
        <f>INDEX([1]!List_StateInputAll,MATCH(BG11,[1]!List_StateInput,0),23)</f>
        <v>0</v>
      </c>
      <c r="CE11" s="541" t="str">
        <f>INDEX([1]!List_StateInputAll,MATCH(BG11,[1]!List_StateInput,0),24)</f>
        <v>N</v>
      </c>
    </row>
    <row r="12" spans="2:86" ht="9.6" customHeight="1" x14ac:dyDescent="0.2">
      <c r="B12" s="559"/>
      <c r="C12" s="560" t="s">
        <v>2</v>
      </c>
      <c r="D12" s="561" t="str">
        <f>Input_Product</f>
        <v>Second NOO</v>
      </c>
      <c r="E12" s="944">
        <f>_xlfn.AGGREGATE(14,6,Lookup_Price_Output_Rate,1)</f>
        <v>13.375</v>
      </c>
      <c r="F12" s="970">
        <f>Lookup_Price_Rate_Output_01</f>
        <v>9</v>
      </c>
      <c r="G12" s="971">
        <f>Lookup_Price_PriceGross_Output_01</f>
        <v>101.25</v>
      </c>
      <c r="H12" s="562" t="str">
        <f>INDEX(List_ProductCode,MATCH((INDEX(List_ProductAll,MATCH(Input_Product,List_Product,0),3)&amp;INDEX(List_AmortTermAll,MATCH(Input_AmortTerm,List_AmortTerm,0),4)&amp;INDEX(List_AmortType_All,MATCH(Input_AmortType,List_AmortType,0),3)),List_ProductCode,0),1)</f>
        <v>IT30F</v>
      </c>
      <c r="I12" s="563" t="str">
        <f>IF(OR(Elig!BC5=0,TRIM(IFERROR(Output_Msg_LLPA_CreditScore,""))&lt;&gt;"",TRIM(IFERROR(Output_Msg_LLPA_LTV,""))&lt;&gt;"",TRIM(IFERROR(Output_Msg_LLPA_LoanAmt,""))&lt;&gt;"",TRIM(IFERROR(Output_Msg_LLPA_ReservesMonths,""))&lt;&gt;"",TRIM(IFERROR(Output_Msg_LLPA_CashoutAmt,""))&lt;&gt;"",TRIM(IFERROR(Output_Msg_LLPA_DTI,""))&lt;&gt;""),"INELIGIBLE SCENARIO ","")&amp;Output_Msg_Elig</f>
        <v xml:space="preserve"> </v>
      </c>
      <c r="J12" s="971">
        <f>INDEX(Lookup_Price_Output_All,MATCH(Lookup_Price_Code_Output_01,Lookup_Price_Output_Code,0),6)</f>
        <v>0</v>
      </c>
      <c r="K12" s="565" t="str">
        <f>INDEX(List_ProductAll,MATCH(Input_Product,List_Product,0),3)&amp;INDEX(List_AmortTermAll,MATCH(Input_AmortTerm,List_AmortTerm,0),4)&amp;INDEX(List_AmortType_All,MATCH(Input_AmortType,List_AmortType,0),3)</f>
        <v>IT30F</v>
      </c>
      <c r="L12" s="460" t="s">
        <v>76</v>
      </c>
      <c r="M12" s="575" t="s">
        <v>1407</v>
      </c>
      <c r="N12" s="576" t="s">
        <v>1055</v>
      </c>
      <c r="O12" s="577" t="s">
        <v>52</v>
      </c>
      <c r="P12" s="577" t="s">
        <v>93</v>
      </c>
      <c r="Q12" s="578" t="s">
        <v>136</v>
      </c>
      <c r="R12" s="577" t="s">
        <v>106</v>
      </c>
      <c r="S12" s="578" t="s">
        <v>107</v>
      </c>
      <c r="T12" s="579" t="str">
        <f>IF(OR(Input_ProductClass="Second",Input_ProductClass="Closed End 2nd TD"),"See Matrix","Standard FNMA Documentation")</f>
        <v>Standard FNMA Documentation</v>
      </c>
      <c r="U12" s="580" t="s">
        <v>172</v>
      </c>
      <c r="V12" s="461"/>
      <c r="X12" s="544" t="s">
        <v>702</v>
      </c>
      <c r="Y12" s="544" t="s">
        <v>67</v>
      </c>
      <c r="Z12" s="545" t="e">
        <f>-Input_PL_IncentiveMaxAdj_LenderPaidComp+Input_PL_MaxPriceBase_IN_02PP+Input_PL_Incentive_IN+Input_PL_IncentiveMaxAdj_IN</f>
        <v>#N/A</v>
      </c>
      <c r="AA12" s="546" cm="1">
        <f t="array" ref="AA12">[1]!Input_MaxPriceNet_IN_02PP</f>
        <v>102.75</v>
      </c>
      <c r="AB12" s="464"/>
      <c r="AC12" s="1916" t="s">
        <v>131</v>
      </c>
      <c r="AD12" s="1912" t="s">
        <v>338</v>
      </c>
      <c r="AE12" s="531">
        <v>1</v>
      </c>
      <c r="AF12" s="532" t="str">
        <f t="shared" si="0"/>
        <v/>
      </c>
      <c r="AG12" s="533" t="str">
        <f>IF(AF12="","",MAX(AG$4:AG11)+1)</f>
        <v/>
      </c>
      <c r="AH12" s="534" t="str">
        <f t="shared" si="1"/>
        <v>2-Unit</v>
      </c>
      <c r="AI12" s="460" t="s">
        <v>76</v>
      </c>
      <c r="AQ12" s="547">
        <v>60</v>
      </c>
      <c r="AR12" s="548" t="s">
        <v>84</v>
      </c>
      <c r="AS12" s="549">
        <v>3</v>
      </c>
      <c r="AV12" s="1124" t="s">
        <v>1303</v>
      </c>
      <c r="AW12" s="1096" t="s">
        <v>1068</v>
      </c>
      <c r="AX12" s="1097" t="str">
        <f t="shared" si="2"/>
        <v>PT_011.7500000000</v>
      </c>
      <c r="AY12" s="1098">
        <f>[1]!PR_R08</f>
        <v>11.75</v>
      </c>
      <c r="AZ12" s="1099">
        <f>[1]!PR_ARM05_P08+Input_PL_Incentive_PR</f>
        <v>-2</v>
      </c>
      <c r="BA12" s="1099">
        <f>[1]!PR_FRM30_P08+Input_PL_Incentive_PR</f>
        <v>110.25</v>
      </c>
      <c r="BB12" s="1097">
        <f t="shared" si="6"/>
        <v>110.25</v>
      </c>
      <c r="BC12" s="1097" t="str">
        <f t="shared" si="4"/>
        <v>PT_110.2500000000</v>
      </c>
      <c r="BD12" s="1097"/>
      <c r="BE12" s="1125" t="s">
        <v>1564</v>
      </c>
      <c r="BG12" s="538" t="s">
        <v>371</v>
      </c>
      <c r="BH12" s="539" t="str">
        <f>INDEX([1]!List_StateInputAll,MATCH(BG12,[1]!List_StateInput,0),2)</f>
        <v>Non-CA</v>
      </c>
      <c r="BI12" s="540" t="str">
        <f>INDEX([1]!List_StateInputAll,MATCH(BG12,[1]!List_StateInput,0),3)</f>
        <v>Y</v>
      </c>
      <c r="BJ12" s="540" t="str">
        <f>INDEX([1]!List_StateInputAll,MATCH(BG12,[1]!List_StateInput,0),4)</f>
        <v>Y</v>
      </c>
      <c r="BK12" s="540" t="str">
        <f>INDEX([1]!List_StateInputAll,MATCH(BG12,[1]!List_StateInput,0),5)</f>
        <v xml:space="preserve"> </v>
      </c>
      <c r="BL12" s="540" t="str">
        <f>INDEX([1]!List_StateInputAll,MATCH(BG12,[1]!List_StateInput,0),6)</f>
        <v>No Prepay, 1yr Prepay_Standard, 2yr Prepay_Standard, 3yr Prepay_Standard</v>
      </c>
      <c r="BM12" s="540" t="str">
        <f>INDEX([1]!List_StateInputAll,MATCH(BG12,[1]!List_StateInput,0),7)</f>
        <v>Prepay Restriction May Apply.  Prepay only available on Business Purpose Loans</v>
      </c>
      <c r="BN12" s="540" t="str">
        <f>INDEX([1]!List_StateInputAll,MATCH(BG12,[1]!List_StateInput,0),8)</f>
        <v>DistrictofColumbia</v>
      </c>
      <c r="BO12" s="540" t="str">
        <f>INDEX([1]!List_StateInputAll,MATCH(BG12,[1]!List_StateInput,0),9)</f>
        <v>Y</v>
      </c>
      <c r="BP12" s="541" t="str">
        <f>INDEX([1]!List_StateInputAll,MATCH(BG12,[1]!List_StateInput,0),10)</f>
        <v>Y</v>
      </c>
      <c r="BQ12" s="540" t="str">
        <f>INDEX([1]!List_StateInputAll,MATCH(BG12,[1]!List_StateInput,0),11)</f>
        <v>N</v>
      </c>
      <c r="BR12" s="542" t="str">
        <f>INDEX([1]!List_StateInputAll,MATCH(BG12,[1]!List_StateInput,0),12)</f>
        <v>Y</v>
      </c>
      <c r="BS12" s="541" t="str">
        <f>INDEX([1]!List_StateInputAll,MATCH(BG12,[1]!List_StateInput,0),13)</f>
        <v xml:space="preserve"> </v>
      </c>
      <c r="BT12" s="522" t="str">
        <f>IF(OR(Input_Ratesheet_Source="Corr1",Input_Ratesheet_Source="Corr2",Input_Ratesheet_Source="Corr3",Input_Ratesheet_Source="CorrND"),BI12,IF(Input_Ratesheet_Source="Whol",IF(Input_Occupancy="Non Owner Occupied",BP12,BO12),IF(Input_Ratesheet_Source="Retl",IF(Input_Occupancy="Non Owner Occupied",IF(IF(IFERROR(FIND(Input_ProductClass,Structure!BS12),0)&gt;=1,"N","Y")="N","N",BR12),BQ12),"")))</f>
        <v>Y</v>
      </c>
      <c r="BU12" s="541" t="str">
        <f>INDEX([1]!List_StateInputAll,MATCH(BG12,[1]!List_StateInput,0),14)</f>
        <v>Wet</v>
      </c>
      <c r="BV12" s="541">
        <f>INDEX([1]!List_StateInputAll,MATCH(BG12,[1]!List_StateInput,0),15)</f>
        <v>1</v>
      </c>
      <c r="BW12" s="539" t="str">
        <f>INDEX([1]!List_StateInputAll,MATCH(BG12,[1]!List_StateInput,0),16)</f>
        <v>Treasury</v>
      </c>
      <c r="BX12" s="543">
        <f>INDEX([1]!List_StateInputAll,MATCH(BG12,[1]!List_StateInput,0),17)</f>
        <v>6</v>
      </c>
      <c r="BY12" s="543">
        <f>INDEX([1]!List_StateInputAll,MATCH(BG12,[1]!List_StateInput,0),18)</f>
        <v>7</v>
      </c>
      <c r="BZ12" s="543">
        <f>INDEX([1]!List_StateInputAll,MATCH(BG12,[1]!List_StateInput,0),19)</f>
        <v>5</v>
      </c>
      <c r="CA12" s="540">
        <f>INDEX([1]!List_StateInputAll,MATCH(BG12,[1]!List_StateInput,0),20)</f>
        <v>0</v>
      </c>
      <c r="CB12" s="540" t="str">
        <f>INDEX([1]!List_StateInputAll,MATCH(BG12,[1]!List_StateInput,0),21)</f>
        <v>Owner Occupied</v>
      </c>
      <c r="CC12" s="540" t="str">
        <f>INDEX([1]!List_StateInputAll,MATCH(BG12,[1]!List_StateInput,0),22)</f>
        <v>Purchase, Rate-Term, Cash-Out</v>
      </c>
      <c r="CD12" s="541">
        <f>INDEX([1]!List_StateInputAll,MATCH(BG12,[1]!List_StateInput,0),23)</f>
        <v>0</v>
      </c>
      <c r="CE12" s="541" t="str">
        <f>INDEX([1]!List_StateInputAll,MATCH(BG12,[1]!List_StateInput,0),24)</f>
        <v>N</v>
      </c>
    </row>
    <row r="13" spans="2:86" ht="9.6" customHeight="1" x14ac:dyDescent="0.2">
      <c r="B13" s="559"/>
      <c r="C13" s="560" t="s">
        <v>92</v>
      </c>
      <c r="D13" s="571">
        <f>Input_NoteRate</f>
        <v>9</v>
      </c>
      <c r="E13" s="945">
        <f>_xlfn.AGGREGATE(15,6,Lookup_Price_Output_Rate,1)</f>
        <v>8.375</v>
      </c>
      <c r="F13" s="943">
        <f>Lookup_Price_Rate_Output_02</f>
        <v>8.875</v>
      </c>
      <c r="G13" s="972">
        <f>Lookup_Price_PriceGross_Output_02</f>
        <v>100.75</v>
      </c>
      <c r="H13" s="572">
        <f>IF(Error_NoteRate="Y",#N/A,IF(Input_NoteRate&lt;=Find_NoteRate_Min,Find_PriceGross02,Find_PriceGross01-((Find_NoteRate01-Input_NoteRate)/(Find_NoteRate01-Find_NoteRate02))*(Find_PriceGross01-Find_PriceGross02)))</f>
        <v>101.25</v>
      </c>
      <c r="I13" s="573" t="str">
        <f>IF(Input_ProductClass="HELOC","Margin: "&amp;TEXT(Output_MarginNoteRate,"#,###.0000"),"")</f>
        <v/>
      </c>
      <c r="J13" s="972">
        <f>INDEX(Lookup_Price_Output_All,MATCH(Lookup_Price_Code_Output_02,Lookup_Price_Output_Code,0),6)</f>
        <v>0</v>
      </c>
      <c r="K13" s="573" t="str">
        <f>_xlfn.IFNA("Final: "&amp;TEXT(Output_PriceFinal,"#,###.000")&amp; IF(Input_Ratesheet_Source="Whol"," Target: "&amp;TEXT(Output_Rate_Target,"#,###.000"),"")&amp;" ("&amp;TEXT(Find_NoteRate_Min,"#,###.000")&amp;"-"&amp;TEXT(Find_NoteRate_Max,"#,###.000")&amp;")",IF(Input_Ratesheet_Source="Whol","Target: "&amp;TEXT(Output_Rate_Target,"#,###.000"),"")&amp;" ("&amp;TEXT(Find_NoteRate_Min,"#,###.000")&amp;"-"&amp;TEXT(Find_NoteRate_Max,"#,###.000")&amp;")")</f>
        <v>Final: 101.125 (8.375-13.375)</v>
      </c>
      <c r="L13" s="460" t="s">
        <v>76</v>
      </c>
      <c r="M13" s="591" t="s">
        <v>1408</v>
      </c>
      <c r="N13" s="592" t="s">
        <v>1055</v>
      </c>
      <c r="O13" s="593" t="s">
        <v>53</v>
      </c>
      <c r="P13" s="593" t="s">
        <v>93</v>
      </c>
      <c r="Q13" s="594" t="s">
        <v>136</v>
      </c>
      <c r="R13" s="592" t="s">
        <v>106</v>
      </c>
      <c r="S13" s="594" t="s">
        <v>107</v>
      </c>
      <c r="T13" s="592" t="s">
        <v>155</v>
      </c>
      <c r="U13" s="595" t="s">
        <v>173</v>
      </c>
      <c r="V13" s="461"/>
      <c r="X13" s="544" t="s">
        <v>701</v>
      </c>
      <c r="Y13" s="544" t="s">
        <v>66</v>
      </c>
      <c r="Z13" s="545" t="e">
        <f>-Input_PL_IncentiveMaxAdj_LenderPaidComp+Input_PL_MaxPriceBase_IN_03PP+Input_PL_Incentive_IN+Input_PL_IncentiveMaxAdj_IN</f>
        <v>#N/A</v>
      </c>
      <c r="AA13" s="546" cm="1">
        <f t="array" ref="AA13">[1]!Input_MaxPriceNet_IN_03PP</f>
        <v>103.25</v>
      </c>
      <c r="AB13" s="464"/>
      <c r="AC13" s="1916" t="s">
        <v>1397</v>
      </c>
      <c r="AD13" s="1912" t="s">
        <v>112</v>
      </c>
      <c r="AE13" s="531">
        <v>1</v>
      </c>
      <c r="AF13" s="532" t="str">
        <f t="shared" si="0"/>
        <v/>
      </c>
      <c r="AG13" s="533" t="str">
        <f>IF(AF13="","",MAX(AG$4:AG12)+1)</f>
        <v/>
      </c>
      <c r="AH13" s="534" t="str">
        <f t="shared" si="1"/>
        <v>3-Unit</v>
      </c>
      <c r="AI13" s="460" t="s">
        <v>76</v>
      </c>
      <c r="AQ13" s="547">
        <v>55</v>
      </c>
      <c r="AR13" s="548" t="s">
        <v>15</v>
      </c>
      <c r="AS13" s="549">
        <v>2</v>
      </c>
      <c r="AV13" s="1124" t="s">
        <v>1303</v>
      </c>
      <c r="AW13" s="1096" t="s">
        <v>1068</v>
      </c>
      <c r="AX13" s="1097" t="str">
        <f t="shared" si="2"/>
        <v>PT_011.6250000000</v>
      </c>
      <c r="AY13" s="1098">
        <f>[1]!PR_R09</f>
        <v>11.625</v>
      </c>
      <c r="AZ13" s="1099">
        <f>[1]!PR_ARM05_P09+Input_PL_Incentive_PR</f>
        <v>-2</v>
      </c>
      <c r="BA13" s="1099">
        <f>[1]!PR_FRM30_P09+Input_PL_Incentive_PR</f>
        <v>110</v>
      </c>
      <c r="BB13" s="1097">
        <f t="shared" si="6"/>
        <v>110</v>
      </c>
      <c r="BC13" s="1097" t="str">
        <f t="shared" si="4"/>
        <v>PT_110.0000000000</v>
      </c>
      <c r="BD13" s="1097"/>
      <c r="BE13" s="1125" t="s">
        <v>1565</v>
      </c>
      <c r="BG13" s="538" t="s">
        <v>372</v>
      </c>
      <c r="BH13" s="539" t="str">
        <f>INDEX([1]!List_StateInputAll,MATCH(BG13,[1]!List_StateInput,0),2)</f>
        <v>Non-CA</v>
      </c>
      <c r="BI13" s="540" t="str">
        <f>INDEX([1]!List_StateInputAll,MATCH(BG13,[1]!List_StateInput,0),3)</f>
        <v>Y</v>
      </c>
      <c r="BJ13" s="540" t="str">
        <f>INDEX([1]!List_StateInputAll,MATCH(BG13,[1]!List_StateInput,0),4)</f>
        <v>Y</v>
      </c>
      <c r="BK13" s="540" t="str">
        <f>INDEX([1]!List_StateInputAll,MATCH(BG13,[1]!List_StateInput,0),5)</f>
        <v xml:space="preserve"> </v>
      </c>
      <c r="BL13" s="540" t="str">
        <f>INDEX([1]!List_StateInputAll,MATCH(BG13,[1]!List_StateInput,0),6)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13" s="570" t="str">
        <f>INDEX([1]!List_StateInputAll,MATCH(BG13,[1]!List_StateInput,0),7)</f>
        <v>Prepay only available on Business Purpose Loans</v>
      </c>
      <c r="BN13" s="540" t="str">
        <f>INDEX([1]!List_StateInputAll,MATCH(BG13,[1]!List_StateInput,0),8)</f>
        <v>Delaware</v>
      </c>
      <c r="BO13" s="540" t="str">
        <f>INDEX([1]!List_StateInputAll,MATCH(BG13,[1]!List_StateInput,0),9)</f>
        <v>Y</v>
      </c>
      <c r="BP13" s="541" t="str">
        <f>INDEX([1]!List_StateInputAll,MATCH(BG13,[1]!List_StateInput,0),10)</f>
        <v>Y</v>
      </c>
      <c r="BQ13" s="540" t="str">
        <f>INDEX([1]!List_StateInputAll,MATCH(BG13,[1]!List_StateInput,0),11)</f>
        <v>N</v>
      </c>
      <c r="BR13" s="542" t="str">
        <f>INDEX([1]!List_StateInputAll,MATCH(BG13,[1]!List_StateInput,0),12)</f>
        <v>Y</v>
      </c>
      <c r="BS13" s="541" t="str">
        <f>INDEX([1]!List_StateInputAll,MATCH(BG13,[1]!List_StateInput,0),13)</f>
        <v xml:space="preserve"> </v>
      </c>
      <c r="BT13" s="522" t="str">
        <f>IF(OR(Input_Ratesheet_Source="Corr1",Input_Ratesheet_Source="Corr2",Input_Ratesheet_Source="Corr3",Input_Ratesheet_Source="CorrND"),BI13,IF(Input_Ratesheet_Source="Whol",IF(Input_Occupancy="Non Owner Occupied",BP13,BO13),IF(Input_Ratesheet_Source="Retl",IF(Input_Occupancy="Non Owner Occupied",IF(IF(IFERROR(FIND(Input_ProductClass,Structure!BS13),0)&gt;=1,"N","Y")="N","N",BR13),BQ13),"")))</f>
        <v>Y</v>
      </c>
      <c r="BU13" s="541" t="str">
        <f>INDEX([1]!List_StateInputAll,MATCH(BG13,[1]!List_StateInput,0),14)</f>
        <v>Wet</v>
      </c>
      <c r="BV13" s="541">
        <f>INDEX([1]!List_StateInputAll,MATCH(BG13,[1]!List_StateInput,0),15)</f>
        <v>1</v>
      </c>
      <c r="BW13" s="539" t="str">
        <f>INDEX([1]!List_StateInputAll,MATCH(BG13,[1]!List_StateInput,0),16)</f>
        <v>APOR</v>
      </c>
      <c r="BX13" s="543">
        <f>INDEX([1]!List_StateInputAll,MATCH(BG13,[1]!List_StateInput,0),17)</f>
        <v>6.5</v>
      </c>
      <c r="BY13" s="543">
        <f>INDEX([1]!List_StateInputAll,MATCH(BG13,[1]!List_StateInput,0),18)</f>
        <v>8.5</v>
      </c>
      <c r="BZ13" s="543">
        <f>INDEX([1]!List_StateInputAll,MATCH(BG13,[1]!List_StateInput,0),19)</f>
        <v>5</v>
      </c>
      <c r="CA13" s="540">
        <f>INDEX([1]!List_StateInputAll,MATCH(BG13,[1]!List_StateInput,0),20)</f>
        <v>0</v>
      </c>
      <c r="CB13" s="540" t="str">
        <f>INDEX([1]!List_StateInputAll,MATCH(BG13,[1]!List_StateInput,0),21)</f>
        <v>Owner Occupied</v>
      </c>
      <c r="CC13" s="540" t="str">
        <f>INDEX([1]!List_StateInputAll,MATCH(BG13,[1]!List_StateInput,0),22)</f>
        <v>Purchase, Rate-Term, Cash-Out</v>
      </c>
      <c r="CD13" s="541">
        <f>INDEX([1]!List_StateInputAll,MATCH(BG13,[1]!List_StateInput,0),23)</f>
        <v>0</v>
      </c>
      <c r="CE13" s="541" t="str">
        <f>INDEX([1]!List_StateInputAll,MATCH(BG13,[1]!List_StateInput,0),24)</f>
        <v>Y</v>
      </c>
    </row>
    <row r="14" spans="2:86" ht="9.6" customHeight="1" x14ac:dyDescent="0.2">
      <c r="B14" s="559"/>
      <c r="C14" s="560" t="s">
        <v>39</v>
      </c>
      <c r="D14" s="584" t="str">
        <f>Input_Occupancy</f>
        <v>Non Owner Occupied</v>
      </c>
      <c r="E14" s="585"/>
      <c r="F14" s="586"/>
      <c r="G14" s="587"/>
      <c r="H14" s="588">
        <f>INDEX(Lookup_LLPAAll,MATCH(INDEX(List_ProductAll,MATCH(Input_Product,List_Product,0),2)&amp;"_"&amp;Input_Occupancy,Lookup_LLPA,0),INDEX(List_LTV_All,MATCH(Input_LTV,List_LTV,-1),3))</f>
        <v>0</v>
      </c>
      <c r="I14" s="589" t="str">
        <f>IF(TRIM(Elig_OverlayMessage_All)&lt;&gt;"","Overlay: "&amp;Elig_OverlayMessage_All,"")</f>
        <v/>
      </c>
      <c r="J14" s="564" t="s">
        <v>76</v>
      </c>
      <c r="K14" s="590" t="str">
        <f>INDEX(List_ProductAll,MATCH(Input_Product,List_Product,0),2)&amp;"_"&amp;Input_Occupancy</f>
        <v>IT_Non Owner Occupied</v>
      </c>
      <c r="L14" s="460" t="s">
        <v>76</v>
      </c>
      <c r="M14" s="591" t="s">
        <v>185</v>
      </c>
      <c r="N14" s="593" t="s">
        <v>1055</v>
      </c>
      <c r="O14" s="593" t="s">
        <v>54</v>
      </c>
      <c r="P14" s="593" t="s">
        <v>94</v>
      </c>
      <c r="Q14" s="594" t="s">
        <v>423</v>
      </c>
      <c r="R14" s="592" t="s">
        <v>106</v>
      </c>
      <c r="S14" s="594" t="s">
        <v>107</v>
      </c>
      <c r="T14" s="599" t="str">
        <f>IFERROR(IF(Input_Occupancy="Owner Occupied","Bank Statement (24mo, 12mo)",""),"Bank Statement (24mo, 12mo)")</f>
        <v/>
      </c>
      <c r="U14" s="595" t="s">
        <v>174</v>
      </c>
      <c r="V14" s="461"/>
      <c r="X14" s="544" t="s">
        <v>700</v>
      </c>
      <c r="Y14" s="544" t="s">
        <v>164</v>
      </c>
      <c r="Z14" s="545" t="e">
        <f>-Input_PL_IncentiveMaxAdj_LenderPaidComp+Input_PL_MaxPriceBase_IN_04PP+Input_PL_Incentive_IN+Input_PL_IncentiveMaxAdj_IN</f>
        <v>#N/A</v>
      </c>
      <c r="AA14" s="546" cm="1">
        <f t="array" ref="AA14">[1]!Input_MaxPriceNet_IN_04PP</f>
        <v>103.5</v>
      </c>
      <c r="AB14" s="464"/>
      <c r="AC14" s="1916" t="s">
        <v>132</v>
      </c>
      <c r="AD14" s="1912" t="s">
        <v>334</v>
      </c>
      <c r="AE14" s="531">
        <v>2</v>
      </c>
      <c r="AF14" s="532" t="str">
        <f t="shared" si="0"/>
        <v>2-Unit</v>
      </c>
      <c r="AG14" s="533">
        <f>IF(AF14="","",MAX(AG$4:AG13)+1)</f>
        <v>8</v>
      </c>
      <c r="AH14" s="534" t="str">
        <f t="shared" si="1"/>
        <v>4-Unit</v>
      </c>
      <c r="AI14" s="460" t="s">
        <v>76</v>
      </c>
      <c r="AQ14" s="581">
        <v>50</v>
      </c>
      <c r="AR14" s="582" t="s">
        <v>85</v>
      </c>
      <c r="AS14" s="583">
        <v>1</v>
      </c>
      <c r="AV14" s="1124" t="s">
        <v>1303</v>
      </c>
      <c r="AW14" s="1096" t="s">
        <v>1068</v>
      </c>
      <c r="AX14" s="1097" t="str">
        <f t="shared" si="2"/>
        <v>PT_011.5000000000</v>
      </c>
      <c r="AY14" s="1098">
        <f>[1]!PR_R10</f>
        <v>11.5</v>
      </c>
      <c r="AZ14" s="1099">
        <f>[1]!PR_ARM05_P10+Input_PL_Incentive_PR</f>
        <v>-2</v>
      </c>
      <c r="BA14" s="1099">
        <f>[1]!PR_FRM30_P10+Input_PL_Incentive_PR</f>
        <v>109.75</v>
      </c>
      <c r="BB14" s="1097">
        <f t="shared" si="6"/>
        <v>109.75</v>
      </c>
      <c r="BC14" s="1097" t="str">
        <f t="shared" si="4"/>
        <v>PT_109.7500000000</v>
      </c>
      <c r="BD14" s="1097"/>
      <c r="BE14" s="1125" t="s">
        <v>1566</v>
      </c>
      <c r="BG14" s="538" t="s">
        <v>373</v>
      </c>
      <c r="BH14" s="539" t="str">
        <f>INDEX([1]!List_StateInputAll,MATCH(BG14,[1]!List_StateInput,0),2)</f>
        <v>Non-CA</v>
      </c>
      <c r="BI14" s="540" t="str">
        <f>INDEX([1]!List_StateInputAll,MATCH(BG14,[1]!List_StateInput,0),3)</f>
        <v>Y</v>
      </c>
      <c r="BJ14" s="540" t="str">
        <f>INDEX([1]!List_StateInputAll,MATCH(BG14,[1]!List_StateInput,0),4)</f>
        <v>Y</v>
      </c>
      <c r="BK14" s="540" t="str">
        <f>INDEX([1]!List_StateInputAll,MATCH(BG14,[1]!List_StateInput,0),5)</f>
        <v xml:space="preserve"> </v>
      </c>
      <c r="BL14" s="540" t="str">
        <f>INDEX([1]!List_StateInputAll,MATCH(BG14,[1]!List_StateInput,0),6)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14" s="540" t="str">
        <f>INDEX([1]!List_StateInputAll,MATCH(BG14,[1]!List_StateInput,0),7)</f>
        <v>Prepay only available on Business Purpose Loans</v>
      </c>
      <c r="BN14" s="540" t="str">
        <f>INDEX([1]!List_StateInputAll,MATCH(BG14,[1]!List_StateInput,0),8)</f>
        <v>Florida</v>
      </c>
      <c r="BO14" s="540" t="str">
        <f>INDEX([1]!List_StateInputAll,MATCH(BG14,[1]!List_StateInput,0),9)</f>
        <v>Y</v>
      </c>
      <c r="BP14" s="541" t="str">
        <f>INDEX([1]!List_StateInputAll,MATCH(BG14,[1]!List_StateInput,0),10)</f>
        <v>Y</v>
      </c>
      <c r="BQ14" s="540" t="str">
        <f>INDEX([1]!List_StateInputAll,MATCH(BG14,[1]!List_StateInput,0),11)</f>
        <v>N</v>
      </c>
      <c r="BR14" s="542" t="str">
        <f>INDEX([1]!List_StateInputAll,MATCH(BG14,[1]!List_StateInput,0),12)</f>
        <v>Y</v>
      </c>
      <c r="BS14" s="541" t="str">
        <f>INDEX([1]!List_StateInputAll,MATCH(BG14,[1]!List_StateInput,0),13)</f>
        <v xml:space="preserve"> </v>
      </c>
      <c r="BT14" s="522" t="str">
        <f>IF(OR(Input_Ratesheet_Source="Corr1",Input_Ratesheet_Source="Corr2",Input_Ratesheet_Source="Corr3",Input_Ratesheet_Source="CorrND"),BI14,IF(Input_Ratesheet_Source="Whol",IF(Input_Occupancy="Non Owner Occupied",BP14,BO14),IF(Input_Ratesheet_Source="Retl",IF(Input_Occupancy="Non Owner Occupied",IF(IF(IFERROR(FIND(Input_ProductClass,Structure!BS14),0)&gt;=1,"N","Y")="N","N",BR14),BQ14),"")))</f>
        <v>Y</v>
      </c>
      <c r="BU14" s="541" t="str">
        <f>INDEX([1]!List_StateInputAll,MATCH(BG14,[1]!List_StateInput,0),14)</f>
        <v>Wet</v>
      </c>
      <c r="BV14" s="541">
        <f>INDEX([1]!List_StateInputAll,MATCH(BG14,[1]!List_StateInput,0),15)</f>
        <v>1</v>
      </c>
      <c r="BW14" s="539" t="str">
        <f>INDEX([1]!List_StateInputAll,MATCH(BG14,[1]!List_StateInput,0),16)</f>
        <v>APOR</v>
      </c>
      <c r="BX14" s="543">
        <f>INDEX([1]!List_StateInputAll,MATCH(BG14,[1]!List_StateInput,0),17)</f>
        <v>6.5</v>
      </c>
      <c r="BY14" s="543">
        <f>INDEX([1]!List_StateInputAll,MATCH(BG14,[1]!List_StateInput,0),18)</f>
        <v>8.5</v>
      </c>
      <c r="BZ14" s="543">
        <f>INDEX([1]!List_StateInputAll,MATCH(BG14,[1]!List_StateInput,0),19)</f>
        <v>5</v>
      </c>
      <c r="CA14" s="540">
        <f>INDEX([1]!List_StateInputAll,MATCH(BG14,[1]!List_StateInput,0),20)</f>
        <v>0</v>
      </c>
      <c r="CB14" s="540" t="str">
        <f>INDEX([1]!List_StateInputAll,MATCH(BG14,[1]!List_StateInput,0),21)</f>
        <v>Owner Occupied</v>
      </c>
      <c r="CC14" s="540" t="str">
        <f>INDEX([1]!List_StateInputAll,MATCH(BG14,[1]!List_StateInput,0),22)</f>
        <v>Purchase, Rate-Term, Cash-Out</v>
      </c>
      <c r="CD14" s="541">
        <f>INDEX([1]!List_StateInputAll,MATCH(BG14,[1]!List_StateInput,0),23)</f>
        <v>0</v>
      </c>
      <c r="CE14" s="541" t="str">
        <f>INDEX([1]!List_StateInputAll,MATCH(BG14,[1]!List_StateInput,0),24)</f>
        <v>Y</v>
      </c>
    </row>
    <row r="15" spans="2:86" ht="9.6" customHeight="1" x14ac:dyDescent="0.2">
      <c r="B15" s="559"/>
      <c r="C15" s="560" t="s">
        <v>25</v>
      </c>
      <c r="D15" s="584">
        <f>Input_CreditScore</f>
        <v>800</v>
      </c>
      <c r="E15" s="596">
        <f>Elig_OverlayLimit_CredScore_Min</f>
        <v>0</v>
      </c>
      <c r="F15" s="586"/>
      <c r="G15" s="587"/>
      <c r="H15" s="597"/>
      <c r="I15" s="598" t="str">
        <f>Elig_OverlayMsg_CredScore&amp;IF(Result_Msg2_LLPA_CreditScore&gt;0,"Min CS "&amp;Result_Msg2_LLPA_CreditScore,"")</f>
        <v/>
      </c>
      <c r="J15" s="564" t="s">
        <v>76</v>
      </c>
      <c r="K15" s="574"/>
      <c r="L15" s="460" t="s">
        <v>76</v>
      </c>
      <c r="M15" s="591" t="s">
        <v>187</v>
      </c>
      <c r="N15" s="593" t="s">
        <v>1055</v>
      </c>
      <c r="O15" s="593" t="s">
        <v>58</v>
      </c>
      <c r="P15" s="593" t="s">
        <v>96</v>
      </c>
      <c r="Q15" s="594" t="s">
        <v>136</v>
      </c>
      <c r="R15" s="603" t="s">
        <v>106</v>
      </c>
      <c r="S15" s="594" t="s">
        <v>107</v>
      </c>
      <c r="T15" s="592" t="s">
        <v>157</v>
      </c>
      <c r="U15" s="604" t="s">
        <v>178</v>
      </c>
      <c r="V15" s="461"/>
      <c r="X15" s="552" t="s">
        <v>699</v>
      </c>
      <c r="Y15" s="552" t="s">
        <v>165</v>
      </c>
      <c r="Z15" s="553" t="e">
        <f>-Input_PL_IncentiveMaxAdj_LenderPaidComp+Input_PL_MaxPriceBase_IN_05PP+Input_PL_Incentive_IN+Input_PL_IncentiveMaxAdj_IN</f>
        <v>#N/A</v>
      </c>
      <c r="AA15" s="554" cm="1">
        <f t="array" ref="AA15">[1]!Input_MaxPriceNet_IN_05PP</f>
        <v>104</v>
      </c>
      <c r="AB15" s="464"/>
      <c r="AC15" s="1916" t="s">
        <v>133</v>
      </c>
      <c r="AD15" s="1912" t="s">
        <v>335</v>
      </c>
      <c r="AE15" s="531">
        <v>3</v>
      </c>
      <c r="AF15" s="532" t="str">
        <f t="shared" si="0"/>
        <v>3-Unit</v>
      </c>
      <c r="AG15" s="533">
        <f>IF(AF15="","",MAX(AG$4:AG14)+1)</f>
        <v>9</v>
      </c>
      <c r="AH15" s="534" t="str">
        <f t="shared" si="1"/>
        <v>Townhouse</v>
      </c>
      <c r="AI15" s="460" t="s">
        <v>76</v>
      </c>
      <c r="AV15" s="1124" t="s">
        <v>1303</v>
      </c>
      <c r="AW15" s="1096" t="s">
        <v>1068</v>
      </c>
      <c r="AX15" s="1097" t="str">
        <f t="shared" si="2"/>
        <v>PT_011.3750000000</v>
      </c>
      <c r="AY15" s="1098">
        <f>[1]!PR_R11</f>
        <v>11.375</v>
      </c>
      <c r="AZ15" s="1099">
        <f>[1]!PR_ARM05_P11+Input_PL_Incentive_PR</f>
        <v>-2</v>
      </c>
      <c r="BA15" s="1099">
        <f>[1]!PR_FRM30_P11+Input_PL_Incentive_PR</f>
        <v>109.5</v>
      </c>
      <c r="BB15" s="1097">
        <f t="shared" si="6"/>
        <v>109.5</v>
      </c>
      <c r="BC15" s="1097" t="str">
        <f t="shared" si="4"/>
        <v>PT_109.5000000000</v>
      </c>
      <c r="BD15" s="1097"/>
      <c r="BE15" s="1125" t="s">
        <v>1567</v>
      </c>
      <c r="BG15" s="538" t="s">
        <v>374</v>
      </c>
      <c r="BH15" s="539" t="str">
        <f>INDEX([1]!List_StateInputAll,MATCH(BG15,[1]!List_StateInput,0),2)</f>
        <v>GA</v>
      </c>
      <c r="BI15" s="540" t="str">
        <f>INDEX([1]!List_StateInputAll,MATCH(BG15,[1]!List_StateInput,0),3)</f>
        <v>Y</v>
      </c>
      <c r="BJ15" s="540" t="str">
        <f>INDEX([1]!List_StateInputAll,MATCH(BG15,[1]!List_StateInput,0),4)</f>
        <v>Y</v>
      </c>
      <c r="BK15" s="540" t="str">
        <f>INDEX([1]!List_StateInputAll,MATCH(BG15,[1]!List_StateInput,0),5)</f>
        <v xml:space="preserve"> </v>
      </c>
      <c r="BL15" s="540" t="str">
        <f>INDEX([1]!List_StateInputAll,MATCH(BG15,[1]!List_StateInput,0),6)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15" s="540" t="str">
        <f>INDEX([1]!List_StateInputAll,MATCH(BG15,[1]!List_StateInput,0),7)</f>
        <v>Prepay only available on Business Purpose Loans</v>
      </c>
      <c r="BN15" s="540" t="str">
        <f>INDEX([1]!List_StateInputAll,MATCH(BG15,[1]!List_StateInput,0),8)</f>
        <v>Georgia</v>
      </c>
      <c r="BO15" s="540" t="str">
        <f>INDEX([1]!List_StateInputAll,MATCH(BG15,[1]!List_StateInput,0),9)</f>
        <v>Y</v>
      </c>
      <c r="BP15" s="541" t="str">
        <f>INDEX([1]!List_StateInputAll,MATCH(BG15,[1]!List_StateInput,0),10)</f>
        <v>Y</v>
      </c>
      <c r="BQ15" s="540" t="str">
        <f>INDEX([1]!List_StateInputAll,MATCH(BG15,[1]!List_StateInput,0),11)</f>
        <v>N</v>
      </c>
      <c r="BR15" s="542" t="str">
        <f>INDEX([1]!List_StateInputAll,MATCH(BG15,[1]!List_StateInput,0),12)</f>
        <v>Y</v>
      </c>
      <c r="BS15" s="541" t="str">
        <f>INDEX([1]!List_StateInputAll,MATCH(BG15,[1]!List_StateInput,0),13)</f>
        <v xml:space="preserve"> </v>
      </c>
      <c r="BT15" s="522" t="str">
        <f>IF(OR(Input_Ratesheet_Source="Corr1",Input_Ratesheet_Source="Corr2",Input_Ratesheet_Source="Corr3",Input_Ratesheet_Source="CorrND"),BI15,IF(Input_Ratesheet_Source="Whol",IF(Input_Occupancy="Non Owner Occupied",BP15,BO15),IF(Input_Ratesheet_Source="Retl",IF(Input_Occupancy="Non Owner Occupied",IF(IF(IFERROR(FIND(Input_ProductClass,Structure!BS15),0)&gt;=1,"N","Y")="N","N",BR15),BQ15),"")))</f>
        <v>Y</v>
      </c>
      <c r="BU15" s="541" t="str">
        <f>INDEX([1]!List_StateInputAll,MATCH(BG15,[1]!List_StateInput,0),14)</f>
        <v>Wet</v>
      </c>
      <c r="BV15" s="541">
        <f>INDEX([1]!List_StateInputAll,MATCH(BG15,[1]!List_StateInput,0),15)</f>
        <v>1</v>
      </c>
      <c r="BW15" s="539" t="str">
        <f>INDEX([1]!List_StateInputAll,MATCH(BG15,[1]!List_StateInput,0),16)</f>
        <v>APOR</v>
      </c>
      <c r="BX15" s="543">
        <f>INDEX([1]!List_StateInputAll,MATCH(BG15,[1]!List_StateInput,0),17)</f>
        <v>6.5</v>
      </c>
      <c r="BY15" s="543">
        <f>INDEX([1]!List_StateInputAll,MATCH(BG15,[1]!List_StateInput,0),18)</f>
        <v>8.5</v>
      </c>
      <c r="BZ15" s="543">
        <f>INDEX([1]!List_StateInputAll,MATCH(BG15,[1]!List_StateInput,0),19)</f>
        <v>5</v>
      </c>
      <c r="CA15" s="540" t="str">
        <f>INDEX([1]!List_StateInputAll,MATCH(BG15,[1]!List_StateInput,0),20)</f>
        <v>Agency</v>
      </c>
      <c r="CB15" s="540" t="str">
        <f>INDEX([1]!List_StateInputAll,MATCH(BG15,[1]!List_StateInput,0),21)</f>
        <v>Owner Occupied</v>
      </c>
      <c r="CC15" s="540" t="str">
        <f>INDEX([1]!List_StateInputAll,MATCH(BG15,[1]!List_StateInput,0),22)</f>
        <v>Purchase, Rate-Term, Cash-Out</v>
      </c>
      <c r="CD15" s="541">
        <f>INDEX([1]!List_StateInputAll,MATCH(BG15,[1]!List_StateInput,0),23)</f>
        <v>0</v>
      </c>
      <c r="CE15" s="541" t="str">
        <f>INDEX([1]!List_StateInputAll,MATCH(BG15,[1]!List_StateInput,0),24)</f>
        <v>N</v>
      </c>
    </row>
    <row r="16" spans="2:86" ht="9.6" customHeight="1" x14ac:dyDescent="0.2">
      <c r="B16" s="559"/>
      <c r="C16" s="560" t="s">
        <v>24</v>
      </c>
      <c r="D16" s="584">
        <f>Input_LTV</f>
        <v>70</v>
      </c>
      <c r="E16" s="596">
        <f>Elig_OverlayLimit_LTV_Max</f>
        <v>80</v>
      </c>
      <c r="F16" s="586"/>
      <c r="G16" s="587"/>
      <c r="H16" s="602"/>
      <c r="I16" s="598" t="str">
        <f>Elig_OverlayMsg_LTV&amp;IF(Result_Msg2_LLPA_LTV&gt;0,"Max CLTV "&amp;Elig_FinalLimit_LTV_Max,"")&amp;IF(Input_LTV&lt;=0,"Incorrect CLTV","")</f>
        <v/>
      </c>
      <c r="J16" s="564" t="s">
        <v>76</v>
      </c>
      <c r="K16" s="590">
        <f>INDEX(List_LTV_All,MATCH(Input_LTV,List_LTV,-1),3)</f>
        <v>5</v>
      </c>
      <c r="L16" s="460" t="s">
        <v>76</v>
      </c>
      <c r="M16" s="591" t="s">
        <v>189</v>
      </c>
      <c r="N16" s="593" t="s">
        <v>1055</v>
      </c>
      <c r="O16" s="592" t="s">
        <v>60</v>
      </c>
      <c r="P16" s="592" t="s">
        <v>97</v>
      </c>
      <c r="Q16" s="593" t="s">
        <v>136</v>
      </c>
      <c r="R16" s="593" t="s">
        <v>107</v>
      </c>
      <c r="S16" s="593" t="s">
        <v>106</v>
      </c>
      <c r="T16" s="593" t="s">
        <v>252</v>
      </c>
      <c r="U16" s="595" t="s">
        <v>180</v>
      </c>
      <c r="V16" s="461"/>
      <c r="X16" s="544" t="s">
        <v>2303</v>
      </c>
      <c r="Y16" s="544" t="s">
        <v>68</v>
      </c>
      <c r="Z16" s="545" t="e">
        <f>-Input_PL_IncentiveMaxAdj_LenderPaidComp+Input_PL_MaxPriceBase_IN_01PP+Input_PL_Incentive_IN+Input_PL_IncentiveMaxAdj_IN</f>
        <v>#N/A</v>
      </c>
      <c r="AA16" s="546" cm="1">
        <f t="array" ref="AA16">[1]!Input_MaxPriceNet_IN_01PP</f>
        <v>102.5</v>
      </c>
      <c r="AB16" s="464"/>
      <c r="AC16" s="1916" t="s">
        <v>134</v>
      </c>
      <c r="AD16" s="1912" t="s">
        <v>336</v>
      </c>
      <c r="AE16" s="531">
        <v>4</v>
      </c>
      <c r="AF16" s="532" t="str">
        <f t="shared" si="0"/>
        <v>4-Unit</v>
      </c>
      <c r="AG16" s="533">
        <f>IF(AF16="","",MAX(AG$4:AG15)+1)</f>
        <v>10</v>
      </c>
      <c r="AH16" s="534" t="str">
        <f t="shared" si="1"/>
        <v>Rowhouse</v>
      </c>
      <c r="AI16" s="460" t="s">
        <v>76</v>
      </c>
      <c r="AQ16" s="600" t="s">
        <v>8</v>
      </c>
      <c r="AR16" s="601"/>
      <c r="AV16" s="1124" t="s">
        <v>1303</v>
      </c>
      <c r="AW16" s="1096" t="s">
        <v>1068</v>
      </c>
      <c r="AX16" s="1097" t="str">
        <f t="shared" si="2"/>
        <v>PT_011.2500000000</v>
      </c>
      <c r="AY16" s="1098">
        <f>[1]!PR_R12</f>
        <v>11.25</v>
      </c>
      <c r="AZ16" s="1099">
        <f>[1]!PR_ARM05_P12+Input_PL_Incentive_PR</f>
        <v>-2</v>
      </c>
      <c r="BA16" s="1099">
        <f>[1]!PR_FRM30_P12+Input_PL_Incentive_PR</f>
        <v>109.25</v>
      </c>
      <c r="BB16" s="1097">
        <f t="shared" si="6"/>
        <v>109.25</v>
      </c>
      <c r="BC16" s="1097" t="str">
        <f t="shared" si="4"/>
        <v>PT_109.2500000000</v>
      </c>
      <c r="BD16" s="1097"/>
      <c r="BE16" s="1125" t="s">
        <v>1568</v>
      </c>
      <c r="BG16" s="538" t="s">
        <v>375</v>
      </c>
      <c r="BH16" s="539" t="str">
        <f>INDEX([1]!List_StateInputAll,MATCH(BG16,[1]!List_StateInput,0),2)</f>
        <v>Non-CA</v>
      </c>
      <c r="BI16" s="540" t="str">
        <f>INDEX([1]!List_StateInputAll,MATCH(BG16,[1]!List_StateInput,0),3)</f>
        <v>Y</v>
      </c>
      <c r="BJ16" s="540" t="str">
        <f>INDEX([1]!List_StateInputAll,MATCH(BG16,[1]!List_StateInput,0),4)</f>
        <v>Y</v>
      </c>
      <c r="BK16" s="540" t="str">
        <f>INDEX([1]!List_StateInputAll,MATCH(BG16,[1]!List_StateInput,0),5)</f>
        <v xml:space="preserve"> </v>
      </c>
      <c r="BL16" s="540" t="str">
        <f>INDEX([1]!List_StateInputAll,MATCH(BG16,[1]!List_StateInput,0),6)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16" s="540" t="str">
        <f>INDEX([1]!List_StateInputAll,MATCH(BG16,[1]!List_StateInput,0),7)</f>
        <v>Prepay only available on Business Purpose Loans</v>
      </c>
      <c r="BN16" s="540" t="str">
        <f>INDEX([1]!List_StateInputAll,MATCH(BG16,[1]!List_StateInput,0),8)</f>
        <v>Hawaii</v>
      </c>
      <c r="BO16" s="540" t="str">
        <f>INDEX([1]!List_StateInputAll,MATCH(BG16,[1]!List_StateInput,0),9)</f>
        <v>N</v>
      </c>
      <c r="BP16" s="541" t="str">
        <f>INDEX([1]!List_StateInputAll,MATCH(BG16,[1]!List_StateInput,0),10)</f>
        <v>Y</v>
      </c>
      <c r="BQ16" s="540" t="str">
        <f>INDEX([1]!List_StateInputAll,MATCH(BG16,[1]!List_StateInput,0),11)</f>
        <v>N</v>
      </c>
      <c r="BR16" s="542" t="str">
        <f>INDEX([1]!List_StateInputAll,MATCH(BG16,[1]!List_StateInput,0),12)</f>
        <v>Y</v>
      </c>
      <c r="BS16" s="541" t="str">
        <f>INDEX([1]!List_StateInputAll,MATCH(BG16,[1]!List_StateInput,0),13)</f>
        <v xml:space="preserve"> </v>
      </c>
      <c r="BT16" s="522" t="str">
        <f>IF(OR(Input_Ratesheet_Source="Corr1",Input_Ratesheet_Source="Corr2",Input_Ratesheet_Source="Corr3",Input_Ratesheet_Source="CorrND"),BI16,IF(Input_Ratesheet_Source="Whol",IF(Input_Occupancy="Non Owner Occupied",BP16,BO16),IF(Input_Ratesheet_Source="Retl",IF(Input_Occupancy="Non Owner Occupied",IF(IF(IFERROR(FIND(Input_ProductClass,Structure!BS16),0)&gt;=1,"N","Y")="N","N",BR16),BQ16),"")))</f>
        <v>Y</v>
      </c>
      <c r="BU16" s="541" t="str">
        <f>INDEX([1]!List_StateInputAll,MATCH(BG16,[1]!List_StateInput,0),14)</f>
        <v>Dry</v>
      </c>
      <c r="BV16" s="541">
        <f>INDEX([1]!List_StateInputAll,MATCH(BG16,[1]!List_StateInput,0),15)</f>
        <v>2</v>
      </c>
      <c r="BW16" s="539" t="str">
        <f>INDEX([1]!List_StateInputAll,MATCH(BG16,[1]!List_StateInput,0),16)</f>
        <v>APOR</v>
      </c>
      <c r="BX16" s="543">
        <f>INDEX([1]!List_StateInputAll,MATCH(BG16,[1]!List_StateInput,0),17)</f>
        <v>6.5</v>
      </c>
      <c r="BY16" s="543">
        <f>INDEX([1]!List_StateInputAll,MATCH(BG16,[1]!List_StateInput,0),18)</f>
        <v>8.5</v>
      </c>
      <c r="BZ16" s="543">
        <f>INDEX([1]!List_StateInputAll,MATCH(BG16,[1]!List_StateInput,0),19)</f>
        <v>5</v>
      </c>
      <c r="CA16" s="540">
        <f>INDEX([1]!List_StateInputAll,MATCH(BG16,[1]!List_StateInput,0),20)</f>
        <v>0</v>
      </c>
      <c r="CB16" s="540" t="str">
        <f>INDEX([1]!List_StateInputAll,MATCH(BG16,[1]!List_StateInput,0),21)</f>
        <v>Owner Occupied</v>
      </c>
      <c r="CC16" s="540" t="str">
        <f>INDEX([1]!List_StateInputAll,MATCH(BG16,[1]!List_StateInput,0),22)</f>
        <v>Purchase, Rate-Term, Cash-Out</v>
      </c>
      <c r="CD16" s="541">
        <f>INDEX([1]!List_StateInputAll,MATCH(BG16,[1]!List_StateInput,0),23)</f>
        <v>0</v>
      </c>
      <c r="CE16" s="541" t="str">
        <f>INDEX([1]!List_StateInputAll,MATCH(BG16,[1]!List_StateInput,0),24)</f>
        <v>Y</v>
      </c>
    </row>
    <row r="17" spans="2:83" ht="9.6" customHeight="1" x14ac:dyDescent="0.2">
      <c r="B17" s="559"/>
      <c r="C17" s="605" t="s">
        <v>8</v>
      </c>
      <c r="D17" s="584">
        <f>Input_LoanAmt</f>
        <v>150000</v>
      </c>
      <c r="E17" s="596">
        <f>Elig_OverlayLimit_LoanAmt_Max</f>
        <v>0</v>
      </c>
      <c r="F17" s="586"/>
      <c r="G17" s="587"/>
      <c r="H17" s="588" cm="1">
        <f t="array" ref="H17">INDEX(Lookup_LLPAAll,MATCH(INDEX(List_ProductAll,MATCH(Input_Product,List_Product,0),2)&amp;"_"&amp;INDEX(List_LoanAmt_All,MATCH(Input_LoanAmt,List_LoanAmt,1),2),Lookup_LLPA,0),INDEX(List_LTV_All,MATCH(Input_LTV,List_LTV,-1),3))</f>
        <v>0</v>
      </c>
      <c r="I17" s="598" t="str">
        <f>Elig_OverlayMsg_LoanAmt</f>
        <v xml:space="preserve"> </v>
      </c>
      <c r="J17" s="564" t="s">
        <v>76</v>
      </c>
      <c r="K17" s="590" t="str">
        <f>INDEX(List_ProductAll,MATCH(Input_Product,List_Product,0),2)&amp;"_"&amp;INDEX(List_LoanAmt_All,MATCH(Input_LoanAmt,List_LoanAmt,1),2)</f>
        <v>IT_125,001-150k</v>
      </c>
      <c r="L17" s="460" t="s">
        <v>76</v>
      </c>
      <c r="M17" s="591" t="s">
        <v>246</v>
      </c>
      <c r="N17" s="593" t="s">
        <v>1055</v>
      </c>
      <c r="O17" s="592" t="s">
        <v>247</v>
      </c>
      <c r="P17" s="592" t="s">
        <v>95</v>
      </c>
      <c r="Q17" s="593" t="s">
        <v>136</v>
      </c>
      <c r="R17" s="593" t="s">
        <v>106</v>
      </c>
      <c r="S17" s="593" t="s">
        <v>107</v>
      </c>
      <c r="T17" s="593" t="s">
        <v>156</v>
      </c>
      <c r="U17" s="595">
        <v>13</v>
      </c>
      <c r="V17" s="461"/>
      <c r="X17" s="544" t="s">
        <v>2304</v>
      </c>
      <c r="Y17" s="544" t="s">
        <v>67</v>
      </c>
      <c r="Z17" s="545" t="e">
        <f>-Input_PL_IncentiveMaxAdj_LenderPaidComp+Input_PL_MaxPriceBase_IN_02PP+Input_PL_Incentive_IN+Input_PL_IncentiveMaxAdj_IN</f>
        <v>#N/A</v>
      </c>
      <c r="AA17" s="546" cm="1">
        <f t="array" ref="AA17">[1]!Input_MaxPriceNet_IN_02PP</f>
        <v>102.75</v>
      </c>
      <c r="AB17" s="464"/>
      <c r="AC17" s="1916" t="s">
        <v>152</v>
      </c>
      <c r="AD17" s="1912" t="s">
        <v>339</v>
      </c>
      <c r="AE17" s="531">
        <v>1</v>
      </c>
      <c r="AF17" s="532" t="str">
        <f t="shared" si="0"/>
        <v>Townhouse</v>
      </c>
      <c r="AG17" s="533">
        <f>IF(AF17="","",MAX(AG$4:AG16)+1)</f>
        <v>11</v>
      </c>
      <c r="AH17" s="534" t="str">
        <f t="shared" si="1"/>
        <v>Modular</v>
      </c>
      <c r="AI17" s="460" t="s">
        <v>76</v>
      </c>
      <c r="AQ17" s="1823">
        <v>0</v>
      </c>
      <c r="AR17" s="1824" t="s">
        <v>1782</v>
      </c>
      <c r="AV17" s="1124" t="s">
        <v>1303</v>
      </c>
      <c r="AW17" s="1096" t="s">
        <v>1068</v>
      </c>
      <c r="AX17" s="1097" t="str">
        <f t="shared" si="2"/>
        <v>PT_011.1250000000</v>
      </c>
      <c r="AY17" s="1098">
        <f>[1]!PR_R13</f>
        <v>11.125</v>
      </c>
      <c r="AZ17" s="1099">
        <f>[1]!PR_ARM05_P13+Input_PL_Incentive_PR</f>
        <v>-2</v>
      </c>
      <c r="BA17" s="1099">
        <f>[1]!PR_FRM30_P13+Input_PL_Incentive_PR</f>
        <v>109</v>
      </c>
      <c r="BB17" s="1097">
        <f t="shared" si="6"/>
        <v>109</v>
      </c>
      <c r="BC17" s="1097" t="str">
        <f t="shared" si="4"/>
        <v>PT_109.0000000000</v>
      </c>
      <c r="BD17" s="1097"/>
      <c r="BE17" s="1125" t="s">
        <v>1569</v>
      </c>
      <c r="BG17" s="538" t="s">
        <v>376</v>
      </c>
      <c r="BH17" s="539" t="str">
        <f>INDEX([1]!List_StateInputAll,MATCH(BG17,[1]!List_StateInput,0),2)</f>
        <v>Non-CA</v>
      </c>
      <c r="BI17" s="540" t="str">
        <f>INDEX([1]!List_StateInputAll,MATCH(BG17,[1]!List_StateInput,0),3)</f>
        <v>Y</v>
      </c>
      <c r="BJ17" s="540" t="str">
        <f>INDEX([1]!List_StateInputAll,MATCH(BG17,[1]!List_StateInput,0),4)</f>
        <v>Y</v>
      </c>
      <c r="BK17" s="540" t="str">
        <f>INDEX([1]!List_StateInputAll,MATCH(BG17,[1]!List_StateInput,0),5)</f>
        <v xml:space="preserve"> </v>
      </c>
      <c r="BL17" s="570" t="str">
        <f>INDEX([1]!List_StateInputAll,MATCH(BG17,[1]!List_StateInput,0),6)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17" s="570" t="str">
        <f>INDEX([1]!List_StateInputAll,MATCH(BG17,[1]!List_StateInput,0),7)</f>
        <v>Prepay only available on Business Purpose Loans</v>
      </c>
      <c r="BN17" s="540" t="str">
        <f>INDEX([1]!List_StateInputAll,MATCH(BG17,[1]!List_StateInput,0),8)</f>
        <v>Iowa</v>
      </c>
      <c r="BO17" s="540" t="str">
        <f>INDEX([1]!List_StateInputAll,MATCH(BG17,[1]!List_StateInput,0),9)</f>
        <v>Y</v>
      </c>
      <c r="BP17" s="541" t="str">
        <f>INDEX([1]!List_StateInputAll,MATCH(BG17,[1]!List_StateInput,0),10)</f>
        <v>Y</v>
      </c>
      <c r="BQ17" s="540" t="str">
        <f>INDEX([1]!List_StateInputAll,MATCH(BG17,[1]!List_StateInput,0),11)</f>
        <v>N</v>
      </c>
      <c r="BR17" s="542" t="str">
        <f>INDEX([1]!List_StateInputAll,MATCH(BG17,[1]!List_StateInput,0),12)</f>
        <v>Y</v>
      </c>
      <c r="BS17" s="541" t="str">
        <f>INDEX([1]!List_StateInputAll,MATCH(BG17,[1]!List_StateInput,0),13)</f>
        <v xml:space="preserve"> </v>
      </c>
      <c r="BT17" s="522" t="str">
        <f>IF(OR(Input_Ratesheet_Source="Corr1",Input_Ratesheet_Source="Corr2",Input_Ratesheet_Source="Corr3",Input_Ratesheet_Source="CorrND"),BI17,IF(Input_Ratesheet_Source="Whol",IF(Input_Occupancy="Non Owner Occupied",BP17,BO17),IF(Input_Ratesheet_Source="Retl",IF(Input_Occupancy="Non Owner Occupied",IF(IF(IFERROR(FIND(Input_ProductClass,Structure!BS17),0)&gt;=1,"N","Y")="N","N",BR17),BQ17),"")))</f>
        <v>Y</v>
      </c>
      <c r="BU17" s="541" t="str">
        <f>INDEX([1]!List_StateInputAll,MATCH(BG17,[1]!List_StateInput,0),14)</f>
        <v>Wet</v>
      </c>
      <c r="BV17" s="541">
        <f>INDEX([1]!List_StateInputAll,MATCH(BG17,[1]!List_StateInput,0),15)</f>
        <v>1</v>
      </c>
      <c r="BW17" s="539" t="str">
        <f>INDEX([1]!List_StateInputAll,MATCH(BG17,[1]!List_StateInput,0),16)</f>
        <v>APOR</v>
      </c>
      <c r="BX17" s="543">
        <f>INDEX([1]!List_StateInputAll,MATCH(BG17,[1]!List_StateInput,0),17)</f>
        <v>6.5</v>
      </c>
      <c r="BY17" s="543">
        <f>INDEX([1]!List_StateInputAll,MATCH(BG17,[1]!List_StateInput,0),18)</f>
        <v>8.5</v>
      </c>
      <c r="BZ17" s="543">
        <f>INDEX([1]!List_StateInputAll,MATCH(BG17,[1]!List_StateInput,0),19)</f>
        <v>5</v>
      </c>
      <c r="CA17" s="540">
        <f>INDEX([1]!List_StateInputAll,MATCH(BG17,[1]!List_StateInput,0),20)</f>
        <v>0</v>
      </c>
      <c r="CB17" s="540" t="str">
        <f>INDEX([1]!List_StateInputAll,MATCH(BG17,[1]!List_StateInput,0),21)</f>
        <v>Owner Occupied</v>
      </c>
      <c r="CC17" s="540" t="str">
        <f>INDEX([1]!List_StateInputAll,MATCH(BG17,[1]!List_StateInput,0),22)</f>
        <v>Purchase, Rate-Term, Cash-Out</v>
      </c>
      <c r="CD17" s="541">
        <f>INDEX([1]!List_StateInputAll,MATCH(BG17,[1]!List_StateInput,0),23)</f>
        <v>0</v>
      </c>
      <c r="CE17" s="541" t="str">
        <f>INDEX([1]!List_StateInputAll,MATCH(BG17,[1]!List_StateInput,0),24)</f>
        <v>Y</v>
      </c>
    </row>
    <row r="18" spans="2:83" ht="9.6" customHeight="1" x14ac:dyDescent="0.2">
      <c r="B18" s="559"/>
      <c r="C18" s="606" t="s">
        <v>42</v>
      </c>
      <c r="D18" s="584" t="str">
        <f>Input_AmortTerm</f>
        <v>30yr Fixed</v>
      </c>
      <c r="E18" s="607" t="str">
        <f>IF(OR(Input_NoteRate&lt;Find_NoteRate_Min,Input_NoteRate&gt;Find_NoteRate_Max,Input_NoteRate&gt;Find_NoteRate01,Input_NoteRate&lt;Find_NoteRate02),"Y","N")</f>
        <v>N</v>
      </c>
      <c r="F18" s="586"/>
      <c r="G18" s="608" t="str">
        <f>IF(IFERROR(FIND(Input_AmortType,INDEX(List_AmortTermAll,MATCH(Input_AmortTerm,List_AmortTerm,0),2)),0)&gt;0,"N","Y")</f>
        <v>N</v>
      </c>
      <c r="H18" s="588">
        <f>IF(Error_AmortTerm="Y",#N/A,INDEX(Lookup_LLPAAll,MATCH(INDEX(List_ProductAll,MATCH(Input_Product,List_Product,0),2)&amp;"_"&amp;Input_AmortTerm,Lookup_LLPA,0),INDEX(List_LTV_All,MATCH(Input_LTV,List_LTV,-1),3)))</f>
        <v>0</v>
      </c>
      <c r="I18" s="573" t="str">
        <f>IF(IFERROR(FIND(Input_AmortType,INDEX(List_AmortTermAll,MATCH(Input_AmortTerm,List_AmortTerm,0),2)),0)&gt;0,"","Check Amort Type ")&amp;INDEX(List_AmortTermAll,MATCH(Input_AmortTerm,List_AmortTerm,0),8)</f>
        <v/>
      </c>
      <c r="J18" s="564" t="s">
        <v>76</v>
      </c>
      <c r="K18" s="590" t="str">
        <f>INDEX(List_ProductAll,MATCH(Input_Product,List_Product,0),2)&amp;"_"&amp;Input_AmortTerm</f>
        <v>IT_30yr Fixed</v>
      </c>
      <c r="L18" s="460" t="s">
        <v>76</v>
      </c>
      <c r="M18" s="591" t="s">
        <v>463</v>
      </c>
      <c r="N18" s="592" t="s">
        <v>1056</v>
      </c>
      <c r="O18" s="592" t="s">
        <v>464</v>
      </c>
      <c r="P18" s="593" t="s">
        <v>94</v>
      </c>
      <c r="Q18" s="593" t="s">
        <v>136</v>
      </c>
      <c r="R18" s="593" t="s">
        <v>106</v>
      </c>
      <c r="S18" s="593" t="s">
        <v>107</v>
      </c>
      <c r="T18" s="592" t="s">
        <v>1037</v>
      </c>
      <c r="U18" s="595" t="s">
        <v>465</v>
      </c>
      <c r="V18" s="461"/>
      <c r="X18" s="544" t="s">
        <v>2305</v>
      </c>
      <c r="Y18" s="544" t="s">
        <v>66</v>
      </c>
      <c r="Z18" s="545" t="e">
        <f>-Input_PL_IncentiveMaxAdj_LenderPaidComp+Input_PL_MaxPriceBase_IN_03PP+Input_PL_Incentive_IN+Input_PL_IncentiveMaxAdj_IN</f>
        <v>#N/A</v>
      </c>
      <c r="AA18" s="546" cm="1">
        <f t="array" ref="AA18">[1]!Input_MaxPriceNet_IN_03PP</f>
        <v>103.25</v>
      </c>
      <c r="AB18" s="464"/>
      <c r="AC18" s="1916" t="s">
        <v>153</v>
      </c>
      <c r="AD18" s="1912" t="s">
        <v>340</v>
      </c>
      <c r="AE18" s="531">
        <v>1</v>
      </c>
      <c r="AF18" s="532" t="str">
        <f t="shared" si="0"/>
        <v>Rowhouse</v>
      </c>
      <c r="AG18" s="533">
        <f>IF(AF18="","",MAX(AG$4:AG17)+1)</f>
        <v>12</v>
      </c>
      <c r="AH18" s="534" t="str">
        <f t="shared" si="1"/>
        <v/>
      </c>
      <c r="AI18" s="460" t="s">
        <v>76</v>
      </c>
      <c r="AQ18" s="1825">
        <v>50000</v>
      </c>
      <c r="AR18" s="1826" t="s">
        <v>1783</v>
      </c>
      <c r="AV18" s="1124" t="s">
        <v>1303</v>
      </c>
      <c r="AW18" s="1096" t="s">
        <v>1068</v>
      </c>
      <c r="AX18" s="1097" t="str">
        <f t="shared" si="2"/>
        <v>PT_011.0000000000</v>
      </c>
      <c r="AY18" s="1098">
        <f>[1]!PR_R14</f>
        <v>11</v>
      </c>
      <c r="AZ18" s="1099">
        <f>[1]!PR_ARM05_P14+Input_PL_Incentive_PR</f>
        <v>-2</v>
      </c>
      <c r="BA18" s="1099">
        <f>[1]!PR_FRM30_P14+Input_PL_Incentive_PR</f>
        <v>108.75</v>
      </c>
      <c r="BB18" s="1097">
        <f t="shared" si="6"/>
        <v>108.75</v>
      </c>
      <c r="BC18" s="1097" t="str">
        <f t="shared" si="4"/>
        <v>PT_108.7500000000</v>
      </c>
      <c r="BD18" s="1097"/>
      <c r="BE18" s="1125" t="s">
        <v>1570</v>
      </c>
      <c r="BG18" s="538" t="s">
        <v>113</v>
      </c>
      <c r="BH18" s="539" t="str">
        <f>INDEX([1]!List_StateInputAll,MATCH(BG18,[1]!List_StateInput,0),2)</f>
        <v>Non-CA</v>
      </c>
      <c r="BI18" s="540" t="str">
        <f>INDEX([1]!List_StateInputAll,MATCH(BG18,[1]!List_StateInput,0),3)</f>
        <v>Y</v>
      </c>
      <c r="BJ18" s="540" t="str">
        <f>INDEX([1]!List_StateInputAll,MATCH(BG18,[1]!List_StateInput,0),4)</f>
        <v>Y</v>
      </c>
      <c r="BK18" s="540" t="str">
        <f>INDEX([1]!List_StateInputAll,MATCH(BG18,[1]!List_StateInput,0),5)</f>
        <v xml:space="preserve"> </v>
      </c>
      <c r="BL18" s="540" t="str">
        <f>INDEX([1]!List_StateInputAll,MATCH(BG18,[1]!List_StateInput,0),6)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18" s="540" t="str">
        <f>INDEX([1]!List_StateInputAll,MATCH(BG18,[1]!List_StateInput,0),7)</f>
        <v>Prepay only available on Business Purpose Loans</v>
      </c>
      <c r="BN18" s="540" t="str">
        <f>INDEX([1]!List_StateInputAll,MATCH(BG18,[1]!List_StateInput,0),8)</f>
        <v>Idaho</v>
      </c>
      <c r="BO18" s="540" t="str">
        <f>INDEX([1]!List_StateInputAll,MATCH(BG18,[1]!List_StateInput,0),9)</f>
        <v>Y</v>
      </c>
      <c r="BP18" s="541" t="str">
        <f>INDEX([1]!List_StateInputAll,MATCH(BG18,[1]!List_StateInput,0),10)</f>
        <v>Y</v>
      </c>
      <c r="BQ18" s="540" t="str">
        <f>INDEX([1]!List_StateInputAll,MATCH(BG18,[1]!List_StateInput,0),11)</f>
        <v>N</v>
      </c>
      <c r="BR18" s="542" t="str">
        <f>INDEX([1]!List_StateInputAll,MATCH(BG18,[1]!List_StateInput,0),12)</f>
        <v>Y</v>
      </c>
      <c r="BS18" s="541" t="str">
        <f>INDEX([1]!List_StateInputAll,MATCH(BG18,[1]!List_StateInput,0),13)</f>
        <v xml:space="preserve"> </v>
      </c>
      <c r="BT18" s="522" t="str">
        <f>IF(OR(Input_Ratesheet_Source="Corr1",Input_Ratesheet_Source="Corr2",Input_Ratesheet_Source="Corr3",Input_Ratesheet_Source="CorrND"),BI18,IF(Input_Ratesheet_Source="Whol",IF(Input_Occupancy="Non Owner Occupied",BP18,BO18),IF(Input_Ratesheet_Source="Retl",IF(Input_Occupancy="Non Owner Occupied",IF(IF(IFERROR(FIND(Input_ProductClass,Structure!BS18),0)&gt;=1,"N","Y")="N","N",BR18),BQ18),"")))</f>
        <v>Y</v>
      </c>
      <c r="BU18" s="541" t="str">
        <f>INDEX([1]!List_StateInputAll,MATCH(BG18,[1]!List_StateInput,0),14)</f>
        <v>Dry</v>
      </c>
      <c r="BV18" s="541">
        <f>INDEX([1]!List_StateInputAll,MATCH(BG18,[1]!List_StateInput,0),15)</f>
        <v>1</v>
      </c>
      <c r="BW18" s="539" t="str">
        <f>INDEX([1]!List_StateInputAll,MATCH(BG18,[1]!List_StateInput,0),16)</f>
        <v>APOR</v>
      </c>
      <c r="BX18" s="543">
        <f>INDEX([1]!List_StateInputAll,MATCH(BG18,[1]!List_StateInput,0),17)</f>
        <v>6.5</v>
      </c>
      <c r="BY18" s="543">
        <f>INDEX([1]!List_StateInputAll,MATCH(BG18,[1]!List_StateInput,0),18)</f>
        <v>8.5</v>
      </c>
      <c r="BZ18" s="543">
        <f>INDEX([1]!List_StateInputAll,MATCH(BG18,[1]!List_StateInput,0),19)</f>
        <v>5</v>
      </c>
      <c r="CA18" s="540">
        <f>INDEX([1]!List_StateInputAll,MATCH(BG18,[1]!List_StateInput,0),20)</f>
        <v>0</v>
      </c>
      <c r="CB18" s="540" t="str">
        <f>INDEX([1]!List_StateInputAll,MATCH(BG18,[1]!List_StateInput,0),21)</f>
        <v>Owner Occupied</v>
      </c>
      <c r="CC18" s="540" t="str">
        <f>INDEX([1]!List_StateInputAll,MATCH(BG18,[1]!List_StateInput,0),22)</f>
        <v>Purchase, Rate-Term, Cash-Out</v>
      </c>
      <c r="CD18" s="541">
        <f>INDEX([1]!List_StateInputAll,MATCH(BG18,[1]!List_StateInput,0),23)</f>
        <v>0</v>
      </c>
      <c r="CE18" s="541" t="str">
        <f>INDEX([1]!List_StateInputAll,MATCH(BG18,[1]!List_StateInput,0),24)</f>
        <v>Y</v>
      </c>
    </row>
    <row r="19" spans="2:83" ht="9.6" customHeight="1" x14ac:dyDescent="0.2">
      <c r="B19" s="559"/>
      <c r="C19" s="606" t="s">
        <v>167</v>
      </c>
      <c r="D19" s="584" t="str">
        <f>Input_AmortType</f>
        <v>Full Amortization</v>
      </c>
      <c r="E19" s="585"/>
      <c r="F19" s="609" t="str">
        <f>IF(INDEX(List_AmortType_All,MATCH(Input_AmortType,List_AmortType,0),2)="Y",INDEX(List_State_All,MATCH(Input_State,List_State,0),4),"Y")</f>
        <v>Y</v>
      </c>
      <c r="G19" s="587"/>
      <c r="H19" s="588">
        <f>IF(Eligible_AmortType="N",#N/A,INDEX(Lookup_LLPAAll,MATCH(INDEX(List_ProductAll,MATCH(Input_Product,List_Product,0),2)&amp;"_"&amp;Input_AmortType,Lookup_LLPA,0),INDEX(List_LTV_All,MATCH(Input_LTV,List_LTV,-1),3)))</f>
        <v>0</v>
      </c>
      <c r="I19" s="610" t="str">
        <f>IF(INDEX(List_AmortType_All,MATCH(Input_AmortType,List_AmortType,0),2)="Y",INDEX(List_State_All,MATCH(Input_State,List_State,0),5),"")</f>
        <v/>
      </c>
      <c r="J19" s="564" t="s">
        <v>76</v>
      </c>
      <c r="K19" s="590" t="str">
        <f>INDEX(List_ProductAll,MATCH(Input_Product,List_Product,0),2)&amp;"_"&amp;Input_AmortType</f>
        <v>IT_Full Amortization</v>
      </c>
      <c r="L19" s="460" t="s">
        <v>76</v>
      </c>
      <c r="M19" s="611" t="s">
        <v>466</v>
      </c>
      <c r="N19" s="612" t="s">
        <v>1055</v>
      </c>
      <c r="O19" s="612" t="s">
        <v>467</v>
      </c>
      <c r="P19" s="613" t="s">
        <v>96</v>
      </c>
      <c r="Q19" s="612" t="s">
        <v>136</v>
      </c>
      <c r="R19" s="612" t="s">
        <v>106</v>
      </c>
      <c r="S19" s="612" t="s">
        <v>107</v>
      </c>
      <c r="T19" s="612" t="s">
        <v>1036</v>
      </c>
      <c r="U19" s="614" t="s">
        <v>469</v>
      </c>
      <c r="V19" s="461"/>
      <c r="X19" s="544" t="s">
        <v>2306</v>
      </c>
      <c r="Y19" s="544" t="s">
        <v>164</v>
      </c>
      <c r="Z19" s="545" t="e">
        <f>-Input_PL_IncentiveMaxAdj_LenderPaidComp+Input_PL_MaxPriceBase_IN_04PP+Input_PL_Incentive_IN+Input_PL_IncentiveMaxAdj_IN</f>
        <v>#N/A</v>
      </c>
      <c r="AA19" s="546" cm="1">
        <f t="array" ref="AA19">[1]!Input_MaxPriceNet_IN_04PP</f>
        <v>103.5</v>
      </c>
      <c r="AB19" s="464"/>
      <c r="AC19" s="1916" t="s">
        <v>19</v>
      </c>
      <c r="AD19" s="1912" t="s">
        <v>115</v>
      </c>
      <c r="AE19" s="531">
        <v>1</v>
      </c>
      <c r="AF19" s="532" t="str">
        <f t="shared" si="0"/>
        <v>Modular</v>
      </c>
      <c r="AG19" s="533">
        <f>IF(AF19="","",MAX(AG$4:AG18)+1)</f>
        <v>13</v>
      </c>
      <c r="AH19" s="534" t="str">
        <f t="shared" si="1"/>
        <v/>
      </c>
      <c r="AI19" s="460" t="s">
        <v>76</v>
      </c>
      <c r="AQ19" s="1825">
        <v>75000.009999999995</v>
      </c>
      <c r="AR19" s="1826" t="s">
        <v>1132</v>
      </c>
      <c r="AV19" s="1124" t="s">
        <v>1303</v>
      </c>
      <c r="AW19" s="1096" t="s">
        <v>1068</v>
      </c>
      <c r="AX19" s="1097" t="str">
        <f t="shared" si="2"/>
        <v>PT_010.8750000000</v>
      </c>
      <c r="AY19" s="1098">
        <f>[1]!PR_R15</f>
        <v>10.875</v>
      </c>
      <c r="AZ19" s="1099">
        <f>[1]!PR_ARM05_P15+Input_PL_Incentive_PR</f>
        <v>-2</v>
      </c>
      <c r="BA19" s="1099">
        <f>[1]!PR_FRM30_P15+Input_PL_Incentive_PR</f>
        <v>108.5</v>
      </c>
      <c r="BB19" s="1097">
        <f t="shared" si="6"/>
        <v>108.5</v>
      </c>
      <c r="BC19" s="1097" t="str">
        <f t="shared" si="4"/>
        <v>PT_108.5000000000</v>
      </c>
      <c r="BD19" s="1097"/>
      <c r="BE19" s="1125" t="s">
        <v>1571</v>
      </c>
      <c r="BG19" s="538" t="s">
        <v>114</v>
      </c>
      <c r="BH19" s="539" t="str">
        <f>INDEX([1]!List_StateInputAll,MATCH(BG19,[1]!List_StateInput,0),2)</f>
        <v>Non-CA</v>
      </c>
      <c r="BI19" s="540" t="str">
        <f>INDEX([1]!List_StateInputAll,MATCH(BG19,[1]!List_StateInput,0),3)</f>
        <v>Y</v>
      </c>
      <c r="BJ19" s="540" t="str">
        <f>INDEX([1]!List_StateInputAll,MATCH(BG19,[1]!List_StateInput,0),4)</f>
        <v>Y</v>
      </c>
      <c r="BK19" s="540" t="str">
        <f>INDEX([1]!List_StateInputAll,MATCH(BG19,[1]!List_StateInput,0),5)</f>
        <v xml:space="preserve"> </v>
      </c>
      <c r="BL19" s="570" t="str">
        <f>INDEX([1]!List_StateInputAll,MATCH(BG19,[1]!List_StateInput,0),6)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19" s="540" t="str">
        <f>INDEX([1]!List_StateInputAll,MATCH(BG19,[1]!List_StateInput,0),7)</f>
        <v>Prepay Restriction May Apply: Borrower must be corporation if APR is &gt; 8%.  Prepay only available on Business Purpose Loans</v>
      </c>
      <c r="BN19" s="540" t="str">
        <f>INDEX([1]!List_StateInputAll,MATCH(BG19,[1]!List_StateInput,0),8)</f>
        <v>Illinois</v>
      </c>
      <c r="BO19" s="540" t="str">
        <f>INDEX([1]!List_StateInputAll,MATCH(BG19,[1]!List_StateInput,0),9)</f>
        <v>Y</v>
      </c>
      <c r="BP19" s="541" t="str">
        <f>INDEX([1]!List_StateInputAll,MATCH(BG19,[1]!List_StateInput,0),10)</f>
        <v>Y</v>
      </c>
      <c r="BQ19" s="540" t="str">
        <f>INDEX([1]!List_StateInputAll,MATCH(BG19,[1]!List_StateInput,0),11)</f>
        <v>N</v>
      </c>
      <c r="BR19" s="542" t="str">
        <f>INDEX([1]!List_StateInputAll,MATCH(BG19,[1]!List_StateInput,0),12)</f>
        <v>Y</v>
      </c>
      <c r="BS19" s="541" t="str">
        <f>INDEX([1]!List_StateInputAll,MATCH(BG19,[1]!List_StateInput,0),13)</f>
        <v xml:space="preserve"> </v>
      </c>
      <c r="BT19" s="522" t="str">
        <f>IF(OR(Input_Ratesheet_Source="Corr1",Input_Ratesheet_Source="Corr2",Input_Ratesheet_Source="Corr3",Input_Ratesheet_Source="CorrND"),BI19,IF(Input_Ratesheet_Source="Whol",IF(Input_Occupancy="Non Owner Occupied",BP19,BO19),IF(Input_Ratesheet_Source="Retl",IF(Input_Occupancy="Non Owner Occupied",IF(IF(IFERROR(FIND(Input_ProductClass,Structure!BS19),0)&gt;=1,"N","Y")="N","N",BR19),BQ19),"")))</f>
        <v>Y</v>
      </c>
      <c r="BU19" s="541" t="str">
        <f>INDEX([1]!List_StateInputAll,MATCH(BG19,[1]!List_StateInput,0),14)</f>
        <v>Wet</v>
      </c>
      <c r="BV19" s="541">
        <f>INDEX([1]!List_StateInputAll,MATCH(BG19,[1]!List_StateInput,0),15)</f>
        <v>1</v>
      </c>
      <c r="BW19" s="539" t="str">
        <f>INDEX([1]!List_StateInputAll,MATCH(BG19,[1]!List_StateInput,0),16)</f>
        <v>APOR</v>
      </c>
      <c r="BX19" s="543">
        <f>INDEX([1]!List_StateInputAll,MATCH(BG19,[1]!List_StateInput,0),17)</f>
        <v>6</v>
      </c>
      <c r="BY19" s="543">
        <f>INDEX([1]!List_StateInputAll,MATCH(BG19,[1]!List_StateInput,0),18)</f>
        <v>8</v>
      </c>
      <c r="BZ19" s="543">
        <f>INDEX([1]!List_StateInputAll,MATCH(BG19,[1]!List_StateInput,0),19)</f>
        <v>5</v>
      </c>
      <c r="CA19" s="540">
        <f>INDEX([1]!List_StateInputAll,MATCH(BG19,[1]!List_StateInput,0),20)</f>
        <v>0</v>
      </c>
      <c r="CB19" s="540" t="str">
        <f>INDEX([1]!List_StateInputAll,MATCH(BG19,[1]!List_StateInput,0),21)</f>
        <v>Owner Occupied</v>
      </c>
      <c r="CC19" s="540" t="str">
        <f>INDEX([1]!List_StateInputAll,MATCH(BG19,[1]!List_StateInput,0),22)</f>
        <v>Purchase, Rate-Term, Cash-Out</v>
      </c>
      <c r="CD19" s="541" t="str">
        <f>INDEX([1]!List_StateInputAll,MATCH(BG19,[1]!List_StateInput,0),23)</f>
        <v>Additional Local High Cost Ordinances</v>
      </c>
      <c r="CE19" s="541" t="str">
        <f>INDEX([1]!List_StateInputAll,MATCH(BG19,[1]!List_StateInput,0),24)</f>
        <v>N</v>
      </c>
    </row>
    <row r="20" spans="2:83" ht="9.6" customHeight="1" x14ac:dyDescent="0.2">
      <c r="B20" s="559"/>
      <c r="C20" s="560" t="s">
        <v>72</v>
      </c>
      <c r="D20" s="584" t="str">
        <f>Input_DocType</f>
        <v>09-DSCR</v>
      </c>
      <c r="E20" s="585"/>
      <c r="F20" s="609" t="str">
        <f>IF(IFERROR(FIND((INDEX(List_DocTypeAll,MATCH(Input_DocType,List_DocType,0),9)),(INDEX(List_ProductCodeAll,MATCH(Output_ProductCode,List_ProductCode,0),2))),0)&gt;0,"N","Y")</f>
        <v>N</v>
      </c>
      <c r="G20" s="587"/>
      <c r="H20" s="588">
        <f>IF(Error_DocType="Y",#N/A,INDEX(Lookup_LLPAAll,MATCH(INDEX(List_ProductAll,MATCH(Input_Product,List_Product,0),2)&amp;"_"&amp;INDEX(List_DocTypeAll,MATCH(Input_DocType,List_DocType,0),4)&amp;"_"&amp;INDEX(List_CreditScore_All,MATCH(Input_CreditScore,List_CreditScore,1),2),Lookup_LLPA,0),INDEX(List_LTV_All,MATCH(Input_LTV,List_LTV,-1),3)))</f>
        <v>-2.125</v>
      </c>
      <c r="I20" s="2195" t="str">
        <f>IF(AND(Input_DocType="03-Bank Statement",Input_BankStmt="No Bank Stmt"),"Input Bank Statement Months",IF(AND(Input_DocType&lt;&gt;"03-Bank Statement",Input_BankStmt&lt;&gt;"No Bank Stmt"),"Remove Bank Statement Months",""&amp;INDEX(List_DocTypeAll,MATCH(Input_DocType,List_DocType,0),8)))</f>
        <v>Investor DSCR</v>
      </c>
      <c r="J20" s="564" t="s">
        <v>76</v>
      </c>
      <c r="K20" s="590" t="str">
        <f>INDEX(List_ProductAll,MATCH(Input_Product,List_Product,0),2)&amp;"_"&amp;INDEX(List_DocTypeAll,MATCH(Input_DocType,List_DocType,0),4)&amp;"_"&amp;INDEX(List_CreditScore_All,MATCH(Input_CreditScore,List_CreditScore,1),2)</f>
        <v>IT_Doc05_≥ 800</v>
      </c>
      <c r="L20" s="2195" t="str">
        <f>""&amp;INDEX(List_DocTypeAll,MATCH(Input_DocType,List_DocType,0),8)&amp;IF(AND(Input_DocType="03-Bank Statement",Input_BankStmt="No Bank Stmt"),"Input Bank Statement Months","")&amp;IF(AND(Input_DocType&lt;&gt;"03-Bank Statement",Input_BankStmt&lt;&gt;"No Bank Stmt"),": Remove Bank Statement Months","")</f>
        <v>Investor DSCR</v>
      </c>
      <c r="M20" s="619" t="s">
        <v>199</v>
      </c>
      <c r="N20" s="620" t="s">
        <v>1055</v>
      </c>
      <c r="O20" s="620" t="s">
        <v>57</v>
      </c>
      <c r="P20" s="620" t="s">
        <v>95</v>
      </c>
      <c r="Q20" s="621" t="s">
        <v>136</v>
      </c>
      <c r="R20" s="620" t="s">
        <v>106</v>
      </c>
      <c r="S20" s="620" t="s">
        <v>107</v>
      </c>
      <c r="T20" s="621" t="s">
        <v>156</v>
      </c>
      <c r="U20" s="622" t="s">
        <v>177</v>
      </c>
      <c r="V20" s="461"/>
      <c r="X20" s="552" t="s">
        <v>2307</v>
      </c>
      <c r="Y20" s="552" t="s">
        <v>165</v>
      </c>
      <c r="Z20" s="553" t="e">
        <f>-Input_PL_IncentiveMaxAdj_LenderPaidComp+Input_PL_MaxPriceBase_IN_05PP+Input_PL_Incentive_IN+Input_PL_IncentiveMaxAdj_IN</f>
        <v>#N/A</v>
      </c>
      <c r="AA20" s="554" cm="1">
        <f t="array" ref="AA20">[1]!Input_MaxPriceNet_IN_05PP</f>
        <v>104</v>
      </c>
      <c r="AB20" s="464"/>
      <c r="AC20" s="1916" t="s">
        <v>129</v>
      </c>
      <c r="AD20" s="1912" t="s">
        <v>342</v>
      </c>
      <c r="AE20" s="531">
        <v>1</v>
      </c>
      <c r="AF20" s="532" t="str">
        <f t="shared" si="0"/>
        <v/>
      </c>
      <c r="AG20" s="533" t="str">
        <f>IF(AF20="","",MAX(AG$4:AG19)+1)</f>
        <v/>
      </c>
      <c r="AH20" s="534" t="str">
        <f t="shared" si="1"/>
        <v/>
      </c>
      <c r="AI20" s="460" t="s">
        <v>76</v>
      </c>
      <c r="AQ20" s="618">
        <f>IF(Lookup_LienPosition=1,100000,100000.01)</f>
        <v>100000.01</v>
      </c>
      <c r="AR20" s="1826" t="s">
        <v>1133</v>
      </c>
      <c r="AV20" s="1124" t="s">
        <v>1303</v>
      </c>
      <c r="AW20" s="1096" t="s">
        <v>1068</v>
      </c>
      <c r="AX20" s="1097" t="str">
        <f t="shared" si="2"/>
        <v>PT_010.7500000000</v>
      </c>
      <c r="AY20" s="1098">
        <f>[1]!PR_R16</f>
        <v>10.75</v>
      </c>
      <c r="AZ20" s="1099">
        <f>[1]!PR_ARM05_P16+Input_PL_Incentive_PR</f>
        <v>-2</v>
      </c>
      <c r="BA20" s="1099">
        <f>[1]!PR_FRM30_P16+Input_PL_Incentive_PR</f>
        <v>108.25</v>
      </c>
      <c r="BB20" s="1097">
        <f t="shared" si="6"/>
        <v>108.25</v>
      </c>
      <c r="BC20" s="1097" t="str">
        <f t="shared" si="4"/>
        <v>PT_108.2500000000</v>
      </c>
      <c r="BD20" s="1097"/>
      <c r="BE20" s="1125" t="s">
        <v>1572</v>
      </c>
      <c r="BG20" s="538" t="s">
        <v>377</v>
      </c>
      <c r="BH20" s="539" t="str">
        <f>INDEX([1]!List_StateInputAll,MATCH(BG20,[1]!List_StateInput,0),2)</f>
        <v>Non-CA</v>
      </c>
      <c r="BI20" s="540" t="str">
        <f>INDEX([1]!List_StateInputAll,MATCH(BG20,[1]!List_StateInput,0),3)</f>
        <v>Y</v>
      </c>
      <c r="BJ20" s="540" t="str">
        <f>INDEX([1]!List_StateInputAll,MATCH(BG20,[1]!List_StateInput,0),4)</f>
        <v>Y</v>
      </c>
      <c r="BK20" s="540" t="str">
        <f>INDEX([1]!List_StateInputAll,MATCH(BG20,[1]!List_StateInput,0),5)</f>
        <v xml:space="preserve"> </v>
      </c>
      <c r="BL20" s="540" t="str">
        <f>INDEX([1]!List_StateInputAll,MATCH(BG20,[1]!List_StateInput,0),6)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20" s="540" t="str">
        <f>INDEX([1]!List_StateInputAll,MATCH(BG20,[1]!List_StateInput,0),7)</f>
        <v>Prepay only available on Business Purpose Loans</v>
      </c>
      <c r="BN20" s="540" t="str">
        <f>INDEX([1]!List_StateInputAll,MATCH(BG20,[1]!List_StateInput,0),8)</f>
        <v>Indiana</v>
      </c>
      <c r="BO20" s="540" t="str">
        <f>INDEX([1]!List_StateInputAll,MATCH(BG20,[1]!List_StateInput,0),9)</f>
        <v>Y</v>
      </c>
      <c r="BP20" s="541" t="str">
        <f>INDEX([1]!List_StateInputAll,MATCH(BG20,[1]!List_StateInput,0),10)</f>
        <v>Y</v>
      </c>
      <c r="BQ20" s="540" t="str">
        <f>INDEX([1]!List_StateInputAll,MATCH(BG20,[1]!List_StateInput,0),11)</f>
        <v>N</v>
      </c>
      <c r="BR20" s="542" t="str">
        <f>INDEX([1]!List_StateInputAll,MATCH(BG20,[1]!List_StateInput,0),12)</f>
        <v>Y</v>
      </c>
      <c r="BS20" s="541" t="str">
        <f>INDEX([1]!List_StateInputAll,MATCH(BG20,[1]!List_StateInput,0),13)</f>
        <v xml:space="preserve"> </v>
      </c>
      <c r="BT20" s="522" t="str">
        <f>IF(OR(Input_Ratesheet_Source="Corr1",Input_Ratesheet_Source="Corr2",Input_Ratesheet_Source="Corr3",Input_Ratesheet_Source="CorrND"),BI20,IF(Input_Ratesheet_Source="Whol",IF(Input_Occupancy="Non Owner Occupied",BP20,BO20),IF(Input_Ratesheet_Source="Retl",IF(Input_Occupancy="Non Owner Occupied",IF(IF(IFERROR(FIND(Input_ProductClass,Structure!BS20),0)&gt;=1,"N","Y")="N","N",BR20),BQ20),"")))</f>
        <v>Y</v>
      </c>
      <c r="BU20" s="541" t="str">
        <f>INDEX([1]!List_StateInputAll,MATCH(BG20,[1]!List_StateInput,0),14)</f>
        <v>Wet</v>
      </c>
      <c r="BV20" s="541">
        <f>INDEX([1]!List_StateInputAll,MATCH(BG20,[1]!List_StateInput,0),15)</f>
        <v>1</v>
      </c>
      <c r="BW20" s="539" t="str">
        <f>INDEX([1]!List_StateInputAll,MATCH(BG20,[1]!List_StateInput,0),16)</f>
        <v>APOR</v>
      </c>
      <c r="BX20" s="543">
        <f>INDEX([1]!List_StateInputAll,MATCH(BG20,[1]!List_StateInput,0),17)</f>
        <v>6.5</v>
      </c>
      <c r="BY20" s="543">
        <f>INDEX([1]!List_StateInputAll,MATCH(BG20,[1]!List_StateInput,0),18)</f>
        <v>8.5</v>
      </c>
      <c r="BZ20" s="543">
        <f>INDEX([1]!List_StateInputAll,MATCH(BG20,[1]!List_StateInput,0),19)</f>
        <v>5</v>
      </c>
      <c r="CA20" s="540">
        <f>INDEX([1]!List_StateInputAll,MATCH(BG20,[1]!List_StateInput,0),20)</f>
        <v>0</v>
      </c>
      <c r="CB20" s="540" t="str">
        <f>INDEX([1]!List_StateInputAll,MATCH(BG20,[1]!List_StateInput,0),21)</f>
        <v>Owner Occupied</v>
      </c>
      <c r="CC20" s="540" t="str">
        <f>INDEX([1]!List_StateInputAll,MATCH(BG20,[1]!List_StateInput,0),22)</f>
        <v>Purchase, Rate-Term, Cash-Out</v>
      </c>
      <c r="CD20" s="541">
        <f>INDEX([1]!List_StateInputAll,MATCH(BG20,[1]!List_StateInput,0),23)</f>
        <v>0</v>
      </c>
      <c r="CE20" s="541" t="str">
        <f>INDEX([1]!List_StateInputAll,MATCH(BG20,[1]!List_StateInput,0),24)</f>
        <v>Y</v>
      </c>
    </row>
    <row r="21" spans="2:83" ht="9.6" customHeight="1" x14ac:dyDescent="0.2">
      <c r="B21" s="559"/>
      <c r="C21" s="560" t="s">
        <v>81</v>
      </c>
      <c r="D21" s="584" t="str">
        <f>Input_BankStmt</f>
        <v>No Bank Stmt</v>
      </c>
      <c r="E21" s="585"/>
      <c r="F21" s="609" t="str">
        <f>IF(IFERROR(FIND((INDEX(List_BankStmtAll,MATCH(Input_BankStmt,List_BankStmt,0),2)),(INDEX(List_DocTypeAll,MATCH(Input_DocType,List_DocType,0),5))),0)&gt;0,"N","Y")</f>
        <v>N</v>
      </c>
      <c r="G21" s="587"/>
      <c r="H21" s="588">
        <f>IF(Error_BankStmt="N",INDEX(Lookup_LLPAAll,MATCH(INDEX(List_ProductAll,MATCH(Input_Product,List_Product,0),2)&amp;"_"&amp;Input_BankStmt,Lookup_LLPA,0),INDEX(List_LTV_All,MATCH(Input_LTV,List_LTV,-1),3)),#N/A)</f>
        <v>0</v>
      </c>
      <c r="I21" s="2195"/>
      <c r="J21" s="564" t="s">
        <v>76</v>
      </c>
      <c r="K21" s="590" t="str">
        <f>INDEX(List_ProductAll,MATCH(Input_Product,List_Product,0),2)&amp;"_"&amp;Input_BankStmt</f>
        <v>IT_No Bank Stmt</v>
      </c>
      <c r="L21" s="2195"/>
      <c r="M21" s="619" t="s">
        <v>186</v>
      </c>
      <c r="N21" s="620" t="s">
        <v>1055</v>
      </c>
      <c r="O21" s="620" t="s">
        <v>55</v>
      </c>
      <c r="P21" s="620" t="s">
        <v>94</v>
      </c>
      <c r="Q21" s="621" t="s">
        <v>141</v>
      </c>
      <c r="R21" s="620" t="s">
        <v>106</v>
      </c>
      <c r="S21" s="620" t="s">
        <v>107</v>
      </c>
      <c r="T21" s="621" t="s">
        <v>203</v>
      </c>
      <c r="U21" s="622" t="s">
        <v>176</v>
      </c>
      <c r="V21" s="461"/>
      <c r="X21" s="544" t="s">
        <v>708</v>
      </c>
      <c r="Y21" s="544" t="s">
        <v>68</v>
      </c>
      <c r="Z21" s="545" t="e">
        <f>-Input_PL_IncentiveMaxAdj_LenderPaidComp+Input_PL_MaxPriceBase_IN_01PP+Input_PL_Incentive_IN+Input_PL_IncentiveMaxAdj_IN</f>
        <v>#N/A</v>
      </c>
      <c r="AA21" s="546" cm="1">
        <f t="array" ref="AA21">[1]!Input_MaxPriceNet_IN_01PP</f>
        <v>102.5</v>
      </c>
      <c r="AB21" s="464"/>
      <c r="AC21" s="1916" t="s">
        <v>232</v>
      </c>
      <c r="AD21" s="1912" t="s">
        <v>343</v>
      </c>
      <c r="AE21" s="531">
        <v>5</v>
      </c>
      <c r="AF21" s="1254" t="str">
        <f t="shared" si="0"/>
        <v/>
      </c>
      <c r="AG21" s="533" t="str">
        <f>IF(AF21="","",MAX(AG$4:AG20)+1)</f>
        <v/>
      </c>
      <c r="AH21" s="534" t="str">
        <f t="shared" si="1"/>
        <v/>
      </c>
      <c r="AI21" s="460" t="s">
        <v>76</v>
      </c>
      <c r="AQ21" s="1825">
        <v>125000.01</v>
      </c>
      <c r="AR21" s="1826" t="s">
        <v>1134</v>
      </c>
      <c r="AV21" s="1124" t="s">
        <v>1303</v>
      </c>
      <c r="AW21" s="1096" t="s">
        <v>1068</v>
      </c>
      <c r="AX21" s="1097" t="str">
        <f t="shared" si="2"/>
        <v>PT_010.6250000000</v>
      </c>
      <c r="AY21" s="1098">
        <f>[1]!PR_R17</f>
        <v>10.625</v>
      </c>
      <c r="AZ21" s="1099">
        <f>[1]!PR_ARM05_P17+Input_PL_Incentive_PR</f>
        <v>-2</v>
      </c>
      <c r="BA21" s="1099">
        <f>[1]!PR_FRM30_P17+Input_PL_Incentive_PR</f>
        <v>108</v>
      </c>
      <c r="BB21" s="1097">
        <f t="shared" si="6"/>
        <v>108</v>
      </c>
      <c r="BC21" s="1097" t="str">
        <f t="shared" si="4"/>
        <v>PT_108.0000000000</v>
      </c>
      <c r="BD21" s="1097"/>
      <c r="BE21" s="1125" t="s">
        <v>1573</v>
      </c>
      <c r="BG21" s="538" t="s">
        <v>378</v>
      </c>
      <c r="BH21" s="539" t="str">
        <f>INDEX([1]!List_StateInputAll,MATCH(BG21,[1]!List_StateInput,0),2)</f>
        <v>Non-CA</v>
      </c>
      <c r="BI21" s="540" t="str">
        <f>INDEX([1]!List_StateInputAll,MATCH(BG21,[1]!List_StateInput,0),3)</f>
        <v>Y</v>
      </c>
      <c r="BJ21" s="540" t="str">
        <f>INDEX([1]!List_StateInputAll,MATCH(BG21,[1]!List_StateInput,0),4)</f>
        <v>Y</v>
      </c>
      <c r="BK21" s="540" t="str">
        <f>INDEX([1]!List_StateInputAll,MATCH(BG21,[1]!List_StateInput,0),5)</f>
        <v xml:space="preserve"> </v>
      </c>
      <c r="BL21" s="570" t="str">
        <f>INDEX([1]!List_StateInputAll,MATCH(BG21,[1]!List_StateInput,0),6)</f>
        <v>No Prepay</v>
      </c>
      <c r="BM21" s="570" t="str">
        <f>INDEX([1]!List_StateInputAll,MATCH(BG21,[1]!List_StateInput,0),7)</f>
        <v>Prepay Restriction May Apply.  Prepay only available on Business Purpose Loans</v>
      </c>
      <c r="BN21" s="540" t="str">
        <f>INDEX([1]!List_StateInputAll,MATCH(BG21,[1]!List_StateInput,0),8)</f>
        <v>Kansas</v>
      </c>
      <c r="BO21" s="540" t="str">
        <f>INDEX([1]!List_StateInputAll,MATCH(BG21,[1]!List_StateInput,0),9)</f>
        <v>Y</v>
      </c>
      <c r="BP21" s="541" t="str">
        <f>INDEX([1]!List_StateInputAll,MATCH(BG21,[1]!List_StateInput,0),10)</f>
        <v>Y</v>
      </c>
      <c r="BQ21" s="540" t="str">
        <f>INDEX([1]!List_StateInputAll,MATCH(BG21,[1]!List_StateInput,0),11)</f>
        <v>N</v>
      </c>
      <c r="BR21" s="542" t="str">
        <f>INDEX([1]!List_StateInputAll,MATCH(BG21,[1]!List_StateInput,0),12)</f>
        <v>Y</v>
      </c>
      <c r="BS21" s="541" t="str">
        <f>INDEX([1]!List_StateInputAll,MATCH(BG21,[1]!List_StateInput,0),13)</f>
        <v xml:space="preserve"> </v>
      </c>
      <c r="BT21" s="522" t="str">
        <f>IF(OR(Input_Ratesheet_Source="Corr1",Input_Ratesheet_Source="Corr2",Input_Ratesheet_Source="Corr3",Input_Ratesheet_Source="CorrND"),BI21,IF(Input_Ratesheet_Source="Whol",IF(Input_Occupancy="Non Owner Occupied",BP21,BO21),IF(Input_Ratesheet_Source="Retl",IF(Input_Occupancy="Non Owner Occupied",IF(IF(IFERROR(FIND(Input_ProductClass,Structure!BS21),0)&gt;=1,"N","Y")="N","N",BR21),BQ21),"")))</f>
        <v>Y</v>
      </c>
      <c r="BU21" s="541" t="str">
        <f>INDEX([1]!List_StateInputAll,MATCH(BG21,[1]!List_StateInput,0),14)</f>
        <v>Wet</v>
      </c>
      <c r="BV21" s="541">
        <f>INDEX([1]!List_StateInputAll,MATCH(BG21,[1]!List_StateInput,0),15)</f>
        <v>1</v>
      </c>
      <c r="BW21" s="539" t="str">
        <f>INDEX([1]!List_StateInputAll,MATCH(BG21,[1]!List_StateInput,0),16)</f>
        <v>APOR</v>
      </c>
      <c r="BX21" s="543">
        <f>INDEX([1]!List_StateInputAll,MATCH(BG21,[1]!List_StateInput,0),17)</f>
        <v>6.5</v>
      </c>
      <c r="BY21" s="543">
        <f>INDEX([1]!List_StateInputAll,MATCH(BG21,[1]!List_StateInput,0),18)</f>
        <v>8.5</v>
      </c>
      <c r="BZ21" s="543">
        <f>INDEX([1]!List_StateInputAll,MATCH(BG21,[1]!List_StateInput,0),19)</f>
        <v>5</v>
      </c>
      <c r="CA21" s="540">
        <f>INDEX([1]!List_StateInputAll,MATCH(BG21,[1]!List_StateInput,0),20)</f>
        <v>0</v>
      </c>
      <c r="CB21" s="540" t="str">
        <f>INDEX([1]!List_StateInputAll,MATCH(BG21,[1]!List_StateInput,0),21)</f>
        <v>Owner Occupied</v>
      </c>
      <c r="CC21" s="540" t="str">
        <f>INDEX([1]!List_StateInputAll,MATCH(BG21,[1]!List_StateInput,0),22)</f>
        <v>Purchase, Rate-Term, Cash-Out</v>
      </c>
      <c r="CD21" s="541">
        <f>INDEX([1]!List_StateInputAll,MATCH(BG21,[1]!List_StateInput,0),23)</f>
        <v>0</v>
      </c>
      <c r="CE21" s="541" t="str">
        <f>INDEX([1]!List_StateInputAll,MATCH(BG21,[1]!List_StateInput,0),24)</f>
        <v>Y</v>
      </c>
    </row>
    <row r="22" spans="2:83" ht="9.6" customHeight="1" x14ac:dyDescent="0.2">
      <c r="B22" s="559"/>
      <c r="C22" s="560" t="s">
        <v>256</v>
      </c>
      <c r="D22" s="584">
        <f>Input_ReservesMonths</f>
        <v>12</v>
      </c>
      <c r="E22" s="596">
        <f>Elig_OverlayLimit_Reserves_Min</f>
        <v>0</v>
      </c>
      <c r="F22" s="609" t="str">
        <f>IF(INDEX(List_DocTypeAll,MATCH(Input_DocType,List_DocType,0),6)=INDEX(List_DTI_All,MATCH(Input_DTI,List_DTI,-1),3),"N","Y")</f>
        <v>N</v>
      </c>
      <c r="G22" s="587"/>
      <c r="H22" s="640" cm="1">
        <f t="array" ref="H22">IFERROR(INDEX(Lookup_LLPAAll,MATCH(INDEX(List_ProductAll,MATCH(Input_Product,List_Product,0),2)&amp;"_"&amp;INDEX(List_Reserves_All,MATCH(Input_ReservesMonths,List_Reserves,1),2),Lookup_LLPA,0),INDEX(List_LTV_All,MATCH(Input_LTV,List_LTV,-1),3)),0)</f>
        <v>0</v>
      </c>
      <c r="I22" s="598" t="str">
        <f>Elig_OverlayMsg_Reserves&amp;IF(Result_Msg2_LLPA_ReservesMonths&gt;0,"Min Reserves "&amp;Result_Msg2_LLPA_ReservesMonths,"")</f>
        <v/>
      </c>
      <c r="J22" s="564" t="s">
        <v>76</v>
      </c>
      <c r="K22" s="574"/>
      <c r="L22" s="460" t="s">
        <v>76</v>
      </c>
      <c r="M22" s="619" t="s">
        <v>200</v>
      </c>
      <c r="N22" s="620" t="s">
        <v>1055</v>
      </c>
      <c r="O22" s="620" t="s">
        <v>56</v>
      </c>
      <c r="P22" s="620" t="s">
        <v>94</v>
      </c>
      <c r="Q22" s="621" t="s">
        <v>201</v>
      </c>
      <c r="R22" s="620" t="s">
        <v>106</v>
      </c>
      <c r="S22" s="620" t="s">
        <v>107</v>
      </c>
      <c r="T22" s="621" t="s">
        <v>202</v>
      </c>
      <c r="U22" s="622" t="s">
        <v>175</v>
      </c>
      <c r="V22" s="461"/>
      <c r="X22" s="544" t="s">
        <v>707</v>
      </c>
      <c r="Y22" s="544" t="s">
        <v>67</v>
      </c>
      <c r="Z22" s="545" t="e">
        <f>-Input_PL_IncentiveMaxAdj_LenderPaidComp+Input_PL_MaxPriceBase_IN_02PP+Input_PL_Incentive_IN+Input_PL_IncentiveMaxAdj_IN</f>
        <v>#N/A</v>
      </c>
      <c r="AA22" s="546" cm="1">
        <f t="array" ref="AA22">[1]!Input_MaxPriceNet_IN_02PP</f>
        <v>102.75</v>
      </c>
      <c r="AB22" s="464"/>
      <c r="AC22" s="1916" t="s">
        <v>233</v>
      </c>
      <c r="AD22" s="1912" t="s">
        <v>344</v>
      </c>
      <c r="AE22" s="531">
        <v>6</v>
      </c>
      <c r="AF22" s="1254" t="str">
        <f t="shared" si="0"/>
        <v/>
      </c>
      <c r="AG22" s="533" t="str">
        <f>IF(AF22="","",MAX(AG$4:AG21)+1)</f>
        <v/>
      </c>
      <c r="AH22" s="534" t="str">
        <f t="shared" si="1"/>
        <v/>
      </c>
      <c r="AI22" s="460" t="s">
        <v>76</v>
      </c>
      <c r="AQ22" s="1825">
        <v>150000.01</v>
      </c>
      <c r="AR22" s="1826" t="s">
        <v>1135</v>
      </c>
      <c r="AV22" s="1124" t="s">
        <v>1303</v>
      </c>
      <c r="AW22" s="1096" t="s">
        <v>1068</v>
      </c>
      <c r="AX22" s="1097" t="str">
        <f t="shared" si="2"/>
        <v>PT_010.5000000000</v>
      </c>
      <c r="AY22" s="1098">
        <f>[1]!PR_R18</f>
        <v>10.5</v>
      </c>
      <c r="AZ22" s="1099">
        <f>[1]!PR_ARM05_P18+Input_PL_Incentive_PR</f>
        <v>-2</v>
      </c>
      <c r="BA22" s="1099">
        <f>[1]!PR_FRM30_P18+Input_PL_Incentive_PR</f>
        <v>107.75</v>
      </c>
      <c r="BB22" s="1097">
        <f t="shared" si="6"/>
        <v>107.75</v>
      </c>
      <c r="BC22" s="1097" t="str">
        <f t="shared" si="4"/>
        <v>PT_107.7500000000</v>
      </c>
      <c r="BD22" s="1097"/>
      <c r="BE22" s="1125" t="s">
        <v>1574</v>
      </c>
      <c r="BG22" s="538" t="s">
        <v>379</v>
      </c>
      <c r="BH22" s="539" t="str">
        <f>INDEX([1]!List_StateInputAll,MATCH(BG22,[1]!List_StateInput,0),2)</f>
        <v>Non-CA</v>
      </c>
      <c r="BI22" s="540" t="str">
        <f>INDEX([1]!List_StateInputAll,MATCH(BG22,[1]!List_StateInput,0),3)</f>
        <v>Y</v>
      </c>
      <c r="BJ22" s="540" t="str">
        <f>INDEX([1]!List_StateInputAll,MATCH(BG22,[1]!List_StateInput,0),4)</f>
        <v>Y</v>
      </c>
      <c r="BK22" s="540" t="str">
        <f>INDEX([1]!List_StateInputAll,MATCH(BG22,[1]!List_StateInput,0),5)</f>
        <v xml:space="preserve"> </v>
      </c>
      <c r="BL22" s="540" t="str">
        <f>INDEX([1]!List_StateInputAll,MATCH(BG22,[1]!List_StateInput,0),6)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22" s="540" t="str">
        <f>INDEX([1]!List_StateInputAll,MATCH(BG22,[1]!List_StateInput,0),7)</f>
        <v>Prepay only available on Business Purpose Loans</v>
      </c>
      <c r="BN22" s="540" t="str">
        <f>INDEX([1]!List_StateInputAll,MATCH(BG22,[1]!List_StateInput,0),8)</f>
        <v>Kentucky</v>
      </c>
      <c r="BO22" s="540" t="str">
        <f>INDEX([1]!List_StateInputAll,MATCH(BG22,[1]!List_StateInput,0),9)</f>
        <v>Y</v>
      </c>
      <c r="BP22" s="541" t="str">
        <f>INDEX([1]!List_StateInputAll,MATCH(BG22,[1]!List_StateInput,0),10)</f>
        <v>Y</v>
      </c>
      <c r="BQ22" s="540" t="str">
        <f>INDEX([1]!List_StateInputAll,MATCH(BG22,[1]!List_StateInput,0),11)</f>
        <v>N</v>
      </c>
      <c r="BR22" s="542" t="str">
        <f>INDEX([1]!List_StateInputAll,MATCH(BG22,[1]!List_StateInput,0),12)</f>
        <v>Y</v>
      </c>
      <c r="BS22" s="541" t="str">
        <f>INDEX([1]!List_StateInputAll,MATCH(BG22,[1]!List_StateInput,0),13)</f>
        <v xml:space="preserve"> </v>
      </c>
      <c r="BT22" s="522" t="str">
        <f>IF(OR(Input_Ratesheet_Source="Corr1",Input_Ratesheet_Source="Corr2",Input_Ratesheet_Source="Corr3",Input_Ratesheet_Source="CorrND"),BI22,IF(Input_Ratesheet_Source="Whol",IF(Input_Occupancy="Non Owner Occupied",BP22,BO22),IF(Input_Ratesheet_Source="Retl",IF(Input_Occupancy="Non Owner Occupied",IF(IF(IFERROR(FIND(Input_ProductClass,Structure!BS22),0)&gt;=1,"N","Y")="N","N",BR22),BQ22),"")))</f>
        <v>Y</v>
      </c>
      <c r="BU22" s="541" t="str">
        <f>INDEX([1]!List_StateInputAll,MATCH(BG22,[1]!List_StateInput,0),14)</f>
        <v>Wet</v>
      </c>
      <c r="BV22" s="541">
        <f>INDEX([1]!List_StateInputAll,MATCH(BG22,[1]!List_StateInput,0),15)</f>
        <v>1</v>
      </c>
      <c r="BW22" s="539" t="str">
        <f>INDEX([1]!List_StateInputAll,MATCH(BG22,[1]!List_StateInput,0),16)</f>
        <v>APOR</v>
      </c>
      <c r="BX22" s="543">
        <f>INDEX([1]!List_StateInputAll,MATCH(BG22,[1]!List_StateInput,0),17)</f>
        <v>6.5</v>
      </c>
      <c r="BY22" s="543">
        <f>INDEX([1]!List_StateInputAll,MATCH(BG22,[1]!List_StateInput,0),18)</f>
        <v>8.5</v>
      </c>
      <c r="BZ22" s="543">
        <f>INDEX([1]!List_StateInputAll,MATCH(BG22,[1]!List_StateInput,0),19)</f>
        <v>6</v>
      </c>
      <c r="CA22" s="540">
        <f>INDEX([1]!List_StateInputAll,MATCH(BG22,[1]!List_StateInput,0),20)</f>
        <v>200001</v>
      </c>
      <c r="CB22" s="540" t="str">
        <f>INDEX([1]!List_StateInputAll,MATCH(BG22,[1]!List_StateInput,0),21)</f>
        <v>Owner Occupied</v>
      </c>
      <c r="CC22" s="540" t="str">
        <f>INDEX([1]!List_StateInputAll,MATCH(BG22,[1]!List_StateInput,0),22)</f>
        <v>Purchase, Rate-Term, Cash-Out</v>
      </c>
      <c r="CD22" s="541">
        <f>INDEX([1]!List_StateInputAll,MATCH(BG22,[1]!List_StateInput,0),23)</f>
        <v>0</v>
      </c>
      <c r="CE22" s="541" t="str">
        <f>INDEX([1]!List_StateInputAll,MATCH(BG22,[1]!List_StateInput,0),24)</f>
        <v>Y</v>
      </c>
    </row>
    <row r="23" spans="2:83" ht="9.6" customHeight="1" x14ac:dyDescent="0.2">
      <c r="B23" s="559"/>
      <c r="C23" s="560" t="s">
        <v>14</v>
      </c>
      <c r="D23" s="584">
        <f>Input_DTI</f>
        <v>0</v>
      </c>
      <c r="E23" s="585"/>
      <c r="F23" s="609" t="str">
        <f>IF(INDEX(List_DocTypeAll,MATCH(Input_DocType,List_DocType,0),6)=INDEX(List_DTI_All,MATCH(Input_DTI,List_DTI,-1),3),"N","Y")</f>
        <v>N</v>
      </c>
      <c r="G23" s="587"/>
      <c r="H23" s="588">
        <f>IF(Error_DTI="N",INDEX(Lookup_LLPAAll,MATCH(INDEX(List_ProductAll,MATCH(Input_Product,List_Product,0),2)&amp;"_"&amp;INDEX(List_DTI_All,MATCH(Input_DTI,List_DTI,-1),2),Lookup_LLPA,0),INDEX(List_LTV_All,MATCH(Input_LTV,List_LTV,-1),3)),#N/A)</f>
        <v>0</v>
      </c>
      <c r="I23" s="598" t="str">
        <f>TRIM(Elig_OverlayMsg_DTI&amp;IF(Result_Msg2_LLPA_DTI&gt;0,"Max DTI "&amp;Result_Msg2_LLPA_DTI,"")&amp;" "&amp;IF(AND(Input_DTI&lt;1,Input_DTI&lt;&gt;0),"DTI Value Low - InputPoints Not Decimal",""))</f>
        <v/>
      </c>
      <c r="J23" s="564" t="s">
        <v>76</v>
      </c>
      <c r="K23" s="590" t="str">
        <f>INDEX(List_ProductAll,MATCH(Input_Product,List_Product,0),2)&amp;"_"&amp;INDEX(List_DTI_All,MATCH(Input_DTI,List_DTI,-1),2)</f>
        <v>IT_00.00-00</v>
      </c>
      <c r="L23" s="460" t="s">
        <v>76</v>
      </c>
      <c r="M23" s="619" t="s">
        <v>212</v>
      </c>
      <c r="N23" s="620" t="s">
        <v>1055</v>
      </c>
      <c r="O23" s="621" t="s">
        <v>213</v>
      </c>
      <c r="P23" s="620" t="s">
        <v>94</v>
      </c>
      <c r="Q23" s="620" t="s">
        <v>136</v>
      </c>
      <c r="R23" s="620" t="s">
        <v>106</v>
      </c>
      <c r="S23" s="620" t="s">
        <v>107</v>
      </c>
      <c r="T23" s="620" t="s">
        <v>156</v>
      </c>
      <c r="U23" s="631">
        <v>11</v>
      </c>
      <c r="V23" s="461"/>
      <c r="X23" s="544" t="s">
        <v>706</v>
      </c>
      <c r="Y23" s="544" t="s">
        <v>66</v>
      </c>
      <c r="Z23" s="545" t="e">
        <f>-Input_PL_IncentiveMaxAdj_LenderPaidComp+Input_PL_MaxPriceBase_IN_03PP+Input_PL_Incentive_IN+Input_PL_IncentiveMaxAdj_IN</f>
        <v>#N/A</v>
      </c>
      <c r="AA23" s="546" cm="1">
        <f t="array" ref="AA23">[1]!Input_MaxPriceNet_IN_03PP</f>
        <v>103.25</v>
      </c>
      <c r="AB23" s="464"/>
      <c r="AC23" s="1917" t="s">
        <v>234</v>
      </c>
      <c r="AD23" s="1913" t="s">
        <v>345</v>
      </c>
      <c r="AE23" s="625">
        <v>7</v>
      </c>
      <c r="AF23" s="1255" t="str">
        <f t="shared" si="0"/>
        <v/>
      </c>
      <c r="AG23" s="533" t="str">
        <f>IF(AF23="","",MAX(AG$4:AG22)+1)</f>
        <v/>
      </c>
      <c r="AH23" s="534" t="str">
        <f t="shared" si="1"/>
        <v/>
      </c>
      <c r="AI23" s="460" t="s">
        <v>76</v>
      </c>
      <c r="AQ23" s="1825">
        <v>175000.01</v>
      </c>
      <c r="AR23" s="1826" t="s">
        <v>1136</v>
      </c>
      <c r="AV23" s="1124" t="s">
        <v>1303</v>
      </c>
      <c r="AW23" s="1096" t="s">
        <v>1068</v>
      </c>
      <c r="AX23" s="1097" t="str">
        <f t="shared" si="2"/>
        <v>PT_010.3750000000</v>
      </c>
      <c r="AY23" s="1098">
        <f>[1]!PR_R19</f>
        <v>10.375</v>
      </c>
      <c r="AZ23" s="1099">
        <f>[1]!PR_ARM05_P19+Input_PL_Incentive_PR</f>
        <v>-2</v>
      </c>
      <c r="BA23" s="1099">
        <f>[1]!PR_FRM30_P19+Input_PL_Incentive_PR</f>
        <v>107.5</v>
      </c>
      <c r="BB23" s="1097">
        <f t="shared" si="6"/>
        <v>107.5</v>
      </c>
      <c r="BC23" s="1097" t="str">
        <f t="shared" si="4"/>
        <v>PT_107.5000000000</v>
      </c>
      <c r="BD23" s="1097"/>
      <c r="BE23" s="1125" t="s">
        <v>1575</v>
      </c>
      <c r="BG23" s="538" t="s">
        <v>380</v>
      </c>
      <c r="BH23" s="539" t="str">
        <f>INDEX([1]!List_StateInputAll,MATCH(BG23,[1]!List_StateInput,0),2)</f>
        <v>Non-CA</v>
      </c>
      <c r="BI23" s="540" t="str">
        <f>INDEX([1]!List_StateInputAll,MATCH(BG23,[1]!List_StateInput,0),3)</f>
        <v>Y</v>
      </c>
      <c r="BJ23" s="540" t="str">
        <f>INDEX([1]!List_StateInputAll,MATCH(BG23,[1]!List_StateInput,0),4)</f>
        <v>Y</v>
      </c>
      <c r="BK23" s="540" t="str">
        <f>INDEX([1]!List_StateInputAll,MATCH(BG23,[1]!List_StateInput,0),5)</f>
        <v xml:space="preserve"> </v>
      </c>
      <c r="BL23" s="540" t="str">
        <f>INDEX([1]!List_StateInputAll,MATCH(BG23,[1]!List_StateInput,0),6)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23" s="540" t="str">
        <f>INDEX([1]!List_StateInputAll,MATCH(BG23,[1]!List_StateInput,0),7)</f>
        <v>Prepay only available on Business Purpose Loans</v>
      </c>
      <c r="BN23" s="540" t="str">
        <f>INDEX([1]!List_StateInputAll,MATCH(BG23,[1]!List_StateInput,0),8)</f>
        <v>Louisiana</v>
      </c>
      <c r="BO23" s="540" t="str">
        <f>INDEX([1]!List_StateInputAll,MATCH(BG23,[1]!List_StateInput,0),9)</f>
        <v>Y</v>
      </c>
      <c r="BP23" s="541" t="str">
        <f>INDEX([1]!List_StateInputAll,MATCH(BG23,[1]!List_StateInput,0),10)</f>
        <v>Y</v>
      </c>
      <c r="BQ23" s="540" t="str">
        <f>INDEX([1]!List_StateInputAll,MATCH(BG23,[1]!List_StateInput,0),11)</f>
        <v>N</v>
      </c>
      <c r="BR23" s="542" t="str">
        <f>INDEX([1]!List_StateInputAll,MATCH(BG23,[1]!List_StateInput,0),12)</f>
        <v>Y</v>
      </c>
      <c r="BS23" s="541" t="str">
        <f>INDEX([1]!List_StateInputAll,MATCH(BG23,[1]!List_StateInput,0),13)</f>
        <v xml:space="preserve"> </v>
      </c>
      <c r="BT23" s="522" t="str">
        <f>IF(OR(Input_Ratesheet_Source="Corr1",Input_Ratesheet_Source="Corr2",Input_Ratesheet_Source="Corr3",Input_Ratesheet_Source="CorrND"),BI23,IF(Input_Ratesheet_Source="Whol",IF(Input_Occupancy="Non Owner Occupied",BP23,BO23),IF(Input_Ratesheet_Source="Retl",IF(Input_Occupancy="Non Owner Occupied",IF(IF(IFERROR(FIND(Input_ProductClass,Structure!BS23),0)&gt;=1,"N","Y")="N","N",BR23),BQ23),"")))</f>
        <v>Y</v>
      </c>
      <c r="BU23" s="541" t="str">
        <f>INDEX([1]!List_StateInputAll,MATCH(BG23,[1]!List_StateInput,0),14)</f>
        <v>Wet</v>
      </c>
      <c r="BV23" s="541">
        <f>INDEX([1]!List_StateInputAll,MATCH(BG23,[1]!List_StateInput,0),15)</f>
        <v>1</v>
      </c>
      <c r="BW23" s="539" t="str">
        <f>INDEX([1]!List_StateInputAll,MATCH(BG23,[1]!List_StateInput,0),16)</f>
        <v>APOR</v>
      </c>
      <c r="BX23" s="543">
        <f>INDEX([1]!List_StateInputAll,MATCH(BG23,[1]!List_StateInput,0),17)</f>
        <v>6.5</v>
      </c>
      <c r="BY23" s="543">
        <f>INDEX([1]!List_StateInputAll,MATCH(BG23,[1]!List_StateInput,0),18)</f>
        <v>8.5</v>
      </c>
      <c r="BZ23" s="543">
        <f>INDEX([1]!List_StateInputAll,MATCH(BG23,[1]!List_StateInput,0),19)</f>
        <v>5</v>
      </c>
      <c r="CA23" s="540">
        <f>INDEX([1]!List_StateInputAll,MATCH(BG23,[1]!List_StateInput,0),20)</f>
        <v>0</v>
      </c>
      <c r="CB23" s="540" t="str">
        <f>INDEX([1]!List_StateInputAll,MATCH(BG23,[1]!List_StateInput,0),21)</f>
        <v>Owner Occupied</v>
      </c>
      <c r="CC23" s="540" t="str">
        <f>INDEX([1]!List_StateInputAll,MATCH(BG23,[1]!List_StateInput,0),22)</f>
        <v>Purchase, Rate-Term, Cash-Out</v>
      </c>
      <c r="CD23" s="541">
        <f>INDEX([1]!List_StateInputAll,MATCH(BG23,[1]!List_StateInput,0),23)</f>
        <v>0</v>
      </c>
      <c r="CE23" s="541" t="str">
        <f>INDEX([1]!List_StateInputAll,MATCH(BG23,[1]!List_StateInput,0),24)</f>
        <v>Y</v>
      </c>
    </row>
    <row r="24" spans="2:83" ht="9.6" customHeight="1" x14ac:dyDescent="0.2">
      <c r="B24" s="559"/>
      <c r="C24" s="560" t="s">
        <v>62</v>
      </c>
      <c r="D24" s="584">
        <f>Input_DSCR</f>
        <v>1.25</v>
      </c>
      <c r="E24" s="585"/>
      <c r="F24" s="609" t="str">
        <f>IF(INDEX(List_DocTypeAll,MATCH(Input_DocType,List_DocType,0),7)=INDEX(List_DSCR_All,MATCH(Input_DSCR,List_DSCR,1),3),"N","Y")</f>
        <v>N</v>
      </c>
      <c r="G24" s="587"/>
      <c r="H24" s="630">
        <f>IF(Error_DSCR="N",INDEX(Lookup_LLPAAll,MATCH(INDEX(List_ProductAll,MATCH(Input_Product,List_Product,0),2)&amp;"_"&amp;INDEX(List_DSCR_All,MATCH(Input_DSCR,List_DSCR,1),2),Lookup_LLPA,0),INDEX(List_LTV_All,MATCH(Input_LTV,List_LTV,-1),3)),#N/A)</f>
        <v>0</v>
      </c>
      <c r="I24" s="598" t="str">
        <f>IF(AND(Input_DSCR=0,INDEX(List_DocTypeAll,MATCH(Input_DocType,List_DocType,0),7)="Y"),"No Ratio DSCR (0.000) ",IF(AND(Input_DSCR&lt;&gt;0,INDEX(List_DocTypeAll,MATCH(Input_DocType,List_DocType,0),7)="N"),"DSCR Not Required ",""))&amp;IF(Result_Msg2_LLPA_DSCR&gt;0,"Min DSCR "&amp;Result_Msg2_LLPA_DSCR,"")&amp;Elig_OverlayMsg_DSCR</f>
        <v/>
      </c>
      <c r="J24" s="564" t="s">
        <v>76</v>
      </c>
      <c r="K24" s="590" t="str">
        <f>INDEX(List_ProductAll,MATCH(Input_Product,List_Product,0),2)&amp;"_"&amp;INDEX(List_DSCR_All,MATCH(Input_DSCR,List_DSCR,1),2)</f>
        <v>IT_DSCR 1.25-1.49</v>
      </c>
      <c r="L24" s="460" t="s">
        <v>76</v>
      </c>
      <c r="M24" s="619" t="s">
        <v>225</v>
      </c>
      <c r="N24" s="621" t="s">
        <v>1056</v>
      </c>
      <c r="O24" s="621" t="s">
        <v>226</v>
      </c>
      <c r="P24" s="620" t="s">
        <v>94</v>
      </c>
      <c r="Q24" s="620" t="s">
        <v>136</v>
      </c>
      <c r="R24" s="620" t="s">
        <v>106</v>
      </c>
      <c r="S24" s="620" t="s">
        <v>107</v>
      </c>
      <c r="T24" s="621" t="s">
        <v>227</v>
      </c>
      <c r="U24" s="631">
        <v>12</v>
      </c>
      <c r="V24" s="461"/>
      <c r="X24" s="544" t="s">
        <v>705</v>
      </c>
      <c r="Y24" s="544" t="s">
        <v>164</v>
      </c>
      <c r="Z24" s="545" t="e">
        <f>-Input_PL_IncentiveMaxAdj_LenderPaidComp+Input_PL_MaxPriceBase_IN_04PP+Input_PL_Incentive_IN+Input_PL_IncentiveMaxAdj_IN</f>
        <v>#N/A</v>
      </c>
      <c r="AA24" s="546" cm="1">
        <f t="array" ref="AA24">[1]!Input_MaxPriceNet_IN_04PP</f>
        <v>103.5</v>
      </c>
      <c r="AB24" s="464"/>
      <c r="AC24" s="1918" t="s">
        <v>235</v>
      </c>
      <c r="AD24" s="1914" t="s">
        <v>346</v>
      </c>
      <c r="AE24" s="627">
        <v>8</v>
      </c>
      <c r="AF24" s="1256" t="str">
        <f t="shared" si="0"/>
        <v/>
      </c>
      <c r="AG24" s="628" t="str">
        <f>IF(AF24="","",MAX(AG$4:AG23)+1)</f>
        <v/>
      </c>
      <c r="AH24" s="629" t="str">
        <f t="shared" si="1"/>
        <v/>
      </c>
      <c r="AJ24" s="460" t="s">
        <v>76</v>
      </c>
      <c r="AQ24" s="1825">
        <v>200000.01</v>
      </c>
      <c r="AR24" s="1826" t="s">
        <v>310</v>
      </c>
      <c r="AV24" s="1124" t="s">
        <v>1303</v>
      </c>
      <c r="AW24" s="1096" t="s">
        <v>1068</v>
      </c>
      <c r="AX24" s="1097" t="str">
        <f t="shared" si="2"/>
        <v>PT_010.2500000000</v>
      </c>
      <c r="AY24" s="1098">
        <f>[1]!PR_R20</f>
        <v>10.25</v>
      </c>
      <c r="AZ24" s="1099">
        <f>[1]!PR_ARM05_P20+Input_PL_Incentive_PR</f>
        <v>-2</v>
      </c>
      <c r="BA24" s="1099">
        <f>[1]!PR_FRM30_P20+Input_PL_Incentive_PR</f>
        <v>107.25</v>
      </c>
      <c r="BB24" s="1097">
        <f t="shared" si="6"/>
        <v>107.25</v>
      </c>
      <c r="BC24" s="1097" t="str">
        <f t="shared" si="4"/>
        <v>PT_107.2500000000</v>
      </c>
      <c r="BD24" s="1097"/>
      <c r="BE24" s="1125" t="s">
        <v>1576</v>
      </c>
      <c r="BG24" s="538" t="s">
        <v>381</v>
      </c>
      <c r="BH24" s="539" t="str">
        <f>INDEX([1]!List_StateInputAll,MATCH(BG24,[1]!List_StateInput,0),2)</f>
        <v>Non-CA</v>
      </c>
      <c r="BI24" s="540" t="str">
        <f>INDEX([1]!List_StateInputAll,MATCH(BG24,[1]!List_StateInput,0),3)</f>
        <v>Y</v>
      </c>
      <c r="BJ24" s="540" t="str">
        <f>INDEX([1]!List_StateInputAll,MATCH(BG24,[1]!List_StateInput,0),4)</f>
        <v>Y</v>
      </c>
      <c r="BK24" s="540" t="str">
        <f>INDEX([1]!List_StateInputAll,MATCH(BG24,[1]!List_StateInput,0),5)</f>
        <v xml:space="preserve"> </v>
      </c>
      <c r="BL24" s="540" t="str">
        <f>INDEX([1]!List_StateInputAll,MATCH(BG24,[1]!List_StateInput,0),6)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24" s="540" t="str">
        <f>INDEX([1]!List_StateInputAll,MATCH(BG24,[1]!List_StateInput,0),7)</f>
        <v>Prepay only available on Business Purpose Loans</v>
      </c>
      <c r="BN24" s="540" t="str">
        <f>INDEX([1]!List_StateInputAll,MATCH(BG24,[1]!List_StateInput,0),8)</f>
        <v>Massachusetts</v>
      </c>
      <c r="BO24" s="540" t="str">
        <f>INDEX([1]!List_StateInputAll,MATCH(BG24,[1]!List_StateInput,0),9)</f>
        <v>N</v>
      </c>
      <c r="BP24" s="541" t="str">
        <f>INDEX([1]!List_StateInputAll,MATCH(BG24,[1]!List_StateInput,0),10)</f>
        <v>Y</v>
      </c>
      <c r="BQ24" s="540" t="str">
        <f>INDEX([1]!List_StateInputAll,MATCH(BG24,[1]!List_StateInput,0),11)</f>
        <v>N</v>
      </c>
      <c r="BR24" s="542" t="str">
        <f>INDEX([1]!List_StateInputAll,MATCH(BG24,[1]!List_StateInput,0),12)</f>
        <v>Y</v>
      </c>
      <c r="BS24" s="541" t="str">
        <f>INDEX([1]!List_StateInputAll,MATCH(BG24,[1]!List_StateInput,0),13)</f>
        <v xml:space="preserve"> </v>
      </c>
      <c r="BT24" s="522" t="str">
        <f>IF(OR(Input_Ratesheet_Source="Corr1",Input_Ratesheet_Source="Corr2",Input_Ratesheet_Source="Corr3",Input_Ratesheet_Source="CorrND"),BI24,IF(Input_Ratesheet_Source="Whol",IF(Input_Occupancy="Non Owner Occupied",BP24,BO24),IF(Input_Ratesheet_Source="Retl",IF(Input_Occupancy="Non Owner Occupied",IF(IF(IFERROR(FIND(Input_ProductClass,Structure!BS24),0)&gt;=1,"N","Y")="N","N",BR24),BQ24),"")))</f>
        <v>Y</v>
      </c>
      <c r="BU24" s="541" t="str">
        <f>INDEX([1]!List_StateInputAll,MATCH(BG24,[1]!List_StateInput,0),14)</f>
        <v>Wet</v>
      </c>
      <c r="BV24" s="541">
        <f>INDEX([1]!List_StateInputAll,MATCH(BG24,[1]!List_StateInput,0),15)</f>
        <v>1</v>
      </c>
      <c r="BW24" s="539" t="str">
        <f>INDEX([1]!List_StateInputAll,MATCH(BG24,[1]!List_StateInput,0),16)</f>
        <v>Treasury</v>
      </c>
      <c r="BX24" s="543">
        <f>INDEX([1]!List_StateInputAll,MATCH(BG24,[1]!List_StateInput,0),17)</f>
        <v>8</v>
      </c>
      <c r="BY24" s="543">
        <f>INDEX([1]!List_StateInputAll,MATCH(BG24,[1]!List_StateInput,0),18)</f>
        <v>9</v>
      </c>
      <c r="BZ24" s="543">
        <f>INDEX([1]!List_StateInputAll,MATCH(BG24,[1]!List_StateInput,0),19)</f>
        <v>5</v>
      </c>
      <c r="CA24" s="540">
        <f>INDEX([1]!List_StateInputAll,MATCH(BG24,[1]!List_StateInput,0),20)</f>
        <v>0</v>
      </c>
      <c r="CB24" s="540" t="str">
        <f>INDEX([1]!List_StateInputAll,MATCH(BG24,[1]!List_StateInput,0),21)</f>
        <v>Owner Occupied</v>
      </c>
      <c r="CC24" s="540" t="str">
        <f>INDEX([1]!List_StateInputAll,MATCH(BG24,[1]!List_StateInput,0),22)</f>
        <v>Purchase, Rate-Term, Cash-Out</v>
      </c>
      <c r="CD24" s="541">
        <f>INDEX([1]!List_StateInputAll,MATCH(BG24,[1]!List_StateInput,0),23)</f>
        <v>0</v>
      </c>
      <c r="CE24" s="541" t="str">
        <f>INDEX([1]!List_StateInputAll,MATCH(BG24,[1]!List_StateInput,0),24)</f>
        <v>N</v>
      </c>
    </row>
    <row r="25" spans="2:83" ht="9.6" customHeight="1" x14ac:dyDescent="0.2">
      <c r="B25" s="559"/>
      <c r="C25" s="560" t="s">
        <v>33</v>
      </c>
      <c r="D25" s="584" t="str">
        <f>Input_Purpose</f>
        <v>Purchase</v>
      </c>
      <c r="E25" s="585"/>
      <c r="F25" s="586"/>
      <c r="G25" s="587"/>
      <c r="H25" s="588">
        <f>INDEX(Lookup_LLPAAll,MATCH(INDEX(List_ProductAll,MATCH(Input_Product,List_Product,0),2)&amp;"_"&amp;INDEX(List_Purpose_All,MATCH(Input_Purpose,List_Purpose,0),2),Lookup_LLPA,0),INDEX(List_LTV_All,MATCH(Input_LTV,List_LTV,-1),3))</f>
        <v>0</v>
      </c>
      <c r="I25" s="635" t="s">
        <v>76</v>
      </c>
      <c r="J25" s="564" t="s">
        <v>76</v>
      </c>
      <c r="K25" s="590" t="str">
        <f>INDEX(List_ProductAll,MATCH(Input_Product,List_Product,0),2)&amp;"_"&amp;Input_Purpose</f>
        <v>IT_Purchase</v>
      </c>
      <c r="L25" s="460" t="s">
        <v>76</v>
      </c>
      <c r="M25" s="619" t="s">
        <v>188</v>
      </c>
      <c r="N25" s="621" t="s">
        <v>1056</v>
      </c>
      <c r="O25" s="620" t="s">
        <v>59</v>
      </c>
      <c r="P25" s="620" t="s">
        <v>96</v>
      </c>
      <c r="Q25" s="621" t="s">
        <v>136</v>
      </c>
      <c r="R25" s="621" t="s">
        <v>106</v>
      </c>
      <c r="S25" s="621" t="s">
        <v>107</v>
      </c>
      <c r="T25" s="621" t="s">
        <v>158</v>
      </c>
      <c r="U25" s="631" t="s">
        <v>179</v>
      </c>
      <c r="V25" s="461"/>
      <c r="X25" s="552" t="s">
        <v>704</v>
      </c>
      <c r="Y25" s="552" t="s">
        <v>165</v>
      </c>
      <c r="Z25" s="553" t="e">
        <f>-Input_PL_IncentiveMaxAdj_LenderPaidComp+Input_PL_MaxPriceBase_IN_05PP+Input_PL_Incentive_IN+Input_PL_IncentiveMaxAdj_IN</f>
        <v>#N/A</v>
      </c>
      <c r="AA25" s="554" cm="1">
        <f t="array" ref="AA25">[1]!Input_MaxPriceNet_IN_05PP</f>
        <v>104</v>
      </c>
      <c r="AB25" s="464"/>
      <c r="AH25" s="460" t="s">
        <v>76</v>
      </c>
      <c r="AJ25" s="460" t="s">
        <v>76</v>
      </c>
      <c r="AQ25" s="1825">
        <v>300000.01</v>
      </c>
      <c r="AR25" s="1827" t="s">
        <v>250</v>
      </c>
      <c r="AV25" s="1124" t="s">
        <v>1303</v>
      </c>
      <c r="AW25" s="1096" t="s">
        <v>1068</v>
      </c>
      <c r="AX25" s="1097" t="str">
        <f t="shared" si="2"/>
        <v>PT_010.1250000000</v>
      </c>
      <c r="AY25" s="1098">
        <f>[1]!PR_R21</f>
        <v>10.125</v>
      </c>
      <c r="AZ25" s="1099">
        <f>[1]!PR_ARM05_P21+Input_PL_Incentive_PR</f>
        <v>-2</v>
      </c>
      <c r="BA25" s="1099">
        <f>[1]!PR_FRM30_P21+Input_PL_Incentive_PR</f>
        <v>106.875</v>
      </c>
      <c r="BB25" s="1097">
        <f t="shared" si="6"/>
        <v>106.875</v>
      </c>
      <c r="BC25" s="1097" t="str">
        <f t="shared" si="4"/>
        <v>PT_106.8750000000</v>
      </c>
      <c r="BD25" s="1097"/>
      <c r="BE25" s="1125" t="s">
        <v>1577</v>
      </c>
      <c r="BG25" s="538" t="s">
        <v>115</v>
      </c>
      <c r="BH25" s="539" t="str">
        <f>INDEX([1]!List_StateInputAll,MATCH(BG25,[1]!List_StateInput,0),2)</f>
        <v>Non-CA</v>
      </c>
      <c r="BI25" s="540" t="str">
        <f>INDEX([1]!List_StateInputAll,MATCH(BG25,[1]!List_StateInput,0),3)</f>
        <v>Y</v>
      </c>
      <c r="BJ25" s="540" t="str">
        <f>INDEX([1]!List_StateInputAll,MATCH(BG25,[1]!List_StateInput,0),4)</f>
        <v>Y</v>
      </c>
      <c r="BK25" s="540" t="str">
        <f>INDEX([1]!List_StateInputAll,MATCH(BG25,[1]!List_StateInput,0),5)</f>
        <v xml:space="preserve"> </v>
      </c>
      <c r="BL25" s="570" t="str">
        <f>INDEX([1]!List_StateInputAll,MATCH(BG25,[1]!List_StateInput,0),6)</f>
        <v>No Prepay, 1yr Prepay_Standard, 2yr Prepay_Standard, 3yr Prepay_Standard, 1yr Prepay_5Pct, 2yr Prepay_5Pct, 3yr Prepay_5Pct, 1yr Prepay_3Pct, 2yr Prepay_3Pct, 3yr Prepay_3Pct, 1yr Prepay_1, 2yr Prepay_21, 3yr Prepay_321</v>
      </c>
      <c r="BM25" s="540" t="str">
        <f>INDEX([1]!List_StateInputAll,MATCH(BG25,[1]!List_StateInput,0),7)</f>
        <v>Prepay Restriction May Apply.  Prepay only available on Business Purpose Loans</v>
      </c>
      <c r="BN25" s="540" t="str">
        <f>INDEX([1]!List_StateInputAll,MATCH(BG25,[1]!List_StateInput,0),8)</f>
        <v>Maryland</v>
      </c>
      <c r="BO25" s="540" t="str">
        <f>INDEX([1]!List_StateInputAll,MATCH(BG25,[1]!List_StateInput,0),9)</f>
        <v>Y</v>
      </c>
      <c r="BP25" s="541" t="str">
        <f>INDEX([1]!List_StateInputAll,MATCH(BG25,[1]!List_StateInput,0),10)</f>
        <v>Y</v>
      </c>
      <c r="BQ25" s="540" t="str">
        <f>INDEX([1]!List_StateInputAll,MATCH(BG25,[1]!List_StateInput,0),11)</f>
        <v>N</v>
      </c>
      <c r="BR25" s="542" t="str">
        <f>INDEX([1]!List_StateInputAll,MATCH(BG25,[1]!List_StateInput,0),12)</f>
        <v>Y</v>
      </c>
      <c r="BS25" s="541" t="str">
        <f>INDEX([1]!List_StateInputAll,MATCH(BG25,[1]!List_StateInput,0),13)</f>
        <v xml:space="preserve"> </v>
      </c>
      <c r="BT25" s="522" t="str">
        <f>IF(OR(Input_Ratesheet_Source="Corr1",Input_Ratesheet_Source="Corr2",Input_Ratesheet_Source="Corr3",Input_Ratesheet_Source="CorrND"),BI25,IF(Input_Ratesheet_Source="Whol",IF(Input_Occupancy="Non Owner Occupied",BP25,BO25),IF(Input_Ratesheet_Source="Retl",IF(Input_Occupancy="Non Owner Occupied",IF(IF(IFERROR(FIND(Input_ProductClass,Structure!BS25),0)&gt;=1,"N","Y")="N","N",BR25),BQ25),"")))</f>
        <v>Y</v>
      </c>
      <c r="BU25" s="541" t="str">
        <f>INDEX([1]!List_StateInputAll,MATCH(BG25,[1]!List_StateInput,0),14)</f>
        <v>Wet</v>
      </c>
      <c r="BV25" s="541">
        <f>INDEX([1]!List_StateInputAll,MATCH(BG25,[1]!List_StateInput,0),15)</f>
        <v>1</v>
      </c>
      <c r="BW25" s="539" t="str">
        <f>INDEX([1]!List_StateInputAll,MATCH(BG25,[1]!List_StateInput,0),16)</f>
        <v>APOR</v>
      </c>
      <c r="BX25" s="543">
        <f>INDEX([1]!List_StateInputAll,MATCH(BG25,[1]!List_StateInput,0),17)</f>
        <v>6.5</v>
      </c>
      <c r="BY25" s="543">
        <f>INDEX([1]!List_StateInputAll,MATCH(BG25,[1]!List_StateInput,0),18)</f>
        <v>7.5</v>
      </c>
      <c r="BZ25" s="543">
        <f>INDEX([1]!List_StateInputAll,MATCH(BG25,[1]!List_StateInput,0),19)</f>
        <v>4</v>
      </c>
      <c r="CA25" s="540">
        <f>INDEX([1]!List_StateInputAll,MATCH(BG25,[1]!List_StateInput,0),20)</f>
        <v>0</v>
      </c>
      <c r="CB25" s="540" t="str">
        <f>INDEX([1]!List_StateInputAll,MATCH(BG25,[1]!List_StateInput,0),21)</f>
        <v>Owner Occupied, Second Home</v>
      </c>
      <c r="CC25" s="540" t="str">
        <f>INDEX([1]!List_StateInputAll,MATCH(BG25,[1]!List_StateInput,0),22)</f>
        <v>Purchase, Rate-Term, Cash-Out</v>
      </c>
      <c r="CD25" s="541">
        <f>INDEX([1]!List_StateInputAll,MATCH(BG25,[1]!List_StateInput,0),23)</f>
        <v>0</v>
      </c>
      <c r="CE25" s="541" t="str">
        <f>INDEX([1]!List_StateInputAll,MATCH(BG25,[1]!List_StateInput,0),24)</f>
        <v>N</v>
      </c>
    </row>
    <row r="26" spans="2:83" ht="9.6" customHeight="1" x14ac:dyDescent="0.2">
      <c r="B26" s="559"/>
      <c r="C26" s="605" t="s">
        <v>255</v>
      </c>
      <c r="D26" s="584">
        <f>Input_CashoutAmt</f>
        <v>0</v>
      </c>
      <c r="E26" s="585"/>
      <c r="F26" s="639" t="str">
        <f>IF(AND(Input_Purpose="Cash-Out",Input_CashoutAmt&gt;Elig_OverlayLimit_CashoutAmt_Max),"Y",IF(AND(Input_Purpose="Cash-Out",Input_CashoutAmt=0),"Y","N"))</f>
        <v>N</v>
      </c>
      <c r="G26" s="587"/>
      <c r="H26" s="640">
        <f>IF(Error_CashoutAmt="Y",#N/A,0)</f>
        <v>0</v>
      </c>
      <c r="I26" s="641" t="str">
        <f>TRIM(IF(Error_CashoutAmt="Y","Max Cashout "&amp;Elig_OverlayLimit_CashoutAmt_Max,"")&amp;" "&amp;IF(Input_CashoutAmt&gt;Input_LoanAmt,"C/O Amt &gt; Loan Amt",""))</f>
        <v/>
      </c>
      <c r="J26" s="564" t="s">
        <v>76</v>
      </c>
      <c r="K26" s="574"/>
      <c r="L26" s="460" t="s">
        <v>76</v>
      </c>
      <c r="M26" s="644" t="s">
        <v>190</v>
      </c>
      <c r="N26" s="645" t="s">
        <v>1056</v>
      </c>
      <c r="O26" s="645" t="s">
        <v>61</v>
      </c>
      <c r="P26" s="645" t="s">
        <v>97</v>
      </c>
      <c r="Q26" s="646" t="s">
        <v>136</v>
      </c>
      <c r="R26" s="646" t="s">
        <v>107</v>
      </c>
      <c r="S26" s="646" t="s">
        <v>106</v>
      </c>
      <c r="T26" s="646" t="s">
        <v>184</v>
      </c>
      <c r="U26" s="647" t="s">
        <v>181</v>
      </c>
      <c r="V26" s="461"/>
      <c r="X26" s="615" t="s">
        <v>1213</v>
      </c>
      <c r="Y26" s="615" t="s">
        <v>82</v>
      </c>
      <c r="Z26" s="616">
        <f>-Input_PL_IncentiveMaxAdj_LenderPaidComp+Input_PL_MaxPriceBase_PR_NoPP+Input_PL_Incentive_PR+Input_PL_IncentiveMaxAdj_PR</f>
        <v>101.5</v>
      </c>
      <c r="AA26" s="617" cm="1">
        <f t="array" ref="AA26">[1]!Input_MaxPriceNet_PR_NoPP</f>
        <v>105</v>
      </c>
      <c r="AB26" s="464"/>
      <c r="AC26" s="632" t="s">
        <v>80</v>
      </c>
      <c r="AD26" s="633" t="s">
        <v>108</v>
      </c>
      <c r="AE26" s="634">
        <f>INDEX(List_BankStmtAll,MATCH(Input_BankStmt,List_BankStmt,0),3)</f>
        <v>0</v>
      </c>
      <c r="AQ26" s="1825">
        <v>400000.01</v>
      </c>
      <c r="AR26" s="1827" t="s">
        <v>12</v>
      </c>
      <c r="AV26" s="1124" t="s">
        <v>1303</v>
      </c>
      <c r="AW26" s="1096" t="s">
        <v>1068</v>
      </c>
      <c r="AX26" s="1097" t="str">
        <f t="shared" si="2"/>
        <v>PT_010.0000000000</v>
      </c>
      <c r="AY26" s="1098">
        <f>[1]!PR_R22</f>
        <v>10</v>
      </c>
      <c r="AZ26" s="1099">
        <f>[1]!PR_ARM05_P22+Input_PL_Incentive_PR</f>
        <v>-2</v>
      </c>
      <c r="BA26" s="1099">
        <f>[1]!PR_FRM30_P22+Input_PL_Incentive_PR</f>
        <v>106.5</v>
      </c>
      <c r="BB26" s="1097">
        <f t="shared" si="6"/>
        <v>106.5</v>
      </c>
      <c r="BC26" s="1097" t="str">
        <f t="shared" si="4"/>
        <v>PT_106.5000000000</v>
      </c>
      <c r="BD26" s="1097"/>
      <c r="BE26" s="1125" t="s">
        <v>1578</v>
      </c>
      <c r="BG26" s="538" t="s">
        <v>382</v>
      </c>
      <c r="BH26" s="539" t="str">
        <f>INDEX([1]!List_StateInputAll,MATCH(BG26,[1]!List_StateInput,0),2)</f>
        <v>Non-CA</v>
      </c>
      <c r="BI26" s="540" t="str">
        <f>INDEX([1]!List_StateInputAll,MATCH(BG26,[1]!List_StateInput,0),3)</f>
        <v>Y</v>
      </c>
      <c r="BJ26" s="540" t="str">
        <f>INDEX([1]!List_StateInputAll,MATCH(BG26,[1]!List_StateInput,0),4)</f>
        <v>Y</v>
      </c>
      <c r="BK26" s="540" t="str">
        <f>INDEX([1]!List_StateInputAll,MATCH(BG26,[1]!List_StateInput,0),5)</f>
        <v xml:space="preserve"> </v>
      </c>
      <c r="BL26" s="540" t="str">
        <f>INDEX([1]!List_StateInputAll,MATCH(BG26,[1]!List_StateInput,0),6)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26" s="540" t="str">
        <f>INDEX([1]!List_StateInputAll,MATCH(BG26,[1]!List_StateInput,0),7)</f>
        <v>Prepay only available on Business Purpose Loans</v>
      </c>
      <c r="BN26" s="540" t="str">
        <f>INDEX([1]!List_StateInputAll,MATCH(BG26,[1]!List_StateInput,0),8)</f>
        <v>Maine</v>
      </c>
      <c r="BO26" s="540" t="str">
        <f>INDEX([1]!List_StateInputAll,MATCH(BG26,[1]!List_StateInput,0),9)</f>
        <v>Y</v>
      </c>
      <c r="BP26" s="541" t="str">
        <f>INDEX([1]!List_StateInputAll,MATCH(BG26,[1]!List_StateInput,0),10)</f>
        <v>Y</v>
      </c>
      <c r="BQ26" s="540" t="str">
        <f>INDEX([1]!List_StateInputAll,MATCH(BG26,[1]!List_StateInput,0),11)</f>
        <v>N</v>
      </c>
      <c r="BR26" s="542" t="str">
        <f>INDEX([1]!List_StateInputAll,MATCH(BG26,[1]!List_StateInput,0),12)</f>
        <v>Y</v>
      </c>
      <c r="BS26" s="541" t="str">
        <f>INDEX([1]!List_StateInputAll,MATCH(BG26,[1]!List_StateInput,0),13)</f>
        <v xml:space="preserve"> </v>
      </c>
      <c r="BT26" s="522" t="str">
        <f>IF(OR(Input_Ratesheet_Source="Corr1",Input_Ratesheet_Source="Corr2",Input_Ratesheet_Source="Corr3",Input_Ratesheet_Source="CorrND"),BI26,IF(Input_Ratesheet_Source="Whol",IF(Input_Occupancy="Non Owner Occupied",BP26,BO26),IF(Input_Ratesheet_Source="Retl",IF(Input_Occupancy="Non Owner Occupied",IF(IF(IFERROR(FIND(Input_ProductClass,Structure!BS26),0)&gt;=1,"N","Y")="N","N",BR26),BQ26),"")))</f>
        <v>Y</v>
      </c>
      <c r="BU26" s="541" t="str">
        <f>INDEX([1]!List_StateInputAll,MATCH(BG26,[1]!List_StateInput,0),14)</f>
        <v>Wet</v>
      </c>
      <c r="BV26" s="541">
        <f>INDEX([1]!List_StateInputAll,MATCH(BG26,[1]!List_StateInput,0),15)</f>
        <v>1</v>
      </c>
      <c r="BW26" s="539" t="str">
        <f>INDEX([1]!List_StateInputAll,MATCH(BG26,[1]!List_StateInput,0),16)</f>
        <v>APOR</v>
      </c>
      <c r="BX26" s="543">
        <f>INDEX([1]!List_StateInputAll,MATCH(BG26,[1]!List_StateInput,0),17)</f>
        <v>6.5</v>
      </c>
      <c r="BY26" s="543">
        <f>INDEX([1]!List_StateInputAll,MATCH(BG26,[1]!List_StateInput,0),18)</f>
        <v>8.5</v>
      </c>
      <c r="BZ26" s="543">
        <f>INDEX([1]!List_StateInputAll,MATCH(BG26,[1]!List_StateInput,0),19)</f>
        <v>5</v>
      </c>
      <c r="CA26" s="540" t="str">
        <f>INDEX([1]!List_StateInputAll,MATCH(BG26,[1]!List_StateInput,0),20)</f>
        <v>Agency</v>
      </c>
      <c r="CB26" s="540" t="str">
        <f>INDEX([1]!List_StateInputAll,MATCH(BG26,[1]!List_StateInput,0),21)</f>
        <v>Owner Occupied</v>
      </c>
      <c r="CC26" s="540" t="str">
        <f>INDEX([1]!List_StateInputAll,MATCH(BG26,[1]!List_StateInput,0),22)</f>
        <v>Purchase, Rate-Term, Cash-Out</v>
      </c>
      <c r="CD26" s="541">
        <f>INDEX([1]!List_StateInputAll,MATCH(BG26,[1]!List_StateInput,0),23)</f>
        <v>0</v>
      </c>
      <c r="CE26" s="541" t="str">
        <f>INDEX([1]!List_StateInputAll,MATCH(BG26,[1]!List_StateInput,0),24)</f>
        <v>N</v>
      </c>
    </row>
    <row r="27" spans="2:83" ht="9.6" customHeight="1" x14ac:dyDescent="0.2">
      <c r="B27" s="559"/>
      <c r="C27" s="560" t="s">
        <v>36</v>
      </c>
      <c r="D27" s="584" t="str">
        <f>Input_PropertyType</f>
        <v>SFR</v>
      </c>
      <c r="E27" s="585"/>
      <c r="F27" s="586"/>
      <c r="G27" s="587"/>
      <c r="H27" s="588">
        <f>INDEX(Lookup_LLPAAll,MATCH(INDEX(List_ProductAll,MATCH(Input_Product,List_Product,0),2)&amp;"_"&amp;Input_PropertyType,Lookup_LLPA,0),INDEX(List_LTV_All,MATCH(Input_LTV,List_LTV,-1),3))</f>
        <v>0</v>
      </c>
      <c r="I27" s="635" t="s">
        <v>76</v>
      </c>
      <c r="J27" s="564" t="s">
        <v>76</v>
      </c>
      <c r="K27" s="590" t="str">
        <f>INDEX(List_ProductAll,MATCH(Input_Product,List_Product,0),2)&amp;"_"&amp;Input_PropertyType</f>
        <v>IT_SFR</v>
      </c>
      <c r="L27" s="460" t="s">
        <v>76</v>
      </c>
      <c r="U27" s="461"/>
      <c r="V27" s="461"/>
      <c r="X27" s="1092" t="s">
        <v>1287</v>
      </c>
      <c r="Y27" s="1092" t="s">
        <v>82</v>
      </c>
      <c r="Z27" s="506">
        <f>-Input_PL_IncentiveMaxAdj_LenderPaidComp+Input_PL_MaxPriceBase_IR_NoPP+Input_PL_Incentive_IR+Input_PL_IncentiveMaxAdj_IR</f>
        <v>102</v>
      </c>
      <c r="AA27" s="507" cm="1">
        <f t="array" ref="AA27">[1]!Input_MaxPriceNet_IR_NoPP</f>
        <v>105</v>
      </c>
      <c r="AB27" s="464"/>
      <c r="AC27" s="636" t="s">
        <v>77</v>
      </c>
      <c r="AD27" s="637" t="s">
        <v>137</v>
      </c>
      <c r="AE27" s="638">
        <v>24</v>
      </c>
      <c r="AQ27" s="1825">
        <v>600000.01</v>
      </c>
      <c r="AR27" s="1827" t="s">
        <v>13</v>
      </c>
      <c r="AV27" s="1124" t="s">
        <v>1303</v>
      </c>
      <c r="AW27" s="1096" t="s">
        <v>1068</v>
      </c>
      <c r="AX27" s="1097" t="str">
        <f t="shared" si="2"/>
        <v>PT_009.8750000000</v>
      </c>
      <c r="AY27" s="1098">
        <f>[1]!PR_R23</f>
        <v>9.875</v>
      </c>
      <c r="AZ27" s="1099">
        <f>[1]!PR_ARM05_P23+Input_PL_Incentive_PR</f>
        <v>-2</v>
      </c>
      <c r="BA27" s="1099">
        <f>[1]!PR_FRM30_P23+Input_PL_Incentive_PR</f>
        <v>106.125</v>
      </c>
      <c r="BB27" s="1097">
        <f t="shared" si="6"/>
        <v>106.125</v>
      </c>
      <c r="BC27" s="1097" t="str">
        <f t="shared" si="4"/>
        <v>PT_106.1250000000</v>
      </c>
      <c r="BD27" s="1097"/>
      <c r="BE27" s="1125" t="s">
        <v>1579</v>
      </c>
      <c r="BG27" s="538" t="s">
        <v>383</v>
      </c>
      <c r="BH27" s="539" t="str">
        <f>INDEX([1]!List_StateInputAll,MATCH(BG27,[1]!List_StateInput,0),2)</f>
        <v>Non-CA</v>
      </c>
      <c r="BI27" s="540" t="str">
        <f>INDEX([1]!List_StateInputAll,MATCH(BG27,[1]!List_StateInput,0),3)</f>
        <v>Y</v>
      </c>
      <c r="BJ27" s="540" t="str">
        <f>INDEX([1]!List_StateInputAll,MATCH(BG27,[1]!List_StateInput,0),4)</f>
        <v>Y</v>
      </c>
      <c r="BK27" s="540" t="str">
        <f>INDEX([1]!List_StateInputAll,MATCH(BG27,[1]!List_StateInput,0),5)</f>
        <v xml:space="preserve"> </v>
      </c>
      <c r="BL27" s="570" t="str">
        <f>INDEX([1]!List_StateInputAll,MATCH(BG27,[1]!List_StateInput,0),6)</f>
        <v>No Prepay, 1yr Prepay_Standard, 2yr Prepay_Standard, 3yr Prepay_Standard, 1yr Prepay_1</v>
      </c>
      <c r="BM27" s="540" t="str">
        <f>INDEX([1]!List_StateInputAll,MATCH(BG27,[1]!List_StateInput,0),7)</f>
        <v>Prepay Restriction May Apply.  Prepay only available on Business Purpose Loans</v>
      </c>
      <c r="BN27" s="540" t="str">
        <f>INDEX([1]!List_StateInputAll,MATCH(BG27,[1]!List_StateInput,0),8)</f>
        <v>Michigan</v>
      </c>
      <c r="BO27" s="540" t="str">
        <f>INDEX([1]!List_StateInputAll,MATCH(BG27,[1]!List_StateInput,0),9)</f>
        <v>Y</v>
      </c>
      <c r="BP27" s="541" t="str">
        <f>INDEX([1]!List_StateInputAll,MATCH(BG27,[1]!List_StateInput,0),10)</f>
        <v>Y</v>
      </c>
      <c r="BQ27" s="540" t="str">
        <f>INDEX([1]!List_StateInputAll,MATCH(BG27,[1]!List_StateInput,0),11)</f>
        <v>N</v>
      </c>
      <c r="BR27" s="542" t="str">
        <f>INDEX([1]!List_StateInputAll,MATCH(BG27,[1]!List_StateInput,0),12)</f>
        <v>Y</v>
      </c>
      <c r="BS27" s="541" t="str">
        <f>INDEX([1]!List_StateInputAll,MATCH(BG27,[1]!List_StateInput,0),13)</f>
        <v xml:space="preserve"> </v>
      </c>
      <c r="BT27" s="522" t="str">
        <f>IF(OR(Input_Ratesheet_Source="Corr1",Input_Ratesheet_Source="Corr2",Input_Ratesheet_Source="Corr3",Input_Ratesheet_Source="CorrND"),BI27,IF(Input_Ratesheet_Source="Whol",IF(Input_Occupancy="Non Owner Occupied",BP27,BO27),IF(Input_Ratesheet_Source="Retl",IF(Input_Occupancy="Non Owner Occupied",IF(IF(IFERROR(FIND(Input_ProductClass,Structure!BS27),0)&gt;=1,"N","Y")="N","N",BR27),BQ27),"")))</f>
        <v>Y</v>
      </c>
      <c r="BU27" s="541" t="str">
        <f>INDEX([1]!List_StateInputAll,MATCH(BG27,[1]!List_StateInput,0),14)</f>
        <v>Wet</v>
      </c>
      <c r="BV27" s="541">
        <f>INDEX([1]!List_StateInputAll,MATCH(BG27,[1]!List_StateInput,0),15)</f>
        <v>1</v>
      </c>
      <c r="BW27" s="539" t="str">
        <f>INDEX([1]!List_StateInputAll,MATCH(BG27,[1]!List_StateInput,0),16)</f>
        <v>APOR</v>
      </c>
      <c r="BX27" s="543">
        <f>INDEX([1]!List_StateInputAll,MATCH(BG27,[1]!List_StateInput,0),17)</f>
        <v>6.5</v>
      </c>
      <c r="BY27" s="543">
        <f>INDEX([1]!List_StateInputAll,MATCH(BG27,[1]!List_StateInput,0),18)</f>
        <v>8.5</v>
      </c>
      <c r="BZ27" s="543">
        <f>INDEX([1]!List_StateInputAll,MATCH(BG27,[1]!List_StateInput,0),19)</f>
        <v>5</v>
      </c>
      <c r="CA27" s="540">
        <f>INDEX([1]!List_StateInputAll,MATCH(BG27,[1]!List_StateInput,0),20)</f>
        <v>0</v>
      </c>
      <c r="CB27" s="540" t="str">
        <f>INDEX([1]!List_StateInputAll,MATCH(BG27,[1]!List_StateInput,0),21)</f>
        <v>Owner Occupied</v>
      </c>
      <c r="CC27" s="540" t="str">
        <f>INDEX([1]!List_StateInputAll,MATCH(BG27,[1]!List_StateInput,0),22)</f>
        <v>Purchase, Rate-Term, Cash-Out</v>
      </c>
      <c r="CD27" s="541">
        <f>INDEX([1]!List_StateInputAll,MATCH(BG27,[1]!List_StateInput,0),23)</f>
        <v>0</v>
      </c>
      <c r="CE27" s="541" t="str">
        <f>INDEX([1]!List_StateInputAll,MATCH(BG27,[1]!List_StateInput,0),24)</f>
        <v>Y</v>
      </c>
    </row>
    <row r="28" spans="2:83" ht="9.6" customHeight="1" x14ac:dyDescent="0.2">
      <c r="B28" s="559"/>
      <c r="C28" s="560" t="s">
        <v>427</v>
      </c>
      <c r="D28" s="584" t="str" cm="1">
        <f t="array" ref="D28">Input_ValuationType</f>
        <v>Full Appraisal</v>
      </c>
      <c r="E28" s="585"/>
      <c r="F28" s="586"/>
      <c r="G28" s="587"/>
      <c r="H28" s="588">
        <f>INDEX(Lookup_LLPAAll,MATCH(INDEX(List_ProductAll,MATCH(Input_Product,List_Product,0),2)&amp;"_"&amp;Input_ValuationType,Lookup_LLPA,0),INDEX(List_LTV_All,MATCH(Input_LTV,List_LTV,-1),3))</f>
        <v>0</v>
      </c>
      <c r="I28" s="635" t="s">
        <v>76</v>
      </c>
      <c r="J28" s="564" t="s">
        <v>76</v>
      </c>
      <c r="K28" s="590" t="str">
        <f>INDEX(List_ProductAll,MATCH(Input_Product,List_Product,0),2)&amp;"_"&amp;Input_ValuationType</f>
        <v>IT_Full Appraisal</v>
      </c>
      <c r="L28" s="460" t="s">
        <v>76</v>
      </c>
      <c r="M28" s="656" t="s">
        <v>42</v>
      </c>
      <c r="N28" s="657"/>
      <c r="O28" s="657"/>
      <c r="P28" s="469" t="str">
        <f>IF(IFERROR(FIND("A",INDEX(List_AmortTermAll,MATCH(Input_AmortTerm,List_AmortTerm,0),4))&gt;0,0),"ARM",IF(IFERROR(FIND("B",INDEX(List_AmortTermAll,MATCH(Input_AmortTerm,List_AmortTerm,0),4))&gt;0,0),"BLN","FRM"))</f>
        <v>FRM</v>
      </c>
      <c r="Q28" s="469">
        <f>INDEX(List_AmortTermAll,MATCH(Input_AmortTerm,List_AmortTerm,0),5)</f>
        <v>360</v>
      </c>
      <c r="R28" s="469">
        <f>INDEX(List_AmortTermAll,MATCH(Input_AmortTerm,List_AmortTerm,0),6)</f>
        <v>360</v>
      </c>
      <c r="S28" s="469">
        <f>INDEX(List_AmortTermAll,MATCH(Input_AmortTerm,List_AmortTerm,0),7)</f>
        <v>360</v>
      </c>
      <c r="T28" s="469" t="str">
        <f>IF(IFERROR(FIND("A",INDEX(List_AmortTermAll,MATCH(Input_AmortTerm,List_AmortTerm,0),4))&gt;0,0),"ARM","FRM")</f>
        <v>FRM</v>
      </c>
      <c r="U28" s="658" t="s">
        <v>357</v>
      </c>
      <c r="V28" s="658" t="s">
        <v>358</v>
      </c>
      <c r="X28" s="1093" t="s">
        <v>1812</v>
      </c>
      <c r="Y28" s="1093" t="s">
        <v>68</v>
      </c>
      <c r="Z28" s="529">
        <f>-Input_PL_IncentiveMaxAdj_LenderPaidComp+Input_PL_MaxPriceBase_IR_01PP+Input_PL_Incentive_IR+Input_PL_IncentiveMaxAdj_IR</f>
        <v>102</v>
      </c>
      <c r="AA28" s="530" cm="1">
        <f t="array" ref="AA28">[1]!Input_MaxPriceNet_IR_01PP</f>
        <v>105</v>
      </c>
      <c r="AB28" s="464"/>
      <c r="AC28" s="642" t="s">
        <v>78</v>
      </c>
      <c r="AD28" s="643" t="s">
        <v>138</v>
      </c>
      <c r="AE28" s="643">
        <v>12</v>
      </c>
      <c r="AQ28" s="1825">
        <v>750000.01</v>
      </c>
      <c r="AR28" s="1826" t="s">
        <v>89</v>
      </c>
      <c r="AV28" s="1124" t="s">
        <v>1303</v>
      </c>
      <c r="AW28" s="1096" t="s">
        <v>1068</v>
      </c>
      <c r="AX28" s="1097" t="str">
        <f t="shared" si="2"/>
        <v>PT_009.7500000000</v>
      </c>
      <c r="AY28" s="1098">
        <f>[1]!PR_R24</f>
        <v>9.75</v>
      </c>
      <c r="AZ28" s="1099">
        <f>[1]!PR_ARM05_P24+Input_PL_Incentive_PR</f>
        <v>-2</v>
      </c>
      <c r="BA28" s="1099">
        <f>[1]!PR_FRM30_P24+Input_PL_Incentive_PR</f>
        <v>105.75</v>
      </c>
      <c r="BB28" s="1097">
        <f t="shared" si="6"/>
        <v>105.75</v>
      </c>
      <c r="BC28" s="1097" t="str">
        <f t="shared" si="4"/>
        <v>PT_105.7500000000</v>
      </c>
      <c r="BD28" s="1097"/>
      <c r="BE28" s="1125" t="s">
        <v>1580</v>
      </c>
      <c r="BG28" s="538" t="s">
        <v>384</v>
      </c>
      <c r="BH28" s="539" t="str">
        <f>INDEX([1]!List_StateInputAll,MATCH(BG28,[1]!List_StateInput,0),2)</f>
        <v>Non-CA</v>
      </c>
      <c r="BI28" s="540" t="str">
        <f>INDEX([1]!List_StateInputAll,MATCH(BG28,[1]!List_StateInput,0),3)</f>
        <v>Y</v>
      </c>
      <c r="BJ28" s="540" t="str">
        <f>INDEX([1]!List_StateInputAll,MATCH(BG28,[1]!List_StateInput,0),4)</f>
        <v>Y</v>
      </c>
      <c r="BK28" s="540" t="str">
        <f>INDEX([1]!List_StateInputAll,MATCH(BG28,[1]!List_StateInput,0),5)</f>
        <v xml:space="preserve"> </v>
      </c>
      <c r="BL28" s="540" t="str">
        <f>INDEX([1]!List_StateInputAll,MATCH(BG28,[1]!List_StateInput,0),6)</f>
        <v>No Prepay, 1yr Prepay_Standard, 2yr Prepay_Standard, 3yr Prepay_Standard, 1yr Prepay_1, 2yr Prepay_21, 3yr Prepay_321</v>
      </c>
      <c r="BM28" s="540" t="str">
        <f>INDEX([1]!List_StateInputAll,MATCH(BG28,[1]!List_StateInput,0),7)</f>
        <v>Prepay Restriction May Apply: PPP restrictions only apply to loans within conforming limits.  Prepay only available on Business Purpose Loans</v>
      </c>
      <c r="BN28" s="540" t="str">
        <f>INDEX([1]!List_StateInputAll,MATCH(BG28,[1]!List_StateInput,0),8)</f>
        <v>Minnesota</v>
      </c>
      <c r="BO28" s="540" t="str">
        <f>INDEX([1]!List_StateInputAll,MATCH(BG28,[1]!List_StateInput,0),9)</f>
        <v>Y</v>
      </c>
      <c r="BP28" s="541" t="str">
        <f>INDEX([1]!List_StateInputAll,MATCH(BG28,[1]!List_StateInput,0),10)</f>
        <v>Y</v>
      </c>
      <c r="BQ28" s="540" t="str">
        <f>INDEX([1]!List_StateInputAll,MATCH(BG28,[1]!List_StateInput,0),11)</f>
        <v>N</v>
      </c>
      <c r="BR28" s="542" t="str">
        <f>INDEX([1]!List_StateInputAll,MATCH(BG28,[1]!List_StateInput,0),12)</f>
        <v>N</v>
      </c>
      <c r="BS28" s="541" t="str">
        <f>INDEX([1]!List_StateInputAll,MATCH(BG28,[1]!List_StateInput,0),13)</f>
        <v xml:space="preserve"> </v>
      </c>
      <c r="BT28" s="522" t="str">
        <f>IF(OR(Input_Ratesheet_Source="Corr1",Input_Ratesheet_Source="Corr2",Input_Ratesheet_Source="Corr3",Input_Ratesheet_Source="CorrND"),BI28,IF(Input_Ratesheet_Source="Whol",IF(Input_Occupancy="Non Owner Occupied",BP28,BO28),IF(Input_Ratesheet_Source="Retl",IF(Input_Occupancy="Non Owner Occupied",IF(IF(IFERROR(FIND(Input_ProductClass,Structure!BS28),0)&gt;=1,"N","Y")="N","N",BR28),BQ28),"")))</f>
        <v>Y</v>
      </c>
      <c r="BU28" s="541" t="str">
        <f>INDEX([1]!List_StateInputAll,MATCH(BG28,[1]!List_StateInput,0),14)</f>
        <v>Wet</v>
      </c>
      <c r="BV28" s="541">
        <f>INDEX([1]!List_StateInputAll,MATCH(BG28,[1]!List_StateInput,0),15)</f>
        <v>1</v>
      </c>
      <c r="BW28" s="539" t="str">
        <f>INDEX([1]!List_StateInputAll,MATCH(BG28,[1]!List_StateInput,0),16)</f>
        <v>APOR</v>
      </c>
      <c r="BX28" s="543">
        <f>INDEX([1]!List_StateInputAll,MATCH(BG28,[1]!List_StateInput,0),17)</f>
        <v>6.5</v>
      </c>
      <c r="BY28" s="543">
        <f>INDEX([1]!List_StateInputAll,MATCH(BG28,[1]!List_StateInput,0),18)</f>
        <v>8.5</v>
      </c>
      <c r="BZ28" s="543">
        <f>INDEX([1]!List_StateInputAll,MATCH(BG28,[1]!List_StateInput,0),19)</f>
        <v>5</v>
      </c>
      <c r="CA28" s="540">
        <f>INDEX([1]!List_StateInputAll,MATCH(BG28,[1]!List_StateInput,0),20)</f>
        <v>0</v>
      </c>
      <c r="CB28" s="540" t="str">
        <f>INDEX([1]!List_StateInputAll,MATCH(BG28,[1]!List_StateInput,0),21)</f>
        <v>Owner Occupied</v>
      </c>
      <c r="CC28" s="540" t="str">
        <f>INDEX([1]!List_StateInputAll,MATCH(BG28,[1]!List_StateInput,0),22)</f>
        <v>Purchase, Rate-Term, Cash-Out</v>
      </c>
      <c r="CD28" s="541">
        <f>INDEX([1]!List_StateInputAll,MATCH(BG28,[1]!List_StateInput,0),23)</f>
        <v>0</v>
      </c>
      <c r="CE28" s="541" t="str">
        <f>INDEX([1]!List_StateInputAll,MATCH(BG28,[1]!List_StateInput,0),24)</f>
        <v>Y</v>
      </c>
    </row>
    <row r="29" spans="2:83" ht="9.6" customHeight="1" x14ac:dyDescent="0.2">
      <c r="B29" s="559"/>
      <c r="C29" s="560" t="s">
        <v>40</v>
      </c>
      <c r="D29" s="584" t="str">
        <f>Input_State</f>
        <v>CA</v>
      </c>
      <c r="E29" s="585"/>
      <c r="F29" s="609" t="str">
        <f>INDEX(List_State_All,MATCH(Input_State,List_State,0),14)</f>
        <v>Y</v>
      </c>
      <c r="G29" s="587"/>
      <c r="H29" s="588">
        <f>IF(Eligible_State="Y",INDEX(Lookup_LLPAAll,MATCH(INDEX(List_ProductAll,MATCH(Input_Product,List_Product,0),2)&amp;"_"&amp;INDEX(List_State_All,MATCH(Input_State,List_State,0),2),Lookup_LLPA,0),INDEX(List_LTV_All,MATCH(Input_LTV,List_LTV,-1),3)),#N/A)</f>
        <v>0</v>
      </c>
      <c r="I29" s="573" t="str">
        <f>IF(Eligible_State="N","Check State Licensing","")&amp;" "&amp;Result_Msg3_LLPA_State</f>
        <v xml:space="preserve"> </v>
      </c>
      <c r="J29" s="564" t="s">
        <v>76</v>
      </c>
      <c r="K29" s="590" t="str">
        <f>INDEX(List_ProductAll,MATCH(Input_Product,List_Product,0),2)&amp;"_"&amp;INDEX(List_State_All,MATCH(Input_State,List_State,0),2)</f>
        <v>IT_CA</v>
      </c>
      <c r="L29" s="460" t="s">
        <v>76</v>
      </c>
      <c r="M29" s="659"/>
      <c r="N29" s="660" t="s">
        <v>102</v>
      </c>
      <c r="O29" s="661" t="s">
        <v>100</v>
      </c>
      <c r="P29" s="662" t="s">
        <v>146</v>
      </c>
      <c r="Q29" s="662" t="s">
        <v>1509</v>
      </c>
      <c r="R29" s="662" t="s">
        <v>1508</v>
      </c>
      <c r="S29" s="662" t="s">
        <v>1696</v>
      </c>
      <c r="T29" s="662" t="s">
        <v>1057</v>
      </c>
      <c r="X29" s="1094" t="s">
        <v>1813</v>
      </c>
      <c r="Y29" s="1094" t="s">
        <v>67</v>
      </c>
      <c r="Z29" s="545">
        <f>-Input_PL_IncentiveMaxAdj_LenderPaidComp+Input_PL_MaxPriceBase_IR_02PP+Input_PL_Incentive_IR+Input_PL_IncentiveMaxAdj_IR</f>
        <v>102</v>
      </c>
      <c r="AA29" s="546" cm="1">
        <f t="array" ref="AA29">[1]!Input_MaxPriceNet_IR_02PP</f>
        <v>105</v>
      </c>
      <c r="AB29" s="464"/>
      <c r="AC29" s="648" t="s">
        <v>135</v>
      </c>
      <c r="AD29" s="649" t="s">
        <v>136</v>
      </c>
      <c r="AE29" s="650">
        <v>0</v>
      </c>
      <c r="AQ29" s="1825">
        <v>1000000.01</v>
      </c>
      <c r="AR29" s="1826" t="s">
        <v>86</v>
      </c>
      <c r="AV29" s="1124" t="s">
        <v>1303</v>
      </c>
      <c r="AW29" s="1096" t="s">
        <v>1068</v>
      </c>
      <c r="AX29" s="1097" t="str">
        <f t="shared" si="2"/>
        <v>PT_009.6250000000</v>
      </c>
      <c r="AY29" s="1098">
        <f>[1]!PR_R25</f>
        <v>9.625</v>
      </c>
      <c r="AZ29" s="1099">
        <f>[1]!PR_ARM05_P25+Input_PL_Incentive_PR</f>
        <v>-2</v>
      </c>
      <c r="BA29" s="1099">
        <f>[1]!PR_FRM30_P25+Input_PL_Incentive_PR</f>
        <v>105.375</v>
      </c>
      <c r="BB29" s="1097">
        <f t="shared" si="6"/>
        <v>105.375</v>
      </c>
      <c r="BC29" s="1097" t="str">
        <f t="shared" si="4"/>
        <v>PT_105.3750000000</v>
      </c>
      <c r="BD29" s="1097"/>
      <c r="BE29" s="1125" t="s">
        <v>1581</v>
      </c>
      <c r="BG29" s="538" t="s">
        <v>385</v>
      </c>
      <c r="BH29" s="539" t="str">
        <f>INDEX([1]!List_StateInputAll,MATCH(BG29,[1]!List_StateInput,0),2)</f>
        <v>Non-CA</v>
      </c>
      <c r="BI29" s="540" t="str">
        <f>INDEX([1]!List_StateInputAll,MATCH(BG29,[1]!List_StateInput,0),3)</f>
        <v>Y</v>
      </c>
      <c r="BJ29" s="540" t="str">
        <f>INDEX([1]!List_StateInputAll,MATCH(BG29,[1]!List_StateInput,0),4)</f>
        <v>Y</v>
      </c>
      <c r="BK29" s="540" t="str">
        <f>INDEX([1]!List_StateInputAll,MATCH(BG29,[1]!List_StateInput,0),5)</f>
        <v xml:space="preserve"> </v>
      </c>
      <c r="BL29" s="540" t="str">
        <f>INDEX([1]!List_StateInputAll,MATCH(BG29,[1]!List_StateInput,0),6)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29" s="540" t="str">
        <f>INDEX([1]!List_StateInputAll,MATCH(BG29,[1]!List_StateInput,0),7)</f>
        <v>Prepay only available on Business Purpose Loans</v>
      </c>
      <c r="BN29" s="540" t="str">
        <f>INDEX([1]!List_StateInputAll,MATCH(BG29,[1]!List_StateInput,0),8)</f>
        <v>Missouri</v>
      </c>
      <c r="BO29" s="540" t="str">
        <f>INDEX([1]!List_StateInputAll,MATCH(BG29,[1]!List_StateInput,0),9)</f>
        <v>N</v>
      </c>
      <c r="BP29" s="541" t="str">
        <f>INDEX([1]!List_StateInputAll,MATCH(BG29,[1]!List_StateInput,0),10)</f>
        <v>Y</v>
      </c>
      <c r="BQ29" s="540" t="str">
        <f>INDEX([1]!List_StateInputAll,MATCH(BG29,[1]!List_StateInput,0),11)</f>
        <v>N</v>
      </c>
      <c r="BR29" s="542" t="str">
        <f>INDEX([1]!List_StateInputAll,MATCH(BG29,[1]!List_StateInput,0),12)</f>
        <v>Y</v>
      </c>
      <c r="BS29" s="541" t="str">
        <f>INDEX([1]!List_StateInputAll,MATCH(BG29,[1]!List_StateInput,0),13)</f>
        <v xml:space="preserve"> </v>
      </c>
      <c r="BT29" s="522" t="str">
        <f>IF(OR(Input_Ratesheet_Source="Corr1",Input_Ratesheet_Source="Corr2",Input_Ratesheet_Source="Corr3",Input_Ratesheet_Source="CorrND"),BI29,IF(Input_Ratesheet_Source="Whol",IF(Input_Occupancy="Non Owner Occupied",BP29,BO29),IF(Input_Ratesheet_Source="Retl",IF(Input_Occupancy="Non Owner Occupied",IF(IF(IFERROR(FIND(Input_ProductClass,Structure!BS29),0)&gt;=1,"N","Y")="N","N",BR29),BQ29),"")))</f>
        <v>Y</v>
      </c>
      <c r="BU29" s="541" t="str">
        <f>INDEX([1]!List_StateInputAll,MATCH(BG29,[1]!List_StateInput,0),14)</f>
        <v>Wet</v>
      </c>
      <c r="BV29" s="541">
        <f>INDEX([1]!List_StateInputAll,MATCH(BG29,[1]!List_StateInput,0),15)</f>
        <v>1</v>
      </c>
      <c r="BW29" s="539" t="str">
        <f>INDEX([1]!List_StateInputAll,MATCH(BG29,[1]!List_StateInput,0),16)</f>
        <v>APOR</v>
      </c>
      <c r="BX29" s="543">
        <f>INDEX([1]!List_StateInputAll,MATCH(BG29,[1]!List_StateInput,0),17)</f>
        <v>6.5</v>
      </c>
      <c r="BY29" s="543">
        <f>INDEX([1]!List_StateInputAll,MATCH(BG29,[1]!List_StateInput,0),18)</f>
        <v>8.5</v>
      </c>
      <c r="BZ29" s="543">
        <f>INDEX([1]!List_StateInputAll,MATCH(BG29,[1]!List_StateInput,0),19)</f>
        <v>5</v>
      </c>
      <c r="CA29" s="540">
        <f>INDEX([1]!List_StateInputAll,MATCH(BG29,[1]!List_StateInput,0),20)</f>
        <v>0</v>
      </c>
      <c r="CB29" s="540" t="str">
        <f>INDEX([1]!List_StateInputAll,MATCH(BG29,[1]!List_StateInput,0),21)</f>
        <v>Owner Occupied</v>
      </c>
      <c r="CC29" s="540" t="str">
        <f>INDEX([1]!List_StateInputAll,MATCH(BG29,[1]!List_StateInput,0),22)</f>
        <v>Purchase, Rate-Term, Cash-Out</v>
      </c>
      <c r="CD29" s="541">
        <f>INDEX([1]!List_StateInputAll,MATCH(BG29,[1]!List_StateInput,0),23)</f>
        <v>0</v>
      </c>
      <c r="CE29" s="541" t="str">
        <f>INDEX([1]!List_StateInputAll,MATCH(BG29,[1]!List_StateInput,0),24)</f>
        <v>Y</v>
      </c>
    </row>
    <row r="30" spans="2:83" ht="9.6" customHeight="1" x14ac:dyDescent="0.2">
      <c r="B30" s="559"/>
      <c r="C30" s="560" t="s">
        <v>43</v>
      </c>
      <c r="D30" s="584" t="str">
        <f>Input_CreditHistory</f>
        <v>NoLatesx12</v>
      </c>
      <c r="E30" s="585"/>
      <c r="F30" s="586"/>
      <c r="G30" s="587"/>
      <c r="H30" s="588">
        <f>INDEX(Lookup_LLPAAll,MATCH(INDEX(List_ProductAll,MATCH(Input_Product,List_Product,0),2)&amp;"_"&amp;Input_CreditHistory,Lookup_LLPA,0),INDEX(List_LTV_All,MATCH(Input_LTV,List_LTV,-1),3))</f>
        <v>0</v>
      </c>
      <c r="I30" s="655" t="s">
        <v>76</v>
      </c>
      <c r="J30" s="564" t="s">
        <v>76</v>
      </c>
      <c r="K30" s="590" t="str">
        <f>INDEX(List_ProductAll,MATCH(Input_Product,List_Product,0),2)&amp;"_"&amp;Input_CreditHistory</f>
        <v>IT_NoLatesx12</v>
      </c>
      <c r="L30" s="460" t="s">
        <v>76</v>
      </c>
      <c r="M30" s="663" t="str">
        <f>IF(OR(Input_ProductClass="Second",Input_ProductClass="AgencyCompanionSecond",Input_RateSheet_Type&lt;&gt;"Standard",Input_ProductClass="Closed End 2nd TD"),"10yr Fixed","")</f>
        <v/>
      </c>
      <c r="N30" s="664" t="s">
        <v>166</v>
      </c>
      <c r="O30" s="665">
        <v>2</v>
      </c>
      <c r="P30" s="666" t="s">
        <v>1099</v>
      </c>
      <c r="Q30" s="667">
        <v>120</v>
      </c>
      <c r="R30" s="667">
        <v>120</v>
      </c>
      <c r="S30" s="667">
        <v>120</v>
      </c>
      <c r="T30" s="667"/>
      <c r="U30" s="510" t="str">
        <f>IF(M30="","",MAX(U$29:U29)+1)</f>
        <v/>
      </c>
      <c r="V30" s="511" t="str">
        <f t="shared" ref="V30:V47" si="7">IFERROR(INDEX(List_AmortTerm,MATCH(ROW()-ROW($V$29),$U$30:$U$47,0)),"")</f>
        <v>15yr Fixed</v>
      </c>
      <c r="X30" s="1094" t="s">
        <v>1814</v>
      </c>
      <c r="Y30" s="1094" t="s">
        <v>66</v>
      </c>
      <c r="Z30" s="545">
        <f>-Input_PL_IncentiveMaxAdj_LenderPaidComp+Input_PL_MaxPriceBase_IR_03PP+Input_PL_Incentive_IR+Input_PL_IncentiveMaxAdj_IR</f>
        <v>102.5</v>
      </c>
      <c r="AA30" s="546" cm="1">
        <f t="array" ref="AA30">[1]!Input_MaxPriceNet_IR_03PP</f>
        <v>105.5</v>
      </c>
      <c r="AB30" s="464"/>
      <c r="AC30" s="651" t="s">
        <v>128</v>
      </c>
      <c r="AD30" s="652" t="s">
        <v>140</v>
      </c>
      <c r="AE30" s="652">
        <v>2</v>
      </c>
      <c r="AQ30" s="1825">
        <v>1500000.01</v>
      </c>
      <c r="AR30" s="1826" t="s">
        <v>87</v>
      </c>
      <c r="AV30" s="1124" t="s">
        <v>1303</v>
      </c>
      <c r="AW30" s="1096" t="s">
        <v>1068</v>
      </c>
      <c r="AX30" s="1097" t="str">
        <f t="shared" si="2"/>
        <v>PT_009.5000000000</v>
      </c>
      <c r="AY30" s="1098">
        <f>[1]!PR_R26</f>
        <v>9.5</v>
      </c>
      <c r="AZ30" s="1099">
        <f>[1]!PR_ARM05_P26+Input_PL_Incentive_PR</f>
        <v>-2</v>
      </c>
      <c r="BA30" s="1099">
        <f>[1]!PR_FRM30_P26+Input_PL_Incentive_PR</f>
        <v>105</v>
      </c>
      <c r="BB30" s="1097">
        <f t="shared" ref="BB30:BB44" si="8">IF(INDEX(List_AmortTermAll,MATCH(Input_AmortTerm,List_AmortTerm,0),3)=1,AZ30,IF(INDEX(List_AmortTermAll,MATCH(Input_AmortTerm,List_AmortTerm,0),3)=2,BA30,#N/A))</f>
        <v>105</v>
      </c>
      <c r="BC30" s="1097" t="str">
        <f t="shared" si="4"/>
        <v>PT_105.0000000000</v>
      </c>
      <c r="BD30" s="1097"/>
      <c r="BE30" s="1125" t="s">
        <v>1582</v>
      </c>
      <c r="BG30" s="538" t="s">
        <v>386</v>
      </c>
      <c r="BH30" s="539" t="str">
        <f>INDEX([1]!List_StateInputAll,MATCH(BG30,[1]!List_StateInput,0),2)</f>
        <v>Non-CA</v>
      </c>
      <c r="BI30" s="540" t="str">
        <f>INDEX([1]!List_StateInputAll,MATCH(BG30,[1]!List_StateInput,0),3)</f>
        <v>Y</v>
      </c>
      <c r="BJ30" s="540" t="str">
        <f>INDEX([1]!List_StateInputAll,MATCH(BG30,[1]!List_StateInput,0),4)</f>
        <v>Y</v>
      </c>
      <c r="BK30" s="540" t="str">
        <f>INDEX([1]!List_StateInputAll,MATCH(BG30,[1]!List_StateInput,0),5)</f>
        <v xml:space="preserve"> </v>
      </c>
      <c r="BL30" s="570" t="str">
        <f>INDEX([1]!List_StateInputAll,MATCH(BG30,[1]!List_StateInput,0),6)</f>
        <v>No Prepay, 1yr Prepay_Standard, 2yr Prepay_Standard, 3yr Prepay_Standard, 4yr Prepay_Standard, 5yr Prepay_Standard, 1yr Prepay_1, 2yr Prepay_21, 3yr Prepay_321, 4yr Prepay_4321, 5yr Prepay_54321</v>
      </c>
      <c r="BM30" s="540" t="str">
        <f>INDEX([1]!List_StateInputAll,MATCH(BG30,[1]!List_StateInput,0),7)</f>
        <v>Prepay Restriction May Apply.  Prepay only available on Business Purpose Loans</v>
      </c>
      <c r="BN30" s="540" t="str">
        <f>INDEX([1]!List_StateInputAll,MATCH(BG30,[1]!List_StateInput,0),8)</f>
        <v>Mississippi</v>
      </c>
      <c r="BO30" s="540" t="str">
        <f>INDEX([1]!List_StateInputAll,MATCH(BG30,[1]!List_StateInput,0),9)</f>
        <v>Y</v>
      </c>
      <c r="BP30" s="541" t="str">
        <f>INDEX([1]!List_StateInputAll,MATCH(BG30,[1]!List_StateInput,0),10)</f>
        <v>Y</v>
      </c>
      <c r="BQ30" s="540" t="str">
        <f>INDEX([1]!List_StateInputAll,MATCH(BG30,[1]!List_StateInput,0),11)</f>
        <v>N</v>
      </c>
      <c r="BR30" s="542" t="str">
        <f>INDEX([1]!List_StateInputAll,MATCH(BG30,[1]!List_StateInput,0),12)</f>
        <v>Y</v>
      </c>
      <c r="BS30" s="541" t="str">
        <f>INDEX([1]!List_StateInputAll,MATCH(BG30,[1]!List_StateInput,0),13)</f>
        <v xml:space="preserve"> </v>
      </c>
      <c r="BT30" s="522" t="str">
        <f>IF(OR(Input_Ratesheet_Source="Corr1",Input_Ratesheet_Source="Corr2",Input_Ratesheet_Source="Corr3",Input_Ratesheet_Source="CorrND"),BI30,IF(Input_Ratesheet_Source="Whol",IF(Input_Occupancy="Non Owner Occupied",BP30,BO30),IF(Input_Ratesheet_Source="Retl",IF(Input_Occupancy="Non Owner Occupied",IF(IF(IFERROR(FIND(Input_ProductClass,Structure!BS30),0)&gt;=1,"N","Y")="N","N",BR30),BQ30),"")))</f>
        <v>Y</v>
      </c>
      <c r="BU30" s="541" t="str">
        <f>INDEX([1]!List_StateInputAll,MATCH(BG30,[1]!List_StateInput,0),14)</f>
        <v>Wet</v>
      </c>
      <c r="BV30" s="541">
        <f>INDEX([1]!List_StateInputAll,MATCH(BG30,[1]!List_StateInput,0),15)</f>
        <v>1</v>
      </c>
      <c r="BW30" s="539" t="str">
        <f>INDEX([1]!List_StateInputAll,MATCH(BG30,[1]!List_StateInput,0),16)</f>
        <v>APOR</v>
      </c>
      <c r="BX30" s="543">
        <f>INDEX([1]!List_StateInputAll,MATCH(BG30,[1]!List_StateInput,0),17)</f>
        <v>6.5</v>
      </c>
      <c r="BY30" s="543">
        <f>INDEX([1]!List_StateInputAll,MATCH(BG30,[1]!List_StateInput,0),18)</f>
        <v>8.5</v>
      </c>
      <c r="BZ30" s="543">
        <f>INDEX([1]!List_StateInputAll,MATCH(BG30,[1]!List_StateInput,0),19)</f>
        <v>5</v>
      </c>
      <c r="CA30" s="540">
        <f>INDEX([1]!List_StateInputAll,MATCH(BG30,[1]!List_StateInput,0),20)</f>
        <v>0</v>
      </c>
      <c r="CB30" s="540" t="str">
        <f>INDEX([1]!List_StateInputAll,MATCH(BG30,[1]!List_StateInput,0),21)</f>
        <v>Owner Occupied</v>
      </c>
      <c r="CC30" s="540" t="str">
        <f>INDEX([1]!List_StateInputAll,MATCH(BG30,[1]!List_StateInput,0),22)</f>
        <v>Purchase, Rate-Term, Cash-Out</v>
      </c>
      <c r="CD30" s="541">
        <f>INDEX([1]!List_StateInputAll,MATCH(BG30,[1]!List_StateInput,0),23)</f>
        <v>0</v>
      </c>
      <c r="CE30" s="541" t="str">
        <f>INDEX([1]!List_StateInputAll,MATCH(BG30,[1]!List_StateInput,0),24)</f>
        <v>Y</v>
      </c>
    </row>
    <row r="31" spans="2:83" ht="9.6" customHeight="1" x14ac:dyDescent="0.2">
      <c r="B31" s="559"/>
      <c r="C31" s="560" t="s">
        <v>44</v>
      </c>
      <c r="D31" s="584" t="str">
        <f>Input_HousingHistory</f>
        <v>No Events 48mo+</v>
      </c>
      <c r="E31" s="585"/>
      <c r="F31" s="586"/>
      <c r="G31" s="587"/>
      <c r="H31" s="588">
        <f>INDEX(Lookup_LLPAAll,MATCH(INDEX(List_ProductAll,MATCH(Input_Product,List_Product,0),2)&amp;"_"&amp;Input_HousingHistory,Lookup_LLPA,0),INDEX(List_LTV_All,MATCH(Input_LTV,List_LTV,-1),3))</f>
        <v>0</v>
      </c>
      <c r="I31" s="573" t="str">
        <f>INDEX(List_HousingHistory_All,MATCH(Input_HousingHistory,List_HousingHistory,0),2)</f>
        <v xml:space="preserve"> </v>
      </c>
      <c r="J31" s="564" t="s">
        <v>76</v>
      </c>
      <c r="K31" s="590" t="str">
        <f>INDEX(List_ProductAll,MATCH(Input_Product,List_Product,0),2)&amp;"_"&amp;Input_HousingHistory</f>
        <v>IT_No Events 48mo+</v>
      </c>
      <c r="L31" s="460" t="s">
        <v>76</v>
      </c>
      <c r="M31" s="670" t="str">
        <f>IF(OR(Input_ProductClass="HELOC"),"","15yr Fixed")</f>
        <v>15yr Fixed</v>
      </c>
      <c r="N31" s="671" t="s">
        <v>166</v>
      </c>
      <c r="O31" s="672">
        <v>2</v>
      </c>
      <c r="P31" s="673" t="s">
        <v>456</v>
      </c>
      <c r="Q31" s="674">
        <v>180</v>
      </c>
      <c r="R31" s="674">
        <v>180</v>
      </c>
      <c r="S31" s="674">
        <v>180</v>
      </c>
      <c r="T31" s="674"/>
      <c r="U31" s="533">
        <f>IF(M31="","",MAX(U$29:U30)+1)</f>
        <v>1</v>
      </c>
      <c r="V31" s="534" t="str">
        <f t="shared" si="7"/>
        <v>20yr Fixed</v>
      </c>
      <c r="X31" s="1094" t="s">
        <v>1815</v>
      </c>
      <c r="Y31" s="1094" t="s">
        <v>164</v>
      </c>
      <c r="Z31" s="545">
        <f>-Input_PL_IncentiveMaxAdj_LenderPaidComp+Input_PL_MaxPriceBase_IR_04PP+Input_PL_Incentive_IR+Input_PL_IncentiveMaxAdj_IR</f>
        <v>102.5</v>
      </c>
      <c r="AA31" s="546" cm="1">
        <f t="array" ref="AA31">[1]!Input_MaxPriceNet_IR_04PP</f>
        <v>105.5</v>
      </c>
      <c r="AB31" s="464"/>
      <c r="AC31" s="653" t="s">
        <v>79</v>
      </c>
      <c r="AD31" s="654" t="s">
        <v>139</v>
      </c>
      <c r="AE31" s="654">
        <v>3</v>
      </c>
      <c r="AQ31" s="1825">
        <v>2000000.01</v>
      </c>
      <c r="AR31" s="1826" t="s">
        <v>144</v>
      </c>
      <c r="AV31" s="1124" t="s">
        <v>1303</v>
      </c>
      <c r="AW31" s="1096" t="s">
        <v>1068</v>
      </c>
      <c r="AX31" s="1097" t="str">
        <f t="shared" si="2"/>
        <v>PT_009.3750000000</v>
      </c>
      <c r="AY31" s="1098">
        <f>[1]!PR_R27</f>
        <v>9.375</v>
      </c>
      <c r="AZ31" s="1099">
        <f>[1]!PR_ARM05_P27+Input_PL_Incentive_PR</f>
        <v>-2</v>
      </c>
      <c r="BA31" s="1099">
        <f>[1]!PR_FRM30_P27+Input_PL_Incentive_PR</f>
        <v>104.625</v>
      </c>
      <c r="BB31" s="1097">
        <f t="shared" si="8"/>
        <v>104.625</v>
      </c>
      <c r="BC31" s="1097" t="str">
        <f t="shared" si="4"/>
        <v>PT_104.6250000000</v>
      </c>
      <c r="BD31" s="1097"/>
      <c r="BE31" s="1125" t="s">
        <v>1583</v>
      </c>
      <c r="BG31" s="538" t="s">
        <v>387</v>
      </c>
      <c r="BH31" s="539" t="str">
        <f>INDEX([1]!List_StateInputAll,MATCH(BG31,[1]!List_StateInput,0),2)</f>
        <v>Non-CA</v>
      </c>
      <c r="BI31" s="540" t="str">
        <f>INDEX([1]!List_StateInputAll,MATCH(BG31,[1]!List_StateInput,0),3)</f>
        <v>Y</v>
      </c>
      <c r="BJ31" s="540" t="str">
        <f>INDEX([1]!List_StateInputAll,MATCH(BG31,[1]!List_StateInput,0),4)</f>
        <v>Y</v>
      </c>
      <c r="BK31" s="540" t="str">
        <f>INDEX([1]!List_StateInputAll,MATCH(BG31,[1]!List_StateInput,0),5)</f>
        <v xml:space="preserve"> </v>
      </c>
      <c r="BL31" s="540" t="str">
        <f>INDEX([1]!List_StateInputAll,MATCH(BG31,[1]!List_StateInput,0),6)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31" s="540" t="str">
        <f>INDEX([1]!List_StateInputAll,MATCH(BG31,[1]!List_StateInput,0),7)</f>
        <v>Prepay only available on Business Purpose Loans</v>
      </c>
      <c r="BN31" s="540" t="str">
        <f>INDEX([1]!List_StateInputAll,MATCH(BG31,[1]!List_StateInput,0),8)</f>
        <v>Montana</v>
      </c>
      <c r="BO31" s="540" t="str">
        <f>INDEX([1]!List_StateInputAll,MATCH(BG31,[1]!List_StateInput,0),9)</f>
        <v>Y</v>
      </c>
      <c r="BP31" s="541" t="str">
        <f>INDEX([1]!List_StateInputAll,MATCH(BG31,[1]!List_StateInput,0),10)</f>
        <v>Y</v>
      </c>
      <c r="BQ31" s="540" t="str">
        <f>INDEX([1]!List_StateInputAll,MATCH(BG31,[1]!List_StateInput,0),11)</f>
        <v>N</v>
      </c>
      <c r="BR31" s="542" t="str">
        <f>INDEX([1]!List_StateInputAll,MATCH(BG31,[1]!List_StateInput,0),12)</f>
        <v>Y</v>
      </c>
      <c r="BS31" s="541" t="str">
        <f>INDEX([1]!List_StateInputAll,MATCH(BG31,[1]!List_StateInput,0),13)</f>
        <v xml:space="preserve"> </v>
      </c>
      <c r="BT31" s="522" t="str">
        <f>IF(OR(Input_Ratesheet_Source="Corr1",Input_Ratesheet_Source="Corr2",Input_Ratesheet_Source="Corr3",Input_Ratesheet_Source="CorrND"),BI31,IF(Input_Ratesheet_Source="Whol",IF(Input_Occupancy="Non Owner Occupied",BP31,BO31),IF(Input_Ratesheet_Source="Retl",IF(Input_Occupancy="Non Owner Occupied",IF(IF(IFERROR(FIND(Input_ProductClass,Structure!BS31),0)&gt;=1,"N","Y")="N","N",BR31),BQ31),"")))</f>
        <v>Y</v>
      </c>
      <c r="BU31" s="541" t="str">
        <f>INDEX([1]!List_StateInputAll,MATCH(BG31,[1]!List_StateInput,0),14)</f>
        <v>Wet</v>
      </c>
      <c r="BV31" s="541">
        <f>INDEX([1]!List_StateInputAll,MATCH(BG31,[1]!List_StateInput,0),15)</f>
        <v>1</v>
      </c>
      <c r="BW31" s="539" t="str">
        <f>INDEX([1]!List_StateInputAll,MATCH(BG31,[1]!List_StateInput,0),16)</f>
        <v>APOR</v>
      </c>
      <c r="BX31" s="543">
        <f>INDEX([1]!List_StateInputAll,MATCH(BG31,[1]!List_StateInput,0),17)</f>
        <v>6.5</v>
      </c>
      <c r="BY31" s="543">
        <f>INDEX([1]!List_StateInputAll,MATCH(BG31,[1]!List_StateInput,0),18)</f>
        <v>8.5</v>
      </c>
      <c r="BZ31" s="543">
        <f>INDEX([1]!List_StateInputAll,MATCH(BG31,[1]!List_StateInput,0),19)</f>
        <v>5</v>
      </c>
      <c r="CA31" s="540">
        <f>INDEX([1]!List_StateInputAll,MATCH(BG31,[1]!List_StateInput,0),20)</f>
        <v>0</v>
      </c>
      <c r="CB31" s="540" t="str">
        <f>INDEX([1]!List_StateInputAll,MATCH(BG31,[1]!List_StateInput,0),21)</f>
        <v>Owner Occupied</v>
      </c>
      <c r="CC31" s="540" t="str">
        <f>INDEX([1]!List_StateInputAll,MATCH(BG31,[1]!List_StateInput,0),22)</f>
        <v>Purchase, Rate-Term, Cash-Out</v>
      </c>
      <c r="CD31" s="541">
        <f>INDEX([1]!List_StateInputAll,MATCH(BG31,[1]!List_StateInput,0),23)</f>
        <v>0</v>
      </c>
      <c r="CE31" s="541" t="str">
        <f>INDEX([1]!List_StateInputAll,MATCH(BG31,[1]!List_StateInput,0),24)</f>
        <v>Y</v>
      </c>
    </row>
    <row r="32" spans="2:83" ht="9.6" customHeight="1" x14ac:dyDescent="0.2">
      <c r="B32" s="559"/>
      <c r="C32" s="560" t="s">
        <v>46</v>
      </c>
      <c r="D32" s="584" t="str">
        <f>Input_Citizenship</f>
        <v>US Citizen</v>
      </c>
      <c r="E32" s="585"/>
      <c r="F32" s="586"/>
      <c r="G32" s="587"/>
      <c r="H32" s="588">
        <f>INDEX(Lookup_LLPAAll,MATCH(INDEX(List_ProductAll,MATCH(Input_Product,List_Product,0),2)&amp;"_"&amp;Input_Citizenship,Lookup_LLPA,0),INDEX(List_LTV_All,MATCH(Input_LTV,List_LTV,-1),3))</f>
        <v>0</v>
      </c>
      <c r="I32" s="573" t="str">
        <f>IF(AND(Input_Citizenship="Foreign National",Input_CreditScore&lt;&gt;660),"Input 660 Credit Score for Foreign National - DSCR Only",IF(AND(Input_Citizenship="Foreign National",Input_DocType&lt;&gt;"09-DSCR"),"Foreign National DSCR Only",""))</f>
        <v/>
      </c>
      <c r="J32" s="564" t="s">
        <v>76</v>
      </c>
      <c r="K32" s="590" t="str">
        <f>INDEX(List_ProductAll,MATCH(Input_Product,List_Product,0),2)&amp;"_"&amp;Input_Citizenship</f>
        <v>IT_US Citizen</v>
      </c>
      <c r="L32" s="460" t="s">
        <v>76</v>
      </c>
      <c r="M32" s="670" t="str">
        <f>IF(OR(Input_ProductClass="HELOC"),"","20yr Fixed")</f>
        <v>20yr Fixed</v>
      </c>
      <c r="N32" s="671" t="s">
        <v>166</v>
      </c>
      <c r="O32" s="672">
        <v>2</v>
      </c>
      <c r="P32" s="673" t="s">
        <v>457</v>
      </c>
      <c r="Q32" s="674">
        <v>240</v>
      </c>
      <c r="R32" s="674">
        <v>240</v>
      </c>
      <c r="S32" s="674">
        <v>240</v>
      </c>
      <c r="T32" s="674"/>
      <c r="U32" s="533">
        <f>IF(M32="","",MAX(U$29:U31)+1)</f>
        <v>2</v>
      </c>
      <c r="V32" s="534" t="str">
        <f t="shared" si="7"/>
        <v>30yr Fixed</v>
      </c>
      <c r="X32" s="1095" t="s">
        <v>1816</v>
      </c>
      <c r="Y32" s="1095" t="s">
        <v>165</v>
      </c>
      <c r="Z32" s="553">
        <f>-Input_PL_IncentiveMaxAdj_LenderPaidComp+Input_PL_MaxPriceBase_IR_05PP+Input_PL_Incentive_IR+Input_PL_IncentiveMaxAdj_IR</f>
        <v>102.5</v>
      </c>
      <c r="AA32" s="554" cm="1">
        <f t="array" ref="AA32">[1]!Input_MaxPriceNet_IR_05PP</f>
        <v>105.5</v>
      </c>
      <c r="AB32" s="464"/>
      <c r="AQ32" s="1825">
        <v>2500000.0099999998</v>
      </c>
      <c r="AR32" s="1826" t="s">
        <v>145</v>
      </c>
      <c r="AV32" s="1124" t="s">
        <v>1303</v>
      </c>
      <c r="AW32" s="1096" t="s">
        <v>1068</v>
      </c>
      <c r="AX32" s="1097" t="str">
        <f t="shared" si="2"/>
        <v>PT_009.2500000000</v>
      </c>
      <c r="AY32" s="1098">
        <f>[1]!PR_R28</f>
        <v>9.25</v>
      </c>
      <c r="AZ32" s="1099">
        <f>[1]!PR_ARM05_P28+Input_PL_Incentive_PR</f>
        <v>-2</v>
      </c>
      <c r="BA32" s="1099">
        <f>[1]!PR_FRM30_P28+Input_PL_Incentive_PR</f>
        <v>104.25</v>
      </c>
      <c r="BB32" s="1097">
        <f t="shared" si="8"/>
        <v>104.25</v>
      </c>
      <c r="BC32" s="1097" t="str">
        <f t="shared" si="4"/>
        <v>PT_104.2500000000</v>
      </c>
      <c r="BD32" s="1097"/>
      <c r="BE32" s="1125" t="s">
        <v>1584</v>
      </c>
      <c r="BG32" s="538" t="s">
        <v>388</v>
      </c>
      <c r="BH32" s="539" t="str">
        <f>INDEX([1]!List_StateInputAll,MATCH(BG32,[1]!List_StateInput,0),2)</f>
        <v>Non-CA</v>
      </c>
      <c r="BI32" s="540" t="str">
        <f>INDEX([1]!List_StateInputAll,MATCH(BG32,[1]!List_StateInput,0),3)</f>
        <v>Y</v>
      </c>
      <c r="BJ32" s="540" t="str">
        <f>INDEX([1]!List_StateInputAll,MATCH(BG32,[1]!List_StateInput,0),4)</f>
        <v>Y</v>
      </c>
      <c r="BK32" s="540" t="str">
        <f>INDEX([1]!List_StateInputAll,MATCH(BG32,[1]!List_StateInput,0),5)</f>
        <v xml:space="preserve"> </v>
      </c>
      <c r="BL32" s="540" t="str">
        <f>INDEX([1]!List_StateInputAll,MATCH(BG32,[1]!List_StateInput,0),6)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32" s="540" t="str">
        <f>INDEX([1]!List_StateInputAll,MATCH(BG32,[1]!List_StateInput,0),7)</f>
        <v>Prepay only available on Business Purpose Loans</v>
      </c>
      <c r="BN32" s="540" t="str">
        <f>INDEX([1]!List_StateInputAll,MATCH(BG32,[1]!List_StateInput,0),8)</f>
        <v>NorthCarolina</v>
      </c>
      <c r="BO32" s="540" t="str">
        <f>INDEX([1]!List_StateInputAll,MATCH(BG32,[1]!List_StateInput,0),9)</f>
        <v>Y</v>
      </c>
      <c r="BP32" s="541" t="str">
        <f>INDEX([1]!List_StateInputAll,MATCH(BG32,[1]!List_StateInput,0),10)</f>
        <v>Y</v>
      </c>
      <c r="BQ32" s="540" t="str">
        <f>INDEX([1]!List_StateInputAll,MATCH(BG32,[1]!List_StateInput,0),11)</f>
        <v>Y</v>
      </c>
      <c r="BR32" s="542" t="str">
        <f>INDEX([1]!List_StateInputAll,MATCH(BG32,[1]!List_StateInput,0),12)</f>
        <v>Y</v>
      </c>
      <c r="BS32" s="541" t="str">
        <f>INDEX([1]!List_StateInputAll,MATCH(BG32,[1]!List_StateInput,0),13)</f>
        <v xml:space="preserve"> </v>
      </c>
      <c r="BT32" s="522" t="str">
        <f>IF(OR(Input_Ratesheet_Source="Corr1",Input_Ratesheet_Source="Corr2",Input_Ratesheet_Source="Corr3",Input_Ratesheet_Source="CorrND"),BI32,IF(Input_Ratesheet_Source="Whol",IF(Input_Occupancy="Non Owner Occupied",BP32,BO32),IF(Input_Ratesheet_Source="Retl",IF(Input_Occupancy="Non Owner Occupied",IF(IF(IFERROR(FIND(Input_ProductClass,Structure!BS32),0)&gt;=1,"N","Y")="N","N",BR32),BQ32),"")))</f>
        <v>Y</v>
      </c>
      <c r="BU32" s="541" t="str">
        <f>INDEX([1]!List_StateInputAll,MATCH(BG32,[1]!List_StateInput,0),14)</f>
        <v>Wet</v>
      </c>
      <c r="BV32" s="541">
        <f>INDEX([1]!List_StateInputAll,MATCH(BG32,[1]!List_StateInput,0),15)</f>
        <v>1</v>
      </c>
      <c r="BW32" s="539" t="str">
        <f>INDEX([1]!List_StateInputAll,MATCH(BG32,[1]!List_StateInput,0),16)</f>
        <v>APOR</v>
      </c>
      <c r="BX32" s="543">
        <f>INDEX([1]!List_StateInputAll,MATCH(BG32,[1]!List_StateInput,0),17)</f>
        <v>6.5</v>
      </c>
      <c r="BY32" s="543">
        <f>INDEX([1]!List_StateInputAll,MATCH(BG32,[1]!List_StateInput,0),18)</f>
        <v>8.5</v>
      </c>
      <c r="BZ32" s="543">
        <f>INDEX([1]!List_StateInputAll,MATCH(BG32,[1]!List_StateInput,0),19)</f>
        <v>5</v>
      </c>
      <c r="CA32" s="540">
        <f>INDEX([1]!List_StateInputAll,MATCH(BG32,[1]!List_StateInput,0),20)</f>
        <v>300000</v>
      </c>
      <c r="CB32" s="540" t="str">
        <f>INDEX([1]!List_StateInputAll,MATCH(BG32,[1]!List_StateInput,0),21)</f>
        <v>Owner Occupied</v>
      </c>
      <c r="CC32" s="540" t="str">
        <f>INDEX([1]!List_StateInputAll,MATCH(BG32,[1]!List_StateInput,0),22)</f>
        <v>Purchase, Rate-Term, Cash-Out</v>
      </c>
      <c r="CD32" s="541">
        <f>INDEX([1]!List_StateInputAll,MATCH(BG32,[1]!List_StateInput,0),23)</f>
        <v>0</v>
      </c>
      <c r="CE32" s="541" t="str">
        <f>INDEX([1]!List_StateInputAll,MATCH(BG32,[1]!List_StateInput,0),24)</f>
        <v>N</v>
      </c>
    </row>
    <row r="33" spans="2:83" ht="9.6" customHeight="1" x14ac:dyDescent="0.2">
      <c r="B33" s="559"/>
      <c r="C33" s="560" t="s">
        <v>1434</v>
      </c>
      <c r="D33" s="584" t="str">
        <f>Input_Employment</f>
        <v>Wage-Earner</v>
      </c>
      <c r="E33" s="585"/>
      <c r="F33" s="586"/>
      <c r="G33" s="587"/>
      <c r="H33" s="588">
        <f>INDEX(Lookup_LLPAAll,MATCH(INDEX(List_ProductAll,MATCH(Input_Product,List_Product,0),2)&amp;"_"&amp;Input_Employment,Lookup_LLPA,0),INDEX(List_LTV_All,MATCH(Input_LTV,List_LTV,-1),3))</f>
        <v>0</v>
      </c>
      <c r="I33" s="573" t="str">
        <f>TRIM(IF(AND(Input_Citizenship="Foreign National",Input_CreditScore&lt;&gt;660),"Input 660 Credit Score for Foreign National",IF(AND(Input_Citizenship="Foreign National",Input_DocType&lt;&gt;"09-DSCR"),"Foreign National DSCR Only",""))&amp;" "&amp;INDEX(List_EmploymentAll,MATCH(Input_Employment,List_Employment,0),2))</f>
        <v/>
      </c>
      <c r="J33" s="564" t="s">
        <v>76</v>
      </c>
      <c r="K33" s="588">
        <f>INDEX(Lookup_LLPAAll,MATCH(INDEX(List_ProductAll,MATCH(Input_Product,List_Product,0),2)&amp;"_"&amp;Input_Employment,Lookup_LLPA,0),INDEX(List_LTV_All,MATCH(Input_LTV,List_LTV,-1),3))</f>
        <v>0</v>
      </c>
      <c r="L33" s="460" t="s">
        <v>76</v>
      </c>
      <c r="M33" s="670" t="str">
        <f>IF(OR(Input_ProductClass="HELOC"),"","30yr Fixed")</f>
        <v>30yr Fixed</v>
      </c>
      <c r="N33" s="671" t="s">
        <v>166</v>
      </c>
      <c r="O33" s="672">
        <v>2</v>
      </c>
      <c r="P33" s="672" t="s">
        <v>168</v>
      </c>
      <c r="Q33" s="674">
        <v>360</v>
      </c>
      <c r="R33" s="674">
        <v>360</v>
      </c>
      <c r="S33" s="674">
        <v>360</v>
      </c>
      <c r="T33" s="674"/>
      <c r="U33" s="533">
        <f>IF(M33="","",MAX(U$29:U32)+1)</f>
        <v>3</v>
      </c>
      <c r="V33" s="534" t="str">
        <f t="shared" si="7"/>
        <v>40yr Fixed</v>
      </c>
      <c r="X33" s="1094" t="s">
        <v>1288</v>
      </c>
      <c r="Y33" s="1094" t="s">
        <v>68</v>
      </c>
      <c r="Z33" s="545">
        <f>-Input_PL_IncentiveMaxAdj_LenderPaidComp+Input_PL_MaxPriceBase_IR_01PP+Input_PL_Incentive_IR+Input_PL_IncentiveMaxAdj_IR</f>
        <v>102</v>
      </c>
      <c r="AA33" s="546" cm="1">
        <f t="array" ref="AA33">[1]!Input_MaxPriceNet_IR_01PP</f>
        <v>105</v>
      </c>
      <c r="AB33" s="464"/>
      <c r="AC33" s="668" t="s">
        <v>167</v>
      </c>
      <c r="AD33" s="633" t="s">
        <v>121</v>
      </c>
      <c r="AE33" s="669" t="s">
        <v>146</v>
      </c>
      <c r="AQ33" s="1825">
        <v>3000000.01</v>
      </c>
      <c r="AR33" s="1826" t="s">
        <v>123</v>
      </c>
      <c r="AV33" s="1124" t="s">
        <v>1303</v>
      </c>
      <c r="AW33" s="1096" t="s">
        <v>1068</v>
      </c>
      <c r="AX33" s="1097" t="str">
        <f t="shared" si="2"/>
        <v>PT_009.1250000000</v>
      </c>
      <c r="AY33" s="1098">
        <f>[1]!PR_R29</f>
        <v>9.125</v>
      </c>
      <c r="AZ33" s="1099">
        <f>[1]!PR_ARM05_P29+Input_PL_Incentive_PR</f>
        <v>-2</v>
      </c>
      <c r="BA33" s="1099">
        <f>[1]!PR_FRM30_P29+Input_PL_Incentive_PR</f>
        <v>103.875</v>
      </c>
      <c r="BB33" s="1097">
        <f t="shared" si="8"/>
        <v>103.875</v>
      </c>
      <c r="BC33" s="1097" t="str">
        <f t="shared" si="4"/>
        <v>PT_103.8750000000</v>
      </c>
      <c r="BD33" s="1097"/>
      <c r="BE33" s="1125" t="s">
        <v>1585</v>
      </c>
      <c r="BG33" s="538" t="s">
        <v>389</v>
      </c>
      <c r="BH33" s="539" t="str">
        <f>INDEX([1]!List_StateInputAll,MATCH(BG33,[1]!List_StateInput,0),2)</f>
        <v>Non-CA</v>
      </c>
      <c r="BI33" s="540" t="str">
        <f>INDEX([1]!List_StateInputAll,MATCH(BG33,[1]!List_StateInput,0),3)</f>
        <v>Y</v>
      </c>
      <c r="BJ33" s="540" t="str">
        <f>INDEX([1]!List_StateInputAll,MATCH(BG33,[1]!List_StateInput,0),4)</f>
        <v>Y</v>
      </c>
      <c r="BK33" s="540" t="str">
        <f>INDEX([1]!List_StateInputAll,MATCH(BG33,[1]!List_StateInput,0),5)</f>
        <v xml:space="preserve"> </v>
      </c>
      <c r="BL33" s="570" t="str">
        <f>INDEX([1]!List_StateInputAll,MATCH(BG33,[1]!List_StateInput,0),6)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33" s="570" t="str">
        <f>INDEX([1]!List_StateInputAll,MATCH(BG33,[1]!List_StateInput,0),7)</f>
        <v>Prepay only available on Business Purpose Loans</v>
      </c>
      <c r="BN33" s="540" t="str">
        <f>INDEX([1]!List_StateInputAll,MATCH(BG33,[1]!List_StateInput,0),8)</f>
        <v>NorthDakota</v>
      </c>
      <c r="BO33" s="540" t="str">
        <f>INDEX([1]!List_StateInputAll,MATCH(BG33,[1]!List_StateInput,0),9)</f>
        <v>Y</v>
      </c>
      <c r="BP33" s="541" t="str">
        <f>INDEX([1]!List_StateInputAll,MATCH(BG33,[1]!List_StateInput,0),10)</f>
        <v>Y</v>
      </c>
      <c r="BQ33" s="540" t="str">
        <f>INDEX([1]!List_StateInputAll,MATCH(BG33,[1]!List_StateInput,0),11)</f>
        <v>N</v>
      </c>
      <c r="BR33" s="542" t="str">
        <f>INDEX([1]!List_StateInputAll,MATCH(BG33,[1]!List_StateInput,0),12)</f>
        <v>N</v>
      </c>
      <c r="BS33" s="541" t="str">
        <f>INDEX([1]!List_StateInputAll,MATCH(BG33,[1]!List_StateInput,0),13)</f>
        <v xml:space="preserve"> </v>
      </c>
      <c r="BT33" s="522" t="str">
        <f>IF(OR(Input_Ratesheet_Source="Corr1",Input_Ratesheet_Source="Corr2",Input_Ratesheet_Source="Corr3",Input_Ratesheet_Source="CorrND"),BI33,IF(Input_Ratesheet_Source="Whol",IF(Input_Occupancy="Non Owner Occupied",BP33,BO33),IF(Input_Ratesheet_Source="Retl",IF(Input_Occupancy="Non Owner Occupied",IF(IF(IFERROR(FIND(Input_ProductClass,Structure!BS33),0)&gt;=1,"N","Y")="N","N",BR33),BQ33),"")))</f>
        <v>Y</v>
      </c>
      <c r="BU33" s="541" t="str">
        <f>INDEX([1]!List_StateInputAll,MATCH(BG33,[1]!List_StateInput,0),14)</f>
        <v>Wet</v>
      </c>
      <c r="BV33" s="541">
        <f>INDEX([1]!List_StateInputAll,MATCH(BG33,[1]!List_StateInput,0),15)</f>
        <v>1</v>
      </c>
      <c r="BW33" s="539" t="str">
        <f>INDEX([1]!List_StateInputAll,MATCH(BG33,[1]!List_StateInput,0),16)</f>
        <v>APOR</v>
      </c>
      <c r="BX33" s="543">
        <f>INDEX([1]!List_StateInputAll,MATCH(BG33,[1]!List_StateInput,0),17)</f>
        <v>6.5</v>
      </c>
      <c r="BY33" s="543">
        <f>INDEX([1]!List_StateInputAll,MATCH(BG33,[1]!List_StateInput,0),18)</f>
        <v>8.5</v>
      </c>
      <c r="BZ33" s="543">
        <f>INDEX([1]!List_StateInputAll,MATCH(BG33,[1]!List_StateInput,0),19)</f>
        <v>5</v>
      </c>
      <c r="CA33" s="540">
        <f>INDEX([1]!List_StateInputAll,MATCH(BG33,[1]!List_StateInput,0),20)</f>
        <v>0</v>
      </c>
      <c r="CB33" s="540" t="str">
        <f>INDEX([1]!List_StateInputAll,MATCH(BG33,[1]!List_StateInput,0),21)</f>
        <v>Owner Occupied</v>
      </c>
      <c r="CC33" s="540" t="str">
        <f>INDEX([1]!List_StateInputAll,MATCH(BG33,[1]!List_StateInput,0),22)</f>
        <v>Purchase, Rate-Term, Cash-Out</v>
      </c>
      <c r="CD33" s="541">
        <f>INDEX([1]!List_StateInputAll,MATCH(BG33,[1]!List_StateInput,0),23)</f>
        <v>0</v>
      </c>
      <c r="CE33" s="541" t="str">
        <f>INDEX([1]!List_StateInputAll,MATCH(BG33,[1]!List_StateInput,0),24)</f>
        <v>Y</v>
      </c>
    </row>
    <row r="34" spans="2:83" ht="9.6" customHeight="1" x14ac:dyDescent="0.2">
      <c r="B34" s="559"/>
      <c r="C34" s="560" t="s">
        <v>285</v>
      </c>
      <c r="D34" s="584" t="str" cm="1">
        <f t="array" ref="D34">Input_FirstTimeHomeBuyer</f>
        <v>Not FTHB or FTINV</v>
      </c>
      <c r="E34" s="585"/>
      <c r="F34" s="586"/>
      <c r="G34" s="587"/>
      <c r="H34" s="588">
        <f>INDEX(Lookup_LLPAAll,MATCH(INDEX(List_ProductAll,MATCH(Input_Product,List_Product,0),2)&amp;"_"&amp;Input_FirstTimeHomeBuyer,Lookup_LLPA,0),INDEX(List_LTV_All,MATCH(Input_LTV,List_LTV,-1),3))</f>
        <v>0</v>
      </c>
      <c r="I34" s="573" t="str">
        <f>""&amp;INDEX(List_FirstTimeHomebuyerAll,MATCH(Input_FirstTimeHomeBuyer,List_FirstTimeHomebuyer,0),2)</f>
        <v>Not First Time Homebuyer OR First Time Investor</v>
      </c>
      <c r="J34" s="564" t="s">
        <v>76</v>
      </c>
      <c r="K34" s="574"/>
      <c r="L34" s="460" t="s">
        <v>76</v>
      </c>
      <c r="M34" s="953" t="str">
        <f>IF(OR(Input_ProductClass="Second",Input_ProductClass="AgencyCompanionSecond",Input_ProductClass="HELOC",Input_ProductClass="Closed End 2nd TD"),"","40yr Fixed")</f>
        <v>40yr Fixed</v>
      </c>
      <c r="N34" s="1468" t="str">
        <f>IF(OR(Input_ProductClass = "NonQM", Input_ProductClass = "Portfolio 1st TD", Lookup_ProductClass="Core Flex",Lookup_ProductClass="Core Prime",Lookup_ProductClass="Core CashFlow"),"Full Amortization, Interest-Only","Interest-Only")</f>
        <v>Interest-Only</v>
      </c>
      <c r="O34" s="677">
        <v>2</v>
      </c>
      <c r="P34" s="677" t="s">
        <v>169</v>
      </c>
      <c r="Q34" s="678">
        <v>480</v>
      </c>
      <c r="R34" s="678">
        <v>480</v>
      </c>
      <c r="S34" s="678">
        <v>480</v>
      </c>
      <c r="T34" s="678"/>
      <c r="U34" s="533">
        <f>IF(M34="","",MAX(U$29:U33)+1)</f>
        <v>4</v>
      </c>
      <c r="V34" s="534" t="str">
        <f t="shared" si="7"/>
        <v>5/6 30yr ARM SOFR</v>
      </c>
      <c r="X34" s="1094" t="s">
        <v>1289</v>
      </c>
      <c r="Y34" s="1094" t="s">
        <v>67</v>
      </c>
      <c r="Z34" s="545">
        <f>-Input_PL_IncentiveMaxAdj_LenderPaidComp+Input_PL_MaxPriceBase_IR_02PP+Input_PL_Incentive_IR+Input_PL_IncentiveMaxAdj_IR</f>
        <v>102</v>
      </c>
      <c r="AA34" s="546" cm="1">
        <f t="array" ref="AA34">[1]!Input_MaxPriceNet_IR_02PP</f>
        <v>105</v>
      </c>
      <c r="AB34" s="464"/>
      <c r="AC34" s="636" t="s">
        <v>98</v>
      </c>
      <c r="AD34" s="637" t="s">
        <v>107</v>
      </c>
      <c r="AE34" s="637"/>
      <c r="AQ34" s="1825">
        <v>3500000.01</v>
      </c>
      <c r="AR34" s="1826" t="s">
        <v>229</v>
      </c>
      <c r="AV34" s="1124" t="s">
        <v>1303</v>
      </c>
      <c r="AW34" s="1096" t="s">
        <v>1068</v>
      </c>
      <c r="AX34" s="1097" t="str">
        <f t="shared" si="2"/>
        <v>PT_009.0000000000</v>
      </c>
      <c r="AY34" s="1098">
        <f>[1]!PR_R30</f>
        <v>9</v>
      </c>
      <c r="AZ34" s="1099">
        <f>[1]!PR_ARM05_P30+Input_PL_Incentive_PR</f>
        <v>-2</v>
      </c>
      <c r="BA34" s="1099">
        <f>[1]!PR_FRM30_P30+Input_PL_Incentive_PR</f>
        <v>103.5</v>
      </c>
      <c r="BB34" s="1097">
        <f t="shared" si="8"/>
        <v>103.5</v>
      </c>
      <c r="BC34" s="1097" t="str">
        <f t="shared" si="4"/>
        <v>PT_103.5000000000</v>
      </c>
      <c r="BD34" s="1097"/>
      <c r="BE34" s="1125" t="s">
        <v>1586</v>
      </c>
      <c r="BG34" s="538" t="s">
        <v>390</v>
      </c>
      <c r="BH34" s="539" t="str">
        <f>INDEX([1]!List_StateInputAll,MATCH(BG34,[1]!List_StateInput,0),2)</f>
        <v>Non-CA</v>
      </c>
      <c r="BI34" s="540" t="str">
        <f>INDEX([1]!List_StateInputAll,MATCH(BG34,[1]!List_StateInput,0),3)</f>
        <v>Y</v>
      </c>
      <c r="BJ34" s="540" t="str">
        <f>INDEX([1]!List_StateInputAll,MATCH(BG34,[1]!List_StateInput,0),4)</f>
        <v>Y</v>
      </c>
      <c r="BK34" s="540" t="str">
        <f>INDEX([1]!List_StateInputAll,MATCH(BG34,[1]!List_StateInput,0),5)</f>
        <v xml:space="preserve"> </v>
      </c>
      <c r="BL34" s="540" t="str">
        <f>INDEX([1]!List_StateInputAll,MATCH(BG34,[1]!List_StateInput,0),6)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34" s="540" t="str">
        <f>INDEX([1]!List_StateInputAll,MATCH(BG34,[1]!List_StateInput,0),7)</f>
        <v>Prepay only available on Business Purpose Loans</v>
      </c>
      <c r="BN34" s="540" t="str">
        <f>INDEX([1]!List_StateInputAll,MATCH(BG34,[1]!List_StateInput,0),8)</f>
        <v>Nebraska</v>
      </c>
      <c r="BO34" s="540" t="str">
        <f>INDEX([1]!List_StateInputAll,MATCH(BG34,[1]!List_StateInput,0),9)</f>
        <v>Y</v>
      </c>
      <c r="BP34" s="541" t="str">
        <f>INDEX([1]!List_StateInputAll,MATCH(BG34,[1]!List_StateInput,0),10)</f>
        <v>Y</v>
      </c>
      <c r="BQ34" s="540" t="str">
        <f>INDEX([1]!List_StateInputAll,MATCH(BG34,[1]!List_StateInput,0),11)</f>
        <v>N</v>
      </c>
      <c r="BR34" s="542" t="str">
        <f>INDEX([1]!List_StateInputAll,MATCH(BG34,[1]!List_StateInput,0),12)</f>
        <v>Y</v>
      </c>
      <c r="BS34" s="541" t="str">
        <f>INDEX([1]!List_StateInputAll,MATCH(BG34,[1]!List_StateInput,0),13)</f>
        <v xml:space="preserve"> </v>
      </c>
      <c r="BT34" s="522" t="str">
        <f>IF(OR(Input_Ratesheet_Source="Corr1",Input_Ratesheet_Source="Corr2",Input_Ratesheet_Source="Corr3",Input_Ratesheet_Source="CorrND"),BI34,IF(Input_Ratesheet_Source="Whol",IF(Input_Occupancy="Non Owner Occupied",BP34,BO34),IF(Input_Ratesheet_Source="Retl",IF(Input_Occupancy="Non Owner Occupied",IF(IF(IFERROR(FIND(Input_ProductClass,Structure!BS34),0)&gt;=1,"N","Y")="N","N",BR34),BQ34),"")))</f>
        <v>Y</v>
      </c>
      <c r="BU34" s="541" t="str">
        <f>INDEX([1]!List_StateInputAll,MATCH(BG34,[1]!List_StateInput,0),14)</f>
        <v>Wet</v>
      </c>
      <c r="BV34" s="541">
        <f>INDEX([1]!List_StateInputAll,MATCH(BG34,[1]!List_StateInput,0),15)</f>
        <v>1</v>
      </c>
      <c r="BW34" s="539" t="str">
        <f>INDEX([1]!List_StateInputAll,MATCH(BG34,[1]!List_StateInput,0),16)</f>
        <v>APOR</v>
      </c>
      <c r="BX34" s="543">
        <f>INDEX([1]!List_StateInputAll,MATCH(BG34,[1]!List_StateInput,0),17)</f>
        <v>6.5</v>
      </c>
      <c r="BY34" s="543">
        <f>INDEX([1]!List_StateInputAll,MATCH(BG34,[1]!List_StateInput,0),18)</f>
        <v>8.5</v>
      </c>
      <c r="BZ34" s="543">
        <f>INDEX([1]!List_StateInputAll,MATCH(BG34,[1]!List_StateInput,0),19)</f>
        <v>5</v>
      </c>
      <c r="CA34" s="540">
        <f>INDEX([1]!List_StateInputAll,MATCH(BG34,[1]!List_StateInput,0),20)</f>
        <v>0</v>
      </c>
      <c r="CB34" s="540" t="str">
        <f>INDEX([1]!List_StateInputAll,MATCH(BG34,[1]!List_StateInput,0),21)</f>
        <v>Owner Occupied</v>
      </c>
      <c r="CC34" s="540" t="str">
        <f>INDEX([1]!List_StateInputAll,MATCH(BG34,[1]!List_StateInput,0),22)</f>
        <v>Purchase, Rate-Term, Cash-Out</v>
      </c>
      <c r="CD34" s="541">
        <f>INDEX([1]!List_StateInputAll,MATCH(BG34,[1]!List_StateInput,0),23)</f>
        <v>0</v>
      </c>
      <c r="CE34" s="541" t="str">
        <f>INDEX([1]!List_StateInputAll,MATCH(BG34,[1]!List_StateInput,0),24)</f>
        <v>Y</v>
      </c>
    </row>
    <row r="35" spans="2:83" ht="9.6" customHeight="1" x14ac:dyDescent="0.2">
      <c r="B35" s="559"/>
      <c r="C35" s="560" t="s">
        <v>51</v>
      </c>
      <c r="D35" s="584" t="str">
        <f>Input_Payment</f>
        <v>ACH</v>
      </c>
      <c r="E35" s="585"/>
      <c r="F35" s="586"/>
      <c r="G35" s="587"/>
      <c r="H35" s="588">
        <f>INDEX(Lookup_LLPAAll,MATCH(INDEX(List_ProductAll,MATCH(Input_Product,List_Product,0),2)&amp;"_"&amp;Input_Payment,Lookup_LLPA,0),INDEX(List_LTV_All,MATCH(Input_LTV,List_LTV,-1),3))</f>
        <v>0.125</v>
      </c>
      <c r="I35" s="655" t="s">
        <v>76</v>
      </c>
      <c r="J35" s="564" t="s">
        <v>76</v>
      </c>
      <c r="K35" s="590" t="str">
        <f>INDEX(List_ProductAll,MATCH(Input_Product,List_Product,0),2)&amp;"_"&amp;Input_Payment</f>
        <v>IT_ACH</v>
      </c>
      <c r="L35" s="460" t="s">
        <v>76</v>
      </c>
      <c r="M35" s="663" t="str">
        <f>IF(OR(Input_ProductClass="HELOC",Input_RateSheet_Type&lt;&gt;"Standard"),"3yrDraw 20yr ARM PRIME","")</f>
        <v/>
      </c>
      <c r="N35" s="664" t="s">
        <v>4</v>
      </c>
      <c r="O35" s="665">
        <v>2</v>
      </c>
      <c r="P35" s="666" t="s">
        <v>1553</v>
      </c>
      <c r="Q35" s="667">
        <v>240</v>
      </c>
      <c r="R35" s="667">
        <v>240</v>
      </c>
      <c r="S35" s="667">
        <v>12</v>
      </c>
      <c r="T35" s="667"/>
      <c r="U35" s="533" t="str">
        <f>IF(M35="","",MAX(U$29:U34)+1)</f>
        <v/>
      </c>
      <c r="V35" s="534" t="str">
        <f t="shared" si="7"/>
        <v>7/6 30yr ARM SOFR</v>
      </c>
      <c r="X35" s="1094" t="s">
        <v>1290</v>
      </c>
      <c r="Y35" s="1094" t="s">
        <v>66</v>
      </c>
      <c r="Z35" s="545">
        <f>-Input_PL_IncentiveMaxAdj_LenderPaidComp+Input_PL_MaxPriceBase_IR_03PP+Input_PL_Incentive_IR+Input_PL_IncentiveMaxAdj_IR</f>
        <v>102.5</v>
      </c>
      <c r="AA35" s="546" cm="1">
        <f t="array" ref="AA35">[1]!Input_MaxPriceNet_IR_03PP</f>
        <v>105.5</v>
      </c>
      <c r="AB35" s="464"/>
      <c r="AC35" s="648" t="s">
        <v>4</v>
      </c>
      <c r="AD35" s="675" t="s">
        <v>106</v>
      </c>
      <c r="AE35" s="675" t="s">
        <v>170</v>
      </c>
      <c r="AQ35" s="1825">
        <v>4000000.01</v>
      </c>
      <c r="AR35" s="1826" t="s">
        <v>230</v>
      </c>
      <c r="AV35" s="1124" t="s">
        <v>1303</v>
      </c>
      <c r="AW35" s="1096" t="s">
        <v>1068</v>
      </c>
      <c r="AX35" s="1097" t="str">
        <f t="shared" si="2"/>
        <v>PT_008.8750000000</v>
      </c>
      <c r="AY35" s="1098">
        <f>[1]!PR_R31</f>
        <v>8.875</v>
      </c>
      <c r="AZ35" s="1099">
        <f>[1]!PR_ARM05_P31+Input_PL_Incentive_PR</f>
        <v>-2</v>
      </c>
      <c r="BA35" s="1099">
        <f>[1]!PR_FRM30_P31+Input_PL_Incentive_PR</f>
        <v>103.125</v>
      </c>
      <c r="BB35" s="1097">
        <f t="shared" si="8"/>
        <v>103.125</v>
      </c>
      <c r="BC35" s="1097" t="str">
        <f t="shared" si="4"/>
        <v>PT_103.1250000000</v>
      </c>
      <c r="BD35" s="1097"/>
      <c r="BE35" s="1125" t="s">
        <v>1587</v>
      </c>
      <c r="BG35" s="538" t="s">
        <v>391</v>
      </c>
      <c r="BH35" s="539" t="str">
        <f>INDEX([1]!List_StateInputAll,MATCH(BG35,[1]!List_StateInput,0),2)</f>
        <v>Non-CA</v>
      </c>
      <c r="BI35" s="540" t="str">
        <f>INDEX([1]!List_StateInputAll,MATCH(BG35,[1]!List_StateInput,0),3)</f>
        <v>Y</v>
      </c>
      <c r="BJ35" s="540" t="str">
        <f>INDEX([1]!List_StateInputAll,MATCH(BG35,[1]!List_StateInput,0),4)</f>
        <v>Y</v>
      </c>
      <c r="BK35" s="540" t="str">
        <f>INDEX([1]!List_StateInputAll,MATCH(BG35,[1]!List_StateInput,0),5)</f>
        <v xml:space="preserve"> </v>
      </c>
      <c r="BL35" s="540" t="str">
        <f>INDEX([1]!List_StateInputAll,MATCH(BG35,[1]!List_StateInput,0),6)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35" s="540" t="str">
        <f>INDEX([1]!List_StateInputAll,MATCH(BG35,[1]!List_StateInput,0),7)</f>
        <v>Prepay only available on Business Purpose Loans</v>
      </c>
      <c r="BN35" s="540" t="str">
        <f>INDEX([1]!List_StateInputAll,MATCH(BG35,[1]!List_StateInput,0),8)</f>
        <v>NewHampshire</v>
      </c>
      <c r="BO35" s="540" t="str">
        <f>INDEX([1]!List_StateInputAll,MATCH(BG35,[1]!List_StateInput,0),9)</f>
        <v>Y</v>
      </c>
      <c r="BP35" s="541" t="str">
        <f>INDEX([1]!List_StateInputAll,MATCH(BG35,[1]!List_StateInput,0),10)</f>
        <v>Y</v>
      </c>
      <c r="BQ35" s="540" t="str">
        <f>INDEX([1]!List_StateInputAll,MATCH(BG35,[1]!List_StateInput,0),11)</f>
        <v>N</v>
      </c>
      <c r="BR35" s="542" t="str">
        <f>INDEX([1]!List_StateInputAll,MATCH(BG35,[1]!List_StateInput,0),12)</f>
        <v>Y</v>
      </c>
      <c r="BS35" s="541" t="str">
        <f>INDEX([1]!List_StateInputAll,MATCH(BG35,[1]!List_StateInput,0),13)</f>
        <v xml:space="preserve"> </v>
      </c>
      <c r="BT35" s="522" t="str">
        <f>IF(OR(Input_Ratesheet_Source="Corr1",Input_Ratesheet_Source="Corr2",Input_Ratesheet_Source="Corr3",Input_Ratesheet_Source="CorrND"),BI35,IF(Input_Ratesheet_Source="Whol",IF(Input_Occupancy="Non Owner Occupied",BP35,BO35),IF(Input_Ratesheet_Source="Retl",IF(Input_Occupancy="Non Owner Occupied",IF(IF(IFERROR(FIND(Input_ProductClass,Structure!BS35),0)&gt;=1,"N","Y")="N","N",BR35),BQ35),"")))</f>
        <v>Y</v>
      </c>
      <c r="BU35" s="541" t="str">
        <f>INDEX([1]!List_StateInputAll,MATCH(BG35,[1]!List_StateInput,0),14)</f>
        <v>Wet</v>
      </c>
      <c r="BV35" s="541">
        <f>INDEX([1]!List_StateInputAll,MATCH(BG35,[1]!List_StateInput,0),15)</f>
        <v>1</v>
      </c>
      <c r="BW35" s="539" t="str">
        <f>INDEX([1]!List_StateInputAll,MATCH(BG35,[1]!List_StateInput,0),16)</f>
        <v>APOR</v>
      </c>
      <c r="BX35" s="543">
        <f>INDEX([1]!List_StateInputAll,MATCH(BG35,[1]!List_StateInput,0),17)</f>
        <v>6.5</v>
      </c>
      <c r="BY35" s="543">
        <f>INDEX([1]!List_StateInputAll,MATCH(BG35,[1]!List_StateInput,0),18)</f>
        <v>8.5</v>
      </c>
      <c r="BZ35" s="543">
        <f>INDEX([1]!List_StateInputAll,MATCH(BG35,[1]!List_StateInput,0),19)</f>
        <v>5</v>
      </c>
      <c r="CA35" s="540">
        <f>INDEX([1]!List_StateInputAll,MATCH(BG35,[1]!List_StateInput,0),20)</f>
        <v>0</v>
      </c>
      <c r="CB35" s="540" t="str">
        <f>INDEX([1]!List_StateInputAll,MATCH(BG35,[1]!List_StateInput,0),21)</f>
        <v>Owner Occupied</v>
      </c>
      <c r="CC35" s="540" t="str">
        <f>INDEX([1]!List_StateInputAll,MATCH(BG35,[1]!List_StateInput,0),22)</f>
        <v>Purchase, Rate-Term, Cash-Out</v>
      </c>
      <c r="CD35" s="541">
        <f>INDEX([1]!List_StateInputAll,MATCH(BG35,[1]!List_StateInput,0),23)</f>
        <v>0</v>
      </c>
      <c r="CE35" s="541" t="str">
        <f>INDEX([1]!List_StateInputAll,MATCH(BG35,[1]!List_StateInput,0),24)</f>
        <v>Y</v>
      </c>
    </row>
    <row r="36" spans="2:83" ht="9.6" customHeight="1" x14ac:dyDescent="0.2">
      <c r="B36" s="559"/>
      <c r="C36" s="560" t="s">
        <v>48</v>
      </c>
      <c r="D36" s="584" t="str">
        <f>Input_Servicing</f>
        <v>No Escrows</v>
      </c>
      <c r="E36" s="585"/>
      <c r="F36" s="586"/>
      <c r="G36" s="587"/>
      <c r="H36" s="588">
        <f>INDEX(Lookup_LLPAAll,MATCH(INDEX(List_ProductAll,MATCH(Input_Product,List_Product,0),2)&amp;"_"&amp;Input_Servicing,Lookup_LLPA,0),INDEX(List_LTV_All,MATCH(Input_LTV,List_LTV,-1),3))</f>
        <v>0</v>
      </c>
      <c r="I36" s="655" t="s">
        <v>76</v>
      </c>
      <c r="J36" s="564" t="s">
        <v>76</v>
      </c>
      <c r="K36" s="590" t="str">
        <f>INDEX(List_ProductAll,MATCH(Input_Product,List_Product,0),2)&amp;"_"&amp;Input_Servicing</f>
        <v>IT_No Escrows</v>
      </c>
      <c r="L36" s="460" t="s">
        <v>76</v>
      </c>
      <c r="M36" s="670" t="str">
        <f>IF(OR(Input_ProductClass="HELOC",Input_RateSheet_Type&lt;&gt;"Standard"),"5yrDraw 20yr ARM PRIME","")</f>
        <v/>
      </c>
      <c r="N36" s="671" t="s">
        <v>4</v>
      </c>
      <c r="O36" s="672">
        <v>2</v>
      </c>
      <c r="P36" s="673" t="s">
        <v>1554</v>
      </c>
      <c r="Q36" s="674">
        <v>240</v>
      </c>
      <c r="R36" s="674">
        <v>240</v>
      </c>
      <c r="S36" s="674">
        <v>12</v>
      </c>
      <c r="T36" s="674"/>
      <c r="U36" s="533" t="str">
        <f>IF(M36="","",MAX(U$29:U35)+1)</f>
        <v/>
      </c>
      <c r="V36" s="534" t="str">
        <f t="shared" si="7"/>
        <v>5/6 40yr ARM SOFR</v>
      </c>
      <c r="X36" s="1094" t="s">
        <v>1291</v>
      </c>
      <c r="Y36" s="1094" t="s">
        <v>164</v>
      </c>
      <c r="Z36" s="545">
        <f>-Input_PL_IncentiveMaxAdj_LenderPaidComp+Input_PL_MaxPriceBase_IR_04PP+Input_PL_Incentive_IR+Input_PL_IncentiveMaxAdj_IR</f>
        <v>102.5</v>
      </c>
      <c r="AA36" s="546" cm="1">
        <f t="array" ref="AA36">[1]!Input_MaxPriceNet_IR_04PP</f>
        <v>105.5</v>
      </c>
      <c r="AB36" s="464"/>
      <c r="AQ36" s="1825">
        <v>4500000.01</v>
      </c>
      <c r="AR36" s="1826" t="s">
        <v>231</v>
      </c>
      <c r="AV36" s="1124" t="s">
        <v>1303</v>
      </c>
      <c r="AW36" s="1096" t="s">
        <v>1068</v>
      </c>
      <c r="AX36" s="1097" t="str">
        <f t="shared" si="2"/>
        <v>PT_008.7500000000</v>
      </c>
      <c r="AY36" s="1098">
        <f>[1]!PR_R32</f>
        <v>8.75</v>
      </c>
      <c r="AZ36" s="1099">
        <f>[1]!PR_ARM05_P32+Input_PL_Incentive_PR</f>
        <v>-2</v>
      </c>
      <c r="BA36" s="1099">
        <f>[1]!PR_FRM30_P32+Input_PL_Incentive_PR</f>
        <v>102.75</v>
      </c>
      <c r="BB36" s="1097">
        <f t="shared" si="8"/>
        <v>102.75</v>
      </c>
      <c r="BC36" s="1097" t="str">
        <f t="shared" si="4"/>
        <v>PT_102.7500000000</v>
      </c>
      <c r="BD36" s="1097"/>
      <c r="BE36" s="1125" t="s">
        <v>1588</v>
      </c>
      <c r="BG36" s="538" t="s">
        <v>116</v>
      </c>
      <c r="BH36" s="539" t="str">
        <f>INDEX([1]!List_StateInputAll,MATCH(BG36,[1]!List_StateInput,0),2)</f>
        <v>Non-CA</v>
      </c>
      <c r="BI36" s="540" t="str">
        <f>INDEX([1]!List_StateInputAll,MATCH(BG36,[1]!List_StateInput,0),3)</f>
        <v>Y</v>
      </c>
      <c r="BJ36" s="540" t="str">
        <f>INDEX([1]!List_StateInputAll,MATCH(BG36,[1]!List_StateInput,0),4)</f>
        <v>Y</v>
      </c>
      <c r="BK36" s="540" t="str">
        <f>INDEX([1]!List_StateInputAll,MATCH(BG36,[1]!List_StateInput,0),5)</f>
        <v xml:space="preserve"> </v>
      </c>
      <c r="BL36" s="540" t="str">
        <f>INDEX([1]!List_StateInputAll,MATCH(BG36,[1]!List_StateInput,0),6)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36" s="540" t="str">
        <f>INDEX([1]!List_StateInputAll,MATCH(BG36,[1]!List_StateInput,0),7)</f>
        <v>Prepay Restriction May Apply: Borrower must be corporation if interest rate is &gt; 6%.  Prepay only available on Business Purpose Loans</v>
      </c>
      <c r="BN36" s="540" t="str">
        <f>INDEX([1]!List_StateInputAll,MATCH(BG36,[1]!List_StateInput,0),8)</f>
        <v>NewJersey</v>
      </c>
      <c r="BO36" s="540" t="str">
        <f>INDEX([1]!List_StateInputAll,MATCH(BG36,[1]!List_StateInput,0),9)</f>
        <v>Y</v>
      </c>
      <c r="BP36" s="541" t="str">
        <f>INDEX([1]!List_StateInputAll,MATCH(BG36,[1]!List_StateInput,0),10)</f>
        <v>Y</v>
      </c>
      <c r="BQ36" s="540" t="str">
        <f>INDEX([1]!List_StateInputAll,MATCH(BG36,[1]!List_StateInput,0),11)</f>
        <v>N</v>
      </c>
      <c r="BR36" s="542" t="str">
        <f>INDEX([1]!List_StateInputAll,MATCH(BG36,[1]!List_StateInput,0),12)</f>
        <v>Y</v>
      </c>
      <c r="BS36" s="541" t="str">
        <f>INDEX([1]!List_StateInputAll,MATCH(BG36,[1]!List_StateInput,0),13)</f>
        <v xml:space="preserve"> </v>
      </c>
      <c r="BT36" s="522" t="str">
        <f>IF(OR(Input_Ratesheet_Source="Corr1",Input_Ratesheet_Source="Corr2",Input_Ratesheet_Source="Corr3",Input_Ratesheet_Source="CorrND"),BI36,IF(Input_Ratesheet_Source="Whol",IF(Input_Occupancy="Non Owner Occupied",BP36,BO36),IF(Input_Ratesheet_Source="Retl",IF(Input_Occupancy="Non Owner Occupied",IF(IF(IFERROR(FIND(Input_ProductClass,Structure!BS36),0)&gt;=1,"N","Y")="N","N",BR36),BQ36),"")))</f>
        <v>Y</v>
      </c>
      <c r="BU36" s="541" t="str">
        <f>INDEX([1]!List_StateInputAll,MATCH(BG36,[1]!List_StateInput,0),14)</f>
        <v>Wet</v>
      </c>
      <c r="BV36" s="541">
        <f>INDEX([1]!List_StateInputAll,MATCH(BG36,[1]!List_StateInput,0),15)</f>
        <v>1</v>
      </c>
      <c r="BW36" s="539" t="str">
        <f>INDEX([1]!List_StateInputAll,MATCH(BG36,[1]!List_StateInput,0),16)</f>
        <v>APOR</v>
      </c>
      <c r="BX36" s="543">
        <f>INDEX([1]!List_StateInputAll,MATCH(BG36,[1]!List_StateInput,0),17)</f>
        <v>6.5</v>
      </c>
      <c r="BY36" s="543">
        <f>INDEX([1]!List_StateInputAll,MATCH(BG36,[1]!List_StateInput,0),18)</f>
        <v>8.5</v>
      </c>
      <c r="BZ36" s="543">
        <f>INDEX([1]!List_StateInputAll,MATCH(BG36,[1]!List_StateInput,0),19)</f>
        <v>4.5</v>
      </c>
      <c r="CA36" s="540">
        <f>INDEX([1]!List_StateInputAll,MATCH(BG36,[1]!List_StateInput,0),20)</f>
        <v>513000</v>
      </c>
      <c r="CB36" s="540" t="str">
        <f>INDEX([1]!List_StateInputAll,MATCH(BG36,[1]!List_StateInput,0),21)</f>
        <v>Owner Occupied</v>
      </c>
      <c r="CC36" s="540" t="str">
        <f>INDEX([1]!List_StateInputAll,MATCH(BG36,[1]!List_StateInput,0),22)</f>
        <v>Purchase, Rate-Term, Cash-Out</v>
      </c>
      <c r="CD36" s="541">
        <f>INDEX([1]!List_StateInputAll,MATCH(BG36,[1]!List_StateInput,0),23)</f>
        <v>0</v>
      </c>
      <c r="CE36" s="541" t="str">
        <f>INDEX([1]!List_StateInputAll,MATCH(BG36,[1]!List_StateInput,0),24)</f>
        <v>N</v>
      </c>
    </row>
    <row r="37" spans="2:83" ht="9.6" customHeight="1" x14ac:dyDescent="0.2">
      <c r="B37" s="559"/>
      <c r="C37" s="560" t="s">
        <v>65</v>
      </c>
      <c r="D37" s="584" t="str">
        <f>Input_PrepayPenalty</f>
        <v>5yr Prepay_Standard</v>
      </c>
      <c r="E37" s="585"/>
      <c r="F37" s="609" t="str">
        <f>IF(IFERROR(FIND(Input_PrepayPenalty,INDEX(List_State_All,MATCH(Input_State,List_State,0),6)),0)&gt;0,"N","Y")</f>
        <v>N</v>
      </c>
      <c r="G37" s="587"/>
      <c r="H37" s="588">
        <f>IF(Error_PrepayPenalty="Y",#N/A,INDEX(Lookup_LLPAAll,MATCH(INDEX(List_ProductAll,MATCH(Input_Product,List_Product,0),2)&amp;"_"&amp;Input_PrepayPenalty,Lookup_LLPA,0),INDEX(List_LTV_All,MATCH(Input_LTV,List_LTV,-1),3)))</f>
        <v>1.875</v>
      </c>
      <c r="I37" s="598" t="str">
        <f>IF(Input_PrepayEnforce_Type="NoRestriction","Check Prepay Availability","")&amp;IF(Input_PrepayPenalty="No Prepay","",INDEX(List_State_All,MATCH(Input_State,List_State,0),7))</f>
        <v>Prepay only available on Business Purpose Loans</v>
      </c>
      <c r="J37" s="564" t="s">
        <v>76</v>
      </c>
      <c r="K37" s="590" t="str">
        <f>INDEX(List_ProductAll,MATCH(Input_Product,List_Product,0),2)&amp;"_"&amp;Input_PrepayPenalty</f>
        <v>IT_5yr Prepay_Standard</v>
      </c>
      <c r="L37" s="460" t="s">
        <v>76</v>
      </c>
      <c r="M37" s="670" t="str">
        <f>IF(OR(Input_ProductClass="HELOC",Input_RateSheet_Type&lt;&gt;"Standard"),"3yrDraw 30yr ARM PRIME","")</f>
        <v/>
      </c>
      <c r="N37" s="671" t="s">
        <v>4</v>
      </c>
      <c r="O37" s="672">
        <v>2</v>
      </c>
      <c r="P37" s="673" t="s">
        <v>1555</v>
      </c>
      <c r="Q37" s="674">
        <v>360</v>
      </c>
      <c r="R37" s="674">
        <v>360</v>
      </c>
      <c r="S37" s="674">
        <v>12</v>
      </c>
      <c r="T37" s="674"/>
      <c r="U37" s="533" t="str">
        <f>IF(M37="","",MAX(U$29:U36)+1)</f>
        <v/>
      </c>
      <c r="V37" s="534" t="str">
        <f t="shared" si="7"/>
        <v>7/6 40yr ARM SOFR</v>
      </c>
      <c r="X37" s="1095" t="s">
        <v>1292</v>
      </c>
      <c r="Y37" s="1095" t="s">
        <v>165</v>
      </c>
      <c r="Z37" s="553">
        <f>-Input_PL_IncentiveMaxAdj_LenderPaidComp+Input_PL_MaxPriceBase_IR_05PP+Input_PL_Incentive_IR+Input_PL_IncentiveMaxAdj_IR</f>
        <v>102.5</v>
      </c>
      <c r="AA37" s="554" cm="1">
        <f t="array" ref="AA37">[1]!Input_MaxPriceNet_IR_05PP</f>
        <v>105.5</v>
      </c>
      <c r="AB37" s="464"/>
      <c r="AC37" s="680" t="s">
        <v>43</v>
      </c>
      <c r="AD37" s="680" t="s">
        <v>321</v>
      </c>
      <c r="AE37" s="634" t="str">
        <f>INDEX(List_CreditHistory_All,MATCH(Input_CreditHistory,List_CreditHistory,0),2)</f>
        <v>No</v>
      </c>
      <c r="AQ37" s="1828">
        <v>5000000.01</v>
      </c>
      <c r="AR37" s="1829" t="s">
        <v>228</v>
      </c>
      <c r="AV37" s="1124" t="s">
        <v>1303</v>
      </c>
      <c r="AW37" s="1096" t="s">
        <v>1068</v>
      </c>
      <c r="AX37" s="1097" t="str">
        <f t="shared" si="2"/>
        <v>PT_008.6250000000</v>
      </c>
      <c r="AY37" s="1098">
        <f>[1]!PR_R33</f>
        <v>8.625</v>
      </c>
      <c r="AZ37" s="1099">
        <f>[1]!PR_ARM05_P33+Input_PL_Incentive_PR</f>
        <v>-2</v>
      </c>
      <c r="BA37" s="1099">
        <f>[1]!PR_FRM30_P33+Input_PL_Incentive_PR</f>
        <v>102.25</v>
      </c>
      <c r="BB37" s="1097">
        <f t="shared" si="8"/>
        <v>102.25</v>
      </c>
      <c r="BC37" s="1097" t="str">
        <f t="shared" si="4"/>
        <v>PT_102.2500000000</v>
      </c>
      <c r="BD37" s="1097"/>
      <c r="BE37" s="1125" t="s">
        <v>1589</v>
      </c>
      <c r="BG37" s="538" t="s">
        <v>392</v>
      </c>
      <c r="BH37" s="539" t="str">
        <f>INDEX([1]!List_StateInputAll,MATCH(BG37,[1]!List_StateInput,0),2)</f>
        <v>Non-CA</v>
      </c>
      <c r="BI37" s="540" t="str">
        <f>INDEX([1]!List_StateInputAll,MATCH(BG37,[1]!List_StateInput,0),3)</f>
        <v>Y</v>
      </c>
      <c r="BJ37" s="540" t="str">
        <f>INDEX([1]!List_StateInputAll,MATCH(BG37,[1]!List_StateInput,0),4)</f>
        <v>Y</v>
      </c>
      <c r="BK37" s="540" t="str">
        <f>INDEX([1]!List_StateInputAll,MATCH(BG37,[1]!List_StateInput,0),5)</f>
        <v xml:space="preserve"> </v>
      </c>
      <c r="BL37" s="570" t="str">
        <f>INDEX([1]!List_StateInputAll,MATCH(BG37,[1]!List_StateInput,0),6)</f>
        <v>No Prepay</v>
      </c>
      <c r="BM37" s="570" t="str">
        <f>INDEX([1]!List_StateInputAll,MATCH(BG37,[1]!List_StateInput,0),7)</f>
        <v>No Prepay Allowed</v>
      </c>
      <c r="BN37" s="540" t="str">
        <f>INDEX([1]!List_StateInputAll,MATCH(BG37,[1]!List_StateInput,0),8)</f>
        <v>NewMexico</v>
      </c>
      <c r="BO37" s="540" t="str">
        <f>INDEX([1]!List_StateInputAll,MATCH(BG37,[1]!List_StateInput,0),9)</f>
        <v>Y</v>
      </c>
      <c r="BP37" s="541" t="str">
        <f>INDEX([1]!List_StateInputAll,MATCH(BG37,[1]!List_StateInput,0),10)</f>
        <v>Y</v>
      </c>
      <c r="BQ37" s="540" t="str">
        <f>INDEX([1]!List_StateInputAll,MATCH(BG37,[1]!List_StateInput,0),11)</f>
        <v>N</v>
      </c>
      <c r="BR37" s="542" t="str">
        <f>INDEX([1]!List_StateInputAll,MATCH(BG37,[1]!List_StateInput,0),12)</f>
        <v>Y</v>
      </c>
      <c r="BS37" s="541" t="str">
        <f>INDEX([1]!List_StateInputAll,MATCH(BG37,[1]!List_StateInput,0),13)</f>
        <v xml:space="preserve"> </v>
      </c>
      <c r="BT37" s="522" t="str">
        <f>IF(OR(Input_Ratesheet_Source="Corr1",Input_Ratesheet_Source="Corr2",Input_Ratesheet_Source="Corr3",Input_Ratesheet_Source="CorrND"),BI37,IF(Input_Ratesheet_Source="Whol",IF(Input_Occupancy="Non Owner Occupied",BP37,BO37),IF(Input_Ratesheet_Source="Retl",IF(Input_Occupancy="Non Owner Occupied",IF(IF(IFERROR(FIND(Input_ProductClass,Structure!BS37),0)&gt;=1,"N","Y")="N","N",BR37),BQ37),"")))</f>
        <v>Y</v>
      </c>
      <c r="BU37" s="541" t="str">
        <f>INDEX([1]!List_StateInputAll,MATCH(BG37,[1]!List_StateInput,0),14)</f>
        <v>Dry</v>
      </c>
      <c r="BV37" s="541">
        <f>INDEX([1]!List_StateInputAll,MATCH(BG37,[1]!List_StateInput,0),15)</f>
        <v>1</v>
      </c>
      <c r="BW37" s="539" t="str">
        <f>INDEX([1]!List_StateInputAll,MATCH(BG37,[1]!List_StateInput,0),16)</f>
        <v>Treasury</v>
      </c>
      <c r="BX37" s="543">
        <f>INDEX([1]!List_StateInputAll,MATCH(BG37,[1]!List_StateInput,0),17)</f>
        <v>7</v>
      </c>
      <c r="BY37" s="543">
        <f>INDEX([1]!List_StateInputAll,MATCH(BG37,[1]!List_StateInput,0),18)</f>
        <v>9</v>
      </c>
      <c r="BZ37" s="543">
        <f>INDEX([1]!List_StateInputAll,MATCH(BG37,[1]!List_StateInput,0),19)</f>
        <v>5</v>
      </c>
      <c r="CA37" s="540" t="str">
        <f>INDEX([1]!List_StateInputAll,MATCH(BG37,[1]!List_StateInput,0),20)</f>
        <v>Agency</v>
      </c>
      <c r="CB37" s="540" t="str">
        <f>INDEX([1]!List_StateInputAll,MATCH(BG37,[1]!List_StateInput,0),21)</f>
        <v>Owner Occupied</v>
      </c>
      <c r="CC37" s="540" t="str">
        <f>INDEX([1]!List_StateInputAll,MATCH(BG37,[1]!List_StateInput,0),22)</f>
        <v>Purchase, Rate-Term, Cash-Out</v>
      </c>
      <c r="CD37" s="541">
        <f>INDEX([1]!List_StateInputAll,MATCH(BG37,[1]!List_StateInput,0),23)</f>
        <v>0</v>
      </c>
      <c r="CE37" s="541" t="str">
        <f>INDEX([1]!List_StateInputAll,MATCH(BG37,[1]!List_StateInput,0),24)</f>
        <v>N</v>
      </c>
    </row>
    <row r="38" spans="2:83" ht="9.6" customHeight="1" x14ac:dyDescent="0.2">
      <c r="B38" s="559"/>
      <c r="C38" s="560" t="s">
        <v>23</v>
      </c>
      <c r="D38" s="584" t="str">
        <f>Input_LockTerm</f>
        <v>30 Day</v>
      </c>
      <c r="E38" s="585"/>
      <c r="F38" s="586"/>
      <c r="G38" s="587"/>
      <c r="H38" s="588">
        <f>INDEX(Lookup_LLPAAll,MATCH(INDEX(List_ProductAll,MATCH(Input_Product,List_Product,0),2)&amp;"_"&amp;Input_LockTerm,Lookup_LLPA,0),INDEX(List_LTV_All,MATCH(Input_LTV,List_LTV,-1),3))</f>
        <v>0</v>
      </c>
      <c r="I38" s="681" t="str">
        <f>IF(IFERROR(SEARCH("Buydown",Input_AmortTerm),0)=0,"",IF(Input_AmortType="Interest-Only","I/O","P&amp;I")&amp;": 1-6="&amp;TEXT(IF(Input_AmortType="Interest-Only",-IPMT((Input_NoteRate-1.5)/1200,1,(Lookup_TermAmort),Input_LoanAmt),-PMT((Input_NoteRate-1.5)/1200,(Lookup_TermAmort),Input_LoanAmt)),"####.00"))&amp;IF(IFERROR(SEARCH("Buydown",Input_AmortTerm),0)=0,"",", 7-12="&amp;TEXT(IF(Input_AmortType="Interest-Only",-IPMT((Input_NoteRate-1)/1200,1,(Lookup_TermAmort),Input_LoanAmt),-PMT((Input_NoteRate-1)/1200,(Lookup_TermAmort),Input_LoanAmt)),"####.00"))&amp;IF(IFERROR(SEARCH("Buydown",Input_AmortTerm),0)=0,"",", 13-18="&amp;TEXT(IF(Input_AmortType="Interest-Only",-IPMT((Input_NoteRate-0.5)/1200,1,(Lookup_TermAmort),Input_LoanAmt),-PMT((Input_NoteRate-0.5)/1200,(Lookup_TermAmort),Input_LoanAmt)),"####.00"))</f>
        <v/>
      </c>
      <c r="J38" s="564" t="s">
        <v>76</v>
      </c>
      <c r="K38" s="590" t="str">
        <f>INDEX(List_ProductAll,MATCH(Input_Product,List_Product,0),2)&amp;"_"&amp;Input_LockTerm</f>
        <v>IT_30 Day</v>
      </c>
      <c r="L38" s="460" t="s">
        <v>76</v>
      </c>
      <c r="M38" s="959" t="str">
        <f>IF(OR(Input_ProductClass="HELOC",Input_RateSheet_Type&lt;&gt;"Standard"),"5yrDraw 30yr ARM PRIME","")</f>
        <v/>
      </c>
      <c r="N38" s="709" t="s">
        <v>4</v>
      </c>
      <c r="O38" s="960">
        <v>2</v>
      </c>
      <c r="P38" s="714" t="s">
        <v>1556</v>
      </c>
      <c r="Q38" s="650">
        <v>360</v>
      </c>
      <c r="R38" s="650">
        <v>360</v>
      </c>
      <c r="S38" s="650">
        <v>12</v>
      </c>
      <c r="T38" s="650"/>
      <c r="U38" s="533" t="str">
        <f>IF(M38="","",MAX(U$29:U37)+1)</f>
        <v/>
      </c>
      <c r="V38" s="534" t="str">
        <f t="shared" si="7"/>
        <v/>
      </c>
      <c r="X38" s="1094" t="s">
        <v>2294</v>
      </c>
      <c r="Y38" s="1094" t="s">
        <v>68</v>
      </c>
      <c r="Z38" s="545">
        <f>-Input_PL_IncentiveMaxAdj_LenderPaidComp+Input_PL_MaxPriceBase_IR_01PP+Input_PL_Incentive_IR+Input_PL_IncentiveMaxAdj_IR</f>
        <v>102</v>
      </c>
      <c r="AA38" s="546" cm="1">
        <f t="array" ref="AA38">[1]!Input_MaxPriceNet_IR_01PP</f>
        <v>105</v>
      </c>
      <c r="AC38" s="682" t="s">
        <v>124</v>
      </c>
      <c r="AD38" s="674" t="s">
        <v>318</v>
      </c>
      <c r="AE38" s="674"/>
      <c r="AV38" s="1124" t="s">
        <v>1303</v>
      </c>
      <c r="AW38" s="1096" t="s">
        <v>1068</v>
      </c>
      <c r="AX38" s="1097" t="str">
        <f t="shared" si="2"/>
        <v>PT_008.5000000000</v>
      </c>
      <c r="AY38" s="1098">
        <f>[1]!PR_R34</f>
        <v>8.5</v>
      </c>
      <c r="AZ38" s="1099">
        <f>[1]!PR_ARM05_P34+Input_PL_Incentive_PR</f>
        <v>-2</v>
      </c>
      <c r="BA38" s="1099">
        <f>[1]!PR_FRM30_P34+Input_PL_Incentive_PR</f>
        <v>101.75</v>
      </c>
      <c r="BB38" s="1097">
        <f t="shared" si="8"/>
        <v>101.75</v>
      </c>
      <c r="BC38" s="1097" t="str">
        <f t="shared" si="4"/>
        <v>PT_101.7500000000</v>
      </c>
      <c r="BD38" s="1097"/>
      <c r="BE38" s="1125" t="s">
        <v>1590</v>
      </c>
      <c r="BG38" s="538" t="s">
        <v>393</v>
      </c>
      <c r="BH38" s="539" t="str">
        <f>INDEX([1]!List_StateInputAll,MATCH(BG38,[1]!List_StateInput,0),2)</f>
        <v>Non-CA</v>
      </c>
      <c r="BI38" s="540" t="str">
        <f>INDEX([1]!List_StateInputAll,MATCH(BG38,[1]!List_StateInput,0),3)</f>
        <v>Y</v>
      </c>
      <c r="BJ38" s="540" t="str">
        <f>INDEX([1]!List_StateInputAll,MATCH(BG38,[1]!List_StateInput,0),4)</f>
        <v>Y</v>
      </c>
      <c r="BK38" s="540" t="str">
        <f>INDEX([1]!List_StateInputAll,MATCH(BG38,[1]!List_StateInput,0),5)</f>
        <v xml:space="preserve"> </v>
      </c>
      <c r="BL38" s="540" t="str">
        <f>INDEX([1]!List_StateInputAll,MATCH(BG38,[1]!List_StateInput,0),6)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38" s="540" t="str">
        <f>INDEX([1]!List_StateInputAll,MATCH(BG38,[1]!List_StateInput,0),7)</f>
        <v>Prepay only available on Business Purpose Loans</v>
      </c>
      <c r="BN38" s="540" t="str">
        <f>INDEX([1]!List_StateInputAll,MATCH(BG38,[1]!List_StateInput,0),8)</f>
        <v>Nevada</v>
      </c>
      <c r="BO38" s="540" t="str">
        <f>INDEX([1]!List_StateInputAll,MATCH(BG38,[1]!List_StateInput,0),9)</f>
        <v>Y</v>
      </c>
      <c r="BP38" s="541" t="str">
        <f>INDEX([1]!List_StateInputAll,MATCH(BG38,[1]!List_StateInput,0),10)</f>
        <v>Y</v>
      </c>
      <c r="BQ38" s="540" t="str">
        <f>INDEX([1]!List_StateInputAll,MATCH(BG38,[1]!List_StateInput,0),11)</f>
        <v>N</v>
      </c>
      <c r="BR38" s="542" t="str">
        <f>INDEX([1]!List_StateInputAll,MATCH(BG38,[1]!List_StateInput,0),12)</f>
        <v>N</v>
      </c>
      <c r="BS38" s="541" t="str">
        <f>INDEX([1]!List_StateInputAll,MATCH(BG38,[1]!List_StateInput,0),13)</f>
        <v xml:space="preserve"> </v>
      </c>
      <c r="BT38" s="522" t="str">
        <f>IF(OR(Input_Ratesheet_Source="Corr1",Input_Ratesheet_Source="Corr2",Input_Ratesheet_Source="Corr3",Input_Ratesheet_Source="CorrND"),BI38,IF(Input_Ratesheet_Source="Whol",IF(Input_Occupancy="Non Owner Occupied",BP38,BO38),IF(Input_Ratesheet_Source="Retl",IF(Input_Occupancy="Non Owner Occupied",IF(IF(IFERROR(FIND(Input_ProductClass,Structure!BS38),0)&gt;=1,"N","Y")="N","N",BR38),BQ38),"")))</f>
        <v>Y</v>
      </c>
      <c r="BU38" s="541" t="str">
        <f>INDEX([1]!List_StateInputAll,MATCH(BG38,[1]!List_StateInput,0),14)</f>
        <v>Dry</v>
      </c>
      <c r="BV38" s="541">
        <f>INDEX([1]!List_StateInputAll,MATCH(BG38,[1]!List_StateInput,0),15)</f>
        <v>1</v>
      </c>
      <c r="BW38" s="539" t="str">
        <f>INDEX([1]!List_StateInputAll,MATCH(BG38,[1]!List_StateInput,0),16)</f>
        <v>APOR</v>
      </c>
      <c r="BX38" s="543">
        <f>INDEX([1]!List_StateInputAll,MATCH(BG38,[1]!List_StateInput,0),17)</f>
        <v>6.5</v>
      </c>
      <c r="BY38" s="543">
        <f>INDEX([1]!List_StateInputAll,MATCH(BG38,[1]!List_StateInput,0),18)</f>
        <v>8.5</v>
      </c>
      <c r="BZ38" s="543">
        <f>INDEX([1]!List_StateInputAll,MATCH(BG38,[1]!List_StateInput,0),19)</f>
        <v>5</v>
      </c>
      <c r="CA38" s="540">
        <f>INDEX([1]!List_StateInputAll,MATCH(BG38,[1]!List_StateInput,0),20)</f>
        <v>0</v>
      </c>
      <c r="CB38" s="540" t="str">
        <f>INDEX([1]!List_StateInputAll,MATCH(BG38,[1]!List_StateInput,0),21)</f>
        <v>Owner Occupied</v>
      </c>
      <c r="CC38" s="540" t="str">
        <f>INDEX([1]!List_StateInputAll,MATCH(BG38,[1]!List_StateInput,0),22)</f>
        <v>Purchase, Rate-Term, Cash-Out</v>
      </c>
      <c r="CD38" s="541">
        <f>INDEX([1]!List_StateInputAll,MATCH(BG38,[1]!List_StateInput,0),23)</f>
        <v>0</v>
      </c>
      <c r="CE38" s="541" t="str">
        <f>INDEX([1]!List_StateInputAll,MATCH(BG38,[1]!List_StateInput,0),24)</f>
        <v>N</v>
      </c>
    </row>
    <row r="39" spans="2:83" ht="9.6" customHeight="1" x14ac:dyDescent="0.2">
      <c r="B39" s="559"/>
      <c r="C39" s="605" t="s">
        <v>359</v>
      </c>
      <c r="D39" s="683" t="str" cm="1">
        <f t="array" ref="D39">Input_LockType</f>
        <v>Best Efforts</v>
      </c>
      <c r="E39" s="684"/>
      <c r="F39" s="685"/>
      <c r="G39" s="686"/>
      <c r="H39" s="687">
        <f>INDEX(Lookup_LLPAAll,MATCH(INDEX(List_ProductAll,MATCH(Input_Product,List_Product,0),2)&amp;"_"&amp;Input_LockType,Lookup_LLPA,0),INDEX(List_LTV_All,MATCH(Input_LTV,List_LTV,-1),3))</f>
        <v>0</v>
      </c>
      <c r="I39" s="688" t="str">
        <f>IF(Input_AmortType="Interest-Only","I/O Pmt  ","P&amp;I Pmt")&amp;":  "&amp;TEXT(IF(Input_AmortType="Interest-Only",-IPMT(Input_NoteRate/1200,1,(Lookup_TermAmort),Input_LoanAmt),-PMT(Input_NoteRate/1200,(Lookup_TermAmort),Input_LoanAmt)),"#,###.00")</f>
        <v>P&amp;I Pmt:  1,206.93</v>
      </c>
      <c r="J39" s="564" t="s">
        <v>76</v>
      </c>
      <c r="K39" s="689" t="str">
        <f>INDEX(List_ProductAll,MATCH(Input_Product,List_Product,0),2)&amp;"_"&amp;Input_LockType</f>
        <v>IT_Best Efforts</v>
      </c>
      <c r="L39" s="460" t="s">
        <v>76</v>
      </c>
      <c r="M39" s="954" t="str">
        <f>IF(OR(Input_ProductClass="Second",Input_ProductClass="Closed End 2nd TD"),"30/15yr Balloon","")</f>
        <v/>
      </c>
      <c r="N39" s="955" t="s">
        <v>98</v>
      </c>
      <c r="O39" s="956">
        <v>2</v>
      </c>
      <c r="P39" s="955" t="s">
        <v>1071</v>
      </c>
      <c r="Q39" s="957">
        <v>360</v>
      </c>
      <c r="R39" s="957">
        <v>180</v>
      </c>
      <c r="S39" s="957">
        <v>180</v>
      </c>
      <c r="T39" s="958" t="s">
        <v>76</v>
      </c>
      <c r="U39" s="533" t="str">
        <f>IF(M39="","",MAX(U$29:U38)+1)</f>
        <v/>
      </c>
      <c r="V39" s="534" t="str">
        <f t="shared" si="7"/>
        <v/>
      </c>
      <c r="X39" s="1094" t="s">
        <v>2296</v>
      </c>
      <c r="Y39" s="1094" t="s">
        <v>67</v>
      </c>
      <c r="Z39" s="545">
        <f>-Input_PL_IncentiveMaxAdj_LenderPaidComp+Input_PL_MaxPriceBase_IR_02PP+Input_PL_Incentive_IR+Input_PL_IncentiveMaxAdj_IR</f>
        <v>102</v>
      </c>
      <c r="AA39" s="546" cm="1">
        <f t="array" ref="AA39">[1]!Input_MaxPriceNet_IR_02PP</f>
        <v>105</v>
      </c>
      <c r="AC39" s="682" t="s">
        <v>283</v>
      </c>
      <c r="AD39" s="674" t="s">
        <v>318</v>
      </c>
      <c r="AE39" s="674"/>
      <c r="AV39" s="1124" t="s">
        <v>1303</v>
      </c>
      <c r="AW39" s="1096" t="s">
        <v>1068</v>
      </c>
      <c r="AX39" s="1097" t="str">
        <f t="shared" si="2"/>
        <v>PT_008.3750000000</v>
      </c>
      <c r="AY39" s="1098">
        <f>[1]!PR_R35</f>
        <v>8.375</v>
      </c>
      <c r="AZ39" s="1099">
        <f>[1]!PR_ARM05_P35+Input_PL_Incentive_PR</f>
        <v>-2</v>
      </c>
      <c r="BA39" s="1099">
        <f>[1]!PR_FRM30_P35+Input_PL_Incentive_PR</f>
        <v>101.25</v>
      </c>
      <c r="BB39" s="1097">
        <f t="shared" si="8"/>
        <v>101.25</v>
      </c>
      <c r="BC39" s="1097" t="str">
        <f t="shared" si="4"/>
        <v>PT_101.2500000000</v>
      </c>
      <c r="BD39" s="1097"/>
      <c r="BE39" s="1125" t="s">
        <v>1591</v>
      </c>
      <c r="BG39" s="538" t="s">
        <v>117</v>
      </c>
      <c r="BH39" s="539" t="str">
        <f>INDEX([1]!List_StateInputAll,MATCH(BG39,[1]!List_StateInput,0),2)</f>
        <v>Non-CA</v>
      </c>
      <c r="BI39" s="540" t="str">
        <f>INDEX([1]!List_StateInputAll,MATCH(BG39,[1]!List_StateInput,0),3)</f>
        <v>Y</v>
      </c>
      <c r="BJ39" s="540" t="str">
        <f>INDEX([1]!List_StateInputAll,MATCH(BG39,[1]!List_StateInput,0),4)</f>
        <v>Y</v>
      </c>
      <c r="BK39" s="570" t="str">
        <f>INDEX([1]!List_StateInputAll,MATCH(BG39,[1]!List_StateInput,0),5)</f>
        <v>No IO when using CEMA</v>
      </c>
      <c r="BL39" s="540" t="str">
        <f>INDEX([1]!List_StateInputAll,MATCH(BG39,[1]!List_StateInput,0),6)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39" s="540" t="str">
        <f>INDEX([1]!List_StateInputAll,MATCH(BG39,[1]!List_StateInput,0),7)</f>
        <v>Prepay only available on Business Purpose Loans</v>
      </c>
      <c r="BN39" s="540" t="str">
        <f>INDEX([1]!List_StateInputAll,MATCH(BG39,[1]!List_StateInput,0),8)</f>
        <v>NewYork</v>
      </c>
      <c r="BO39" s="540" t="str">
        <f>INDEX([1]!List_StateInputAll,MATCH(BG39,[1]!List_StateInput,0),9)</f>
        <v>N</v>
      </c>
      <c r="BP39" s="541" t="str">
        <f>INDEX([1]!List_StateInputAll,MATCH(BG39,[1]!List_StateInput,0),10)</f>
        <v>N</v>
      </c>
      <c r="BQ39" s="540" t="str">
        <f>INDEX([1]!List_StateInputAll,MATCH(BG39,[1]!List_StateInput,0),11)</f>
        <v>N</v>
      </c>
      <c r="BR39" s="542" t="str">
        <f>INDEX([1]!List_StateInputAll,MATCH(BG39,[1]!List_StateInput,0),12)</f>
        <v>N</v>
      </c>
      <c r="BS39" s="541" t="str">
        <f>INDEX([1]!List_StateInputAll,MATCH(BG39,[1]!List_StateInput,0),13)</f>
        <v xml:space="preserve"> </v>
      </c>
      <c r="BT39" s="522" t="str">
        <f>IF(OR(Input_Ratesheet_Source="Corr1",Input_Ratesheet_Source="Corr2",Input_Ratesheet_Source="Corr3",Input_Ratesheet_Source="CorrND"),BI39,IF(Input_Ratesheet_Source="Whol",IF(Input_Occupancy="Non Owner Occupied",BP39,BO39),IF(Input_Ratesheet_Source="Retl",IF(Input_Occupancy="Non Owner Occupied",IF(IF(IFERROR(FIND(Input_ProductClass,Structure!BS39),0)&gt;=1,"N","Y")="N","N",BR39),BQ39),"")))</f>
        <v>Y</v>
      </c>
      <c r="BU39" s="541" t="str">
        <f>INDEX([1]!List_StateInputAll,MATCH(BG39,[1]!List_StateInput,0),14)</f>
        <v>Wet</v>
      </c>
      <c r="BV39" s="541">
        <f>INDEX([1]!List_StateInputAll,MATCH(BG39,[1]!List_StateInput,0),15)</f>
        <v>1</v>
      </c>
      <c r="BW39" s="539" t="str">
        <f>INDEX([1]!List_StateInputAll,MATCH(BG39,[1]!List_StateInput,0),16)</f>
        <v>Treasury</v>
      </c>
      <c r="BX39" s="543">
        <f>INDEX([1]!List_StateInputAll,MATCH(BG39,[1]!List_StateInput,0),17)</f>
        <v>8</v>
      </c>
      <c r="BY39" s="543">
        <f>INDEX([1]!List_StateInputAll,MATCH(BG39,[1]!List_StateInput,0),18)</f>
        <v>9</v>
      </c>
      <c r="BZ39" s="543">
        <f>INDEX([1]!List_StateInputAll,MATCH(BG39,[1]!List_StateInput,0),19)</f>
        <v>5</v>
      </c>
      <c r="CA39" s="540" t="str">
        <f>INDEX([1]!List_StateInputAll,MATCH(BG39,[1]!List_StateInput,0),20)</f>
        <v>Agency</v>
      </c>
      <c r="CB39" s="540" t="str">
        <f>INDEX([1]!List_StateInputAll,MATCH(BG39,[1]!List_StateInput,0),21)</f>
        <v>Owner Occupied</v>
      </c>
      <c r="CC39" s="540" t="str">
        <f>INDEX([1]!List_StateInputAll,MATCH(BG39,[1]!List_StateInput,0),22)</f>
        <v>Purchase, Rate-Term, Cash-Out</v>
      </c>
      <c r="CD39" s="541" t="str">
        <f>INDEX([1]!List_StateInputAll,MATCH(BG39,[1]!List_StateInput,0),23)</f>
        <v>New York City (Treas + 6, 8) 4% Pts/Fees</v>
      </c>
      <c r="CE39" s="541" t="str">
        <f>INDEX([1]!List_StateInputAll,MATCH(BG39,[1]!List_StateInput,0),24)</f>
        <v>N</v>
      </c>
    </row>
    <row r="40" spans="2:83" ht="9.6" customHeight="1" x14ac:dyDescent="0.2">
      <c r="B40" s="559"/>
      <c r="C40" s="605" t="s">
        <v>1525</v>
      </c>
      <c r="D40" s="683" t="str" cm="1">
        <f t="array" ref="D40">Input_CompensationType</f>
        <v>Borrower Paid</v>
      </c>
      <c r="E40" s="684"/>
      <c r="F40" s="685"/>
      <c r="G40" s="686"/>
      <c r="H40" s="687">
        <f>-ABS(Input_Price_CompensationType)</f>
        <v>0</v>
      </c>
      <c r="I40" s="688" t="str">
        <f>IF(AND(Input_CompensationType&lt;&gt;"Lender Paid",Input_Price_CompensationType&lt;&gt;0),"Compensation Amount Must be 0 for BPC",IF(AND(Input_CompensationType="Lender Paid",Input_Price_CompensationType=0),"Enter Lender Paid Compensation",""))</f>
        <v/>
      </c>
      <c r="J40" s="564" t="s">
        <v>76</v>
      </c>
      <c r="K40" s="693"/>
      <c r="L40" s="460" t="s">
        <v>76</v>
      </c>
      <c r="M40" s="676" t="str">
        <f>IF(OR(Input_ProductClass="Second",Input_ProductClass="Closed End 2nd TD"),"40/15yr Balloon","")</f>
        <v/>
      </c>
      <c r="N40" s="673" t="s">
        <v>98</v>
      </c>
      <c r="O40" s="672">
        <v>2</v>
      </c>
      <c r="P40" s="673" t="s">
        <v>1073</v>
      </c>
      <c r="Q40" s="650">
        <v>480</v>
      </c>
      <c r="R40" s="650">
        <v>180</v>
      </c>
      <c r="S40" s="650">
        <v>180</v>
      </c>
      <c r="T40" s="679" t="s">
        <v>76</v>
      </c>
      <c r="U40" s="533" t="str">
        <f>IF(M40="","",MAX(U$29:U39)+1)</f>
        <v/>
      </c>
      <c r="V40" s="534" t="str">
        <f t="shared" si="7"/>
        <v/>
      </c>
      <c r="X40" s="1094" t="s">
        <v>2298</v>
      </c>
      <c r="Y40" s="1094" t="s">
        <v>66</v>
      </c>
      <c r="Z40" s="545">
        <f>-Input_PL_IncentiveMaxAdj_LenderPaidComp+Input_PL_MaxPriceBase_IR_03PP+Input_PL_Incentive_IR+Input_PL_IncentiveMaxAdj_IR</f>
        <v>102.5</v>
      </c>
      <c r="AA40" s="546" cm="1">
        <f t="array" ref="AA40">[1]!Input_MaxPriceNet_IR_03PP</f>
        <v>105.5</v>
      </c>
      <c r="AC40" s="682" t="s">
        <v>18</v>
      </c>
      <c r="AD40" s="674" t="s">
        <v>317</v>
      </c>
      <c r="AE40" s="674"/>
      <c r="AQ40" s="690" t="s">
        <v>25</v>
      </c>
      <c r="AR40" s="691"/>
      <c r="AV40" s="1124" t="s">
        <v>1303</v>
      </c>
      <c r="AW40" s="1096" t="s">
        <v>1068</v>
      </c>
      <c r="AX40" s="1097" t="str">
        <f t="shared" si="2"/>
        <v>PT_008.2500000000</v>
      </c>
      <c r="AY40" s="1098">
        <f>[1]!PR_R36</f>
        <v>8.25</v>
      </c>
      <c r="AZ40" s="1099">
        <f>[1]!PR_ARM05_P36+Input_PL_Incentive_PR</f>
        <v>-2</v>
      </c>
      <c r="BA40" s="1099">
        <f>[1]!PR_FRM30_P36+Input_PL_Incentive_PR</f>
        <v>100.75</v>
      </c>
      <c r="BB40" s="1097">
        <f t="shared" si="8"/>
        <v>100.75</v>
      </c>
      <c r="BC40" s="1097" t="str">
        <f t="shared" si="4"/>
        <v>PT_100.7500000000</v>
      </c>
      <c r="BD40" s="1097"/>
      <c r="BE40" s="1125" t="s">
        <v>1592</v>
      </c>
      <c r="BG40" s="538" t="s">
        <v>394</v>
      </c>
      <c r="BH40" s="539" t="str">
        <f>INDEX([1]!List_StateInputAll,MATCH(BG40,[1]!List_StateInput,0),2)</f>
        <v>Non-CA</v>
      </c>
      <c r="BI40" s="540" t="str">
        <f>INDEX([1]!List_StateInputAll,MATCH(BG40,[1]!List_StateInput,0),3)</f>
        <v>Y</v>
      </c>
      <c r="BJ40" s="540" t="str">
        <f>INDEX([1]!List_StateInputAll,MATCH(BG40,[1]!List_StateInput,0),4)</f>
        <v>Y</v>
      </c>
      <c r="BK40" s="540" t="str">
        <f>INDEX([1]!List_StateInputAll,MATCH(BG40,[1]!List_StateInput,0),5)</f>
        <v xml:space="preserve"> </v>
      </c>
      <c r="BL40" s="540" t="str">
        <f>INDEX([1]!List_StateInputAll,MATCH(BG40,[1]!List_StateInput,0),6)</f>
        <v>No Prepay, 1yr Prepay_Standard, 2yr Prepay_Standard, 3yr Prepay_Standard, 4yr Prepay_Standard, 5yr Prepay_Standard, 1yr Prepay_1</v>
      </c>
      <c r="BM40" s="540" t="str">
        <f>INDEX([1]!List_StateInputAll,MATCH(BG40,[1]!List_StateInput,0),7)</f>
        <v>Prepay Restriction May Apply: Max prepay of 1%; Prepay not permitted for loans less than $110,223 in 2024.  Prepay only available on Business Purpose Loans</v>
      </c>
      <c r="BN40" s="540" t="str">
        <f>INDEX([1]!List_StateInputAll,MATCH(BG40,[1]!List_StateInput,0),8)</f>
        <v>Ohio</v>
      </c>
      <c r="BO40" s="540" t="str">
        <f>INDEX([1]!List_StateInputAll,MATCH(BG40,[1]!List_StateInput,0),9)</f>
        <v>Y</v>
      </c>
      <c r="BP40" s="541" t="str">
        <f>INDEX([1]!List_StateInputAll,MATCH(BG40,[1]!List_StateInput,0),10)</f>
        <v>Y</v>
      </c>
      <c r="BQ40" s="540" t="str">
        <f>INDEX([1]!List_StateInputAll,MATCH(BG40,[1]!List_StateInput,0),11)</f>
        <v>N</v>
      </c>
      <c r="BR40" s="542" t="str">
        <f>INDEX([1]!List_StateInputAll,MATCH(BG40,[1]!List_StateInput,0),12)</f>
        <v>Y</v>
      </c>
      <c r="BS40" s="541" t="str">
        <f>INDEX([1]!List_StateInputAll,MATCH(BG40,[1]!List_StateInput,0),13)</f>
        <v xml:space="preserve"> </v>
      </c>
      <c r="BT40" s="522" t="str">
        <f>IF(OR(Input_Ratesheet_Source="Corr1",Input_Ratesheet_Source="Corr2",Input_Ratesheet_Source="Corr3",Input_Ratesheet_Source="CorrND"),BI40,IF(Input_Ratesheet_Source="Whol",IF(Input_Occupancy="Non Owner Occupied",BP40,BO40),IF(Input_Ratesheet_Source="Retl",IF(Input_Occupancy="Non Owner Occupied",IF(IF(IFERROR(FIND(Input_ProductClass,Structure!BS40),0)&gt;=1,"N","Y")="N","N",BR40),BQ40),"")))</f>
        <v>Y</v>
      </c>
      <c r="BU40" s="541" t="str">
        <f>INDEX([1]!List_StateInputAll,MATCH(BG40,[1]!List_StateInput,0),14)</f>
        <v>Wet</v>
      </c>
      <c r="BV40" s="541">
        <f>INDEX([1]!List_StateInputAll,MATCH(BG40,[1]!List_StateInput,0),15)</f>
        <v>1</v>
      </c>
      <c r="BW40" s="539" t="str">
        <f>INDEX([1]!List_StateInputAll,MATCH(BG40,[1]!List_StateInput,0),16)</f>
        <v>APOR</v>
      </c>
      <c r="BX40" s="543">
        <f>INDEX([1]!List_StateInputAll,MATCH(BG40,[1]!List_StateInput,0),17)</f>
        <v>6.5</v>
      </c>
      <c r="BY40" s="543">
        <f>INDEX([1]!List_StateInputAll,MATCH(BG40,[1]!List_StateInput,0),18)</f>
        <v>8.5</v>
      </c>
      <c r="BZ40" s="543">
        <f>INDEX([1]!List_StateInputAll,MATCH(BG40,[1]!List_StateInput,0),19)</f>
        <v>5</v>
      </c>
      <c r="CA40" s="540">
        <f>INDEX([1]!List_StateInputAll,MATCH(BG40,[1]!List_StateInput,0),20)</f>
        <v>0</v>
      </c>
      <c r="CB40" s="540" t="str">
        <f>INDEX([1]!List_StateInputAll,MATCH(BG40,[1]!List_StateInput,0),21)</f>
        <v>Owner Occupied</v>
      </c>
      <c r="CC40" s="540" t="str">
        <f>INDEX([1]!List_StateInputAll,MATCH(BG40,[1]!List_StateInput,0),22)</f>
        <v>Refi</v>
      </c>
      <c r="CD40" s="541">
        <f>INDEX([1]!List_StateInputAll,MATCH(BG40,[1]!List_StateInput,0),23)</f>
        <v>0</v>
      </c>
      <c r="CE40" s="541" t="str">
        <f>INDEX([1]!List_StateInputAll,MATCH(BG40,[1]!List_StateInput,0),24)</f>
        <v>N</v>
      </c>
    </row>
    <row r="41" spans="2:83" ht="9.6" customHeight="1" x14ac:dyDescent="0.2">
      <c r="B41" s="559"/>
      <c r="C41" s="605" t="s">
        <v>1841</v>
      </c>
      <c r="D41" s="1224"/>
      <c r="E41" s="1224"/>
      <c r="F41" s="1224"/>
      <c r="G41" s="1225"/>
      <c r="H41" s="1228">
        <f>IF(OR(Elig_OverlayLimit_LTV_Max=0.01,Elig_FinalLimit_LTV_Max=0.01,ISERROR(Elig_BaseLimit_LTV_Max),ISERROR(Elig_OverlayLimit_LTV_Max),ISERROR(Elig_OverlayReason_LTV_Max),ISERROR(Elig_FinalLimit_LTV_Max)),#N/A,0)</f>
        <v>0</v>
      </c>
      <c r="I41" s="1226" t="str">
        <f>IF(AND(Input_CompensationType&lt;&gt;"Lender Paid",Input_Price_CompensationType&lt;&gt;0),"Compensation Amount Must be 0 for BPC",IF(AND(Input_CompensationType="Lender Paid",Input_Price_CompensationType=0),"Enter Lender Paid Compensation",""))</f>
        <v/>
      </c>
      <c r="J41" s="564" t="s">
        <v>76</v>
      </c>
      <c r="K41" s="693"/>
      <c r="L41" s="460" t="s">
        <v>76</v>
      </c>
      <c r="M41" s="1557" t="str">
        <f>IF(Input_RateSheet_Type="Standard","","3/6 30yr ARM SOFR")</f>
        <v/>
      </c>
      <c r="N41" s="664" t="s">
        <v>166</v>
      </c>
      <c r="O41" s="664">
        <v>1</v>
      </c>
      <c r="P41" s="664" t="s">
        <v>429</v>
      </c>
      <c r="Q41" s="702">
        <v>360</v>
      </c>
      <c r="R41" s="702">
        <v>360</v>
      </c>
      <c r="S41" s="702">
        <v>36</v>
      </c>
      <c r="T41" s="702"/>
      <c r="U41" s="533" t="str">
        <f>IF(M41="","",MAX(U$29:U40)+1)</f>
        <v/>
      </c>
      <c r="V41" s="534" t="str">
        <f t="shared" si="7"/>
        <v/>
      </c>
      <c r="X41" s="1094" t="s">
        <v>2300</v>
      </c>
      <c r="Y41" s="1094" t="s">
        <v>164</v>
      </c>
      <c r="Z41" s="545">
        <f>-Input_PL_IncentiveMaxAdj_LenderPaidComp+Input_PL_MaxPriceBase_IR_04PP+Input_PL_Incentive_IR+Input_PL_IncentiveMaxAdj_IR</f>
        <v>102.5</v>
      </c>
      <c r="AA41" s="546" cm="1">
        <f t="array" ref="AA41">[1]!Input_MaxPriceNet_IR_04PP</f>
        <v>105.5</v>
      </c>
      <c r="AC41" s="703" t="s">
        <v>237</v>
      </c>
      <c r="AD41" s="674" t="s">
        <v>317</v>
      </c>
      <c r="AE41" s="674"/>
      <c r="AQ41" s="694">
        <v>580</v>
      </c>
      <c r="AR41" s="695" t="s">
        <v>149</v>
      </c>
      <c r="AV41" s="1124" t="s">
        <v>1303</v>
      </c>
      <c r="AW41" s="1096" t="s">
        <v>1068</v>
      </c>
      <c r="AX41" s="1097" t="str">
        <f t="shared" si="2"/>
        <v>PT_008.1250000000</v>
      </c>
      <c r="AY41" s="1098">
        <f>[1]!PR_R37</f>
        <v>8.125</v>
      </c>
      <c r="AZ41" s="1099">
        <f>[1]!PR_ARM05_P37+Input_PL_Incentive_PR</f>
        <v>-2</v>
      </c>
      <c r="BA41" s="1099">
        <f>[1]!PR_FRM30_P37+Input_PL_Incentive_PR</f>
        <v>100.25</v>
      </c>
      <c r="BB41" s="1097">
        <f t="shared" si="8"/>
        <v>100.25</v>
      </c>
      <c r="BC41" s="1097" t="str">
        <f t="shared" si="4"/>
        <v>PT_100.2500000000</v>
      </c>
      <c r="BD41" s="1097"/>
      <c r="BE41" s="1125" t="s">
        <v>1593</v>
      </c>
      <c r="BG41" s="538" t="s">
        <v>395</v>
      </c>
      <c r="BH41" s="539" t="str">
        <f>INDEX([1]!List_StateInputAll,MATCH(BG41,[1]!List_StateInput,0),2)</f>
        <v>Non-CA</v>
      </c>
      <c r="BI41" s="540" t="str">
        <f>INDEX([1]!List_StateInputAll,MATCH(BG41,[1]!List_StateInput,0),3)</f>
        <v>Y</v>
      </c>
      <c r="BJ41" s="540" t="str">
        <f>INDEX([1]!List_StateInputAll,MATCH(BG41,[1]!List_StateInput,0),4)</f>
        <v>Y</v>
      </c>
      <c r="BK41" s="540" t="str">
        <f>INDEX([1]!List_StateInputAll,MATCH(BG41,[1]!List_StateInput,0),5)</f>
        <v xml:space="preserve"> </v>
      </c>
      <c r="BL41" s="540" t="str">
        <f>INDEX([1]!List_StateInputAll,MATCH(BG41,[1]!List_StateInput,0),6)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41" s="540" t="str">
        <f>INDEX([1]!List_StateInputAll,MATCH(BG41,[1]!List_StateInput,0),7)</f>
        <v>Prepay only available on Business Purpose Loans</v>
      </c>
      <c r="BN41" s="540" t="str">
        <f>INDEX([1]!List_StateInputAll,MATCH(BG41,[1]!List_StateInput,0),8)</f>
        <v>Oklahoma</v>
      </c>
      <c r="BO41" s="540" t="str">
        <f>INDEX([1]!List_StateInputAll,MATCH(BG41,[1]!List_StateInput,0),9)</f>
        <v>Y</v>
      </c>
      <c r="BP41" s="541" t="str">
        <f>INDEX([1]!List_StateInputAll,MATCH(BG41,[1]!List_StateInput,0),10)</f>
        <v>Y</v>
      </c>
      <c r="BQ41" s="540" t="str">
        <f>INDEX([1]!List_StateInputAll,MATCH(BG41,[1]!List_StateInput,0),11)</f>
        <v>N</v>
      </c>
      <c r="BR41" s="542" t="str">
        <f>INDEX([1]!List_StateInputAll,MATCH(BG41,[1]!List_StateInput,0),12)</f>
        <v>Y</v>
      </c>
      <c r="BS41" s="541" t="str">
        <f>INDEX([1]!List_StateInputAll,MATCH(BG41,[1]!List_StateInput,0),13)</f>
        <v xml:space="preserve"> </v>
      </c>
      <c r="BT41" s="522" t="str">
        <f>IF(OR(Input_Ratesheet_Source="Corr1",Input_Ratesheet_Source="Corr2",Input_Ratesheet_Source="Corr3",Input_Ratesheet_Source="CorrND"),BI41,IF(Input_Ratesheet_Source="Whol",IF(Input_Occupancy="Non Owner Occupied",BP41,BO41),IF(Input_Ratesheet_Source="Retl",IF(Input_Occupancy="Non Owner Occupied",IF(IF(IFERROR(FIND(Input_ProductClass,Structure!BS41),0)&gt;=1,"N","Y")="N","N",BR41),BQ41),"")))</f>
        <v>Y</v>
      </c>
      <c r="BU41" s="541" t="str">
        <f>INDEX([1]!List_StateInputAll,MATCH(BG41,[1]!List_StateInput,0),14)</f>
        <v>Wet</v>
      </c>
      <c r="BV41" s="541">
        <f>INDEX([1]!List_StateInputAll,MATCH(BG41,[1]!List_StateInput,0),15)</f>
        <v>1</v>
      </c>
      <c r="BW41" s="539" t="str">
        <f>INDEX([1]!List_StateInputAll,MATCH(BG41,[1]!List_StateInput,0),16)</f>
        <v>Treasury</v>
      </c>
      <c r="BX41" s="543">
        <f>INDEX([1]!List_StateInputAll,MATCH(BG41,[1]!List_StateInput,0),17)</f>
        <v>9</v>
      </c>
      <c r="BY41" s="543">
        <f>INDEX([1]!List_StateInputAll,MATCH(BG41,[1]!List_StateInput,0),18)</f>
        <v>10</v>
      </c>
      <c r="BZ41" s="543">
        <f>INDEX([1]!List_StateInputAll,MATCH(BG41,[1]!List_StateInput,0),19)</f>
        <v>8</v>
      </c>
      <c r="CA41" s="540">
        <f>INDEX([1]!List_StateInputAll,MATCH(BG41,[1]!List_StateInput,0),20)</f>
        <v>0</v>
      </c>
      <c r="CB41" s="540" t="str">
        <f>INDEX([1]!List_StateInputAll,MATCH(BG41,[1]!List_StateInput,0),21)</f>
        <v>Owner Occupied</v>
      </c>
      <c r="CC41" s="540" t="str">
        <f>INDEX([1]!List_StateInputAll,MATCH(BG41,[1]!List_StateInput,0),22)</f>
        <v>Refi</v>
      </c>
      <c r="CD41" s="541">
        <f>INDEX([1]!List_StateInputAll,MATCH(BG41,[1]!List_StateInput,0),23)</f>
        <v>0</v>
      </c>
      <c r="CE41" s="541" t="str">
        <f>INDEX([1]!List_StateInputAll,MATCH(BG41,[1]!List_StateInput,0),24)</f>
        <v>Y</v>
      </c>
    </row>
    <row r="42" spans="2:83" ht="9.6" customHeight="1" x14ac:dyDescent="0.2">
      <c r="B42" s="559"/>
      <c r="C42" s="560" t="s">
        <v>191</v>
      </c>
      <c r="D42" s="692"/>
      <c r="E42" s="692"/>
      <c r="F42" s="692"/>
      <c r="G42" s="692"/>
      <c r="H42" s="1227">
        <f>SUM(H14:H41)</f>
        <v>-0.125</v>
      </c>
      <c r="I42" s="1223" t="s">
        <v>76</v>
      </c>
      <c r="J42" s="564" t="s">
        <v>76</v>
      </c>
      <c r="K42" s="693"/>
      <c r="L42" s="460" t="s">
        <v>76</v>
      </c>
      <c r="M42" s="676" t="str">
        <f>IF(OR(Input_ProductClass="Second",Input_ProductClass="AgencyCompanionSecond",Input_ProductClass="HELOC",Input_ProductClass="Closed End 2nd TD"),"","5/6 30yr ARM SOFR")</f>
        <v>5/6 30yr ARM SOFR</v>
      </c>
      <c r="N42" s="671" t="s">
        <v>166</v>
      </c>
      <c r="O42" s="671">
        <v>1</v>
      </c>
      <c r="P42" s="671" t="s">
        <v>430</v>
      </c>
      <c r="Q42" s="643">
        <v>360</v>
      </c>
      <c r="R42" s="643">
        <v>360</v>
      </c>
      <c r="S42" s="643">
        <v>60</v>
      </c>
      <c r="T42" s="643"/>
      <c r="U42" s="533">
        <f>IF(M42="","",MAX(U$29:U41)+1)</f>
        <v>5</v>
      </c>
      <c r="V42" s="534" t="str">
        <f t="shared" si="7"/>
        <v/>
      </c>
      <c r="X42" s="1095" t="s">
        <v>2302</v>
      </c>
      <c r="Y42" s="1095" t="s">
        <v>165</v>
      </c>
      <c r="Z42" s="553">
        <f>-Input_PL_IncentiveMaxAdj_LenderPaidComp+Input_PL_MaxPriceBase_IR_05PP+Input_PL_Incentive_IR+Input_PL_IncentiveMaxAdj_IR</f>
        <v>102.5</v>
      </c>
      <c r="AA42" s="554" cm="1">
        <f t="array" ref="AA42">[1]!Input_MaxPriceNet_IR_05PP</f>
        <v>105.5</v>
      </c>
      <c r="AC42" s="1551" t="s">
        <v>151</v>
      </c>
      <c r="AD42" s="674" t="s">
        <v>317</v>
      </c>
      <c r="AE42" s="674"/>
      <c r="AQ42" s="704">
        <v>600</v>
      </c>
      <c r="AR42" s="705" t="s">
        <v>11</v>
      </c>
      <c r="AV42" s="1124" t="s">
        <v>1303</v>
      </c>
      <c r="AW42" s="1096" t="s">
        <v>1068</v>
      </c>
      <c r="AX42" s="1097" t="str">
        <f t="shared" si="2"/>
        <v>PT_008.0000000000</v>
      </c>
      <c r="AY42" s="1098">
        <f>[1]!PR_R38</f>
        <v>8</v>
      </c>
      <c r="AZ42" s="1099">
        <f>[1]!PR_ARM05_P38+Input_PL_Incentive_PR</f>
        <v>-2</v>
      </c>
      <c r="BA42" s="1099">
        <f>[1]!PR_FRM30_P38+Input_PL_Incentive_PR</f>
        <v>99.5</v>
      </c>
      <c r="BB42" s="1097">
        <f t="shared" si="8"/>
        <v>99.5</v>
      </c>
      <c r="BC42" s="1097" t="str">
        <f t="shared" si="4"/>
        <v>PT_099.5000000000</v>
      </c>
      <c r="BD42" s="1097"/>
      <c r="BE42" s="1125" t="s">
        <v>1594</v>
      </c>
      <c r="BG42" s="538" t="s">
        <v>396</v>
      </c>
      <c r="BH42" s="539" t="str">
        <f>INDEX([1]!List_StateInputAll,MATCH(BG42,[1]!List_StateInput,0),2)</f>
        <v>Non-CA</v>
      </c>
      <c r="BI42" s="540" t="str">
        <f>INDEX([1]!List_StateInputAll,MATCH(BG42,[1]!List_StateInput,0),3)</f>
        <v>Y</v>
      </c>
      <c r="BJ42" s="540" t="str">
        <f>INDEX([1]!List_StateInputAll,MATCH(BG42,[1]!List_StateInput,0),4)</f>
        <v>Y</v>
      </c>
      <c r="BK42" s="540" t="str">
        <f>INDEX([1]!List_StateInputAll,MATCH(BG42,[1]!List_StateInput,0),5)</f>
        <v xml:space="preserve"> </v>
      </c>
      <c r="BL42" s="540" t="str">
        <f>INDEX([1]!List_StateInputAll,MATCH(BG42,[1]!List_StateInput,0),6)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42" s="540" t="str">
        <f>INDEX([1]!List_StateInputAll,MATCH(BG42,[1]!List_StateInput,0),7)</f>
        <v>Prepay only available on Business Purpose Loans</v>
      </c>
      <c r="BN42" s="540" t="str">
        <f>INDEX([1]!List_StateInputAll,MATCH(BG42,[1]!List_StateInput,0),8)</f>
        <v>Oregon</v>
      </c>
      <c r="BO42" s="540" t="str">
        <f>INDEX([1]!List_StateInputAll,MATCH(BG42,[1]!List_StateInput,0),9)</f>
        <v>Y</v>
      </c>
      <c r="BP42" s="541" t="str">
        <f>INDEX([1]!List_StateInputAll,MATCH(BG42,[1]!List_StateInput,0),10)</f>
        <v>Y</v>
      </c>
      <c r="BQ42" s="540" t="str">
        <f>INDEX([1]!List_StateInputAll,MATCH(BG42,[1]!List_StateInput,0),11)</f>
        <v>N</v>
      </c>
      <c r="BR42" s="542" t="str">
        <f>INDEX([1]!List_StateInputAll,MATCH(BG42,[1]!List_StateInput,0),12)</f>
        <v>Y</v>
      </c>
      <c r="BS42" s="541" t="str">
        <f>INDEX([1]!List_StateInputAll,MATCH(BG42,[1]!List_StateInput,0),13)</f>
        <v>NonQM OO, NonQM NOO, Second OO, Second NOO</v>
      </c>
      <c r="BT42" s="522" t="str">
        <f>IF(OR(Input_Ratesheet_Source="Corr1",Input_Ratesheet_Source="Corr2",Input_Ratesheet_Source="Corr3",Input_Ratesheet_Source="CorrND"),BI42,IF(Input_Ratesheet_Source="Whol",IF(Input_Occupancy="Non Owner Occupied",BP42,BO42),IF(Input_Ratesheet_Source="Retl",IF(Input_Occupancy="Non Owner Occupied",IF(IF(IFERROR(FIND(Input_ProductClass,Structure!BS42),0)&gt;=1,"N","Y")="N","N",BR42),BQ42),"")))</f>
        <v>Y</v>
      </c>
      <c r="BU42" s="541" t="str">
        <f>INDEX([1]!List_StateInputAll,MATCH(BG42,[1]!List_StateInput,0),14)</f>
        <v>Dry</v>
      </c>
      <c r="BV42" s="541">
        <f>INDEX([1]!List_StateInputAll,MATCH(BG42,[1]!List_StateInput,0),15)</f>
        <v>1</v>
      </c>
      <c r="BW42" s="539" t="str">
        <f>INDEX([1]!List_StateInputAll,MATCH(BG42,[1]!List_StateInput,0),16)</f>
        <v>APOR</v>
      </c>
      <c r="BX42" s="543">
        <f>INDEX([1]!List_StateInputAll,MATCH(BG42,[1]!List_StateInput,0),17)</f>
        <v>6.5</v>
      </c>
      <c r="BY42" s="543">
        <f>INDEX([1]!List_StateInputAll,MATCH(BG42,[1]!List_StateInput,0),18)</f>
        <v>8.5</v>
      </c>
      <c r="BZ42" s="543">
        <f>INDEX([1]!List_StateInputAll,MATCH(BG42,[1]!List_StateInput,0),19)</f>
        <v>5</v>
      </c>
      <c r="CA42" s="540">
        <f>INDEX([1]!List_StateInputAll,MATCH(BG42,[1]!List_StateInput,0),20)</f>
        <v>0</v>
      </c>
      <c r="CB42" s="540" t="str">
        <f>INDEX([1]!List_StateInputAll,MATCH(BG42,[1]!List_StateInput,0),21)</f>
        <v>Owner Occupied</v>
      </c>
      <c r="CC42" s="540" t="str">
        <f>INDEX([1]!List_StateInputAll,MATCH(BG42,[1]!List_StateInput,0),22)</f>
        <v>Purchase, Rate-Term, Cash-Out</v>
      </c>
      <c r="CD42" s="541">
        <f>INDEX([1]!List_StateInputAll,MATCH(BG42,[1]!List_StateInput,0),23)</f>
        <v>0</v>
      </c>
      <c r="CE42" s="541" t="str">
        <f>INDEX([1]!List_StateInputAll,MATCH(BG42,[1]!List_StateInput,0),24)</f>
        <v>Y</v>
      </c>
    </row>
    <row r="43" spans="2:83" ht="9.6" customHeight="1" x14ac:dyDescent="0.2">
      <c r="B43" s="559"/>
      <c r="C43" s="560"/>
      <c r="D43" s="696" t="str">
        <f>Input_PriceNegotiatedDesc</f>
        <v xml:space="preserve"> </v>
      </c>
      <c r="E43" s="697"/>
      <c r="F43" s="698"/>
      <c r="G43" s="699"/>
      <c r="H43" s="700">
        <f>Input_PriceNegotiated</f>
        <v>0</v>
      </c>
      <c r="I43" s="701" t="s">
        <v>76</v>
      </c>
      <c r="J43" s="564" t="s">
        <v>76</v>
      </c>
      <c r="K43" s="693"/>
      <c r="L43" s="460" t="s">
        <v>76</v>
      </c>
      <c r="M43" s="676" t="str">
        <f>IF(OR(Input_ProductClass="Second",Input_ProductClass="AgencyCompanionSecond",Input_ProductClass="HELOC",Input_ProductClass="Closed End 2nd TD"),"","7/6 30yr ARM SOFR")</f>
        <v>7/6 30yr ARM SOFR</v>
      </c>
      <c r="N43" s="671" t="s">
        <v>166</v>
      </c>
      <c r="O43" s="671">
        <v>1</v>
      </c>
      <c r="P43" s="671" t="s">
        <v>432</v>
      </c>
      <c r="Q43" s="643">
        <v>360</v>
      </c>
      <c r="R43" s="643">
        <v>360</v>
      </c>
      <c r="S43" s="643">
        <v>84</v>
      </c>
      <c r="T43" s="643"/>
      <c r="U43" s="533">
        <f>IF(M43="","",MAX(U$29:U42)+1)</f>
        <v>6</v>
      </c>
      <c r="V43" s="534" t="str">
        <f t="shared" si="7"/>
        <v/>
      </c>
      <c r="X43" s="1094" t="s">
        <v>1293</v>
      </c>
      <c r="Y43" s="1094" t="s">
        <v>68</v>
      </c>
      <c r="Z43" s="545">
        <f>-Input_PL_IncentiveMaxAdj_LenderPaidComp+Input_PL_MaxPriceBase_IR_01PP+Input_PL_Incentive_IR+Input_PL_IncentiveMaxAdj_IR</f>
        <v>102</v>
      </c>
      <c r="AA43" s="546" cm="1">
        <f t="array" ref="AA43">[1]!Input_MaxPriceNet_IR_01PP</f>
        <v>105</v>
      </c>
      <c r="AC43" s="1603" t="s">
        <v>2021</v>
      </c>
      <c r="AD43" s="650" t="s">
        <v>317</v>
      </c>
      <c r="AE43" s="650"/>
      <c r="AQ43" s="704">
        <v>620</v>
      </c>
      <c r="AR43" s="705" t="s">
        <v>10</v>
      </c>
      <c r="AV43" s="1124" t="s">
        <v>1303</v>
      </c>
      <c r="AW43" s="1096" t="s">
        <v>1068</v>
      </c>
      <c r="AX43" s="1097" t="str">
        <f t="shared" si="2"/>
        <v>PT_007.8750000000</v>
      </c>
      <c r="AY43" s="1098">
        <f>[1]!PR_R39</f>
        <v>7.875</v>
      </c>
      <c r="AZ43" s="1099">
        <f>[1]!PR_ARM05_P39+Input_PL_Incentive_PR</f>
        <v>-2</v>
      </c>
      <c r="BA43" s="1099">
        <f>[1]!PR_FRM30_P39+Input_PL_Incentive_PR</f>
        <v>98.75</v>
      </c>
      <c r="BB43" s="1097">
        <f t="shared" si="8"/>
        <v>98.75</v>
      </c>
      <c r="BC43" s="1097" t="str">
        <f t="shared" si="4"/>
        <v>PT_098.7500000000</v>
      </c>
      <c r="BD43" s="1097"/>
      <c r="BE43" s="1125" t="s">
        <v>1595</v>
      </c>
      <c r="BG43" s="538" t="s">
        <v>397</v>
      </c>
      <c r="BH43" s="539" t="str">
        <f>INDEX([1]!List_StateInputAll,MATCH(BG43,[1]!List_StateInput,0),2)</f>
        <v>Non-CA</v>
      </c>
      <c r="BI43" s="540" t="str">
        <f>INDEX([1]!List_StateInputAll,MATCH(BG43,[1]!List_StateInput,0),3)</f>
        <v>Y</v>
      </c>
      <c r="BJ43" s="540" t="str">
        <f>INDEX([1]!List_StateInputAll,MATCH(BG43,[1]!List_StateInput,0),4)</f>
        <v>Y</v>
      </c>
      <c r="BK43" s="540" t="str">
        <f>INDEX([1]!List_StateInputAll,MATCH(BG43,[1]!List_StateInput,0),5)</f>
        <v xml:space="preserve"> </v>
      </c>
      <c r="BL43" s="570" t="str">
        <f>INDEX([1]!List_StateInputAll,MATCH(BG43,[1]!List_StateInput,0),6)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43" s="540" t="str">
        <f>INDEX([1]!List_StateInputAll,MATCH(BG43,[1]!List_StateInput,0),7)</f>
        <v>Prepay Restriction May Apply: Prepay not permitted for loans less than $312,159 in 2024.  Prepay only available on Business Purpose Loans</v>
      </c>
      <c r="BN43" s="540" t="str">
        <f>INDEX([1]!List_StateInputAll,MATCH(BG43,[1]!List_StateInput,0),8)</f>
        <v>Pennsylvania</v>
      </c>
      <c r="BO43" s="540" t="str">
        <f>INDEX([1]!List_StateInputAll,MATCH(BG43,[1]!List_StateInput,0),9)</f>
        <v>Y</v>
      </c>
      <c r="BP43" s="541" t="str">
        <f>INDEX([1]!List_StateInputAll,MATCH(BG43,[1]!List_StateInput,0),10)</f>
        <v>Y</v>
      </c>
      <c r="BQ43" s="540" t="str">
        <f>INDEX([1]!List_StateInputAll,MATCH(BG43,[1]!List_StateInput,0),11)</f>
        <v>N</v>
      </c>
      <c r="BR43" s="542" t="str">
        <f>INDEX([1]!List_StateInputAll,MATCH(BG43,[1]!List_StateInput,0),12)</f>
        <v>Y</v>
      </c>
      <c r="BS43" s="541" t="str">
        <f>INDEX([1]!List_StateInputAll,MATCH(BG43,[1]!List_StateInput,0),13)</f>
        <v xml:space="preserve"> </v>
      </c>
      <c r="BT43" s="522" t="str">
        <f>IF(OR(Input_Ratesheet_Source="Corr1",Input_Ratesheet_Source="Corr2",Input_Ratesheet_Source="Corr3",Input_Ratesheet_Source="CorrND"),BI43,IF(Input_Ratesheet_Source="Whol",IF(Input_Occupancy="Non Owner Occupied",BP43,BO43),IF(Input_Ratesheet_Source="Retl",IF(Input_Occupancy="Non Owner Occupied",IF(IF(IFERROR(FIND(Input_ProductClass,Structure!BS43),0)&gt;=1,"N","Y")="N","N",BR43),BQ43),"")))</f>
        <v>Y</v>
      </c>
      <c r="BU43" s="541" t="str">
        <f>INDEX([1]!List_StateInputAll,MATCH(BG43,[1]!List_StateInput,0),14)</f>
        <v>Wet</v>
      </c>
      <c r="BV43" s="541">
        <f>INDEX([1]!List_StateInputAll,MATCH(BG43,[1]!List_StateInput,0),15)</f>
        <v>1</v>
      </c>
      <c r="BW43" s="539" t="str">
        <f>INDEX([1]!List_StateInputAll,MATCH(BG43,[1]!List_StateInput,0),16)</f>
        <v>APOR</v>
      </c>
      <c r="BX43" s="543">
        <f>INDEX([1]!List_StateInputAll,MATCH(BG43,[1]!List_StateInput,0),17)</f>
        <v>6.5</v>
      </c>
      <c r="BY43" s="543">
        <f>INDEX([1]!List_StateInputAll,MATCH(BG43,[1]!List_StateInput,0),18)</f>
        <v>8.5</v>
      </c>
      <c r="BZ43" s="543">
        <f>INDEX([1]!List_StateInputAll,MATCH(BG43,[1]!List_StateInput,0),19)</f>
        <v>5</v>
      </c>
      <c r="CA43" s="540">
        <f>INDEX([1]!List_StateInputAll,MATCH(BG43,[1]!List_StateInput,0),20)</f>
        <v>100000</v>
      </c>
      <c r="CB43" s="540" t="str">
        <f>INDEX([1]!List_StateInputAll,MATCH(BG43,[1]!List_StateInput,0),21)</f>
        <v>Owner Occupied</v>
      </c>
      <c r="CC43" s="540" t="str">
        <f>INDEX([1]!List_StateInputAll,MATCH(BG43,[1]!List_StateInput,0),22)</f>
        <v>Purchase, Rate-Term, Cash-Out</v>
      </c>
      <c r="CD43" s="541">
        <f>INDEX([1]!List_StateInputAll,MATCH(BG43,[1]!List_StateInput,0),23)</f>
        <v>0</v>
      </c>
      <c r="CE43" s="541" t="str">
        <f>INDEX([1]!List_StateInputAll,MATCH(BG43,[1]!List_StateInput,0),24)</f>
        <v>N</v>
      </c>
    </row>
    <row r="44" spans="2:83" ht="9.6" customHeight="1" x14ac:dyDescent="0.2">
      <c r="B44" s="559"/>
      <c r="C44" s="560" t="s">
        <v>105</v>
      </c>
      <c r="D44" s="692"/>
      <c r="E44" s="692"/>
      <c r="F44" s="692"/>
      <c r="G44" s="692"/>
      <c r="H44" s="588">
        <f>Output_PriceNoteRate+Output_LLPA_Total+Output_PriceNegotiated</f>
        <v>101.125</v>
      </c>
      <c r="I44" s="701" t="s">
        <v>76</v>
      </c>
      <c r="J44" s="564" t="s">
        <v>76</v>
      </c>
      <c r="K44" s="693"/>
      <c r="L44" s="460" t="s">
        <v>76</v>
      </c>
      <c r="M44" s="1558" t="str">
        <f>IF(Input_RateSheet_Type="Standard","","10/6 30yr ARM SOFR")</f>
        <v/>
      </c>
      <c r="N44" s="709" t="s">
        <v>166</v>
      </c>
      <c r="O44" s="709">
        <v>1</v>
      </c>
      <c r="P44" s="709" t="s">
        <v>434</v>
      </c>
      <c r="Q44" s="675">
        <v>360</v>
      </c>
      <c r="R44" s="675">
        <v>360</v>
      </c>
      <c r="S44" s="675">
        <v>120</v>
      </c>
      <c r="T44" s="675"/>
      <c r="U44" s="533" t="str">
        <f>IF(M44="","",MAX(U$29:U43)+1)</f>
        <v/>
      </c>
      <c r="V44" s="534" t="str">
        <f t="shared" si="7"/>
        <v/>
      </c>
      <c r="X44" s="1094" t="s">
        <v>1294</v>
      </c>
      <c r="Y44" s="1094" t="s">
        <v>67</v>
      </c>
      <c r="Z44" s="545">
        <f>-Input_PL_IncentiveMaxAdj_LenderPaidComp+Input_PL_MaxPriceBase_IR_02PP+Input_PL_Incentive_IR+Input_PL_IncentiveMaxAdj_IR</f>
        <v>102</v>
      </c>
      <c r="AA44" s="546" cm="1">
        <f t="array" ref="AA44">[1]!Input_MaxPriceNet_IR_02PP</f>
        <v>105</v>
      </c>
      <c r="AB44" s="1343"/>
      <c r="AQ44" s="704">
        <v>640</v>
      </c>
      <c r="AR44" s="705" t="s">
        <v>9</v>
      </c>
      <c r="AV44" s="1124" t="s">
        <v>1303</v>
      </c>
      <c r="AW44" s="1096" t="s">
        <v>1068</v>
      </c>
      <c r="AX44" s="1097" t="str">
        <f t="shared" si="2"/>
        <v>PT_007.7500000000</v>
      </c>
      <c r="AY44" s="1098">
        <f>[1]!PR_R40</f>
        <v>7.75</v>
      </c>
      <c r="AZ44" s="1099">
        <f>[1]!PR_ARM05_P40+Input_PL_Incentive_PR</f>
        <v>-2</v>
      </c>
      <c r="BA44" s="1099">
        <f>[1]!PR_FRM30_P40+Input_PL_Incentive_PR</f>
        <v>98</v>
      </c>
      <c r="BB44" s="1097">
        <f t="shared" si="8"/>
        <v>98</v>
      </c>
      <c r="BC44" s="1097" t="str">
        <f t="shared" si="4"/>
        <v>PT_098.0000000000</v>
      </c>
      <c r="BD44" s="1097"/>
      <c r="BE44" s="1125" t="s">
        <v>1596</v>
      </c>
      <c r="BG44" s="538" t="s">
        <v>399</v>
      </c>
      <c r="BH44" s="539" t="str">
        <f>INDEX([1]!List_StateInputAll,MATCH(BG44,[1]!List_StateInput,0),2)</f>
        <v>Non-CA</v>
      </c>
      <c r="BI44" s="540" t="str">
        <f>INDEX([1]!List_StateInputAll,MATCH(BG44,[1]!List_StateInput,0),3)</f>
        <v>Y</v>
      </c>
      <c r="BJ44" s="540" t="str">
        <f>INDEX([1]!List_StateInputAll,MATCH(BG44,[1]!List_StateInput,0),4)</f>
        <v>Y</v>
      </c>
      <c r="BK44" s="540" t="str">
        <f>INDEX([1]!List_StateInputAll,MATCH(BG44,[1]!List_StateInput,0),5)</f>
        <v xml:space="preserve"> </v>
      </c>
      <c r="BL44" s="570" t="str">
        <f>INDEX([1]!List_StateInputAll,MATCH(BG44,[1]!List_StateInput,0),6)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44" s="540" t="str">
        <f>INDEX([1]!List_StateInputAll,MATCH(BG44,[1]!List_StateInput,0),7)</f>
        <v>Prepay Restriction May Apply.  Prepay only available on Business Purpose Loans</v>
      </c>
      <c r="BN44" s="540" t="str">
        <f>INDEX([1]!List_StateInputAll,MATCH(BG44,[1]!List_StateInput,0),8)</f>
        <v>RhodeIsland</v>
      </c>
      <c r="BO44" s="540" t="str">
        <f>INDEX([1]!List_StateInputAll,MATCH(BG44,[1]!List_StateInput,0),9)</f>
        <v>Y</v>
      </c>
      <c r="BP44" s="541" t="str">
        <f>INDEX([1]!List_StateInputAll,MATCH(BG44,[1]!List_StateInput,0),10)</f>
        <v>Y</v>
      </c>
      <c r="BQ44" s="540" t="str">
        <f>INDEX([1]!List_StateInputAll,MATCH(BG44,[1]!List_StateInput,0),11)</f>
        <v>N</v>
      </c>
      <c r="BR44" s="542" t="str">
        <f>INDEX([1]!List_StateInputAll,MATCH(BG44,[1]!List_StateInput,0),12)</f>
        <v>Y</v>
      </c>
      <c r="BS44" s="541" t="str">
        <f>INDEX([1]!List_StateInputAll,MATCH(BG44,[1]!List_StateInput,0),13)</f>
        <v xml:space="preserve"> </v>
      </c>
      <c r="BT44" s="522" t="str">
        <f>IF(OR(Input_Ratesheet_Source="Corr1",Input_Ratesheet_Source="Corr2",Input_Ratesheet_Source="Corr3",Input_Ratesheet_Source="CorrND"),BI44,IF(Input_Ratesheet_Source="Whol",IF(Input_Occupancy="Non Owner Occupied",BP44,BO44),IF(Input_Ratesheet_Source="Retl",IF(Input_Occupancy="Non Owner Occupied",IF(IF(IFERROR(FIND(Input_ProductClass,Structure!BS44),0)&gt;=1,"N","Y")="N","N",BR44),BQ44),"")))</f>
        <v>Y</v>
      </c>
      <c r="BU44" s="541" t="str">
        <f>INDEX([1]!List_StateInputAll,MATCH(BG44,[1]!List_StateInput,0),14)</f>
        <v>Wet</v>
      </c>
      <c r="BV44" s="541">
        <f>INDEX([1]!List_StateInputAll,MATCH(BG44,[1]!List_StateInput,0),15)</f>
        <v>1</v>
      </c>
      <c r="BW44" s="539" t="str">
        <f>INDEX([1]!List_StateInputAll,MATCH(BG44,[1]!List_StateInput,0),16)</f>
        <v>Treasury</v>
      </c>
      <c r="BX44" s="543">
        <f>INDEX([1]!List_StateInputAll,MATCH(BG44,[1]!List_StateInput,0),17)</f>
        <v>8</v>
      </c>
      <c r="BY44" s="543">
        <f>INDEX([1]!List_StateInputAll,MATCH(BG44,[1]!List_StateInput,0),18)</f>
        <v>9</v>
      </c>
      <c r="BZ44" s="543">
        <f>INDEX([1]!List_StateInputAll,MATCH(BG44,[1]!List_StateInput,0),19)</f>
        <v>5</v>
      </c>
      <c r="CA44" s="540">
        <f>INDEX([1]!List_StateInputAll,MATCH(BG44,[1]!List_StateInput,0),20)</f>
        <v>0</v>
      </c>
      <c r="CB44" s="540" t="str">
        <f>INDEX([1]!List_StateInputAll,MATCH(BG44,[1]!List_StateInput,0),21)</f>
        <v>Owner Occupied</v>
      </c>
      <c r="CC44" s="540" t="str">
        <f>INDEX([1]!List_StateInputAll,MATCH(BG44,[1]!List_StateInput,0),22)</f>
        <v>Purchase, Rate-Term, Cash-Out</v>
      </c>
      <c r="CD44" s="541" t="str">
        <f>INDEX([1]!List_StateInputAll,MATCH(BG44,[1]!List_StateInput,0),23)</f>
        <v>Additional Local High Cost Ordinances</v>
      </c>
      <c r="CE44" s="541" t="str">
        <f>INDEX([1]!List_StateInputAll,MATCH(BG44,[1]!List_StateInput,0),24)</f>
        <v>N</v>
      </c>
    </row>
    <row r="45" spans="2:83" ht="9.6" customHeight="1" x14ac:dyDescent="0.2">
      <c r="B45" s="559"/>
      <c r="C45" s="560" t="s">
        <v>104</v>
      </c>
      <c r="D45" s="692"/>
      <c r="E45" s="692"/>
      <c r="F45" s="692"/>
      <c r="G45" s="692"/>
      <c r="H45" s="700">
        <f>Output_PriceMaxPriceCalc</f>
        <v>102.5</v>
      </c>
      <c r="I45" s="701" t="s">
        <v>76</v>
      </c>
      <c r="J45" s="564" t="s">
        <v>76</v>
      </c>
      <c r="K45" s="693"/>
      <c r="L45" s="460" t="s">
        <v>76</v>
      </c>
      <c r="M45" s="676" t="str">
        <f>IF(OR(Input_ProductClass="Second",Input_ProductClass="AgencyCompanionSecond",Input_ProductClass="HELOC",Input_ProductClass="Closed End 2nd TD"),"","5/6 40yr ARM SOFR")</f>
        <v>5/6 40yr ARM SOFR</v>
      </c>
      <c r="N45" s="664" t="s">
        <v>4</v>
      </c>
      <c r="O45" s="664">
        <v>1</v>
      </c>
      <c r="P45" s="664" t="s">
        <v>431</v>
      </c>
      <c r="Q45" s="702">
        <v>480</v>
      </c>
      <c r="R45" s="702">
        <v>360</v>
      </c>
      <c r="S45" s="702">
        <v>60</v>
      </c>
      <c r="T45" s="702"/>
      <c r="U45" s="533">
        <f>IF(M45="","",MAX(U$29:U44)+1)</f>
        <v>7</v>
      </c>
      <c r="V45" s="534" t="str">
        <f t="shared" si="7"/>
        <v/>
      </c>
      <c r="X45" s="1094" t="s">
        <v>1295</v>
      </c>
      <c r="Y45" s="1094" t="s">
        <v>66</v>
      </c>
      <c r="Z45" s="545">
        <f>-Input_PL_IncentiveMaxAdj_LenderPaidComp+Input_PL_MaxPriceBase_IR_03PP+Input_PL_Incentive_IR+Input_PL_IncentiveMaxAdj_IR</f>
        <v>102.5</v>
      </c>
      <c r="AA45" s="546" cm="1">
        <f t="array" ref="AA45">[1]!Input_MaxPriceNet_IR_03PP</f>
        <v>105.5</v>
      </c>
      <c r="AB45" s="1343"/>
      <c r="AQ45" s="704">
        <v>660</v>
      </c>
      <c r="AR45" s="705" t="s">
        <v>7</v>
      </c>
      <c r="AV45" s="1126" t="s">
        <v>1303</v>
      </c>
      <c r="AW45" s="1127" t="s">
        <v>1068</v>
      </c>
      <c r="AX45" s="1109" t="str">
        <f t="shared" si="2"/>
        <v>PT_007.6250000000</v>
      </c>
      <c r="AY45" s="1110">
        <f>[1]!PR_R41</f>
        <v>7.625</v>
      </c>
      <c r="AZ45" s="1111">
        <f>[1]!PR_ARM05_P41+Input_PL_Incentive_PR</f>
        <v>-2</v>
      </c>
      <c r="BA45" s="1111">
        <f>[1]!PR_FRM30_P41+Input_PL_Incentive_PR</f>
        <v>97.25</v>
      </c>
      <c r="BB45" s="1109">
        <f t="shared" si="6"/>
        <v>97.25</v>
      </c>
      <c r="BC45" s="1109" t="str">
        <f t="shared" si="4"/>
        <v>PT_097.2500000000</v>
      </c>
      <c r="BD45" s="1109"/>
      <c r="BE45" s="1128" t="s">
        <v>1597</v>
      </c>
      <c r="BG45" s="538" t="s">
        <v>400</v>
      </c>
      <c r="BH45" s="539" t="str">
        <f>INDEX([1]!List_StateInputAll,MATCH(BG45,[1]!List_StateInput,0),2)</f>
        <v>Non-CA</v>
      </c>
      <c r="BI45" s="540" t="str">
        <f>INDEX([1]!List_StateInputAll,MATCH(BG45,[1]!List_StateInput,0),3)</f>
        <v>Y</v>
      </c>
      <c r="BJ45" s="540" t="str">
        <f>INDEX([1]!List_StateInputAll,MATCH(BG45,[1]!List_StateInput,0),4)</f>
        <v>Y</v>
      </c>
      <c r="BK45" s="540" t="str">
        <f>INDEX([1]!List_StateInputAll,MATCH(BG45,[1]!List_StateInput,0),5)</f>
        <v xml:space="preserve"> </v>
      </c>
      <c r="BL45" s="540" t="str">
        <f>INDEX([1]!List_StateInputAll,MATCH(BG45,[1]!List_StateInput,0),6)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45" s="540" t="str">
        <f>INDEX([1]!List_StateInputAll,MATCH(BG45,[1]!List_StateInput,0),7)</f>
        <v>Prepay only available on Business Purpose Loans</v>
      </c>
      <c r="BN45" s="540" t="str">
        <f>INDEX([1]!List_StateInputAll,MATCH(BG45,[1]!List_StateInput,0),8)</f>
        <v>SouthCarolina</v>
      </c>
      <c r="BO45" s="540" t="str">
        <f>INDEX([1]!List_StateInputAll,MATCH(BG45,[1]!List_StateInput,0),9)</f>
        <v>Y</v>
      </c>
      <c r="BP45" s="541" t="str">
        <f>INDEX([1]!List_StateInputAll,MATCH(BG45,[1]!List_StateInput,0),10)</f>
        <v>Y</v>
      </c>
      <c r="BQ45" s="540" t="str">
        <f>INDEX([1]!List_StateInputAll,MATCH(BG45,[1]!List_StateInput,0),11)</f>
        <v>N</v>
      </c>
      <c r="BR45" s="542" t="str">
        <f>INDEX([1]!List_StateInputAll,MATCH(BG45,[1]!List_StateInput,0),12)</f>
        <v>Y</v>
      </c>
      <c r="BS45" s="541" t="str">
        <f>INDEX([1]!List_StateInputAll,MATCH(BG45,[1]!List_StateInput,0),13)</f>
        <v xml:space="preserve"> </v>
      </c>
      <c r="BT45" s="522" t="str">
        <f>IF(OR(Input_Ratesheet_Source="Corr1",Input_Ratesheet_Source="Corr2",Input_Ratesheet_Source="Corr3",Input_Ratesheet_Source="CorrND"),BI45,IF(Input_Ratesheet_Source="Whol",IF(Input_Occupancy="Non Owner Occupied",BP45,BO45),IF(Input_Ratesheet_Source="Retl",IF(Input_Occupancy="Non Owner Occupied",IF(IF(IFERROR(FIND(Input_ProductClass,Structure!BS45),0)&gt;=1,"N","Y")="N","N",BR45),BQ45),"")))</f>
        <v>Y</v>
      </c>
      <c r="BU45" s="541" t="str">
        <f>INDEX([1]!List_StateInputAll,MATCH(BG45,[1]!List_StateInput,0),14)</f>
        <v>Wet</v>
      </c>
      <c r="BV45" s="541">
        <f>INDEX([1]!List_StateInputAll,MATCH(BG45,[1]!List_StateInput,0),15)</f>
        <v>1</v>
      </c>
      <c r="BW45" s="539" t="str">
        <f>INDEX([1]!List_StateInputAll,MATCH(BG45,[1]!List_StateInput,0),16)</f>
        <v>APOR</v>
      </c>
      <c r="BX45" s="543">
        <f>INDEX([1]!List_StateInputAll,MATCH(BG45,[1]!List_StateInput,0),17)</f>
        <v>6.5</v>
      </c>
      <c r="BY45" s="543">
        <f>INDEX([1]!List_StateInputAll,MATCH(BG45,[1]!List_StateInput,0),18)</f>
        <v>8.5</v>
      </c>
      <c r="BZ45" s="543">
        <f>INDEX([1]!List_StateInputAll,MATCH(BG45,[1]!List_StateInput,0),19)</f>
        <v>5</v>
      </c>
      <c r="CA45" s="540" t="str">
        <f>INDEX([1]!List_StateInputAll,MATCH(BG45,[1]!List_StateInput,0),20)</f>
        <v>Agency</v>
      </c>
      <c r="CB45" s="540" t="str">
        <f>INDEX([1]!List_StateInputAll,MATCH(BG45,[1]!List_StateInput,0),21)</f>
        <v>Owner Occupied</v>
      </c>
      <c r="CC45" s="540" t="str">
        <f>INDEX([1]!List_StateInputAll,MATCH(BG45,[1]!List_StateInput,0),22)</f>
        <v>Purchase, Rate-Term, Cash-Out</v>
      </c>
      <c r="CD45" s="541">
        <f>INDEX([1]!List_StateInputAll,MATCH(BG45,[1]!List_StateInput,0),23)</f>
        <v>0</v>
      </c>
      <c r="CE45" s="541" t="str">
        <f>INDEX([1]!List_StateInputAll,MATCH(BG45,[1]!List_StateInput,0),24)</f>
        <v>Y</v>
      </c>
    </row>
    <row r="46" spans="2:83" ht="9.6" customHeight="1" x14ac:dyDescent="0.2">
      <c r="B46" s="559"/>
      <c r="C46" s="606" t="s">
        <v>183</v>
      </c>
      <c r="D46" s="692"/>
      <c r="E46" s="692"/>
      <c r="F46" s="692"/>
      <c r="G46" s="706">
        <f>INDEX(List_MaxPricingAll,MATCH(INDEX(List_ProductAll,MATCH(Input_Product,List_Product,0),2)&amp;"_"&amp;Input_PrepayPenalty,List_MaxPricing,0),1)</f>
        <v>102.5</v>
      </c>
      <c r="H46" s="707">
        <f>IF(Output_PriceNet&gt;Output_PriceMax,Output_PriceMax,Output_PriceNet)</f>
        <v>101.125</v>
      </c>
      <c r="I46" s="708" t="str">
        <f>IF(AND(Input_Ratesheet_Source="Whol",Input_AmortTerm="30yr Buydown Lender"),"Find 99.50 price for Lender Paid Buydown",IF(AND(Input_Ratesheet_Source="Whol",Input_AmortTerm="30yr Buydown Seller"),"Find 98.50 price for Seller Paid Buydown",""))</f>
        <v/>
      </c>
      <c r="J46" s="564" t="s">
        <v>76</v>
      </c>
      <c r="K46" s="693"/>
      <c r="L46" s="460" t="s">
        <v>76</v>
      </c>
      <c r="M46" s="676" t="str">
        <f>IF(OR(Input_ProductClass="Second",Input_ProductClass="AgencyCompanionSecond",Input_ProductClass="HELOC",Input_ProductClass="Closed End 2nd TD"),"","7/6 40yr ARM SOFR")</f>
        <v>7/6 40yr ARM SOFR</v>
      </c>
      <c r="N46" s="671" t="s">
        <v>4</v>
      </c>
      <c r="O46" s="671">
        <v>1</v>
      </c>
      <c r="P46" s="671" t="s">
        <v>433</v>
      </c>
      <c r="Q46" s="643">
        <v>480</v>
      </c>
      <c r="R46" s="643">
        <v>360</v>
      </c>
      <c r="S46" s="643">
        <v>84</v>
      </c>
      <c r="T46" s="643"/>
      <c r="U46" s="533">
        <f>IF(M46="","",MAX(U$29:U45)+1)</f>
        <v>8</v>
      </c>
      <c r="V46" s="534" t="str">
        <f t="shared" si="7"/>
        <v/>
      </c>
      <c r="X46" s="1094" t="s">
        <v>1296</v>
      </c>
      <c r="Y46" s="1094" t="s">
        <v>164</v>
      </c>
      <c r="Z46" s="545">
        <f>-Input_PL_IncentiveMaxAdj_LenderPaidComp+Input_PL_MaxPriceBase_IR_04PP+Input_PL_Incentive_IR+Input_PL_IncentiveMaxAdj_IR</f>
        <v>102.5</v>
      </c>
      <c r="AA46" s="546" cm="1">
        <f t="array" ref="AA46">[1]!Input_MaxPriceNet_IR_04PP</f>
        <v>105.5</v>
      </c>
      <c r="AB46" s="1343"/>
      <c r="AC46" s="680" t="s">
        <v>39</v>
      </c>
      <c r="AD46" s="713"/>
      <c r="AE46" s="713"/>
      <c r="AQ46" s="704">
        <v>680</v>
      </c>
      <c r="AR46" s="705" t="s">
        <v>6</v>
      </c>
      <c r="AV46" s="1113" t="s">
        <v>481</v>
      </c>
      <c r="AW46" s="1114" t="s">
        <v>477</v>
      </c>
      <c r="AX46" s="1102" t="str">
        <f t="shared" ref="AX46:AX71" si="9">"PN_"&amp;RIGHT("000"&amp;TRUNC(Lookup_NoteRate),3)&amp;TEXT(Lookup_NoteRate-TRUNC(Lookup_NoteRate),".0000000000")</f>
        <v>PN_009.6250000000</v>
      </c>
      <c r="AY46" s="1103">
        <f>[1]!PN_R01</f>
        <v>9.625</v>
      </c>
      <c r="AZ46" s="1104" t="e">
        <f>[1]!PN_ARM05_P01+Input_PL_Incentive_PN</f>
        <v>#N/A</v>
      </c>
      <c r="BA46" s="1104" t="e">
        <f>[1]!PN_FRM30_P01+Input_PL_Incentive_PN</f>
        <v>#N/A</v>
      </c>
      <c r="BB46" s="1102" t="e">
        <f t="shared" si="3"/>
        <v>#N/A</v>
      </c>
      <c r="BC46" s="1102" t="e">
        <f t="shared" ref="BC46:BC71" si="10">"PN_"&amp;RIGHT("000"&amp;TRUNC(Lookup_PriceText),3)&amp;TEXT(Lookup_PriceText-TRUNC(Lookup_PriceText),".0000000000")</f>
        <v>#N/A</v>
      </c>
      <c r="BD46" s="1102"/>
      <c r="BE46" s="1115" t="s">
        <v>1598</v>
      </c>
      <c r="BG46" s="538" t="s">
        <v>401</v>
      </c>
      <c r="BH46" s="539" t="str">
        <f>INDEX([1]!List_StateInputAll,MATCH(BG46,[1]!List_StateInput,0),2)</f>
        <v>Non-CA</v>
      </c>
      <c r="BI46" s="540" t="str">
        <f>INDEX([1]!List_StateInputAll,MATCH(BG46,[1]!List_StateInput,0),3)</f>
        <v>Y</v>
      </c>
      <c r="BJ46" s="540" t="str">
        <f>INDEX([1]!List_StateInputAll,MATCH(BG46,[1]!List_StateInput,0),4)</f>
        <v>Y</v>
      </c>
      <c r="BK46" s="540" t="str">
        <f>INDEX([1]!List_StateInputAll,MATCH(BG46,[1]!List_StateInput,0),5)</f>
        <v xml:space="preserve"> </v>
      </c>
      <c r="BL46" s="540" t="str">
        <f>INDEX([1]!List_StateInputAll,MATCH(BG46,[1]!List_StateInput,0),6)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46" s="540" t="str">
        <f>INDEX([1]!List_StateInputAll,MATCH(BG46,[1]!List_StateInput,0),7)</f>
        <v>Prepay only available on Business Purpose Loans</v>
      </c>
      <c r="BN46" s="540" t="str">
        <f>INDEX([1]!List_StateInputAll,MATCH(BG46,[1]!List_StateInput,0),8)</f>
        <v>SouthDakota</v>
      </c>
      <c r="BO46" s="540" t="str">
        <f>INDEX([1]!List_StateInputAll,MATCH(BG46,[1]!List_StateInput,0),9)</f>
        <v>Y</v>
      </c>
      <c r="BP46" s="541" t="str">
        <f>INDEX([1]!List_StateInputAll,MATCH(BG46,[1]!List_StateInput,0),10)</f>
        <v>Y</v>
      </c>
      <c r="BQ46" s="540" t="str">
        <f>INDEX([1]!List_StateInputAll,MATCH(BG46,[1]!List_StateInput,0),11)</f>
        <v>N</v>
      </c>
      <c r="BR46" s="542" t="str">
        <f>INDEX([1]!List_StateInputAll,MATCH(BG46,[1]!List_StateInput,0),12)</f>
        <v>N</v>
      </c>
      <c r="BS46" s="541" t="str">
        <f>INDEX([1]!List_StateInputAll,MATCH(BG46,[1]!List_StateInput,0),13)</f>
        <v xml:space="preserve"> </v>
      </c>
      <c r="BT46" s="522" t="str">
        <f>IF(OR(Input_Ratesheet_Source="Corr1",Input_Ratesheet_Source="Corr2",Input_Ratesheet_Source="Corr3",Input_Ratesheet_Source="CorrND"),BI46,IF(Input_Ratesheet_Source="Whol",IF(Input_Occupancy="Non Owner Occupied",BP46,BO46),IF(Input_Ratesheet_Source="Retl",IF(Input_Occupancy="Non Owner Occupied",IF(IF(IFERROR(FIND(Input_ProductClass,Structure!BS46),0)&gt;=1,"N","Y")="N","N",BR46),BQ46),"")))</f>
        <v>Y</v>
      </c>
      <c r="BU46" s="541" t="str">
        <f>INDEX([1]!List_StateInputAll,MATCH(BG46,[1]!List_StateInput,0),14)</f>
        <v>Wet</v>
      </c>
      <c r="BV46" s="541">
        <f>INDEX([1]!List_StateInputAll,MATCH(BG46,[1]!List_StateInput,0),15)</f>
        <v>1</v>
      </c>
      <c r="BW46" s="539" t="str">
        <f>INDEX([1]!List_StateInputAll,MATCH(BG46,[1]!List_StateInput,0),16)</f>
        <v>APOR</v>
      </c>
      <c r="BX46" s="543">
        <f>INDEX([1]!List_StateInputAll,MATCH(BG46,[1]!List_StateInput,0),17)</f>
        <v>6.5</v>
      </c>
      <c r="BY46" s="543">
        <f>INDEX([1]!List_StateInputAll,MATCH(BG46,[1]!List_StateInput,0),18)</f>
        <v>8.5</v>
      </c>
      <c r="BZ46" s="543">
        <f>INDEX([1]!List_StateInputAll,MATCH(BG46,[1]!List_StateInput,0),19)</f>
        <v>5</v>
      </c>
      <c r="CA46" s="540">
        <f>INDEX([1]!List_StateInputAll,MATCH(BG46,[1]!List_StateInput,0),20)</f>
        <v>0</v>
      </c>
      <c r="CB46" s="540" t="str">
        <f>INDEX([1]!List_StateInputAll,MATCH(BG46,[1]!List_StateInput,0),21)</f>
        <v>Owner Occupied</v>
      </c>
      <c r="CC46" s="540" t="str">
        <f>INDEX([1]!List_StateInputAll,MATCH(BG46,[1]!List_StateInput,0),22)</f>
        <v>Purchase, Rate-Term, Cash-Out</v>
      </c>
      <c r="CD46" s="541">
        <f>INDEX([1]!List_StateInputAll,MATCH(BG46,[1]!List_StateInput,0),23)</f>
        <v>0</v>
      </c>
      <c r="CE46" s="541" t="str">
        <f>INDEX([1]!List_StateInputAll,MATCH(BG46,[1]!List_StateInput,0),24)</f>
        <v>Y</v>
      </c>
    </row>
    <row r="47" spans="2:83" ht="9.6" customHeight="1" x14ac:dyDescent="0.2">
      <c r="B47" s="710"/>
      <c r="C47" s="711"/>
      <c r="D47" s="711"/>
      <c r="E47" s="711"/>
      <c r="F47" s="711"/>
      <c r="G47" s="711"/>
      <c r="H47" s="711"/>
      <c r="I47" s="711"/>
      <c r="J47" s="711" t="s">
        <v>76</v>
      </c>
      <c r="K47" s="712"/>
      <c r="L47" s="460" t="s">
        <v>76</v>
      </c>
      <c r="M47" s="1558" t="str">
        <f>IF(Input_RateSheet_Type="Standard","","10/6 40yr ARM SOFR")</f>
        <v/>
      </c>
      <c r="N47" s="709" t="s">
        <v>4</v>
      </c>
      <c r="O47" s="709">
        <v>1</v>
      </c>
      <c r="P47" s="714" t="s">
        <v>435</v>
      </c>
      <c r="Q47" s="650">
        <v>480</v>
      </c>
      <c r="R47" s="650">
        <v>360</v>
      </c>
      <c r="S47" s="650">
        <v>120</v>
      </c>
      <c r="T47" s="650"/>
      <c r="U47" s="533" t="str">
        <f>IF(M47="","",MAX(U$29:U46)+1)</f>
        <v/>
      </c>
      <c r="V47" s="534" t="str">
        <f t="shared" si="7"/>
        <v/>
      </c>
      <c r="X47" s="1095" t="s">
        <v>1297</v>
      </c>
      <c r="Y47" s="1095" t="s">
        <v>165</v>
      </c>
      <c r="Z47" s="553">
        <f>-Input_PL_IncentiveMaxAdj_LenderPaidComp+Input_PL_MaxPriceBase_IR_05PP+Input_PL_Incentive_IR+Input_PL_IncentiveMaxAdj_IR</f>
        <v>102.5</v>
      </c>
      <c r="AA47" s="554" cm="1">
        <f t="array" ref="AA47">[1]!Input_MaxPriceNet_IR_05PP</f>
        <v>105.5</v>
      </c>
      <c r="AB47" s="1343"/>
      <c r="AC47" s="636" t="s">
        <v>37</v>
      </c>
      <c r="AD47" s="637" t="s">
        <v>327</v>
      </c>
      <c r="AE47" s="637" t="s">
        <v>451</v>
      </c>
      <c r="AQ47" s="704">
        <v>700</v>
      </c>
      <c r="AR47" s="705" t="s">
        <v>5</v>
      </c>
      <c r="AV47" s="1116" t="s">
        <v>481</v>
      </c>
      <c r="AW47" s="1100" t="s">
        <v>477</v>
      </c>
      <c r="AX47" s="1097" t="str">
        <f t="shared" si="9"/>
        <v>PN_009.5000000000</v>
      </c>
      <c r="AY47" s="1098">
        <f>[1]!PN_R02</f>
        <v>9.5</v>
      </c>
      <c r="AZ47" s="1099" t="e">
        <f>[1]!PN_ARM05_P02+Input_PL_Incentive_PN</f>
        <v>#N/A</v>
      </c>
      <c r="BA47" s="1099" t="e">
        <f>[1]!PN_FRM30_P02+Input_PL_Incentive_PN</f>
        <v>#N/A</v>
      </c>
      <c r="BB47" s="1097" t="e">
        <f t="shared" ref="BB47" si="11">IF(INDEX(List_AmortTermAll,MATCH(Input_AmortTerm,List_AmortTerm,0),3)=1,AZ47,IF(INDEX(List_AmortTermAll,MATCH(Input_AmortTerm,List_AmortTerm,0),3)=2,BA47,#N/A))</f>
        <v>#N/A</v>
      </c>
      <c r="BC47" s="1097" t="e">
        <f t="shared" si="10"/>
        <v>#N/A</v>
      </c>
      <c r="BD47" s="1097"/>
      <c r="BE47" s="1117" t="s">
        <v>1599</v>
      </c>
      <c r="BG47" s="538" t="s">
        <v>402</v>
      </c>
      <c r="BH47" s="539" t="str">
        <f>INDEX([1]!List_StateInputAll,MATCH(BG47,[1]!List_StateInput,0),2)</f>
        <v>Non-CA</v>
      </c>
      <c r="BI47" s="540" t="str">
        <f>INDEX([1]!List_StateInputAll,MATCH(BG47,[1]!List_StateInput,0),3)</f>
        <v>Y</v>
      </c>
      <c r="BJ47" s="540" t="str">
        <f>INDEX([1]!List_StateInputAll,MATCH(BG47,[1]!List_StateInput,0),4)</f>
        <v>Y</v>
      </c>
      <c r="BK47" s="540" t="str">
        <f>INDEX([1]!List_StateInputAll,MATCH(BG47,[1]!List_StateInput,0),5)</f>
        <v xml:space="preserve"> </v>
      </c>
      <c r="BL47" s="540" t="str">
        <f>INDEX([1]!List_StateInputAll,MATCH(BG47,[1]!List_StateInput,0),6)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47" s="540" t="str">
        <f>INDEX([1]!List_StateInputAll,MATCH(BG47,[1]!List_StateInput,0),7)</f>
        <v>Prepay only available on Business Purpose Loans</v>
      </c>
      <c r="BN47" s="540" t="str">
        <f>INDEX([1]!List_StateInputAll,MATCH(BG47,[1]!List_StateInput,0),8)</f>
        <v>Tennessee</v>
      </c>
      <c r="BO47" s="540" t="str">
        <f>INDEX([1]!List_StateInputAll,MATCH(BG47,[1]!List_StateInput,0),9)</f>
        <v>Y</v>
      </c>
      <c r="BP47" s="541" t="str">
        <f>INDEX([1]!List_StateInputAll,MATCH(BG47,[1]!List_StateInput,0),10)</f>
        <v>Y</v>
      </c>
      <c r="BQ47" s="540" t="str">
        <f>INDEX([1]!List_StateInputAll,MATCH(BG47,[1]!List_StateInput,0),11)</f>
        <v>N</v>
      </c>
      <c r="BR47" s="542" t="str">
        <f>INDEX([1]!List_StateInputAll,MATCH(BG47,[1]!List_StateInput,0),12)</f>
        <v>N</v>
      </c>
      <c r="BS47" s="541" t="str">
        <f>INDEX([1]!List_StateInputAll,MATCH(BG47,[1]!List_StateInput,0),13)</f>
        <v xml:space="preserve"> </v>
      </c>
      <c r="BT47" s="522" t="str">
        <f>IF(OR(Input_Ratesheet_Source="Corr1",Input_Ratesheet_Source="Corr2",Input_Ratesheet_Source="Corr3",Input_Ratesheet_Source="CorrND"),BI47,IF(Input_Ratesheet_Source="Whol",IF(Input_Occupancy="Non Owner Occupied",BP47,BO47),IF(Input_Ratesheet_Source="Retl",IF(Input_Occupancy="Non Owner Occupied",IF(IF(IFERROR(FIND(Input_ProductClass,Structure!BS47),0)&gt;=1,"N","Y")="N","N",BR47),BQ47),"")))</f>
        <v>Y</v>
      </c>
      <c r="BU47" s="541" t="str">
        <f>INDEX([1]!List_StateInputAll,MATCH(BG47,[1]!List_StateInput,0),14)</f>
        <v>Wet</v>
      </c>
      <c r="BV47" s="541">
        <f>INDEX([1]!List_StateInputAll,MATCH(BG47,[1]!List_StateInput,0),15)</f>
        <v>1</v>
      </c>
      <c r="BW47" s="539" t="str">
        <f>INDEX([1]!List_StateInputAll,MATCH(BG47,[1]!List_StateInput,0),16)</f>
        <v>APOR</v>
      </c>
      <c r="BX47" s="543">
        <f>INDEX([1]!List_StateInputAll,MATCH(BG47,[1]!List_StateInput,0),17)</f>
        <v>6.5</v>
      </c>
      <c r="BY47" s="543">
        <f>INDEX([1]!List_StateInputAll,MATCH(BG47,[1]!List_StateInput,0),18)</f>
        <v>8.5</v>
      </c>
      <c r="BZ47" s="543">
        <f>INDEX([1]!List_StateInputAll,MATCH(BG47,[1]!List_StateInput,0),19)</f>
        <v>5</v>
      </c>
      <c r="CA47" s="540" t="str">
        <f>INDEX([1]!List_StateInputAll,MATCH(BG47,[1]!List_StateInput,0),20)</f>
        <v>lesser of FNMA limit and $350k</v>
      </c>
      <c r="CB47" s="540" t="str">
        <f>INDEX([1]!List_StateInputAll,MATCH(BG47,[1]!List_StateInput,0),21)</f>
        <v>Owner Occupied</v>
      </c>
      <c r="CC47" s="540" t="str">
        <f>INDEX([1]!List_StateInputAll,MATCH(BG47,[1]!List_StateInput,0),22)</f>
        <v>Purchase, Rate-Term, Cash-Out</v>
      </c>
      <c r="CD47" s="541">
        <f>INDEX([1]!List_StateInputAll,MATCH(BG47,[1]!List_StateInput,0),23)</f>
        <v>0</v>
      </c>
      <c r="CE47" s="541" t="str">
        <f>INDEX([1]!List_StateInputAll,MATCH(BG47,[1]!List_StateInput,0),24)</f>
        <v>Y</v>
      </c>
    </row>
    <row r="48" spans="2:83" ht="9.6" customHeight="1" x14ac:dyDescent="0.2">
      <c r="L48" s="460" t="s">
        <v>76</v>
      </c>
      <c r="AB48" s="1343"/>
      <c r="AC48" s="538" t="s">
        <v>17</v>
      </c>
      <c r="AD48" s="643" t="s">
        <v>328</v>
      </c>
      <c r="AE48" s="643" t="s">
        <v>451</v>
      </c>
      <c r="AQ48" s="704">
        <v>720</v>
      </c>
      <c r="AR48" s="705" t="s">
        <v>3</v>
      </c>
      <c r="AV48" s="1116" t="s">
        <v>481</v>
      </c>
      <c r="AW48" s="1100" t="s">
        <v>477</v>
      </c>
      <c r="AX48" s="1097" t="str">
        <f t="shared" si="9"/>
        <v>PN_009.3750000000</v>
      </c>
      <c r="AY48" s="1098">
        <f>[1]!PN_R03</f>
        <v>9.375</v>
      </c>
      <c r="AZ48" s="1099" t="e">
        <f>[1]!PN_ARM05_P03+Input_PL_Incentive_PN</f>
        <v>#N/A</v>
      </c>
      <c r="BA48" s="1099" t="e">
        <f>[1]!PN_FRM30_P03+Input_PL_Incentive_PN</f>
        <v>#N/A</v>
      </c>
      <c r="BB48" s="1097" t="e">
        <f t="shared" ref="BB48:BB71" si="12">IF(INDEX(List_AmortTermAll,MATCH(Input_AmortTerm,List_AmortTerm,0),3)=1,AZ48,IF(INDEX(List_AmortTermAll,MATCH(Input_AmortTerm,List_AmortTerm,0),3)=2,BA48,#N/A))</f>
        <v>#N/A</v>
      </c>
      <c r="BC48" s="1097" t="e">
        <f t="shared" si="10"/>
        <v>#N/A</v>
      </c>
      <c r="BD48" s="1097"/>
      <c r="BE48" s="1117" t="s">
        <v>1600</v>
      </c>
      <c r="BG48" s="538" t="s">
        <v>403</v>
      </c>
      <c r="BH48" s="539" t="str">
        <f>INDEX([1]!List_StateInputAll,MATCH(BG48,[1]!List_StateInput,0),2)</f>
        <v>Non-CA</v>
      </c>
      <c r="BI48" s="540" t="str">
        <f>INDEX([1]!List_StateInputAll,MATCH(BG48,[1]!List_StateInput,0),3)</f>
        <v>Y</v>
      </c>
      <c r="BJ48" s="540" t="str">
        <f>INDEX([1]!List_StateInputAll,MATCH(BG48,[1]!List_StateInput,0),4)</f>
        <v>Y</v>
      </c>
      <c r="BK48" s="570" t="str">
        <f>INDEX([1]!List_StateInputAll,MATCH(BG48,[1]!List_StateInput,0),5)</f>
        <v>No IO when using TX 50(a)(6) Cashout</v>
      </c>
      <c r="BL48" s="540" t="str">
        <f>INDEX([1]!List_StateInputAll,MATCH(BG48,[1]!List_StateInput,0),6)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48" s="570" t="str">
        <f>INDEX([1]!List_StateInputAll,MATCH(BG48,[1]!List_StateInput,0),7)</f>
        <v>Prepay only available on Business Purpose Loans</v>
      </c>
      <c r="BN48" s="540" t="str">
        <f>INDEX([1]!List_StateInputAll,MATCH(BG48,[1]!List_StateInput,0),8)</f>
        <v>Texas</v>
      </c>
      <c r="BO48" s="540" t="str">
        <f>INDEX([1]!List_StateInputAll,MATCH(BG48,[1]!List_StateInput,0),9)</f>
        <v>Y</v>
      </c>
      <c r="BP48" s="541" t="str">
        <f>INDEX([1]!List_StateInputAll,MATCH(BG48,[1]!List_StateInput,0),10)</f>
        <v>Y</v>
      </c>
      <c r="BQ48" s="540" t="str">
        <f>INDEX([1]!List_StateInputAll,MATCH(BG48,[1]!List_StateInput,0),11)</f>
        <v>Y</v>
      </c>
      <c r="BR48" s="542" t="str">
        <f>INDEX([1]!List_StateInputAll,MATCH(BG48,[1]!List_StateInput,0),12)</f>
        <v>Y</v>
      </c>
      <c r="BS48" s="541" t="str">
        <f>INDEX([1]!List_StateInputAll,MATCH(BG48,[1]!List_StateInput,0),13)</f>
        <v xml:space="preserve"> </v>
      </c>
      <c r="BT48" s="522" t="str">
        <f>IF(OR(Input_Ratesheet_Source="Corr1",Input_Ratesheet_Source="Corr2",Input_Ratesheet_Source="Corr3",Input_Ratesheet_Source="CorrND"),BI48,IF(Input_Ratesheet_Source="Whol",IF(Input_Occupancy="Non Owner Occupied",BP48,BO48),IF(Input_Ratesheet_Source="Retl",IF(Input_Occupancy="Non Owner Occupied",IF(IF(IFERROR(FIND(Input_ProductClass,Structure!BS48),0)&gt;=1,"N","Y")="N","N",BR48),BQ48),"")))</f>
        <v>Y</v>
      </c>
      <c r="BU48" s="541" t="str">
        <f>INDEX([1]!List_StateInputAll,MATCH(BG48,[1]!List_StateInput,0),14)</f>
        <v>Wet</v>
      </c>
      <c r="BV48" s="541">
        <f>INDEX([1]!List_StateInputAll,MATCH(BG48,[1]!List_StateInput,0),15)</f>
        <v>1</v>
      </c>
      <c r="BW48" s="539" t="str">
        <f>INDEX([1]!List_StateInputAll,MATCH(BG48,[1]!List_StateInput,0),16)</f>
        <v>Treasury</v>
      </c>
      <c r="BX48" s="543">
        <f>INDEX([1]!List_StateInputAll,MATCH(BG48,[1]!List_StateInput,0),17)</f>
        <v>8</v>
      </c>
      <c r="BY48" s="543">
        <f>INDEX([1]!List_StateInputAll,MATCH(BG48,[1]!List_StateInput,0),18)</f>
        <v>10</v>
      </c>
      <c r="BZ48" s="543">
        <f>INDEX([1]!List_StateInputAll,MATCH(BG48,[1]!List_StateInput,0),19)</f>
        <v>8</v>
      </c>
      <c r="CA48" s="540" t="str">
        <f>INDEX([1]!List_StateInputAll,MATCH(BG48,[1]!List_StateInput,0),20)</f>
        <v>Agency / 2</v>
      </c>
      <c r="CB48" s="540" t="str">
        <f>INDEX([1]!List_StateInputAll,MATCH(BG48,[1]!List_StateInput,0),21)</f>
        <v>Owner Occupied</v>
      </c>
      <c r="CC48" s="540" t="str">
        <f>INDEX([1]!List_StateInputAll,MATCH(BG48,[1]!List_StateInput,0),22)</f>
        <v>Purchase, Rate-Term, Cash-Out</v>
      </c>
      <c r="CD48" s="541">
        <f>INDEX([1]!List_StateInputAll,MATCH(BG48,[1]!List_StateInput,0),23)</f>
        <v>0</v>
      </c>
      <c r="CE48" s="541" t="str">
        <f>INDEX([1]!List_StateInputAll,MATCH(BG48,[1]!List_StateInput,0),24)</f>
        <v>Y</v>
      </c>
    </row>
    <row r="49" spans="3:83" ht="9.6" customHeight="1" x14ac:dyDescent="0.2">
      <c r="C49" s="2199" t="s">
        <v>1700</v>
      </c>
      <c r="D49" s="2200"/>
      <c r="E49" s="2200"/>
      <c r="F49" s="2200"/>
      <c r="G49" s="2200"/>
      <c r="H49" s="2200"/>
      <c r="I49" s="2200"/>
      <c r="J49" s="2200"/>
      <c r="K49" s="2200"/>
      <c r="L49" s="460" t="s">
        <v>76</v>
      </c>
      <c r="AB49" s="1343"/>
      <c r="AC49" s="715" t="s">
        <v>38</v>
      </c>
      <c r="AD49" s="675" t="s">
        <v>329</v>
      </c>
      <c r="AE49" s="675" t="s">
        <v>329</v>
      </c>
      <c r="AQ49" s="704">
        <v>740</v>
      </c>
      <c r="AR49" s="716" t="s">
        <v>253</v>
      </c>
      <c r="AV49" s="1116" t="s">
        <v>481</v>
      </c>
      <c r="AW49" s="1100" t="s">
        <v>477</v>
      </c>
      <c r="AX49" s="1097" t="str">
        <f t="shared" si="9"/>
        <v>PN_009.2500000000</v>
      </c>
      <c r="AY49" s="1098">
        <f>[1]!PN_R04</f>
        <v>9.25</v>
      </c>
      <c r="AZ49" s="1099" t="e">
        <f>[1]!PN_ARM05_P04+Input_PL_Incentive_PN</f>
        <v>#N/A</v>
      </c>
      <c r="BA49" s="1099" t="e">
        <f>[1]!PN_FRM30_P04+Input_PL_Incentive_PN</f>
        <v>#N/A</v>
      </c>
      <c r="BB49" s="1097" t="e">
        <f t="shared" si="12"/>
        <v>#N/A</v>
      </c>
      <c r="BC49" s="1097" t="e">
        <f t="shared" si="10"/>
        <v>#N/A</v>
      </c>
      <c r="BD49" s="1097"/>
      <c r="BE49" s="1117" t="s">
        <v>1601</v>
      </c>
      <c r="BG49" s="538" t="s">
        <v>404</v>
      </c>
      <c r="BH49" s="539" t="str">
        <f>INDEX([1]!List_StateInputAll,MATCH(BG49,[1]!List_StateInput,0),2)</f>
        <v>Non-CA</v>
      </c>
      <c r="BI49" s="540" t="str">
        <f>INDEX([1]!List_StateInputAll,MATCH(BG49,[1]!List_StateInput,0),3)</f>
        <v>Y</v>
      </c>
      <c r="BJ49" s="540" t="str">
        <f>INDEX([1]!List_StateInputAll,MATCH(BG49,[1]!List_StateInput,0),4)</f>
        <v>Y</v>
      </c>
      <c r="BK49" s="540" t="str">
        <f>INDEX([1]!List_StateInputAll,MATCH(BG49,[1]!List_StateInput,0),5)</f>
        <v xml:space="preserve"> </v>
      </c>
      <c r="BL49" s="540" t="str">
        <f>INDEX([1]!List_StateInputAll,MATCH(BG49,[1]!List_StateInput,0),6)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49" s="540" t="str">
        <f>INDEX([1]!List_StateInputAll,MATCH(BG49,[1]!List_StateInput,0),7)</f>
        <v>Prepay only available on Business Purpose Loans</v>
      </c>
      <c r="BN49" s="540" t="str">
        <f>INDEX([1]!List_StateInputAll,MATCH(BG49,[1]!List_StateInput,0),8)</f>
        <v>Utah</v>
      </c>
      <c r="BO49" s="540" t="str">
        <f>INDEX([1]!List_StateInputAll,MATCH(BG49,[1]!List_StateInput,0),9)</f>
        <v>Y</v>
      </c>
      <c r="BP49" s="541" t="str">
        <f>INDEX([1]!List_StateInputAll,MATCH(BG49,[1]!List_StateInput,0),10)</f>
        <v>Y</v>
      </c>
      <c r="BQ49" s="540" t="str">
        <f>INDEX([1]!List_StateInputAll,MATCH(BG49,[1]!List_StateInput,0),11)</f>
        <v>N</v>
      </c>
      <c r="BR49" s="542" t="str">
        <f>INDEX([1]!List_StateInputAll,MATCH(BG49,[1]!List_StateInput,0),12)</f>
        <v>Y</v>
      </c>
      <c r="BS49" s="541" t="str">
        <f>INDEX([1]!List_StateInputAll,MATCH(BG49,[1]!List_StateInput,0),13)</f>
        <v>NonQM OO, NonQM NOO, Second OO, Second NOO</v>
      </c>
      <c r="BT49" s="522" t="str">
        <f>IF(OR(Input_Ratesheet_Source="Corr1",Input_Ratesheet_Source="Corr2",Input_Ratesheet_Source="Corr3",Input_Ratesheet_Source="CorrND"),BI49,IF(Input_Ratesheet_Source="Whol",IF(Input_Occupancy="Non Owner Occupied",BP49,BO49),IF(Input_Ratesheet_Source="Retl",IF(Input_Occupancy="Non Owner Occupied",IF(IF(IFERROR(FIND(Input_ProductClass,Structure!BS49),0)&gt;=1,"N","Y")="N","N",BR49),BQ49),"")))</f>
        <v>Y</v>
      </c>
      <c r="BU49" s="541" t="str">
        <f>INDEX([1]!List_StateInputAll,MATCH(BG49,[1]!List_StateInput,0),14)</f>
        <v>Wet</v>
      </c>
      <c r="BV49" s="541">
        <f>INDEX([1]!List_StateInputAll,MATCH(BG49,[1]!List_StateInput,0),15)</f>
        <v>1</v>
      </c>
      <c r="BW49" s="539" t="str">
        <f>INDEX([1]!List_StateInputAll,MATCH(BG49,[1]!List_StateInput,0),16)</f>
        <v>Treasury</v>
      </c>
      <c r="BX49" s="543">
        <f>INDEX([1]!List_StateInputAll,MATCH(BG49,[1]!List_StateInput,0),17)</f>
        <v>8</v>
      </c>
      <c r="BY49" s="543">
        <f>INDEX([1]!List_StateInputAll,MATCH(BG49,[1]!List_StateInput,0),18)</f>
        <v>10</v>
      </c>
      <c r="BZ49" s="543">
        <f>INDEX([1]!List_StateInputAll,MATCH(BG49,[1]!List_StateInput,0),19)</f>
        <v>8</v>
      </c>
      <c r="CA49" s="540">
        <f>INDEX([1]!List_StateInputAll,MATCH(BG49,[1]!List_StateInput,0),20)</f>
        <v>0</v>
      </c>
      <c r="CB49" s="540" t="str">
        <f>INDEX([1]!List_StateInputAll,MATCH(BG49,[1]!List_StateInput,0),21)</f>
        <v>Owner Occupied</v>
      </c>
      <c r="CC49" s="540" t="str">
        <f>INDEX([1]!List_StateInputAll,MATCH(BG49,[1]!List_StateInput,0),22)</f>
        <v>Purchase, Rate-Term, Cash-Out</v>
      </c>
      <c r="CD49" s="541">
        <f>INDEX([1]!List_StateInputAll,MATCH(BG49,[1]!List_StateInput,0),23)</f>
        <v>0</v>
      </c>
      <c r="CE49" s="541" t="str">
        <f>INDEX([1]!List_StateInputAll,MATCH(BG49,[1]!List_StateInput,0),24)</f>
        <v>N</v>
      </c>
    </row>
    <row r="50" spans="3:83" ht="9.6" customHeight="1" x14ac:dyDescent="0.2">
      <c r="C50" s="746"/>
      <c r="D50" s="1053"/>
      <c r="E50" s="1053"/>
      <c r="F50" s="1053"/>
      <c r="G50" s="1053"/>
      <c r="H50" s="1053"/>
      <c r="I50" s="1053"/>
      <c r="J50" s="1053"/>
      <c r="K50" s="1054"/>
      <c r="L50" s="460" t="s">
        <v>76</v>
      </c>
      <c r="Q50" s="461"/>
      <c r="R50" s="461"/>
      <c r="S50" s="461"/>
      <c r="T50" s="461"/>
      <c r="U50" s="461"/>
      <c r="V50" s="461"/>
      <c r="W50" s="460" t="s">
        <v>76</v>
      </c>
      <c r="Y50" s="733" t="s">
        <v>64</v>
      </c>
      <c r="Z50" s="734" t="s">
        <v>357</v>
      </c>
      <c r="AA50" s="735" t="s">
        <v>260</v>
      </c>
      <c r="AB50" s="1343"/>
      <c r="AQ50" s="704">
        <v>760</v>
      </c>
      <c r="AR50" s="716" t="s">
        <v>254</v>
      </c>
      <c r="AV50" s="1116" t="s">
        <v>481</v>
      </c>
      <c r="AW50" s="1100" t="s">
        <v>477</v>
      </c>
      <c r="AX50" s="1097" t="str">
        <f t="shared" si="9"/>
        <v>PN_009.1250000000</v>
      </c>
      <c r="AY50" s="1098">
        <f>[1]!PN_R05</f>
        <v>9.125</v>
      </c>
      <c r="AZ50" s="1099" t="e">
        <f>[1]!PN_ARM05_P05+Input_PL_Incentive_PN</f>
        <v>#N/A</v>
      </c>
      <c r="BA50" s="1099" t="e">
        <f>[1]!PN_FRM30_P05+Input_PL_Incentive_PN</f>
        <v>#N/A</v>
      </c>
      <c r="BB50" s="1097" t="e">
        <f t="shared" si="12"/>
        <v>#N/A</v>
      </c>
      <c r="BC50" s="1097" t="e">
        <f t="shared" si="10"/>
        <v>#N/A</v>
      </c>
      <c r="BD50" s="1097"/>
      <c r="BE50" s="1117" t="s">
        <v>1602</v>
      </c>
      <c r="BG50" s="538" t="s">
        <v>405</v>
      </c>
      <c r="BH50" s="539" t="str">
        <f>INDEX([1]!List_StateInputAll,MATCH(BG50,[1]!List_StateInput,0),2)</f>
        <v>Non-CA</v>
      </c>
      <c r="BI50" s="540" t="str">
        <f>INDEX([1]!List_StateInputAll,MATCH(BG50,[1]!List_StateInput,0),3)</f>
        <v>Y</v>
      </c>
      <c r="BJ50" s="540" t="str">
        <f>INDEX([1]!List_StateInputAll,MATCH(BG50,[1]!List_StateInput,0),4)</f>
        <v>Y</v>
      </c>
      <c r="BK50" s="540" t="str">
        <f>INDEX([1]!List_StateInputAll,MATCH(BG50,[1]!List_StateInput,0),5)</f>
        <v xml:space="preserve"> </v>
      </c>
      <c r="BL50" s="540" t="str">
        <f>INDEX([1]!List_StateInputAll,MATCH(BG50,[1]!List_StateInput,0),6)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50" s="540" t="str">
        <f>INDEX([1]!List_StateInputAll,MATCH(BG50,[1]!List_StateInput,0),7)</f>
        <v>Prepay only available on Business Purpose Loans</v>
      </c>
      <c r="BN50" s="540" t="str">
        <f>INDEX([1]!List_StateInputAll,MATCH(BG50,[1]!List_StateInput,0),8)</f>
        <v>Virginia</v>
      </c>
      <c r="BO50" s="540" t="str">
        <f>INDEX([1]!List_StateInputAll,MATCH(BG50,[1]!List_StateInput,0),9)</f>
        <v>N</v>
      </c>
      <c r="BP50" s="541" t="str">
        <f>INDEX([1]!List_StateInputAll,MATCH(BG50,[1]!List_StateInput,0),10)</f>
        <v>Y</v>
      </c>
      <c r="BQ50" s="540" t="str">
        <f>INDEX([1]!List_StateInputAll,MATCH(BG50,[1]!List_StateInput,0),11)</f>
        <v>N</v>
      </c>
      <c r="BR50" s="542" t="str">
        <f>INDEX([1]!List_StateInputAll,MATCH(BG50,[1]!List_StateInput,0),12)</f>
        <v>Y</v>
      </c>
      <c r="BS50" s="541" t="str">
        <f>INDEX([1]!List_StateInputAll,MATCH(BG50,[1]!List_StateInput,0),13)</f>
        <v xml:space="preserve"> </v>
      </c>
      <c r="BT50" s="522" t="str">
        <f>IF(OR(Input_Ratesheet_Source="Corr1",Input_Ratesheet_Source="Corr2",Input_Ratesheet_Source="Corr3",Input_Ratesheet_Source="CorrND"),BI50,IF(Input_Ratesheet_Source="Whol",IF(Input_Occupancy="Non Owner Occupied",BP50,BO50),IF(Input_Ratesheet_Source="Retl",IF(Input_Occupancy="Non Owner Occupied",IF(IF(IFERROR(FIND(Input_ProductClass,Structure!BS50),0)&gt;=1,"N","Y")="N","N",BR50),BQ50),"")))</f>
        <v>Y</v>
      </c>
      <c r="BU50" s="541" t="str">
        <f>INDEX([1]!List_StateInputAll,MATCH(BG50,[1]!List_StateInput,0),14)</f>
        <v>Wet</v>
      </c>
      <c r="BV50" s="541">
        <f>INDEX([1]!List_StateInputAll,MATCH(BG50,[1]!List_StateInput,0),15)</f>
        <v>1</v>
      </c>
      <c r="BW50" s="539" t="str">
        <f>INDEX([1]!List_StateInputAll,MATCH(BG50,[1]!List_StateInput,0),16)</f>
        <v>APOR</v>
      </c>
      <c r="BX50" s="543">
        <f>INDEX([1]!List_StateInputAll,MATCH(BG50,[1]!List_StateInput,0),17)</f>
        <v>6.5</v>
      </c>
      <c r="BY50" s="543">
        <f>INDEX([1]!List_StateInputAll,MATCH(BG50,[1]!List_StateInput,0),18)</f>
        <v>8.5</v>
      </c>
      <c r="BZ50" s="543">
        <f>INDEX([1]!List_StateInputAll,MATCH(BG50,[1]!List_StateInput,0),19)</f>
        <v>5</v>
      </c>
      <c r="CA50" s="540">
        <f>INDEX([1]!List_StateInputAll,MATCH(BG50,[1]!List_StateInput,0),20)</f>
        <v>0</v>
      </c>
      <c r="CB50" s="540" t="str">
        <f>INDEX([1]!List_StateInputAll,MATCH(BG50,[1]!List_StateInput,0),21)</f>
        <v>Owner Occupied</v>
      </c>
      <c r="CC50" s="540" t="str">
        <f>INDEX([1]!List_StateInputAll,MATCH(BG50,[1]!List_StateInput,0),22)</f>
        <v>Purchase, Rate-Term, Cash-Out</v>
      </c>
      <c r="CD50" s="541">
        <f>INDEX([1]!List_StateInputAll,MATCH(BG50,[1]!List_StateInput,0),23)</f>
        <v>0</v>
      </c>
      <c r="CE50" s="541" t="str">
        <f>INDEX([1]!List_StateInputAll,MATCH(BG50,[1]!List_StateInput,0),24)</f>
        <v>Y</v>
      </c>
    </row>
    <row r="51" spans="3:83" ht="9.6" customHeight="1" x14ac:dyDescent="0.2">
      <c r="C51" s="746"/>
      <c r="D51" s="1465" t="s">
        <v>1691</v>
      </c>
      <c r="E51" s="1465" t="s">
        <v>1692</v>
      </c>
      <c r="F51" s="1465" t="s">
        <v>1693</v>
      </c>
      <c r="G51" s="1465" t="s">
        <v>1701</v>
      </c>
      <c r="H51" s="1465" t="s">
        <v>105</v>
      </c>
      <c r="I51" s="1465" t="s">
        <v>1934</v>
      </c>
      <c r="J51" s="1053"/>
      <c r="K51" s="1054"/>
      <c r="L51" s="460" t="s">
        <v>76</v>
      </c>
      <c r="Q51" s="461"/>
      <c r="R51" s="461"/>
      <c r="S51" s="461"/>
      <c r="T51" s="461"/>
      <c r="U51" s="461"/>
      <c r="V51" s="461"/>
      <c r="W51" s="460" t="s">
        <v>76</v>
      </c>
      <c r="X51" s="741" t="s">
        <v>82</v>
      </c>
      <c r="Y51" s="470" t="str">
        <f t="shared" ref="Y51" si="13">IF(IFERROR(FIND(X51,INDEX(List_State_All,MATCH(Input_State,List_State,0),6)),0)&gt;0,X51,"")</f>
        <v>No Prepay</v>
      </c>
      <c r="Z51" s="742">
        <f>IF(Y51="","",MAX(Z$50:Z50)+1)</f>
        <v>1</v>
      </c>
      <c r="AA51" s="743" t="s">
        <v>82</v>
      </c>
      <c r="AB51" s="1343"/>
      <c r="AF51" s="2198" t="s">
        <v>1470</v>
      </c>
      <c r="AG51" s="2198"/>
      <c r="AH51" s="718" cm="1">
        <f t="array" ref="AH51">INDEX(List_Units_AgencyLoanAmount_All,MATCH(Lookup_Property_Units,List_Units_AgencyLoanAmount,0),INDEX(List_State_All,MATCH(Input_State,List_State,0),16)+1)</f>
        <v>806500</v>
      </c>
      <c r="AQ51" s="704">
        <v>780</v>
      </c>
      <c r="AR51" s="716" t="s">
        <v>1100</v>
      </c>
      <c r="AV51" s="1116" t="s">
        <v>481</v>
      </c>
      <c r="AW51" s="1100" t="s">
        <v>477</v>
      </c>
      <c r="AX51" s="1097" t="str">
        <f t="shared" si="9"/>
        <v>PN_009.0000000000</v>
      </c>
      <c r="AY51" s="1098">
        <f>[1]!PN_R06</f>
        <v>9</v>
      </c>
      <c r="AZ51" s="1099" t="e">
        <f>[1]!PN_ARM05_P06+Input_PL_Incentive_PN</f>
        <v>#N/A</v>
      </c>
      <c r="BA51" s="1099" t="e">
        <f>[1]!PN_FRM30_P06+Input_PL_Incentive_PN</f>
        <v>#N/A</v>
      </c>
      <c r="BB51" s="1097" t="e">
        <f t="shared" si="12"/>
        <v>#N/A</v>
      </c>
      <c r="BC51" s="1097" t="e">
        <f t="shared" si="10"/>
        <v>#N/A</v>
      </c>
      <c r="BD51" s="1097"/>
      <c r="BE51" s="1117" t="s">
        <v>1603</v>
      </c>
      <c r="BG51" s="538" t="s">
        <v>406</v>
      </c>
      <c r="BH51" s="539" t="str">
        <f>INDEX([1]!List_StateInputAll,MATCH(BG51,[1]!List_StateInput,0),2)</f>
        <v>Non-CA</v>
      </c>
      <c r="BI51" s="540" t="str">
        <f>INDEX([1]!List_StateInputAll,MATCH(BG51,[1]!List_StateInput,0),3)</f>
        <v>Y</v>
      </c>
      <c r="BJ51" s="540" t="str">
        <f>INDEX([1]!List_StateInputAll,MATCH(BG51,[1]!List_StateInput,0),4)</f>
        <v>Y</v>
      </c>
      <c r="BK51" s="540" t="str">
        <f>INDEX([1]!List_StateInputAll,MATCH(BG51,[1]!List_StateInput,0),5)</f>
        <v xml:space="preserve"> </v>
      </c>
      <c r="BL51" s="570" t="str">
        <f>INDEX([1]!List_StateInputAll,MATCH(BG51,[1]!List_StateInput,0),6)</f>
        <v>No Prepay</v>
      </c>
      <c r="BM51" s="570" t="str">
        <f>INDEX([1]!List_StateInputAll,MATCH(BG51,[1]!List_StateInput,0),7)</f>
        <v>No Prepay Allowed</v>
      </c>
      <c r="BN51" s="540" t="str">
        <f>INDEX([1]!List_StateInputAll,MATCH(BG51,[1]!List_StateInput,0),8)</f>
        <v>Vermont</v>
      </c>
      <c r="BO51" s="540" t="str">
        <f>INDEX([1]!List_StateInputAll,MATCH(BG51,[1]!List_StateInput,0),9)</f>
        <v>Y</v>
      </c>
      <c r="BP51" s="541" t="str">
        <f>INDEX([1]!List_StateInputAll,MATCH(BG51,[1]!List_StateInput,0),10)</f>
        <v>Y</v>
      </c>
      <c r="BQ51" s="540" t="str">
        <f>INDEX([1]!List_StateInputAll,MATCH(BG51,[1]!List_StateInput,0),11)</f>
        <v>N</v>
      </c>
      <c r="BR51" s="542" t="str">
        <f>INDEX([1]!List_StateInputAll,MATCH(BG51,[1]!List_StateInput,0),12)</f>
        <v>N</v>
      </c>
      <c r="BS51" s="541" t="str">
        <f>INDEX([1]!List_StateInputAll,MATCH(BG51,[1]!List_StateInput,0),13)</f>
        <v xml:space="preserve"> </v>
      </c>
      <c r="BT51" s="522" t="str">
        <f>IF(OR(Input_Ratesheet_Source="Corr1",Input_Ratesheet_Source="Corr2",Input_Ratesheet_Source="Corr3",Input_Ratesheet_Source="CorrND"),BI51,IF(Input_Ratesheet_Source="Whol",IF(Input_Occupancy="Non Owner Occupied",BP51,BO51),IF(Input_Ratesheet_Source="Retl",IF(Input_Occupancy="Non Owner Occupied",IF(IF(IFERROR(FIND(Input_ProductClass,Structure!BS51),0)&gt;=1,"N","Y")="N","N",BR51),BQ51),"")))</f>
        <v>Y</v>
      </c>
      <c r="BU51" s="541" t="str">
        <f>INDEX([1]!List_StateInputAll,MATCH(BG51,[1]!List_StateInput,0),14)</f>
        <v>Wet</v>
      </c>
      <c r="BV51" s="541">
        <f>INDEX([1]!List_StateInputAll,MATCH(BG51,[1]!List_StateInput,0),15)</f>
        <v>1</v>
      </c>
      <c r="BW51" s="539" t="str">
        <f>INDEX([1]!List_StateInputAll,MATCH(BG51,[1]!List_StateInput,0),16)</f>
        <v>Rate</v>
      </c>
      <c r="BX51" s="543">
        <f>INDEX([1]!List_StateInputAll,MATCH(BG51,[1]!List_StateInput,0),17)</f>
        <v>6.25</v>
      </c>
      <c r="BY51" s="543">
        <f>INDEX([1]!List_StateInputAll,MATCH(BG51,[1]!List_StateInput,0),18)</f>
        <v>8.5</v>
      </c>
      <c r="BZ51" s="543">
        <f>INDEX([1]!List_StateInputAll,MATCH(BG51,[1]!List_StateInput,0),19)</f>
        <v>4</v>
      </c>
      <c r="CA51" s="540">
        <f>INDEX([1]!List_StateInputAll,MATCH(BG51,[1]!List_StateInput,0),20)</f>
        <v>0</v>
      </c>
      <c r="CB51" s="540" t="str">
        <f>INDEX([1]!List_StateInputAll,MATCH(BG51,[1]!List_StateInput,0),21)</f>
        <v>Owner Occupied, Second Home, Non Owner Occupied</v>
      </c>
      <c r="CC51" s="540" t="str">
        <f>INDEX([1]!List_StateInputAll,MATCH(BG51,[1]!List_StateInput,0),22)</f>
        <v>Purchase, Rate-Term, Cash-Out</v>
      </c>
      <c r="CD51" s="541">
        <f>INDEX([1]!List_StateInputAll,MATCH(BG51,[1]!List_StateInput,0),23)</f>
        <v>0</v>
      </c>
      <c r="CE51" s="541" t="str">
        <f>INDEX([1]!List_StateInputAll,MATCH(BG51,[1]!List_StateInput,0),24)</f>
        <v>Y</v>
      </c>
    </row>
    <row r="52" spans="3:83" ht="9.6" customHeight="1" x14ac:dyDescent="0.2">
      <c r="C52" s="746"/>
      <c r="D52" s="942" t="str">
        <f>IFERROR(INDEX(Lookup_NoteRateAll,MATCH(INDEX(List_ProductAll,MATCH(Input_Product,List_Product,0),2)&amp;"_01",Lookup_NoteRateStack,0),1),"na")</f>
        <v>IT_013.3750000000</v>
      </c>
      <c r="E52" s="942">
        <f>IFERROR(INDEX(Lookup_NoteRateAll,MATCH(INDEX(List_ProductAll,MATCH(Input_Product,List_Product,0),2)&amp;"_01",Lookup_NoteRateStack,0),2),"na")</f>
        <v>13.375</v>
      </c>
      <c r="F52" s="942">
        <f>IFERROR(INDEX(Lookup_NoteRateAll,MATCH(INDEX(List_ProductAll,MATCH(Input_Product,List_Product,0),2)&amp;"_01",Lookup_NoteRateStack,0),5),"na")</f>
        <v>111</v>
      </c>
      <c r="G52" s="942">
        <f t="shared" ref="G52:G92" si="14">IF(F52="na","na",Result_TotalLLPA)</f>
        <v>-0.125</v>
      </c>
      <c r="H52" s="942">
        <f t="shared" ref="H52:H92" si="15">IFERROR(IF((F52+Output_LLPA_Total+Output_PriceNegotiated)&gt;Output_PriceMax,Output_PriceMax,(F52+Output_LLPA_Total+Output_PriceNegotiated)),"na")</f>
        <v>102.5</v>
      </c>
      <c r="I52" s="942">
        <f>IFERROR(INDEX(Lookup_NoteRateAll,MATCH(INDEX(List_ProductAll,MATCH(Input_Product,List_Product,0),2)&amp;"_01",Lookup_NoteRateStack,0),7),"na")</f>
        <v>0</v>
      </c>
      <c r="J52" s="1053"/>
      <c r="K52" s="1054"/>
      <c r="L52" s="460" t="s">
        <v>76</v>
      </c>
      <c r="M52" s="1143" t="s">
        <v>146</v>
      </c>
      <c r="N52" s="1144" t="s">
        <v>171</v>
      </c>
      <c r="O52" s="461"/>
      <c r="P52" s="461"/>
      <c r="R52" s="2196" t="s">
        <v>1457</v>
      </c>
      <c r="S52" s="2197"/>
      <c r="T52" s="461"/>
      <c r="U52" s="461"/>
      <c r="V52" s="461"/>
      <c r="W52" s="460" t="s">
        <v>76</v>
      </c>
      <c r="X52" s="745" t="s">
        <v>76</v>
      </c>
      <c r="Y52" s="746" t="str">
        <f t="shared" ref="Y52:Y72" si="16">IF(IFERROR(FIND(X52,INDEX(List_State_All,MATCH(Input_State,List_State,0),6)),0)&gt;0,X52,"")</f>
        <v xml:space="preserve"> </v>
      </c>
      <c r="Z52" s="747">
        <f>IF(Y52="","",MAX(Z$50:Z51)+1)</f>
        <v>2</v>
      </c>
      <c r="AA52" s="748" t="s">
        <v>76</v>
      </c>
      <c r="AB52" s="1343"/>
      <c r="AC52" s="680" t="s">
        <v>33</v>
      </c>
      <c r="AD52" s="713"/>
      <c r="AF52" s="719" t="s">
        <v>1466</v>
      </c>
      <c r="AG52" s="720" t="s">
        <v>1469</v>
      </c>
      <c r="AH52" s="633" t="s">
        <v>1468</v>
      </c>
      <c r="AQ52" s="721">
        <v>800</v>
      </c>
      <c r="AR52" s="716" t="s">
        <v>1101</v>
      </c>
      <c r="AV52" s="1116" t="s">
        <v>481</v>
      </c>
      <c r="AW52" s="1100" t="s">
        <v>477</v>
      </c>
      <c r="AX52" s="1097" t="str">
        <f t="shared" si="9"/>
        <v>PN_008.8750000000</v>
      </c>
      <c r="AY52" s="1098">
        <f>[1]!PN_R07</f>
        <v>8.875</v>
      </c>
      <c r="AZ52" s="1099" t="e">
        <f>[1]!PN_ARM05_P07+Input_PL_Incentive_PN</f>
        <v>#N/A</v>
      </c>
      <c r="BA52" s="1099" t="e">
        <f>[1]!PN_FRM30_P07+Input_PL_Incentive_PN</f>
        <v>#N/A</v>
      </c>
      <c r="BB52" s="1097" t="e">
        <f t="shared" si="12"/>
        <v>#N/A</v>
      </c>
      <c r="BC52" s="1097" t="e">
        <f t="shared" si="10"/>
        <v>#N/A</v>
      </c>
      <c r="BD52" s="1097"/>
      <c r="BE52" s="1117" t="s">
        <v>1604</v>
      </c>
      <c r="BG52" s="538" t="s">
        <v>407</v>
      </c>
      <c r="BH52" s="539" t="str">
        <f>INDEX([1]!List_StateInputAll,MATCH(BG52,[1]!List_StateInput,0),2)</f>
        <v>Non-CA</v>
      </c>
      <c r="BI52" s="540" t="str">
        <f>INDEX([1]!List_StateInputAll,MATCH(BG52,[1]!List_StateInput,0),3)</f>
        <v>Y</v>
      </c>
      <c r="BJ52" s="540" t="str">
        <f>INDEX([1]!List_StateInputAll,MATCH(BG52,[1]!List_StateInput,0),4)</f>
        <v>Y</v>
      </c>
      <c r="BK52" s="540" t="str">
        <f>INDEX([1]!List_StateInputAll,MATCH(BG52,[1]!List_StateInput,0),5)</f>
        <v xml:space="preserve"> </v>
      </c>
      <c r="BL52" s="540" t="str">
        <f>INDEX([1]!List_StateInputAll,MATCH(BG52,[1]!List_StateInput,0),6)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52" s="540" t="str">
        <f>INDEX([1]!List_StateInputAll,MATCH(BG52,[1]!List_StateInput,0),7)</f>
        <v>Prepay Restriction May Apply.  Prepay only available on Business Purpose Loans</v>
      </c>
      <c r="BN52" s="540" t="str">
        <f>INDEX([1]!List_StateInputAll,MATCH(BG52,[1]!List_StateInput,0),8)</f>
        <v>Washington</v>
      </c>
      <c r="BO52" s="540" t="str">
        <f>INDEX([1]!List_StateInputAll,MATCH(BG52,[1]!List_StateInput,0),9)</f>
        <v>Y</v>
      </c>
      <c r="BP52" s="541" t="str">
        <f>INDEX([1]!List_StateInputAll,MATCH(BG52,[1]!List_StateInput,0),10)</f>
        <v>Y</v>
      </c>
      <c r="BQ52" s="540" t="str">
        <f>INDEX([1]!List_StateInputAll,MATCH(BG52,[1]!List_StateInput,0),11)</f>
        <v>N</v>
      </c>
      <c r="BR52" s="542" t="str">
        <f>INDEX([1]!List_StateInputAll,MATCH(BG52,[1]!List_StateInput,0),12)</f>
        <v>Y</v>
      </c>
      <c r="BS52" s="541" t="str">
        <f>INDEX([1]!List_StateInputAll,MATCH(BG52,[1]!List_StateInput,0),13)</f>
        <v xml:space="preserve"> </v>
      </c>
      <c r="BT52" s="522" t="str">
        <f>IF(OR(Input_Ratesheet_Source="Corr1",Input_Ratesheet_Source="Corr2",Input_Ratesheet_Source="Corr3",Input_Ratesheet_Source="CorrND"),BI52,IF(Input_Ratesheet_Source="Whol",IF(Input_Occupancy="Non Owner Occupied",BP52,BO52),IF(Input_Ratesheet_Source="Retl",IF(Input_Occupancy="Non Owner Occupied",IF(IF(IFERROR(FIND(Input_ProductClass,Structure!BS52),0)&gt;=1,"N","Y")="N","N",BR52),BQ52),"")))</f>
        <v>Y</v>
      </c>
      <c r="BU52" s="541" t="str">
        <f>INDEX([1]!List_StateInputAll,MATCH(BG52,[1]!List_StateInput,0),14)</f>
        <v>Dry</v>
      </c>
      <c r="BV52" s="541">
        <f>INDEX([1]!List_StateInputAll,MATCH(BG52,[1]!List_StateInput,0),15)</f>
        <v>1</v>
      </c>
      <c r="BW52" s="539" t="str">
        <f>INDEX([1]!List_StateInputAll,MATCH(BG52,[1]!List_StateInput,0),16)</f>
        <v>APOR</v>
      </c>
      <c r="BX52" s="543">
        <f>INDEX([1]!List_StateInputAll,MATCH(BG52,[1]!List_StateInput,0),17)</f>
        <v>6.5</v>
      </c>
      <c r="BY52" s="543">
        <f>INDEX([1]!List_StateInputAll,MATCH(BG52,[1]!List_StateInput,0),18)</f>
        <v>8.5</v>
      </c>
      <c r="BZ52" s="543">
        <f>INDEX([1]!List_StateInputAll,MATCH(BG52,[1]!List_StateInput,0),19)</f>
        <v>5</v>
      </c>
      <c r="CA52" s="540">
        <f>INDEX([1]!List_StateInputAll,MATCH(BG52,[1]!List_StateInput,0),20)</f>
        <v>0</v>
      </c>
      <c r="CB52" s="540" t="str">
        <f>INDEX([1]!List_StateInputAll,MATCH(BG52,[1]!List_StateInput,0),21)</f>
        <v>Owner Occupied</v>
      </c>
      <c r="CC52" s="540" t="str">
        <f>INDEX([1]!List_StateInputAll,MATCH(BG52,[1]!List_StateInput,0),22)</f>
        <v>Purchase, Rate-Term, Cash-Out</v>
      </c>
      <c r="CD52" s="541">
        <f>INDEX([1]!List_StateInputAll,MATCH(BG52,[1]!List_StateInput,0),23)</f>
        <v>0</v>
      </c>
      <c r="CE52" s="541" t="str">
        <f>INDEX([1]!List_StateInputAll,MATCH(BG52,[1]!List_StateInput,0),24)</f>
        <v>Y</v>
      </c>
    </row>
    <row r="53" spans="3:83" ht="9.6" customHeight="1" x14ac:dyDescent="0.2">
      <c r="C53" s="746"/>
      <c r="D53" s="942" t="str">
        <f>IFERROR(INDEX(Lookup_NoteRateAll,MATCH(INDEX(List_ProductAll,MATCH(Input_Product,List_Product,0),2)&amp;"_02",Lookup_NoteRateStack,0),1),"na")</f>
        <v>IT_013.2500000000</v>
      </c>
      <c r="E53" s="942">
        <f>IFERROR(INDEX(Lookup_NoteRateAll,MATCH(INDEX(List_ProductAll,MATCH(Input_Product,List_Product,0),2)&amp;"_02",Lookup_NoteRateStack,0),2),"na")</f>
        <v>13.25</v>
      </c>
      <c r="F53" s="942">
        <f>IFERROR(INDEX(Lookup_NoteRateAll,MATCH(INDEX(List_ProductAll,MATCH(Input_Product,List_Product,0),2)&amp;"_02",Lookup_NoteRateStack,0),5),"na")</f>
        <v>110.875</v>
      </c>
      <c r="G53" s="942">
        <f t="shared" si="14"/>
        <v>-0.125</v>
      </c>
      <c r="H53" s="942">
        <f t="shared" si="15"/>
        <v>102.5</v>
      </c>
      <c r="I53" s="942">
        <f>IFERROR(INDEX(Lookup_NoteRateAll,MATCH(INDEX(List_ProductAll,MATCH(Input_Product,List_Product,0),2)&amp;"_02",Lookup_NoteRateStack,0),7),"na")</f>
        <v>0</v>
      </c>
      <c r="J53" s="1465" t="s">
        <v>88</v>
      </c>
      <c r="K53" s="1055"/>
      <c r="L53" s="460" t="s">
        <v>76</v>
      </c>
      <c r="M53" s="1181" t="s">
        <v>483</v>
      </c>
      <c r="N53" s="1182" t="s">
        <v>1034</v>
      </c>
      <c r="O53" s="461"/>
      <c r="P53" s="766" t="s">
        <v>305</v>
      </c>
      <c r="Q53" s="767" t="s">
        <v>1464</v>
      </c>
      <c r="R53" s="767" t="s">
        <v>1492</v>
      </c>
      <c r="S53" s="767" t="s">
        <v>1493</v>
      </c>
      <c r="T53" s="461"/>
      <c r="U53" s="461"/>
      <c r="V53" s="461"/>
      <c r="W53" s="460" t="s">
        <v>76</v>
      </c>
      <c r="X53" s="749" t="s">
        <v>1821</v>
      </c>
      <c r="Y53" s="750" t="str">
        <f t="shared" si="16"/>
        <v>5yr Prepay_Standard</v>
      </c>
      <c r="Z53" s="751">
        <f>IF(Y53="","",MAX(Z$50:Z52)+1)</f>
        <v>3</v>
      </c>
      <c r="AA53" s="752" t="s">
        <v>1821</v>
      </c>
      <c r="AB53" s="1343"/>
      <c r="AC53" s="1195" t="s">
        <v>34</v>
      </c>
      <c r="AD53" s="1196" t="str">
        <f>AC53</f>
        <v>Purchase</v>
      </c>
      <c r="AF53" s="723">
        <v>1</v>
      </c>
      <c r="AG53" s="724" cm="1">
        <f t="array" ref="AG53">[1]!Input_Agency_Unit1_1</f>
        <v>806500</v>
      </c>
      <c r="AH53" s="725" cm="1">
        <f t="array" ref="AH53">[1]!Input_Agency_Unit1_2</f>
        <v>1209750</v>
      </c>
      <c r="AV53" s="1116" t="s">
        <v>481</v>
      </c>
      <c r="AW53" s="1100" t="s">
        <v>477</v>
      </c>
      <c r="AX53" s="1097" t="str">
        <f t="shared" si="9"/>
        <v>PN_008.7500000000</v>
      </c>
      <c r="AY53" s="1098">
        <f>[1]!PN_R08</f>
        <v>8.75</v>
      </c>
      <c r="AZ53" s="1099" t="e">
        <f>[1]!PN_ARM05_P08+Input_PL_Incentive_PN</f>
        <v>#N/A</v>
      </c>
      <c r="BA53" s="1099" t="e">
        <f>[1]!PN_FRM30_P08+Input_PL_Incentive_PN</f>
        <v>#N/A</v>
      </c>
      <c r="BB53" s="1097" t="e">
        <f t="shared" si="12"/>
        <v>#N/A</v>
      </c>
      <c r="BC53" s="1097" t="e">
        <f t="shared" si="10"/>
        <v>#N/A</v>
      </c>
      <c r="BD53" s="1097"/>
      <c r="BE53" s="1117" t="s">
        <v>1605</v>
      </c>
      <c r="BG53" s="538" t="s">
        <v>408</v>
      </c>
      <c r="BH53" s="539" t="str">
        <f>INDEX([1]!List_StateInputAll,MATCH(BG53,[1]!List_StateInput,0),2)</f>
        <v>Non-CA</v>
      </c>
      <c r="BI53" s="540" t="str">
        <f>INDEX([1]!List_StateInputAll,MATCH(BG53,[1]!List_StateInput,0),3)</f>
        <v>Y</v>
      </c>
      <c r="BJ53" s="540" t="str">
        <f>INDEX([1]!List_StateInputAll,MATCH(BG53,[1]!List_StateInput,0),4)</f>
        <v>Y</v>
      </c>
      <c r="BK53" s="540" t="str">
        <f>INDEX([1]!List_StateInputAll,MATCH(BG53,[1]!List_StateInput,0),5)</f>
        <v xml:space="preserve"> </v>
      </c>
      <c r="BL53" s="540" t="str">
        <f>INDEX([1]!List_StateInputAll,MATCH(BG53,[1]!List_StateInput,0),6)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53" s="540" t="str">
        <f>INDEX([1]!List_StateInputAll,MATCH(BG53,[1]!List_StateInput,0),7)</f>
        <v>Prepay Restriction May Apply: No PPP permitted on ARMS.  Prepay only available on Business Purpose Loans</v>
      </c>
      <c r="BN53" s="540" t="str">
        <f>INDEX([1]!List_StateInputAll,MATCH(BG53,[1]!List_StateInput,0),8)</f>
        <v>Wisconsin</v>
      </c>
      <c r="BO53" s="540" t="str">
        <f>INDEX([1]!List_StateInputAll,MATCH(BG53,[1]!List_StateInput,0),9)</f>
        <v>Y</v>
      </c>
      <c r="BP53" s="541" t="str">
        <f>INDEX([1]!List_StateInputAll,MATCH(BG53,[1]!List_StateInput,0),10)</f>
        <v>Y</v>
      </c>
      <c r="BQ53" s="540" t="str">
        <f>INDEX([1]!List_StateInputAll,MATCH(BG53,[1]!List_StateInput,0),11)</f>
        <v>N</v>
      </c>
      <c r="BR53" s="542" t="str">
        <f>INDEX([1]!List_StateInputAll,MATCH(BG53,[1]!List_StateInput,0),12)</f>
        <v>Y</v>
      </c>
      <c r="BS53" s="541" t="str">
        <f>INDEX([1]!List_StateInputAll,MATCH(BG53,[1]!List_StateInput,0),13)</f>
        <v xml:space="preserve"> </v>
      </c>
      <c r="BT53" s="522" t="str">
        <f>IF(OR(Input_Ratesheet_Source="Corr1",Input_Ratesheet_Source="Corr2",Input_Ratesheet_Source="Corr3",Input_Ratesheet_Source="CorrND"),BI53,IF(Input_Ratesheet_Source="Whol",IF(Input_Occupancy="Non Owner Occupied",BP53,BO53),IF(Input_Ratesheet_Source="Retl",IF(Input_Occupancy="Non Owner Occupied",IF(IF(IFERROR(FIND(Input_ProductClass,Structure!BS53),0)&gt;=1,"N","Y")="N","N",BR53),BQ53),"")))</f>
        <v>Y</v>
      </c>
      <c r="BU53" s="541" t="str">
        <f>INDEX([1]!List_StateInputAll,MATCH(BG53,[1]!List_StateInput,0),14)</f>
        <v>Wet</v>
      </c>
      <c r="BV53" s="541">
        <f>INDEX([1]!List_StateInputAll,MATCH(BG53,[1]!List_StateInput,0),15)</f>
        <v>1</v>
      </c>
      <c r="BW53" s="539" t="str">
        <f>INDEX([1]!List_StateInputAll,MATCH(BG53,[1]!List_StateInput,0),16)</f>
        <v>APOR</v>
      </c>
      <c r="BX53" s="543">
        <f>INDEX([1]!List_StateInputAll,MATCH(BG53,[1]!List_StateInput,0),17)</f>
        <v>6.5</v>
      </c>
      <c r="BY53" s="543">
        <f>INDEX([1]!List_StateInputAll,MATCH(BG53,[1]!List_StateInput,0),18)</f>
        <v>8.5</v>
      </c>
      <c r="BZ53" s="543">
        <f>INDEX([1]!List_StateInputAll,MATCH(BG53,[1]!List_StateInput,0),19)</f>
        <v>6</v>
      </c>
      <c r="CA53" s="540">
        <f>INDEX([1]!List_StateInputAll,MATCH(BG53,[1]!List_StateInput,0),20)</f>
        <v>0</v>
      </c>
      <c r="CB53" s="540" t="str">
        <f>INDEX([1]!List_StateInputAll,MATCH(BG53,[1]!List_StateInput,0),21)</f>
        <v>Owner Occupied</v>
      </c>
      <c r="CC53" s="540" t="str">
        <f>INDEX([1]!List_StateInputAll,MATCH(BG53,[1]!List_StateInput,0),22)</f>
        <v>Purchase, Rate-Term, Cash-Out</v>
      </c>
      <c r="CD53" s="541">
        <f>INDEX([1]!List_StateInputAll,MATCH(BG53,[1]!List_StateInput,0),23)</f>
        <v>0</v>
      </c>
      <c r="CE53" s="541" t="str">
        <f>INDEX([1]!List_StateInputAll,MATCH(BG53,[1]!List_StateInput,0),24)</f>
        <v>Y</v>
      </c>
    </row>
    <row r="54" spans="3:83" ht="9.6" customHeight="1" x14ac:dyDescent="0.2">
      <c r="C54" s="746"/>
      <c r="D54" s="942" t="str">
        <f>IFERROR(INDEX(Lookup_NoteRateAll,MATCH(INDEX(List_ProductAll,MATCH(Input_Product,List_Product,0),2)&amp;"_03",Lookup_NoteRateStack,0),1),"na")</f>
        <v>IT_013.1250000000</v>
      </c>
      <c r="E54" s="942">
        <f>IFERROR(INDEX(Lookup_NoteRateAll,MATCH(INDEX(List_ProductAll,MATCH(Input_Product,List_Product,0),2)&amp;"_03",Lookup_NoteRateStack,0),2),"na")</f>
        <v>13.125</v>
      </c>
      <c r="F54" s="942">
        <f>IFERROR(INDEX(Lookup_NoteRateAll,MATCH(INDEX(List_ProductAll,MATCH(Input_Product,List_Product,0),2)&amp;"_03",Lookup_NoteRateStack,0),5),"na")</f>
        <v>110.75</v>
      </c>
      <c r="G54" s="942">
        <f t="shared" si="14"/>
        <v>-0.125</v>
      </c>
      <c r="H54" s="942">
        <f t="shared" si="15"/>
        <v>102.5</v>
      </c>
      <c r="I54" s="942">
        <f>IFERROR(INDEX(Lookup_NoteRateAll,MATCH(INDEX(List_ProductAll,MATCH(Input_Product,List_Product,0),2)&amp;"_03",Lookup_NoteRateStack,0),7),"na")</f>
        <v>0</v>
      </c>
      <c r="J54" s="973" t="str">
        <f>INDEX(Lookup_Price_Output_All,MATCH(Input_NoteRate_Calc,Lookup_Price_Output_Code,-1),1)</f>
        <v>IT_009.0000000000</v>
      </c>
      <c r="K54" s="1054" t="s">
        <v>76</v>
      </c>
      <c r="L54" s="460" t="s">
        <v>76</v>
      </c>
      <c r="M54" s="1183" t="s">
        <v>484</v>
      </c>
      <c r="N54" s="1184" t="s">
        <v>1034</v>
      </c>
      <c r="O54" s="461"/>
      <c r="P54" s="769">
        <v>480</v>
      </c>
      <c r="Q54" s="770" cm="1">
        <f t="array" ref="Q54">[1]!Input_Index_Treasury30yr</f>
        <v>4.96</v>
      </c>
      <c r="R54" s="770" cm="1">
        <f t="array" ref="R54">[1]!Input_Index_APOR_FRM30</f>
        <v>6.89</v>
      </c>
      <c r="S54" s="771" t="e" cm="1">
        <f t="array" ref="S54">[1]!Input_Index_APOR_ARM30</f>
        <v>#N/A</v>
      </c>
      <c r="T54" s="461"/>
      <c r="U54" s="461"/>
      <c r="V54" s="461"/>
      <c r="W54" s="460" t="s">
        <v>76</v>
      </c>
      <c r="X54" s="755" t="s">
        <v>1820</v>
      </c>
      <c r="Y54" s="756" t="str">
        <f t="shared" si="16"/>
        <v>4yr Prepay_Standard</v>
      </c>
      <c r="Z54" s="757">
        <f>IF(Y54="","",MAX(Z$50:Z53)+1)</f>
        <v>4</v>
      </c>
      <c r="AA54" s="758" t="s">
        <v>1820</v>
      </c>
      <c r="AB54" s="1343"/>
      <c r="AC54" s="1197" t="s">
        <v>35</v>
      </c>
      <c r="AD54" s="1198" t="str">
        <f>AC54</f>
        <v>Rate-Term</v>
      </c>
      <c r="AF54" s="726">
        <v>2</v>
      </c>
      <c r="AG54" s="727" cm="1">
        <f t="array" ref="AG54">[1]!Input_Agency_Unit2_1</f>
        <v>1032650</v>
      </c>
      <c r="AH54" s="728" cm="1">
        <f t="array" ref="AH54">[1]!Input_Agency_Unit2_2</f>
        <v>1548975</v>
      </c>
      <c r="AV54" s="1116" t="s">
        <v>481</v>
      </c>
      <c r="AW54" s="1100" t="s">
        <v>477</v>
      </c>
      <c r="AX54" s="1097" t="str">
        <f t="shared" si="9"/>
        <v>PN_008.6250000000</v>
      </c>
      <c r="AY54" s="1098">
        <f>[1]!PN_R09</f>
        <v>8.625</v>
      </c>
      <c r="AZ54" s="1099" t="e">
        <f>[1]!PN_ARM05_P09+Input_PL_Incentive_PN</f>
        <v>#N/A</v>
      </c>
      <c r="BA54" s="1099" t="e">
        <f>[1]!PN_FRM30_P09+Input_PL_Incentive_PN</f>
        <v>#N/A</v>
      </c>
      <c r="BB54" s="1097" t="e">
        <f t="shared" si="12"/>
        <v>#N/A</v>
      </c>
      <c r="BC54" s="1097" t="e">
        <f t="shared" si="10"/>
        <v>#N/A</v>
      </c>
      <c r="BD54" s="1097"/>
      <c r="BE54" s="1117" t="s">
        <v>1606</v>
      </c>
      <c r="BG54" s="538" t="s">
        <v>409</v>
      </c>
      <c r="BH54" s="539" t="str">
        <f>INDEX([1]!List_StateInputAll,MATCH(BG54,[1]!List_StateInput,0),2)</f>
        <v>Non-CA</v>
      </c>
      <c r="BI54" s="540" t="str">
        <f>INDEX([1]!List_StateInputAll,MATCH(BG54,[1]!List_StateInput,0),3)</f>
        <v>Y</v>
      </c>
      <c r="BJ54" s="540" t="str">
        <f>INDEX([1]!List_StateInputAll,MATCH(BG54,[1]!List_StateInput,0),4)</f>
        <v>Y</v>
      </c>
      <c r="BK54" s="540" t="str">
        <f>INDEX([1]!List_StateInputAll,MATCH(BG54,[1]!List_StateInput,0),5)</f>
        <v xml:space="preserve"> </v>
      </c>
      <c r="BL54" s="540" t="str">
        <f>INDEX([1]!List_StateInputAll,MATCH(BG54,[1]!List_StateInput,0),6)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54" s="540" t="str">
        <f>INDEX([1]!List_StateInputAll,MATCH(BG54,[1]!List_StateInput,0),7)</f>
        <v>Prepay only available on Business Purpose Loans</v>
      </c>
      <c r="BN54" s="540" t="str">
        <f>INDEX([1]!List_StateInputAll,MATCH(BG54,[1]!List_StateInput,0),8)</f>
        <v>WestVirginia</v>
      </c>
      <c r="BO54" s="540" t="str">
        <f>INDEX([1]!List_StateInputAll,MATCH(BG54,[1]!List_StateInput,0),9)</f>
        <v>Y</v>
      </c>
      <c r="BP54" s="541" t="str">
        <f>INDEX([1]!List_StateInputAll,MATCH(BG54,[1]!List_StateInput,0),10)</f>
        <v>Y</v>
      </c>
      <c r="BQ54" s="540" t="str">
        <f>INDEX([1]!List_StateInputAll,MATCH(BG54,[1]!List_StateInput,0),11)</f>
        <v>N</v>
      </c>
      <c r="BR54" s="542" t="str">
        <f>INDEX([1]!List_StateInputAll,MATCH(BG54,[1]!List_StateInput,0),12)</f>
        <v>Y</v>
      </c>
      <c r="BS54" s="541" t="str">
        <f>INDEX([1]!List_StateInputAll,MATCH(BG54,[1]!List_StateInput,0),13)</f>
        <v xml:space="preserve"> </v>
      </c>
      <c r="BT54" s="522" t="str">
        <f>IF(OR(Input_Ratesheet_Source="Corr1",Input_Ratesheet_Source="Corr2",Input_Ratesheet_Source="Corr3",Input_Ratesheet_Source="CorrND"),BI54,IF(Input_Ratesheet_Source="Whol",IF(Input_Occupancy="Non Owner Occupied",BP54,BO54),IF(Input_Ratesheet_Source="Retl",IF(Input_Occupancy="Non Owner Occupied",IF(IF(IFERROR(FIND(Input_ProductClass,Structure!BS54),0)&gt;=1,"N","Y")="N","N",BR54),BQ54),"")))</f>
        <v>Y</v>
      </c>
      <c r="BU54" s="541" t="str">
        <f>INDEX([1]!List_StateInputAll,MATCH(BG54,[1]!List_StateInput,0),14)</f>
        <v>Wet</v>
      </c>
      <c r="BV54" s="541">
        <f>INDEX([1]!List_StateInputAll,MATCH(BG54,[1]!List_StateInput,0),15)</f>
        <v>1</v>
      </c>
      <c r="BW54" s="539" t="str">
        <f>INDEX([1]!List_StateInputAll,MATCH(BG54,[1]!List_StateInput,0),16)</f>
        <v>APOR</v>
      </c>
      <c r="BX54" s="543">
        <f>INDEX([1]!List_StateInputAll,MATCH(BG54,[1]!List_StateInput,0),17)</f>
        <v>6.5</v>
      </c>
      <c r="BY54" s="543">
        <f>INDEX([1]!List_StateInputAll,MATCH(BG54,[1]!List_StateInput,0),18)</f>
        <v>8.5</v>
      </c>
      <c r="BZ54" s="543">
        <f>INDEX([1]!List_StateInputAll,MATCH(BG54,[1]!List_StateInput,0),19)</f>
        <v>5</v>
      </c>
      <c r="CA54" s="540">
        <f>INDEX([1]!List_StateInputAll,MATCH(BG54,[1]!List_StateInput,0),20)</f>
        <v>0</v>
      </c>
      <c r="CB54" s="540" t="str">
        <f>INDEX([1]!List_StateInputAll,MATCH(BG54,[1]!List_StateInput,0),21)</f>
        <v>Owner Occupied</v>
      </c>
      <c r="CC54" s="540" t="str">
        <f>INDEX([1]!List_StateInputAll,MATCH(BG54,[1]!List_StateInput,0),22)</f>
        <v>Purchase, Rate-Term, Cash-Out</v>
      </c>
      <c r="CD54" s="541">
        <f>INDEX([1]!List_StateInputAll,MATCH(BG54,[1]!List_StateInput,0),23)</f>
        <v>0</v>
      </c>
      <c r="CE54" s="541" t="str">
        <f>INDEX([1]!List_StateInputAll,MATCH(BG54,[1]!List_StateInput,0),24)</f>
        <v>Y</v>
      </c>
    </row>
    <row r="55" spans="3:83" ht="9.6" customHeight="1" x14ac:dyDescent="0.2">
      <c r="C55" s="746"/>
      <c r="D55" s="942" t="str">
        <f>IFERROR(INDEX(Lookup_NoteRateAll,MATCH(INDEX(List_ProductAll,MATCH(Input_Product,List_Product,0),2)&amp;"_04",Lookup_NoteRateStack,0),1),"na")</f>
        <v>IT_013.0000000000</v>
      </c>
      <c r="E55" s="942">
        <f>IFERROR(INDEX(Lookup_NoteRateAll,MATCH(INDEX(List_ProductAll,MATCH(Input_Product,List_Product,0),2)&amp;"_04",Lookup_NoteRateStack,0),2),"na")</f>
        <v>13</v>
      </c>
      <c r="F55" s="942">
        <f>IFERROR(INDEX(Lookup_NoteRateAll,MATCH(INDEX(List_ProductAll,MATCH(Input_Product,List_Product,0),2)&amp;"_04",Lookup_NoteRateStack,0),5),"na")</f>
        <v>110.625</v>
      </c>
      <c r="G55" s="942">
        <f t="shared" si="14"/>
        <v>-0.125</v>
      </c>
      <c r="H55" s="942">
        <f t="shared" si="15"/>
        <v>102.5</v>
      </c>
      <c r="I55" s="942">
        <f>IFERROR(INDEX(Lookup_NoteRateAll,MATCH(INDEX(List_ProductAll,MATCH(Input_Product,List_Product,0),2)&amp;"_04",Lookup_NoteRateStack,0),7),"na")</f>
        <v>0</v>
      </c>
      <c r="J55" s="974" t="str" cm="1">
        <f t="array" ref="J55">INDEX(Lookup_Price_Output_All,MATCH(Input_NoteRate_Calc,Lookup_Price_Output_Code,-1)+1,1)</f>
        <v>IT_008.8750000000</v>
      </c>
      <c r="K55" s="1054" t="s">
        <v>76</v>
      </c>
      <c r="L55" s="460" t="s">
        <v>76</v>
      </c>
      <c r="M55" s="1185" t="s">
        <v>485</v>
      </c>
      <c r="N55" s="1184" t="s">
        <v>1034</v>
      </c>
      <c r="O55" s="461"/>
      <c r="P55" s="774">
        <v>360</v>
      </c>
      <c r="Q55" s="775" cm="1">
        <f t="array" ref="Q55">[1]!Input_Index_Treasury30yr</f>
        <v>4.96</v>
      </c>
      <c r="R55" s="775" cm="1">
        <f t="array" ref="R55">[1]!Input_Index_APOR_FRM30</f>
        <v>6.89</v>
      </c>
      <c r="S55" s="776" t="e" cm="1">
        <f t="array" ref="S55">[1]!Input_Index_APOR_ARM30</f>
        <v>#N/A</v>
      </c>
      <c r="T55" s="461"/>
      <c r="U55" s="461"/>
      <c r="V55" s="461"/>
      <c r="W55" s="460" t="s">
        <v>76</v>
      </c>
      <c r="X55" s="755" t="s">
        <v>1819</v>
      </c>
      <c r="Y55" s="756" t="str">
        <f t="shared" si="16"/>
        <v>3yr Prepay_Standard</v>
      </c>
      <c r="Z55" s="757">
        <f>IF(Y55="","",MAX(Z$50:Z54)+1)</f>
        <v>5</v>
      </c>
      <c r="AA55" s="758" t="s">
        <v>1819</v>
      </c>
      <c r="AB55" s="1343"/>
      <c r="AC55" s="1199" t="s">
        <v>16</v>
      </c>
      <c r="AD55" s="1865" t="str">
        <f>AC55</f>
        <v>Cash-Out</v>
      </c>
      <c r="AF55" s="726">
        <v>3</v>
      </c>
      <c r="AG55" s="727" cm="1">
        <f t="array" ref="AG55">[1]!Input_Agency_Unit3_1</f>
        <v>1248150</v>
      </c>
      <c r="AH55" s="728" cm="1">
        <f t="array" ref="AH55">[1]!Input_Agency_Unit3_2</f>
        <v>1872225</v>
      </c>
      <c r="AQ55" s="719" t="s">
        <v>14</v>
      </c>
      <c r="AR55" s="720"/>
      <c r="AS55" s="633" t="s">
        <v>109</v>
      </c>
      <c r="AV55" s="1116" t="s">
        <v>481</v>
      </c>
      <c r="AW55" s="1100" t="s">
        <v>477</v>
      </c>
      <c r="AX55" s="1097" t="str">
        <f t="shared" si="9"/>
        <v>PN_008.5000000000</v>
      </c>
      <c r="AY55" s="1098">
        <f>[1]!PN_R10</f>
        <v>8.5</v>
      </c>
      <c r="AZ55" s="1099" t="e">
        <f>[1]!PN_ARM05_P10+Input_PL_Incentive_PN</f>
        <v>#N/A</v>
      </c>
      <c r="BA55" s="1099" t="e">
        <f>[1]!PN_FRM30_P10+Input_PL_Incentive_PN</f>
        <v>#N/A</v>
      </c>
      <c r="BB55" s="1097" t="e">
        <f t="shared" si="12"/>
        <v>#N/A</v>
      </c>
      <c r="BC55" s="1097" t="e">
        <f t="shared" si="10"/>
        <v>#N/A</v>
      </c>
      <c r="BD55" s="1097"/>
      <c r="BE55" s="1117" t="s">
        <v>1607</v>
      </c>
      <c r="BG55" s="715" t="s">
        <v>410</v>
      </c>
      <c r="BH55" s="729" t="str">
        <f>INDEX([1]!List_StateInputAll,MATCH(BG55,[1]!List_StateInput,0),2)</f>
        <v>Non-CA</v>
      </c>
      <c r="BI55" s="730" t="str">
        <f>INDEX([1]!List_StateInputAll,MATCH(BG55,[1]!List_StateInput,0),3)</f>
        <v>Y</v>
      </c>
      <c r="BJ55" s="730" t="str">
        <f>INDEX([1]!List_StateInputAll,MATCH(BG55,[1]!List_StateInput,0),4)</f>
        <v>Y</v>
      </c>
      <c r="BK55" s="730" t="str">
        <f>INDEX([1]!List_StateInputAll,MATCH(BG55,[1]!List_StateInput,0),5)</f>
        <v xml:space="preserve"> </v>
      </c>
      <c r="BL55" s="730" t="str">
        <f>INDEX([1]!List_StateInputAll,MATCH(BG55,[1]!List_StateInput,0),6)</f>
        <v>No Prepay, 1yr Prepay_Standard, 2yr Prepay_Standard, 3yr Prepay_Standard, 4yr Prepay_Standard, 5yr Prepay_Standard, 1yr Prepay_5Pct, 2yr Prepay_5Pct, 3yr Prepay_5Pct, 4yr Prepay_5Pct, 5yr Prepay_5Pct, 1yr Prepay_3Pct, 2yr Prepay_3Pct, 3yr Prepay_3Pct, 4yr Prepay_3Pct, 5yr Prepay_3Pct, 1yr Prepay_1, 2yr Prepay_21, 3yr Prepay_321, 4yr Prepay_4321, 5yr Prepay_54321</v>
      </c>
      <c r="BM55" s="730" t="str">
        <f>INDEX([1]!List_StateInputAll,MATCH(BG55,[1]!List_StateInput,0),7)</f>
        <v>Prepay only available on Business Purpose Loans</v>
      </c>
      <c r="BN55" s="730" t="str">
        <f>INDEX([1]!List_StateInputAll,MATCH(BG55,[1]!List_StateInput,0),8)</f>
        <v>Wyoming</v>
      </c>
      <c r="BO55" s="730" t="str">
        <f>INDEX([1]!List_StateInputAll,MATCH(BG55,[1]!List_StateInput,0),9)</f>
        <v>Y</v>
      </c>
      <c r="BP55" s="731" t="str">
        <f>INDEX([1]!List_StateInputAll,MATCH(BG55,[1]!List_StateInput,0),10)</f>
        <v>Y</v>
      </c>
      <c r="BQ55" s="730" t="str">
        <f>INDEX([1]!List_StateInputAll,MATCH(BG55,[1]!List_StateInput,0),11)</f>
        <v>N</v>
      </c>
      <c r="BR55" s="732" t="str">
        <f>INDEX([1]!List_StateInputAll,MATCH(BG55,[1]!List_StateInput,0),12)</f>
        <v>Y</v>
      </c>
      <c r="BS55" s="731" t="str">
        <f>INDEX([1]!List_StateInputAll,MATCH(BG55,[1]!List_StateInput,0),13)</f>
        <v xml:space="preserve"> </v>
      </c>
      <c r="BT55" s="522" t="str">
        <f>IF(OR(Input_Ratesheet_Source="Corr1",Input_Ratesheet_Source="Corr2",Input_Ratesheet_Source="Corr3",Input_Ratesheet_Source="CorrND"),BI55,IF(Input_Ratesheet_Source="Whol",IF(Input_Occupancy="Non Owner Occupied",BP55,BO55),IF(Input_Ratesheet_Source="Retl",IF(Input_Occupancy="Non Owner Occupied",IF(IF(IFERROR(FIND(Input_ProductClass,Structure!BS55),0)&gt;=1,"N","Y")="N","N",BR55),BQ55),"")))</f>
        <v>Y</v>
      </c>
      <c r="BU55" s="731" t="str">
        <f>INDEX([1]!List_StateInputAll,MATCH(BG55,[1]!List_StateInput,0),14)</f>
        <v>Dry</v>
      </c>
      <c r="BV55" s="731">
        <f>INDEX([1]!List_StateInputAll,MATCH(BG55,[1]!List_StateInput,0),15)</f>
        <v>1</v>
      </c>
      <c r="BW55" s="539" t="str">
        <f>INDEX([1]!List_StateInputAll,MATCH(BG55,[1]!List_StateInput,0),16)</f>
        <v>APOR</v>
      </c>
      <c r="BX55" s="543">
        <f>INDEX([1]!List_StateInputAll,MATCH(BG55,[1]!List_StateInput,0),17)</f>
        <v>6.5</v>
      </c>
      <c r="BY55" s="543">
        <f>INDEX([1]!List_StateInputAll,MATCH(BG55,[1]!List_StateInput,0),18)</f>
        <v>8.5</v>
      </c>
      <c r="BZ55" s="543">
        <f>INDEX([1]!List_StateInputAll,MATCH(BG55,[1]!List_StateInput,0),19)</f>
        <v>5</v>
      </c>
      <c r="CA55" s="540">
        <f>INDEX([1]!List_StateInputAll,MATCH(BG55,[1]!List_StateInput,0),20)</f>
        <v>0</v>
      </c>
      <c r="CB55" s="540" t="str">
        <f>INDEX([1]!List_StateInputAll,MATCH(BG55,[1]!List_StateInput,0),21)</f>
        <v>Owner Occupied</v>
      </c>
      <c r="CC55" s="540" t="str">
        <f>INDEX([1]!List_StateInputAll,MATCH(BG55,[1]!List_StateInput,0),22)</f>
        <v>Purchase, Rate-Term, Cash-Out</v>
      </c>
      <c r="CD55" s="541">
        <f>INDEX([1]!List_StateInputAll,MATCH(BG55,[1]!List_StateInput,0),23)</f>
        <v>0</v>
      </c>
      <c r="CE55" s="541" t="str">
        <f>INDEX([1]!List_StateInputAll,MATCH(BG55,[1]!List_StateInput,0),24)</f>
        <v>Y</v>
      </c>
    </row>
    <row r="56" spans="3:83" ht="9.6" customHeight="1" x14ac:dyDescent="0.2">
      <c r="C56" s="746"/>
      <c r="D56" s="942" t="str">
        <f>IFERROR(INDEX(Lookup_NoteRateAll,MATCH(INDEX(List_ProductAll,MATCH(Input_Product,List_Product,0),2)&amp;"_05",Lookup_NoteRateStack,0),1),"na")</f>
        <v>IT_012.8750000000</v>
      </c>
      <c r="E56" s="942">
        <f>IFERROR(INDEX(Lookup_NoteRateAll,MATCH(INDEX(List_ProductAll,MATCH(Input_Product,List_Product,0),2)&amp;"_05",Lookup_NoteRateStack,0),2),"na")</f>
        <v>12.875</v>
      </c>
      <c r="F56" s="942">
        <f>IFERROR(INDEX(Lookup_NoteRateAll,MATCH(INDEX(List_ProductAll,MATCH(Input_Product,List_Product,0),2)&amp;"_05",Lookup_NoteRateStack,0),5),"na")</f>
        <v>110.5</v>
      </c>
      <c r="G56" s="942">
        <f t="shared" si="14"/>
        <v>-0.125</v>
      </c>
      <c r="H56" s="942">
        <f t="shared" si="15"/>
        <v>102.5</v>
      </c>
      <c r="I56" s="942">
        <f>IFERROR(INDEX(Lookup_NoteRateAll,MATCH(INDEX(List_ProductAll,MATCH(Input_Product,List_Product,0),2)&amp;"_05",Lookup_NoteRateStack,0),7),"na")</f>
        <v>0</v>
      </c>
      <c r="J56" s="1053"/>
      <c r="K56" s="1054"/>
      <c r="L56" s="460" t="s">
        <v>76</v>
      </c>
      <c r="M56" s="1185" t="s">
        <v>1997</v>
      </c>
      <c r="N56" s="1184" t="s">
        <v>1034</v>
      </c>
      <c r="O56" s="461"/>
      <c r="P56" s="774">
        <v>240</v>
      </c>
      <c r="Q56" s="775" cm="1">
        <f t="array" ref="Q56">[1]!Input_Index_Treasury20yr</f>
        <v>4.97</v>
      </c>
      <c r="R56" s="775" cm="1">
        <f t="array" ref="R56">[1]!Input_Index_APOR_FRM20</f>
        <v>6.4</v>
      </c>
      <c r="S56" s="776" t="e" cm="1">
        <f t="array" ref="S56">[1]!Input_Index_APOR_ARM20</f>
        <v>#N/A</v>
      </c>
      <c r="U56" s="461"/>
      <c r="V56" s="461"/>
      <c r="W56" s="460" t="s">
        <v>76</v>
      </c>
      <c r="X56" s="755" t="s">
        <v>1818</v>
      </c>
      <c r="Y56" s="756" t="str">
        <f t="shared" si="16"/>
        <v>2yr Prepay_Standard</v>
      </c>
      <c r="Z56" s="757">
        <f>IF(Y56="","",MAX(Z$50:Z55)+1)</f>
        <v>6</v>
      </c>
      <c r="AA56" s="758" t="s">
        <v>1818</v>
      </c>
      <c r="AB56" s="1343"/>
      <c r="AF56" s="726">
        <v>4</v>
      </c>
      <c r="AG56" s="727" cm="1">
        <f t="array" ref="AG56">[1]!Input_Agency_Unit4_1</f>
        <v>1551250</v>
      </c>
      <c r="AH56" s="728" cm="1">
        <f t="array" ref="AH56">[1]!Input_Agency_Unit4_2</f>
        <v>2326875</v>
      </c>
      <c r="AQ56" s="739">
        <v>55.000999999999998</v>
      </c>
      <c r="AR56" s="740" t="s">
        <v>223</v>
      </c>
      <c r="AS56" s="722" t="s">
        <v>106</v>
      </c>
      <c r="AV56" s="1116" t="s">
        <v>481</v>
      </c>
      <c r="AW56" s="1100" t="s">
        <v>477</v>
      </c>
      <c r="AX56" s="1097" t="str">
        <f t="shared" si="9"/>
        <v>PN_008.3750000000</v>
      </c>
      <c r="AY56" s="1098">
        <f>[1]!PN_R11</f>
        <v>8.375</v>
      </c>
      <c r="AZ56" s="1099" t="e">
        <f>[1]!PN_ARM05_P11+Input_PL_Incentive_PN</f>
        <v>#N/A</v>
      </c>
      <c r="BA56" s="1099" t="e">
        <f>[1]!PN_FRM30_P11+Input_PL_Incentive_PN</f>
        <v>#N/A</v>
      </c>
      <c r="BB56" s="1097" t="e">
        <f t="shared" si="12"/>
        <v>#N/A</v>
      </c>
      <c r="BC56" s="1097" t="e">
        <f t="shared" si="10"/>
        <v>#N/A</v>
      </c>
      <c r="BD56" s="1097"/>
      <c r="BE56" s="1117" t="s">
        <v>1608</v>
      </c>
      <c r="BG56" s="461"/>
      <c r="BH56" s="461"/>
    </row>
    <row r="57" spans="3:83" ht="9.6" customHeight="1" x14ac:dyDescent="0.2">
      <c r="C57" s="746"/>
      <c r="D57" s="942" t="str">
        <f>IFERROR(INDEX(Lookup_NoteRateAll,MATCH(INDEX(List_ProductAll,MATCH(Input_Product,List_Product,0),2)&amp;"_06",Lookup_NoteRateStack,0),1),"na")</f>
        <v>IT_012.7500000000</v>
      </c>
      <c r="E57" s="942">
        <f>IFERROR(INDEX(Lookup_NoteRateAll,MATCH(INDEX(List_ProductAll,MATCH(Input_Product,List_Product,0),2)&amp;"_06",Lookup_NoteRateStack,0),2),"na")</f>
        <v>12.75</v>
      </c>
      <c r="F57" s="942">
        <f>IFERROR(INDEX(Lookup_NoteRateAll,MATCH(INDEX(List_ProductAll,MATCH(Input_Product,List_Product,0),2)&amp;"_06",Lookup_NoteRateStack,0),5),"na")</f>
        <v>110.375</v>
      </c>
      <c r="G57" s="942">
        <f t="shared" si="14"/>
        <v>-0.125</v>
      </c>
      <c r="H57" s="942">
        <f t="shared" si="15"/>
        <v>102.5</v>
      </c>
      <c r="I57" s="942">
        <f>IFERROR(INDEX(Lookup_NoteRateAll,MATCH(INDEX(List_ProductAll,MATCH(Input_Product,List_Product,0),2)&amp;"_06",Lookup_NoteRateStack,0),7),"na")</f>
        <v>0</v>
      </c>
      <c r="J57" s="1465" t="s">
        <v>1697</v>
      </c>
      <c r="K57" s="1054"/>
      <c r="L57" s="460" t="s">
        <v>76</v>
      </c>
      <c r="M57" s="1186" t="s">
        <v>486</v>
      </c>
      <c r="N57" s="1187" t="s">
        <v>1034</v>
      </c>
      <c r="O57" s="461"/>
      <c r="P57" s="774">
        <v>180</v>
      </c>
      <c r="Q57" s="775" cm="1">
        <f t="array" ref="Q57">[1]!Input_Index_Treasury10yr</f>
        <v>4.46</v>
      </c>
      <c r="R57" s="775" cm="1">
        <f t="array" ref="R57">[1]!Input_Index_APOR_FRM15</f>
        <v>6.18</v>
      </c>
      <c r="S57" s="776" t="e" cm="1">
        <f t="array" ref="S57">[1]!Input_Index_APOR_ARM15</f>
        <v>#N/A</v>
      </c>
      <c r="U57" s="461"/>
      <c r="V57" s="461"/>
      <c r="W57" s="460" t="s">
        <v>76</v>
      </c>
      <c r="X57" s="761" t="s">
        <v>1817</v>
      </c>
      <c r="Y57" s="762" t="str">
        <f t="shared" si="16"/>
        <v>1yr Prepay_Standard</v>
      </c>
      <c r="Z57" s="763">
        <f>IF(Y57="","",MAX(Z$50:Z56)+1)</f>
        <v>7</v>
      </c>
      <c r="AA57" s="764" t="s">
        <v>1817</v>
      </c>
      <c r="AB57" s="1343"/>
      <c r="AC57" s="680" t="s">
        <v>48</v>
      </c>
      <c r="AD57" s="713"/>
      <c r="AF57" s="726">
        <v>5</v>
      </c>
      <c r="AG57" s="727">
        <v>4000000</v>
      </c>
      <c r="AH57" s="728">
        <v>4000000</v>
      </c>
      <c r="AQ57" s="744">
        <v>55</v>
      </c>
      <c r="AR57" s="705" t="s">
        <v>15</v>
      </c>
      <c r="AS57" s="643" t="s">
        <v>106</v>
      </c>
      <c r="AV57" s="1116" t="s">
        <v>481</v>
      </c>
      <c r="AW57" s="1100" t="s">
        <v>477</v>
      </c>
      <c r="AX57" s="1097" t="str">
        <f t="shared" si="9"/>
        <v>PN_008.2500000000</v>
      </c>
      <c r="AY57" s="1098">
        <f>[1]!PN_R12</f>
        <v>8.25</v>
      </c>
      <c r="AZ57" s="1099" t="e">
        <f>[1]!PN_ARM05_P12+Input_PL_Incentive_PN</f>
        <v>#N/A</v>
      </c>
      <c r="BA57" s="1099" t="e">
        <f>[1]!PN_FRM30_P12+Input_PL_Incentive_PN</f>
        <v>#N/A</v>
      </c>
      <c r="BB57" s="1097" t="e">
        <f t="shared" si="12"/>
        <v>#N/A</v>
      </c>
      <c r="BC57" s="1097" t="e">
        <f t="shared" si="10"/>
        <v>#N/A</v>
      </c>
      <c r="BD57" s="1097"/>
      <c r="BE57" s="1117" t="s">
        <v>1609</v>
      </c>
      <c r="BG57" s="461"/>
    </row>
    <row r="58" spans="3:83" ht="9.6" customHeight="1" x14ac:dyDescent="0.2">
      <c r="C58" s="746"/>
      <c r="D58" s="942" t="str">
        <f>IFERROR(INDEX(Lookup_NoteRateAll,MATCH(INDEX(List_ProductAll,MATCH(Input_Product,List_Product,0),2)&amp;"_07",Lookup_NoteRateStack,0),1),"na")</f>
        <v>IT_012.6250000000</v>
      </c>
      <c r="E58" s="942">
        <f>IFERROR(INDEX(Lookup_NoteRateAll,MATCH(INDEX(List_ProductAll,MATCH(Input_Product,List_Product,0),2)&amp;"_07",Lookup_NoteRateStack,0),2),"na")</f>
        <v>12.625</v>
      </c>
      <c r="F58" s="942">
        <f>IFERROR(INDEX(Lookup_NoteRateAll,MATCH(INDEX(List_ProductAll,MATCH(Input_Product,List_Product,0),2)&amp;"_07",Lookup_NoteRateStack,0),5),"na")</f>
        <v>110.125</v>
      </c>
      <c r="G58" s="942">
        <f t="shared" si="14"/>
        <v>-0.125</v>
      </c>
      <c r="H58" s="942">
        <f t="shared" si="15"/>
        <v>102.5</v>
      </c>
      <c r="I58" s="942">
        <f>IFERROR(INDEX(Lookup_NoteRateAll,MATCH(INDEX(List_ProductAll,MATCH(Input_Product,List_Product,0),2)&amp;"_07",Lookup_NoteRateStack,0),7),"na")</f>
        <v>0</v>
      </c>
      <c r="J58" s="973" t="str">
        <f>Lookup_Price_Code_Lookup_01</f>
        <v>IT_009.0000000000</v>
      </c>
      <c r="K58" s="1054" t="s">
        <v>76</v>
      </c>
      <c r="L58" s="460" t="s">
        <v>76</v>
      </c>
      <c r="M58" s="1185" t="s">
        <v>487</v>
      </c>
      <c r="N58" s="1188" t="s">
        <v>1034</v>
      </c>
      <c r="O58" s="461"/>
      <c r="P58" s="774">
        <v>120</v>
      </c>
      <c r="Q58" s="775" cm="1">
        <f t="array" ref="Q58">[1]!Input_Index_Treasury10yr</f>
        <v>4.46</v>
      </c>
      <c r="R58" s="775" cm="1">
        <f t="array" ref="R58">[1]!Input_Index_APOR_FRM10</f>
        <v>6.23</v>
      </c>
      <c r="S58" s="775" cm="1">
        <f t="array" ref="S58">[1]!Input_Index_APOR_ARM10</f>
        <v>6.62</v>
      </c>
      <c r="U58" s="461"/>
      <c r="V58" s="461"/>
      <c r="W58" s="460" t="s">
        <v>76</v>
      </c>
      <c r="X58" s="749" t="s">
        <v>689</v>
      </c>
      <c r="Y58" s="750" t="str">
        <f t="shared" si="16"/>
        <v>5yr Prepay_5Pct</v>
      </c>
      <c r="Z58" s="751">
        <f>IF(Y58="","",MAX(Z$50:Z57)+1)</f>
        <v>8</v>
      </c>
      <c r="AA58" s="752" t="s">
        <v>689</v>
      </c>
      <c r="AB58" s="461" t="s">
        <v>76</v>
      </c>
      <c r="AC58" s="636" t="s">
        <v>49</v>
      </c>
      <c r="AD58" s="637"/>
      <c r="AF58" s="726">
        <v>6</v>
      </c>
      <c r="AG58" s="727">
        <v>4000000</v>
      </c>
      <c r="AH58" s="728">
        <v>4000000</v>
      </c>
      <c r="AQ58" s="744">
        <v>50</v>
      </c>
      <c r="AR58" s="716" t="s">
        <v>1320</v>
      </c>
      <c r="AS58" s="643" t="s">
        <v>106</v>
      </c>
      <c r="AV58" s="1116" t="s">
        <v>481</v>
      </c>
      <c r="AW58" s="1100" t="s">
        <v>477</v>
      </c>
      <c r="AX58" s="1097" t="str">
        <f t="shared" si="9"/>
        <v>PN_008.1250000000</v>
      </c>
      <c r="AY58" s="1098">
        <f>[1]!PN_R13</f>
        <v>8.125</v>
      </c>
      <c r="AZ58" s="1099" t="e">
        <f>[1]!PN_ARM05_P13+Input_PL_Incentive_PN</f>
        <v>#N/A</v>
      </c>
      <c r="BA58" s="1099" t="e">
        <f>[1]!PN_FRM30_P13+Input_PL_Incentive_PN</f>
        <v>#N/A</v>
      </c>
      <c r="BB58" s="1097" t="e">
        <f t="shared" si="12"/>
        <v>#N/A</v>
      </c>
      <c r="BC58" s="1097" t="e">
        <f t="shared" si="10"/>
        <v>#N/A</v>
      </c>
      <c r="BD58" s="1097"/>
      <c r="BE58" s="1117" t="s">
        <v>1610</v>
      </c>
    </row>
    <row r="59" spans="3:83" ht="9.6" customHeight="1" x14ac:dyDescent="0.2">
      <c r="C59" s="746"/>
      <c r="D59" s="942" t="str">
        <f>IFERROR(INDEX(Lookup_NoteRateAll,MATCH(INDEX(List_ProductAll,MATCH(Input_Product,List_Product,0),2)&amp;"_08",Lookup_NoteRateStack,0),1),"na")</f>
        <v>IT_012.5000000000</v>
      </c>
      <c r="E59" s="942">
        <f>IFERROR(INDEX(Lookup_NoteRateAll,MATCH(INDEX(List_ProductAll,MATCH(Input_Product,List_Product,0),2)&amp;"_08",Lookup_NoteRateStack,0),2),"na")</f>
        <v>12.5</v>
      </c>
      <c r="F59" s="942">
        <f>IFERROR(INDEX(Lookup_NoteRateAll,MATCH(INDEX(List_ProductAll,MATCH(Input_Product,List_Product,0),2)&amp;"_08",Lookup_NoteRateStack,0),5),"na")</f>
        <v>109.875</v>
      </c>
      <c r="G59" s="942">
        <f t="shared" si="14"/>
        <v>-0.125</v>
      </c>
      <c r="H59" s="942">
        <f t="shared" si="15"/>
        <v>102.5</v>
      </c>
      <c r="I59" s="942">
        <f>IFERROR(INDEX(Lookup_NoteRateAll,MATCH(INDEX(List_ProductAll,MATCH(Input_Product,List_Product,0),2)&amp;"_08",Lookup_NoteRateStack,0),7),"na")</f>
        <v>0</v>
      </c>
      <c r="J59" s="974" t="str">
        <f>IF(Lookup_Price_Code_Lookup_02="na",Lookup_Price_Code_Lookup_01,Lookup_Price_Code_Lookup_02)</f>
        <v>IT_008.8750000000</v>
      </c>
      <c r="K59" s="1054" t="s">
        <v>76</v>
      </c>
      <c r="L59" s="460" t="s">
        <v>76</v>
      </c>
      <c r="M59" s="1189" t="s">
        <v>488</v>
      </c>
      <c r="N59" s="1190" t="s">
        <v>1034</v>
      </c>
      <c r="O59" s="461"/>
      <c r="P59" s="774">
        <v>84</v>
      </c>
      <c r="Q59" s="775" cm="1">
        <f t="array" ref="Q59">[1]!Input_Index_Treasury07yr</f>
        <v>4.2300000000000004</v>
      </c>
      <c r="R59" s="776" t="e" cm="1">
        <f t="array" ref="R59">[1]!Input_Index_APOR_FRM07</f>
        <v>#N/A</v>
      </c>
      <c r="S59" s="775" cm="1">
        <f t="array" ref="S59">[1]!Input_Index_APOR_ARM07</f>
        <v>6.55</v>
      </c>
      <c r="U59" s="461"/>
      <c r="V59" s="461"/>
      <c r="W59" s="460" t="s">
        <v>76</v>
      </c>
      <c r="X59" s="755" t="s">
        <v>690</v>
      </c>
      <c r="Y59" s="756" t="str">
        <f t="shared" si="16"/>
        <v>4yr Prepay_5Pct</v>
      </c>
      <c r="Z59" s="757">
        <f>IF(Y59="","",MAX(Z$50:Z58)+1)</f>
        <v>9</v>
      </c>
      <c r="AA59" s="758" t="s">
        <v>690</v>
      </c>
      <c r="AB59" s="461" t="s">
        <v>76</v>
      </c>
      <c r="AC59" s="648" t="s">
        <v>47</v>
      </c>
      <c r="AD59" s="649"/>
      <c r="AF59" s="726">
        <v>7</v>
      </c>
      <c r="AG59" s="727">
        <v>4000000</v>
      </c>
      <c r="AH59" s="728">
        <v>4000000</v>
      </c>
      <c r="AQ59" s="744">
        <v>45</v>
      </c>
      <c r="AR59" s="716" t="s">
        <v>1319</v>
      </c>
      <c r="AS59" s="643" t="s">
        <v>106</v>
      </c>
      <c r="AV59" s="1116" t="s">
        <v>481</v>
      </c>
      <c r="AW59" s="1100" t="s">
        <v>477</v>
      </c>
      <c r="AX59" s="1097" t="str">
        <f t="shared" si="9"/>
        <v>PN_008.0000000000</v>
      </c>
      <c r="AY59" s="1098">
        <f>[1]!PN_R14</f>
        <v>8</v>
      </c>
      <c r="AZ59" s="1099" t="e">
        <f>[1]!PN_ARM05_P14+Input_PL_Incentive_PN</f>
        <v>#N/A</v>
      </c>
      <c r="BA59" s="1099" t="e">
        <f>[1]!PN_FRM30_P14+Input_PL_Incentive_PN</f>
        <v>#N/A</v>
      </c>
      <c r="BB59" s="1097" t="e">
        <f t="shared" si="12"/>
        <v>#N/A</v>
      </c>
      <c r="BC59" s="1097" t="e">
        <f t="shared" si="10"/>
        <v>#N/A</v>
      </c>
      <c r="BD59" s="1097"/>
      <c r="BE59" s="1117" t="s">
        <v>1611</v>
      </c>
      <c r="BJ59" s="461"/>
      <c r="BK59" s="461"/>
      <c r="BL59" s="461"/>
      <c r="BM59" s="461"/>
      <c r="BN59" s="461"/>
    </row>
    <row r="60" spans="3:83" ht="9.6" customHeight="1" x14ac:dyDescent="0.2">
      <c r="C60" s="746"/>
      <c r="D60" s="942" t="str">
        <f>IFERROR(INDEX(Lookup_NoteRateAll,MATCH(INDEX(List_ProductAll,MATCH(Input_Product,List_Product,0),2)&amp;"_09",Lookup_NoteRateStack,0),1),"na")</f>
        <v>IT_012.3750000000</v>
      </c>
      <c r="E60" s="942">
        <f>IFERROR(INDEX(Lookup_NoteRateAll,MATCH(INDEX(List_ProductAll,MATCH(Input_Product,List_Product,0),2)&amp;"_09",Lookup_NoteRateStack,0),2),"na")</f>
        <v>12.375</v>
      </c>
      <c r="F60" s="942">
        <f>IFERROR(INDEX(Lookup_NoteRateAll,MATCH(INDEX(List_ProductAll,MATCH(Input_Product,List_Product,0),2)&amp;"_09",Lookup_NoteRateStack,0),5),"na")</f>
        <v>109.625</v>
      </c>
      <c r="G60" s="942">
        <f t="shared" si="14"/>
        <v>-0.125</v>
      </c>
      <c r="H60" s="942">
        <f t="shared" si="15"/>
        <v>102.5</v>
      </c>
      <c r="I60" s="942">
        <f>IFERROR(INDEX(Lookup_NoteRateAll,MATCH(INDEX(List_ProductAll,MATCH(Input_Product,List_Product,0),2)&amp;"_09",Lookup_NoteRateStack,0),7),"na")</f>
        <v>0</v>
      </c>
      <c r="J60" s="1053"/>
      <c r="K60" s="1054"/>
      <c r="M60" s="1183" t="s">
        <v>489</v>
      </c>
      <c r="N60" s="1184" t="s">
        <v>1034</v>
      </c>
      <c r="O60" s="461"/>
      <c r="P60" s="774">
        <v>60</v>
      </c>
      <c r="Q60" s="775" cm="1">
        <f t="array" ref="Q60">[1]!Input_Index_Treasury05yr</f>
        <v>4.04</v>
      </c>
      <c r="R60" s="776" t="e" cm="1">
        <f t="array" ref="R60">[1]!Input_Index_APOR_FRM05</f>
        <v>#N/A</v>
      </c>
      <c r="S60" s="775" cm="1">
        <f t="array" ref="S60">[1]!Input_Index_APOR_ARM05</f>
        <v>6.79</v>
      </c>
      <c r="U60" s="461"/>
      <c r="V60" s="461"/>
      <c r="W60" s="460" t="s">
        <v>76</v>
      </c>
      <c r="X60" s="755" t="s">
        <v>691</v>
      </c>
      <c r="Y60" s="756" t="str">
        <f t="shared" si="16"/>
        <v>3yr Prepay_5Pct</v>
      </c>
      <c r="Z60" s="757">
        <f>IF(Y60="","",MAX(Z$50:Z59)+1)</f>
        <v>10</v>
      </c>
      <c r="AA60" s="758" t="s">
        <v>691</v>
      </c>
      <c r="AB60" s="461" t="s">
        <v>76</v>
      </c>
      <c r="AF60" s="736">
        <v>8</v>
      </c>
      <c r="AG60" s="737">
        <v>4000000</v>
      </c>
      <c r="AH60" s="738">
        <v>4000000</v>
      </c>
      <c r="AM60" s="461"/>
      <c r="AN60" s="461"/>
      <c r="AO60" s="461"/>
      <c r="AP60" s="461"/>
      <c r="AQ60" s="744">
        <v>43</v>
      </c>
      <c r="AR60" s="705" t="s">
        <v>32</v>
      </c>
      <c r="AS60" s="643" t="s">
        <v>106</v>
      </c>
      <c r="AV60" s="1116" t="s">
        <v>481</v>
      </c>
      <c r="AW60" s="1100" t="s">
        <v>477</v>
      </c>
      <c r="AX60" s="1097" t="str">
        <f t="shared" si="9"/>
        <v>PN_007.8750000000</v>
      </c>
      <c r="AY60" s="1098">
        <f>[1]!PN_R15</f>
        <v>7.875</v>
      </c>
      <c r="AZ60" s="1099" t="e">
        <f>[1]!PN_ARM05_P15+Input_PL_Incentive_PN</f>
        <v>#N/A</v>
      </c>
      <c r="BA60" s="1099" t="e">
        <f>[1]!PN_FRM30_P15+Input_PL_Incentive_PN</f>
        <v>#N/A</v>
      </c>
      <c r="BB60" s="1097" t="e">
        <f t="shared" si="12"/>
        <v>#N/A</v>
      </c>
      <c r="BC60" s="1097" t="e">
        <f t="shared" si="10"/>
        <v>#N/A</v>
      </c>
      <c r="BD60" s="1097"/>
      <c r="BE60" s="1117" t="s">
        <v>1612</v>
      </c>
      <c r="BJ60" s="461"/>
      <c r="BK60" s="461"/>
      <c r="BL60" s="461"/>
      <c r="BM60" s="461"/>
      <c r="BN60" s="461"/>
    </row>
    <row r="61" spans="3:83" ht="9.6" customHeight="1" x14ac:dyDescent="0.2">
      <c r="C61" s="746"/>
      <c r="D61" s="942" t="str">
        <f>IFERROR(INDEX(Lookup_NoteRateAll,MATCH(INDEX(List_ProductAll,MATCH(Input_Product,List_Product,0),2)&amp;"_10",Lookup_NoteRateStack,0),1),"na")</f>
        <v>IT_012.2500000000</v>
      </c>
      <c r="E61" s="942">
        <f>IFERROR(INDEX(Lookup_NoteRateAll,MATCH(INDEX(List_ProductAll,MATCH(Input_Product,List_Product,0),2)&amp;"_10",Lookup_NoteRateStack,0),2),"na")</f>
        <v>12.25</v>
      </c>
      <c r="F61" s="942">
        <f>IFERROR(INDEX(Lookup_NoteRateAll,MATCH(INDEX(List_ProductAll,MATCH(Input_Product,List_Product,0),2)&amp;"_10",Lookup_NoteRateStack,0),5),"na")</f>
        <v>109.375</v>
      </c>
      <c r="G61" s="942">
        <f t="shared" si="14"/>
        <v>-0.125</v>
      </c>
      <c r="H61" s="942">
        <f t="shared" si="15"/>
        <v>102.5</v>
      </c>
      <c r="I61" s="942">
        <f>IFERROR(INDEX(Lookup_NoteRateAll,MATCH(INDEX(List_ProductAll,MATCH(Input_Product,List_Product,0),2)&amp;"_10",Lookup_NoteRateStack,0),7),"na")</f>
        <v>0</v>
      </c>
      <c r="J61" s="1465" t="s">
        <v>1698</v>
      </c>
      <c r="K61" s="1054"/>
      <c r="M61" s="1185" t="s">
        <v>490</v>
      </c>
      <c r="N61" s="1184" t="s">
        <v>1034</v>
      </c>
      <c r="O61" s="461"/>
      <c r="P61" s="774">
        <v>36</v>
      </c>
      <c r="Q61" s="775" cm="1">
        <f t="array" ref="Q61">[1]!Input_Index_Treasury03yr</f>
        <v>3.93</v>
      </c>
      <c r="R61" s="776" t="e" cm="1">
        <f t="array" ref="R61">[1]!Input_Index_APOR_FRM03</f>
        <v>#N/A</v>
      </c>
      <c r="S61" s="775" cm="1">
        <f t="array" ref="S61">[1]!Input_Index_APOR_ARM03</f>
        <v>7.06</v>
      </c>
      <c r="U61" s="461"/>
      <c r="V61" s="461"/>
      <c r="W61" s="461" t="s">
        <v>76</v>
      </c>
      <c r="X61" s="755" t="s">
        <v>692</v>
      </c>
      <c r="Y61" s="756" t="str">
        <f t="shared" si="16"/>
        <v>2yr Prepay_5Pct</v>
      </c>
      <c r="Z61" s="757">
        <f>IF(Y61="","",MAX(Z$50:Z60)+1)</f>
        <v>11</v>
      </c>
      <c r="AA61" s="758" t="s">
        <v>692</v>
      </c>
      <c r="AB61" s="461" t="s">
        <v>76</v>
      </c>
      <c r="AC61" s="680" t="s">
        <v>46</v>
      </c>
      <c r="AD61" s="713"/>
      <c r="AE61" s="461"/>
      <c r="AM61" s="461"/>
      <c r="AN61" s="461"/>
      <c r="AO61" s="461"/>
      <c r="AP61" s="461"/>
      <c r="AQ61" s="759">
        <v>0</v>
      </c>
      <c r="AR61" s="760" t="s">
        <v>111</v>
      </c>
      <c r="AS61" s="650" t="s">
        <v>107</v>
      </c>
      <c r="AV61" s="1116" t="s">
        <v>481</v>
      </c>
      <c r="AW61" s="1100" t="s">
        <v>477</v>
      </c>
      <c r="AX61" s="1097" t="str">
        <f t="shared" si="9"/>
        <v>PN_007.7500000000</v>
      </c>
      <c r="AY61" s="1098">
        <f>[1]!PN_R16</f>
        <v>7.75</v>
      </c>
      <c r="AZ61" s="1099" t="e">
        <f>[1]!PN_ARM05_P16+Input_PL_Incentive_PN</f>
        <v>#N/A</v>
      </c>
      <c r="BA61" s="1099" t="e">
        <f>[1]!PN_FRM30_P16+Input_PL_Incentive_PN</f>
        <v>#N/A</v>
      </c>
      <c r="BB61" s="1097" t="e">
        <f t="shared" si="12"/>
        <v>#N/A</v>
      </c>
      <c r="BC61" s="1097" t="e">
        <f t="shared" si="10"/>
        <v>#N/A</v>
      </c>
      <c r="BD61" s="1097"/>
      <c r="BE61" s="1117" t="s">
        <v>1613</v>
      </c>
      <c r="BJ61" s="461"/>
      <c r="BK61" s="461"/>
      <c r="BL61" s="461"/>
      <c r="BM61" s="461"/>
      <c r="BN61" s="461"/>
    </row>
    <row r="62" spans="3:83" ht="9.6" customHeight="1" x14ac:dyDescent="0.2">
      <c r="C62" s="746"/>
      <c r="D62" s="942" t="str">
        <f>IFERROR(INDEX(Lookup_NoteRateAll,MATCH(INDEX(List_ProductAll,MATCH(Input_Product,List_Product,0),2)&amp;"_11",Lookup_NoteRateStack,0),1),"na")</f>
        <v>IT_012.1250000000</v>
      </c>
      <c r="E62" s="942">
        <f>IFERROR(INDEX(Lookup_NoteRateAll,MATCH(INDEX(List_ProductAll,MATCH(Input_Product,List_Product,0),2)&amp;"_11",Lookup_NoteRateStack,0),2),"na")</f>
        <v>12.125</v>
      </c>
      <c r="F62" s="942">
        <f>IFERROR(INDEX(Lookup_NoteRateAll,MATCH(INDEX(List_ProductAll,MATCH(Input_Product,List_Product,0),2)&amp;"_11",Lookup_NoteRateStack,0),5),"na")</f>
        <v>109.125</v>
      </c>
      <c r="G62" s="942">
        <f t="shared" si="14"/>
        <v>-0.125</v>
      </c>
      <c r="H62" s="942">
        <f t="shared" si="15"/>
        <v>102.5</v>
      </c>
      <c r="I62" s="942">
        <f>IFERROR(INDEX(Lookup_NoteRateAll,MATCH(INDEX(List_ProductAll,MATCH(Input_Product,List_Product,0),2)&amp;"_11",Lookup_NoteRateStack,0),7),"na")</f>
        <v>0</v>
      </c>
      <c r="J62" s="975">
        <f>INDEX(Lookup_Price_Output_All,MATCH(Lookup_Price_Code_Output_01,Lookup_Price_Output_Code,0),2)</f>
        <v>9</v>
      </c>
      <c r="K62" s="1054"/>
      <c r="M62" s="1189" t="s">
        <v>491</v>
      </c>
      <c r="N62" s="1190" t="s">
        <v>1034</v>
      </c>
      <c r="O62" s="461"/>
      <c r="P62" s="774">
        <v>24</v>
      </c>
      <c r="Q62" s="775" cm="1">
        <f t="array" ref="Q62">[1]!Input_Index_Treasury02yr</f>
        <v>3.97</v>
      </c>
      <c r="R62" s="776" t="e" cm="1">
        <f t="array" ref="R62">[1]!Input_Index_APOR_FRM03</f>
        <v>#N/A</v>
      </c>
      <c r="S62" s="775" cm="1">
        <f t="array" ref="S62">[1]!Input_Index_APOR_ARM02</f>
        <v>7.15</v>
      </c>
      <c r="U62" s="461"/>
      <c r="V62" s="461"/>
      <c r="W62" s="461" t="s">
        <v>76</v>
      </c>
      <c r="X62" s="761" t="s">
        <v>693</v>
      </c>
      <c r="Y62" s="762" t="str">
        <f t="shared" si="16"/>
        <v>1yr Prepay_5Pct</v>
      </c>
      <c r="Z62" s="763">
        <f>IF(Y62="","",MAX(Z$50:Z61)+1)</f>
        <v>12</v>
      </c>
      <c r="AA62" s="764" t="s">
        <v>693</v>
      </c>
      <c r="AB62" s="461" t="s">
        <v>76</v>
      </c>
      <c r="AC62" s="636" t="s">
        <v>216</v>
      </c>
      <c r="AD62" s="784"/>
      <c r="AE62" s="461"/>
      <c r="AM62" s="461"/>
      <c r="AN62" s="461"/>
      <c r="AO62" s="461"/>
      <c r="AP62" s="461"/>
      <c r="AV62" s="1116" t="s">
        <v>481</v>
      </c>
      <c r="AW62" s="1100" t="s">
        <v>477</v>
      </c>
      <c r="AX62" s="1097" t="str">
        <f t="shared" si="9"/>
        <v>PN_007.6250000000</v>
      </c>
      <c r="AY62" s="1098">
        <f>[1]!PN_R17</f>
        <v>7.625</v>
      </c>
      <c r="AZ62" s="1099" t="e">
        <f>[1]!PN_ARM05_P17+Input_PL_Incentive_PN</f>
        <v>#N/A</v>
      </c>
      <c r="BA62" s="1099" t="e">
        <f>[1]!PN_FRM30_P17+Input_PL_Incentive_PN</f>
        <v>#N/A</v>
      </c>
      <c r="BB62" s="1097" t="e">
        <f t="shared" si="12"/>
        <v>#N/A</v>
      </c>
      <c r="BC62" s="1097" t="e">
        <f t="shared" si="10"/>
        <v>#N/A</v>
      </c>
      <c r="BD62" s="1097"/>
      <c r="BE62" s="1117" t="s">
        <v>1614</v>
      </c>
      <c r="BJ62" s="461"/>
      <c r="BK62" s="461"/>
      <c r="BL62" s="461"/>
      <c r="BM62" s="461"/>
      <c r="BN62" s="461"/>
    </row>
    <row r="63" spans="3:83" ht="9.6" customHeight="1" x14ac:dyDescent="0.2">
      <c r="C63" s="746"/>
      <c r="D63" s="942" t="str">
        <f>IFERROR(INDEX(Lookup_NoteRateAll,MATCH(INDEX(List_ProductAll,MATCH(Input_Product,List_Product,0),2)&amp;"_12",Lookup_NoteRateStack,0),1),"na")</f>
        <v>IT_012.0000000000</v>
      </c>
      <c r="E63" s="942">
        <f>IFERROR(INDEX(Lookup_NoteRateAll,MATCH(INDEX(List_ProductAll,MATCH(Input_Product,List_Product,0),2)&amp;"_12",Lookup_NoteRateStack,0),2),"na")</f>
        <v>12</v>
      </c>
      <c r="F63" s="942">
        <f>IFERROR(INDEX(Lookup_NoteRateAll,MATCH(INDEX(List_ProductAll,MATCH(Input_Product,List_Product,0),2)&amp;"_12",Lookup_NoteRateStack,0),5),"na")</f>
        <v>108.875</v>
      </c>
      <c r="G63" s="942">
        <f t="shared" si="14"/>
        <v>-0.125</v>
      </c>
      <c r="H63" s="942">
        <f t="shared" si="15"/>
        <v>102.5</v>
      </c>
      <c r="I63" s="942">
        <f>IFERROR(INDEX(Lookup_NoteRateAll,MATCH(INDEX(List_ProductAll,MATCH(Input_Product,List_Product,0),2)&amp;"_12",Lookup_NoteRateStack,0),7),"na")</f>
        <v>0</v>
      </c>
      <c r="J63" s="976">
        <f>INDEX(Lookup_Price_Output_All,MATCH(Lookup_Price_Code_Output_02,Lookup_Price_Output_Code,0),2)</f>
        <v>8.875</v>
      </c>
      <c r="K63" s="1054"/>
      <c r="M63" s="1183" t="s">
        <v>492</v>
      </c>
      <c r="N63" s="1184" t="s">
        <v>1034</v>
      </c>
      <c r="O63" s="461"/>
      <c r="P63" s="781">
        <v>12</v>
      </c>
      <c r="Q63" s="782" cm="1">
        <f t="array" ref="Q63">[1]!Input_Index_Treasury01yr</f>
        <v>4.0999999999999996</v>
      </c>
      <c r="R63" s="783" t="e" cm="1">
        <f t="array" ref="R63">[1]!Input_Index_APOR_FRM03</f>
        <v>#N/A</v>
      </c>
      <c r="S63" s="782" cm="1">
        <f t="array" ref="S63">[1]!Input_Index_APOR_ARM01</f>
        <v>7.25</v>
      </c>
      <c r="U63" s="461"/>
      <c r="V63" s="461"/>
      <c r="W63" s="461" t="s">
        <v>76</v>
      </c>
      <c r="X63" s="749" t="s">
        <v>2301</v>
      </c>
      <c r="Y63" s="750" t="str">
        <f t="shared" si="16"/>
        <v>5yr Prepay_3Pct</v>
      </c>
      <c r="Z63" s="751">
        <f>IF(Y63="","",MAX(Z$50:Z62)+1)</f>
        <v>13</v>
      </c>
      <c r="AA63" s="752" t="s">
        <v>2301</v>
      </c>
      <c r="AB63" s="461" t="s">
        <v>76</v>
      </c>
      <c r="AC63" s="682" t="s">
        <v>214</v>
      </c>
      <c r="AD63" s="674"/>
      <c r="AE63" s="461"/>
      <c r="AF63" s="680" t="s">
        <v>44</v>
      </c>
      <c r="AG63" s="713"/>
      <c r="AM63" s="461"/>
      <c r="AN63" s="461"/>
      <c r="AO63" s="461"/>
      <c r="AP63" s="461"/>
      <c r="AT63" s="765"/>
      <c r="AV63" s="1116" t="s">
        <v>481</v>
      </c>
      <c r="AW63" s="1100" t="s">
        <v>477</v>
      </c>
      <c r="AX63" s="1097" t="str">
        <f t="shared" si="9"/>
        <v>PN_007.5000000000</v>
      </c>
      <c r="AY63" s="1098">
        <f>[1]!PN_R18</f>
        <v>7.5</v>
      </c>
      <c r="AZ63" s="1099" t="e">
        <f>[1]!PN_ARM05_P18+Input_PL_Incentive_PN</f>
        <v>#N/A</v>
      </c>
      <c r="BA63" s="1099" t="e">
        <f>[1]!PN_FRM30_P18+Input_PL_Incentive_PN</f>
        <v>#N/A</v>
      </c>
      <c r="BB63" s="1097" t="e">
        <f t="shared" si="12"/>
        <v>#N/A</v>
      </c>
      <c r="BC63" s="1097" t="e">
        <f t="shared" si="10"/>
        <v>#N/A</v>
      </c>
      <c r="BD63" s="1097"/>
      <c r="BE63" s="1117" t="s">
        <v>1615</v>
      </c>
      <c r="BJ63" s="461"/>
      <c r="BK63" s="461"/>
      <c r="BL63" s="461"/>
      <c r="BM63" s="461"/>
      <c r="BN63" s="461"/>
    </row>
    <row r="64" spans="3:83" ht="9.6" customHeight="1" x14ac:dyDescent="0.2">
      <c r="C64" s="746"/>
      <c r="D64" s="942" t="str">
        <f>IFERROR(INDEX(Lookup_NoteRateAll,MATCH(INDEX(List_ProductAll,MATCH(Input_Product,List_Product,0),2)&amp;"_13",Lookup_NoteRateStack,0),1),"na")</f>
        <v>IT_011.8750000000</v>
      </c>
      <c r="E64" s="942">
        <f>IFERROR(INDEX(Lookup_NoteRateAll,MATCH(INDEX(List_ProductAll,MATCH(Input_Product,List_Product,0),2)&amp;"_13",Lookup_NoteRateStack,0),2),"na")</f>
        <v>11.875</v>
      </c>
      <c r="F64" s="942">
        <f>IFERROR(INDEX(Lookup_NoteRateAll,MATCH(INDEX(List_ProductAll,MATCH(Input_Product,List_Product,0),2)&amp;"_13",Lookup_NoteRateStack,0),5),"na")</f>
        <v>108.625</v>
      </c>
      <c r="G64" s="942">
        <f t="shared" si="14"/>
        <v>-0.125</v>
      </c>
      <c r="H64" s="942">
        <f t="shared" si="15"/>
        <v>102.5</v>
      </c>
      <c r="I64" s="942">
        <f>IFERROR(INDEX(Lookup_NoteRateAll,MATCH(INDEX(List_ProductAll,MATCH(Input_Product,List_Product,0),2)&amp;"_13",Lookup_NoteRateStack,0),7),"na")</f>
        <v>0</v>
      </c>
      <c r="J64" s="1053"/>
      <c r="K64" s="1054"/>
      <c r="M64" s="1185" t="s">
        <v>493</v>
      </c>
      <c r="N64" s="1184" t="s">
        <v>1034</v>
      </c>
      <c r="O64" s="461"/>
      <c r="U64" s="461"/>
      <c r="V64" s="461"/>
      <c r="W64" s="461" t="s">
        <v>76</v>
      </c>
      <c r="X64" s="755" t="s">
        <v>2299</v>
      </c>
      <c r="Y64" s="756" t="str">
        <f t="shared" si="16"/>
        <v>4yr Prepay_3Pct</v>
      </c>
      <c r="Z64" s="757">
        <f>IF(Y64="","",MAX(Z$50:Z63)+1)</f>
        <v>14</v>
      </c>
      <c r="AA64" s="758" t="s">
        <v>2299</v>
      </c>
      <c r="AB64" s="461" t="s">
        <v>76</v>
      </c>
      <c r="AC64" s="501" t="s">
        <v>215</v>
      </c>
      <c r="AD64" s="717"/>
      <c r="AE64" s="461"/>
      <c r="AF64" s="753" t="s">
        <v>1835</v>
      </c>
      <c r="AG64" s="754" t="s">
        <v>76</v>
      </c>
      <c r="AQ64" s="690" t="s">
        <v>62</v>
      </c>
      <c r="AR64" s="768"/>
      <c r="AS64" s="713" t="s">
        <v>110</v>
      </c>
      <c r="AV64" s="1116" t="s">
        <v>481</v>
      </c>
      <c r="AW64" s="1100" t="s">
        <v>477</v>
      </c>
      <c r="AX64" s="1097" t="str">
        <f t="shared" si="9"/>
        <v>PN_007.3750000000</v>
      </c>
      <c r="AY64" s="1098">
        <f>[1]!PN_R19</f>
        <v>7.375</v>
      </c>
      <c r="AZ64" s="1099" t="e">
        <f>[1]!PN_ARM05_P19+Input_PL_Incentive_PN</f>
        <v>#N/A</v>
      </c>
      <c r="BA64" s="1099" t="e">
        <f>[1]!PN_FRM30_P19+Input_PL_Incentive_PN</f>
        <v>#N/A</v>
      </c>
      <c r="BB64" s="1097" t="e">
        <f t="shared" si="12"/>
        <v>#N/A</v>
      </c>
      <c r="BC64" s="1097" t="e">
        <f t="shared" si="10"/>
        <v>#N/A</v>
      </c>
      <c r="BD64" s="1097"/>
      <c r="BE64" s="1117" t="s">
        <v>1616</v>
      </c>
      <c r="BG64" s="461"/>
      <c r="BH64" s="461"/>
      <c r="BI64" s="461"/>
      <c r="BJ64" s="461"/>
      <c r="BK64" s="461"/>
      <c r="BL64" s="461"/>
      <c r="BM64" s="461"/>
      <c r="BN64" s="461"/>
    </row>
    <row r="65" spans="3:66" ht="9.6" customHeight="1" x14ac:dyDescent="0.2">
      <c r="C65" s="746"/>
      <c r="D65" s="942" t="str">
        <f>IFERROR(INDEX(Lookup_NoteRateAll,MATCH(INDEX(List_ProductAll,MATCH(Input_Product,List_Product,0),2)&amp;"_14",Lookup_NoteRateStack,0),1),"na")</f>
        <v>IT_011.7500000000</v>
      </c>
      <c r="E65" s="942">
        <f>IFERROR(INDEX(Lookup_NoteRateAll,MATCH(INDEX(List_ProductAll,MATCH(Input_Product,List_Product,0),2)&amp;"_14",Lookup_NoteRateStack,0),2),"na")</f>
        <v>11.75</v>
      </c>
      <c r="F65" s="942">
        <f>IFERROR(INDEX(Lookup_NoteRateAll,MATCH(INDEX(List_ProductAll,MATCH(Input_Product,List_Product,0),2)&amp;"_14",Lookup_NoteRateStack,0),5),"na")</f>
        <v>108.375</v>
      </c>
      <c r="G65" s="942">
        <f t="shared" si="14"/>
        <v>-0.125</v>
      </c>
      <c r="H65" s="942">
        <f t="shared" si="15"/>
        <v>102.5</v>
      </c>
      <c r="I65" s="942">
        <f>IFERROR(INDEX(Lookup_NoteRateAll,MATCH(INDEX(List_ProductAll,MATCH(Input_Product,List_Product,0),2)&amp;"_14",Lookup_NoteRateStack,0),7),"na")</f>
        <v>0</v>
      </c>
      <c r="J65" s="1465" t="s">
        <v>1699</v>
      </c>
      <c r="K65" s="1054"/>
      <c r="M65" s="1189" t="s">
        <v>494</v>
      </c>
      <c r="N65" s="1190" t="s">
        <v>1034</v>
      </c>
      <c r="O65" s="461"/>
      <c r="U65" s="461"/>
      <c r="V65" s="461"/>
      <c r="W65" s="461" t="s">
        <v>76</v>
      </c>
      <c r="X65" s="755" t="s">
        <v>2297</v>
      </c>
      <c r="Y65" s="756" t="str">
        <f t="shared" si="16"/>
        <v>3yr Prepay_3Pct</v>
      </c>
      <c r="Z65" s="757">
        <f>IF(Y65="","",MAX(Z$50:Z64)+1)</f>
        <v>15</v>
      </c>
      <c r="AA65" s="758" t="s">
        <v>2297</v>
      </c>
      <c r="AB65" s="461" t="s">
        <v>76</v>
      </c>
      <c r="AC65" s="787" t="s">
        <v>45</v>
      </c>
      <c r="AD65" s="650"/>
      <c r="AF65" s="1789" t="s">
        <v>2260</v>
      </c>
      <c r="AG65" s="667" t="s">
        <v>2290</v>
      </c>
      <c r="AN65" s="773" t="s">
        <v>99</v>
      </c>
      <c r="AQ65" s="772">
        <v>0</v>
      </c>
      <c r="AR65" s="773" t="s">
        <v>99</v>
      </c>
      <c r="AS65" s="1982" t="str">
        <f>IF(Input_DocType="09-DSCR","Y","N")</f>
        <v>Y</v>
      </c>
      <c r="AV65" s="1116" t="s">
        <v>481</v>
      </c>
      <c r="AW65" s="1100" t="s">
        <v>477</v>
      </c>
      <c r="AX65" s="1097" t="str">
        <f t="shared" si="9"/>
        <v>PN_007.2500000000</v>
      </c>
      <c r="AY65" s="1098">
        <f>[1]!PN_R20</f>
        <v>7.25</v>
      </c>
      <c r="AZ65" s="1099" t="e">
        <f>[1]!PN_ARM05_P20+Input_PL_Incentive_PN</f>
        <v>#N/A</v>
      </c>
      <c r="BA65" s="1099" t="e">
        <f>[1]!PN_FRM30_P20+Input_PL_Incentive_PN</f>
        <v>#N/A</v>
      </c>
      <c r="BB65" s="1097" t="e">
        <f t="shared" si="12"/>
        <v>#N/A</v>
      </c>
      <c r="BC65" s="1097" t="e">
        <f t="shared" si="10"/>
        <v>#N/A</v>
      </c>
      <c r="BD65" s="1097"/>
      <c r="BE65" s="1117" t="s">
        <v>1617</v>
      </c>
      <c r="BG65" s="461"/>
      <c r="BH65" s="461"/>
      <c r="BI65" s="461"/>
      <c r="BJ65" s="461"/>
      <c r="BK65" s="461"/>
      <c r="BL65" s="461"/>
      <c r="BM65" s="461"/>
      <c r="BN65" s="461"/>
    </row>
    <row r="66" spans="3:66" ht="9.6" customHeight="1" x14ac:dyDescent="0.2">
      <c r="C66" s="746"/>
      <c r="D66" s="942" t="str">
        <f>IFERROR(INDEX(Lookup_NoteRateAll,MATCH(INDEX(List_ProductAll,MATCH(Input_Product,List_Product,0),2)&amp;"_15",Lookup_NoteRateStack,0),1),"na")</f>
        <v>IT_011.6250000000</v>
      </c>
      <c r="E66" s="942">
        <f>IFERROR(INDEX(Lookup_NoteRateAll,MATCH(INDEX(List_ProductAll,MATCH(Input_Product,List_Product,0),2)&amp;"_15",Lookup_NoteRateStack,0),2),"na")</f>
        <v>11.625</v>
      </c>
      <c r="F66" s="942">
        <f>IFERROR(INDEX(Lookup_NoteRateAll,MATCH(INDEX(List_ProductAll,MATCH(Input_Product,List_Product,0),2)&amp;"_15",Lookup_NoteRateStack,0),5),"na")</f>
        <v>108.125</v>
      </c>
      <c r="G66" s="942">
        <f t="shared" si="14"/>
        <v>-0.125</v>
      </c>
      <c r="H66" s="942">
        <f t="shared" si="15"/>
        <v>102.5</v>
      </c>
      <c r="I66" s="942">
        <f>IFERROR(INDEX(Lookup_NoteRateAll,MATCH(INDEX(List_ProductAll,MATCH(Input_Product,List_Product,0),2)&amp;"_15",Lookup_NoteRateStack,0),7),"na")</f>
        <v>0</v>
      </c>
      <c r="J66" s="975">
        <f>INDEX(Lookup_Price_Output_All,MATCH(Lookup_Price_Code_Output_01,Lookup_Price_Output_Code,0),3)</f>
        <v>101.25</v>
      </c>
      <c r="K66" s="1054"/>
      <c r="M66" s="1183" t="s">
        <v>495</v>
      </c>
      <c r="N66" s="1184" t="s">
        <v>1034</v>
      </c>
      <c r="O66" s="461"/>
      <c r="U66" s="461"/>
      <c r="V66" s="461"/>
      <c r="W66" s="461" t="s">
        <v>76</v>
      </c>
      <c r="X66" s="755" t="s">
        <v>2295</v>
      </c>
      <c r="Y66" s="756" t="str">
        <f t="shared" si="16"/>
        <v>2yr Prepay_3Pct</v>
      </c>
      <c r="Z66" s="757">
        <f>IF(Y66="","",MAX(Z$50:Z65)+1)</f>
        <v>16</v>
      </c>
      <c r="AA66" s="758" t="s">
        <v>2295</v>
      </c>
      <c r="AB66" s="461" t="s">
        <v>76</v>
      </c>
      <c r="AE66" s="461"/>
      <c r="AF66" s="682" t="s">
        <v>2259</v>
      </c>
      <c r="AG66" s="674" t="s">
        <v>2290</v>
      </c>
      <c r="AQ66" s="777">
        <v>1E-4</v>
      </c>
      <c r="AR66" s="778" t="s">
        <v>353</v>
      </c>
      <c r="AS66" s="643" t="s">
        <v>106</v>
      </c>
      <c r="AV66" s="1116" t="s">
        <v>481</v>
      </c>
      <c r="AW66" s="1100" t="s">
        <v>477</v>
      </c>
      <c r="AX66" s="1097" t="str">
        <f t="shared" si="9"/>
        <v>PN_007.1250000000</v>
      </c>
      <c r="AY66" s="1098">
        <f>[1]!PN_R21</f>
        <v>7.125</v>
      </c>
      <c r="AZ66" s="1099" t="e">
        <f>[1]!PN_ARM05_P21+Input_PL_Incentive_PN</f>
        <v>#N/A</v>
      </c>
      <c r="BA66" s="1099" t="e">
        <f>[1]!PN_FRM30_P21+Input_PL_Incentive_PN</f>
        <v>#N/A</v>
      </c>
      <c r="BB66" s="1097" t="e">
        <f t="shared" si="12"/>
        <v>#N/A</v>
      </c>
      <c r="BC66" s="1097" t="e">
        <f t="shared" si="10"/>
        <v>#N/A</v>
      </c>
      <c r="BD66" s="1097"/>
      <c r="BE66" s="1117" t="s">
        <v>1618</v>
      </c>
      <c r="BG66" s="461"/>
      <c r="BH66" s="461"/>
      <c r="BI66" s="461"/>
      <c r="BJ66" s="461"/>
      <c r="BK66" s="461"/>
      <c r="BL66" s="461"/>
    </row>
    <row r="67" spans="3:66" ht="9.6" customHeight="1" x14ac:dyDescent="0.2">
      <c r="C67" s="746"/>
      <c r="D67" s="942" t="str">
        <f>IFERROR(INDEX(Lookup_NoteRateAll,MATCH(INDEX(List_ProductAll,MATCH(Input_Product,List_Product,0),2)&amp;"_16",Lookup_NoteRateStack,0),1),"na")</f>
        <v>IT_011.5000000000</v>
      </c>
      <c r="E67" s="942">
        <f>IFERROR(INDEX(Lookup_NoteRateAll,MATCH(INDEX(List_ProductAll,MATCH(Input_Product,List_Product,0),2)&amp;"_16",Lookup_NoteRateStack,0),2),"na")</f>
        <v>11.5</v>
      </c>
      <c r="F67" s="942">
        <f>IFERROR(INDEX(Lookup_NoteRateAll,MATCH(INDEX(List_ProductAll,MATCH(Input_Product,List_Product,0),2)&amp;"_16",Lookup_NoteRateStack,0),5),"na")</f>
        <v>107.875</v>
      </c>
      <c r="G67" s="942">
        <f t="shared" si="14"/>
        <v>-0.125</v>
      </c>
      <c r="H67" s="942">
        <f t="shared" si="15"/>
        <v>102.5</v>
      </c>
      <c r="I67" s="942">
        <f>IFERROR(INDEX(Lookup_NoteRateAll,MATCH(INDEX(List_ProductAll,MATCH(Input_Product,List_Product,0),2)&amp;"_16",Lookup_NoteRateStack,0),7),"na")</f>
        <v>0</v>
      </c>
      <c r="J67" s="976">
        <f>INDEX(Lookup_Price_Output_All,MATCH(Lookup_Price_Code_Output_02,Lookup_Price_Output_Code,0),3)</f>
        <v>100.75</v>
      </c>
      <c r="K67" s="1054"/>
      <c r="M67" s="1191" t="s">
        <v>496</v>
      </c>
      <c r="N67" s="1192" t="s">
        <v>1034</v>
      </c>
      <c r="O67" s="461"/>
      <c r="W67" s="461" t="s">
        <v>76</v>
      </c>
      <c r="X67" s="761" t="s">
        <v>2293</v>
      </c>
      <c r="Y67" s="762" t="str">
        <f t="shared" si="16"/>
        <v>1yr Prepay_3Pct</v>
      </c>
      <c r="Z67" s="763">
        <f>IF(Y67="","",MAX(Z$50:Z66)+1)</f>
        <v>17</v>
      </c>
      <c r="AA67" s="764" t="s">
        <v>2293</v>
      </c>
      <c r="AB67" s="461" t="s">
        <v>76</v>
      </c>
      <c r="AC67" s="680" t="s">
        <v>1434</v>
      </c>
      <c r="AD67" s="713"/>
      <c r="AE67" s="461"/>
      <c r="AF67" s="787" t="s">
        <v>2261</v>
      </c>
      <c r="AG67" s="650" t="s">
        <v>2290</v>
      </c>
      <c r="AQ67" s="777">
        <v>0.75</v>
      </c>
      <c r="AR67" s="778" t="s">
        <v>351</v>
      </c>
      <c r="AS67" s="643" t="s">
        <v>106</v>
      </c>
      <c r="AT67" s="461"/>
      <c r="AV67" s="1116" t="s">
        <v>481</v>
      </c>
      <c r="AW67" s="1100" t="s">
        <v>477</v>
      </c>
      <c r="AX67" s="1097" t="str">
        <f t="shared" si="9"/>
        <v>PN_007.0000000000</v>
      </c>
      <c r="AY67" s="1098">
        <f>[1]!PN_R22</f>
        <v>7</v>
      </c>
      <c r="AZ67" s="1099" t="e">
        <f>[1]!PN_ARM05_P22+Input_PL_Incentive_PN</f>
        <v>#N/A</v>
      </c>
      <c r="BA67" s="1099" t="e">
        <f>[1]!PN_FRM30_P22+Input_PL_Incentive_PN</f>
        <v>#N/A</v>
      </c>
      <c r="BB67" s="1097" t="e">
        <f t="shared" si="12"/>
        <v>#N/A</v>
      </c>
      <c r="BC67" s="1097" t="e">
        <f t="shared" si="10"/>
        <v>#N/A</v>
      </c>
      <c r="BD67" s="1097"/>
      <c r="BE67" s="1117" t="s">
        <v>1619</v>
      </c>
      <c r="BG67" s="461"/>
      <c r="BH67" s="461"/>
      <c r="BI67" s="461"/>
      <c r="BJ67" s="461"/>
      <c r="BK67" s="461"/>
      <c r="BL67" s="461"/>
    </row>
    <row r="68" spans="3:66" ht="9.6" customHeight="1" x14ac:dyDescent="0.2">
      <c r="C68" s="746"/>
      <c r="D68" s="942" t="str">
        <f>IFERROR(INDEX(Lookup_NoteRateAll,MATCH(INDEX(List_ProductAll,MATCH(Input_Product,List_Product,0),2)&amp;"_17",Lookup_NoteRateStack,0),1),"na")</f>
        <v>IT_011.3750000000</v>
      </c>
      <c r="E68" s="942">
        <f>IFERROR(INDEX(Lookup_NoteRateAll,MATCH(INDEX(List_ProductAll,MATCH(Input_Product,List_Product,0),2)&amp;"_17",Lookup_NoteRateStack,0),2),"na")</f>
        <v>11.375</v>
      </c>
      <c r="F68" s="942">
        <f>IFERROR(INDEX(Lookup_NoteRateAll,MATCH(INDEX(List_ProductAll,MATCH(Input_Product,List_Product,0),2)&amp;"_17",Lookup_NoteRateStack,0),5),"na")</f>
        <v>107.625</v>
      </c>
      <c r="G68" s="942">
        <f t="shared" si="14"/>
        <v>-0.125</v>
      </c>
      <c r="H68" s="942">
        <f t="shared" si="15"/>
        <v>102.5</v>
      </c>
      <c r="I68" s="942">
        <f>IFERROR(INDEX(Lookup_NoteRateAll,MATCH(INDEX(List_ProductAll,MATCH(Input_Product,List_Product,0),2)&amp;"_17",Lookup_NoteRateStack,0),7),"na")</f>
        <v>0</v>
      </c>
      <c r="J68" s="1053"/>
      <c r="K68" s="1054"/>
      <c r="M68" s="1169" t="s">
        <v>497</v>
      </c>
      <c r="N68" s="1170" t="s">
        <v>1035</v>
      </c>
      <c r="O68" s="461"/>
      <c r="U68" s="461"/>
      <c r="V68" s="461"/>
      <c r="W68" s="461"/>
      <c r="X68" s="749" t="s">
        <v>694</v>
      </c>
      <c r="Y68" s="750" t="str">
        <f t="shared" si="16"/>
        <v>5yr Prepay_54321</v>
      </c>
      <c r="Z68" s="751">
        <f>IF(Y68="","",MAX(Z$50:Z67)+1)</f>
        <v>18</v>
      </c>
      <c r="AA68" s="752" t="s">
        <v>694</v>
      </c>
      <c r="AB68" s="461" t="s">
        <v>76</v>
      </c>
      <c r="AC68" s="636" t="s">
        <v>1811</v>
      </c>
      <c r="AD68" s="784" t="s">
        <v>76</v>
      </c>
      <c r="AE68" s="461"/>
      <c r="AF68" s="1788" t="s">
        <v>2262</v>
      </c>
      <c r="AG68" s="957" t="s">
        <v>2291</v>
      </c>
      <c r="AQ68" s="777">
        <v>1</v>
      </c>
      <c r="AR68" s="778" t="s">
        <v>350</v>
      </c>
      <c r="AS68" s="643" t="s">
        <v>106</v>
      </c>
      <c r="AV68" s="1116" t="s">
        <v>481</v>
      </c>
      <c r="AW68" s="1100" t="s">
        <v>477</v>
      </c>
      <c r="AX68" s="1097" t="str">
        <f t="shared" si="9"/>
        <v>PN_006.8750000000</v>
      </c>
      <c r="AY68" s="1098">
        <f>[1]!PN_R23</f>
        <v>6.875</v>
      </c>
      <c r="AZ68" s="1099" t="e">
        <f>[1]!PN_ARM05_P23+Input_PL_Incentive_PN</f>
        <v>#N/A</v>
      </c>
      <c r="BA68" s="1099" t="e">
        <f>[1]!PN_FRM30_P23+Input_PL_Incentive_PN</f>
        <v>#N/A</v>
      </c>
      <c r="BB68" s="1097" t="e">
        <f t="shared" si="12"/>
        <v>#N/A</v>
      </c>
      <c r="BC68" s="1097" t="e">
        <f t="shared" si="10"/>
        <v>#N/A</v>
      </c>
      <c r="BD68" s="1097"/>
      <c r="BE68" s="1117" t="s">
        <v>1620</v>
      </c>
      <c r="BG68" s="461"/>
      <c r="BJ68" s="461"/>
      <c r="BK68" s="461"/>
      <c r="BL68" s="461"/>
    </row>
    <row r="69" spans="3:66" ht="9.6" customHeight="1" x14ac:dyDescent="0.2">
      <c r="C69" s="746"/>
      <c r="D69" s="942" t="str">
        <f>IFERROR(INDEX(Lookup_NoteRateAll,MATCH(INDEX(List_ProductAll,MATCH(Input_Product,List_Product,0),2)&amp;"_18",Lookup_NoteRateStack,0),1),"na")</f>
        <v>IT_011.2500000000</v>
      </c>
      <c r="E69" s="942">
        <f>IFERROR(INDEX(Lookup_NoteRateAll,MATCH(INDEX(List_ProductAll,MATCH(Input_Product,List_Product,0),2)&amp;"_18",Lookup_NoteRateStack,0),2),"na")</f>
        <v>11.25</v>
      </c>
      <c r="F69" s="942">
        <f>IFERROR(INDEX(Lookup_NoteRateAll,MATCH(INDEX(List_ProductAll,MATCH(Input_Product,List_Product,0),2)&amp;"_18",Lookup_NoteRateStack,0),5),"na")</f>
        <v>107.375</v>
      </c>
      <c r="G69" s="942">
        <f t="shared" si="14"/>
        <v>-0.125</v>
      </c>
      <c r="H69" s="942">
        <f t="shared" si="15"/>
        <v>102.5</v>
      </c>
      <c r="I69" s="942">
        <f>IFERROR(INDEX(Lookup_NoteRateAll,MATCH(INDEX(List_ProductAll,MATCH(Input_Product,List_Product,0),2)&amp;"_18",Lookup_NoteRateStack,0),7),"na")</f>
        <v>0</v>
      </c>
      <c r="J69" s="1465" t="s">
        <v>1984</v>
      </c>
      <c r="K69" s="1054"/>
      <c r="M69" s="1171" t="s">
        <v>498</v>
      </c>
      <c r="N69" s="1172" t="s">
        <v>1035</v>
      </c>
      <c r="O69" s="461"/>
      <c r="U69" s="461"/>
      <c r="V69" s="461"/>
      <c r="W69" s="461"/>
      <c r="X69" s="755" t="s">
        <v>695</v>
      </c>
      <c r="Y69" s="756" t="str">
        <f t="shared" si="16"/>
        <v>4yr Prepay_4321</v>
      </c>
      <c r="Z69" s="757">
        <f>IF(Y69="","",MAX(Z$50:Z68)+1)</f>
        <v>19</v>
      </c>
      <c r="AA69" s="758" t="s">
        <v>695</v>
      </c>
      <c r="AB69" s="461" t="s">
        <v>76</v>
      </c>
      <c r="AC69" s="682" t="s">
        <v>1435</v>
      </c>
      <c r="AD69" s="674" t="s">
        <v>76</v>
      </c>
      <c r="AE69" s="461"/>
      <c r="AF69" s="682" t="s">
        <v>2263</v>
      </c>
      <c r="AG69" s="674" t="s">
        <v>2291</v>
      </c>
      <c r="AQ69" s="777">
        <v>1.1000000000000001</v>
      </c>
      <c r="AR69" s="780" t="s">
        <v>298</v>
      </c>
      <c r="AS69" s="643" t="s">
        <v>106</v>
      </c>
      <c r="AV69" s="1116" t="s">
        <v>481</v>
      </c>
      <c r="AW69" s="1100" t="s">
        <v>477</v>
      </c>
      <c r="AX69" s="1097" t="str">
        <f t="shared" si="9"/>
        <v>PN_006.7500000000</v>
      </c>
      <c r="AY69" s="1098">
        <f>[1]!PN_R24</f>
        <v>6.75</v>
      </c>
      <c r="AZ69" s="1099" t="e">
        <f>[1]!PN_ARM05_P24+Input_PL_Incentive_PN</f>
        <v>#N/A</v>
      </c>
      <c r="BA69" s="1099" t="e">
        <f>[1]!PN_FRM30_P24+Input_PL_Incentive_PN</f>
        <v>#N/A</v>
      </c>
      <c r="BB69" s="1097" t="e">
        <f t="shared" si="12"/>
        <v>#N/A</v>
      </c>
      <c r="BC69" s="1097" t="e">
        <f t="shared" si="10"/>
        <v>#N/A</v>
      </c>
      <c r="BD69" s="1097"/>
      <c r="BE69" s="1117" t="s">
        <v>1621</v>
      </c>
      <c r="BL69" s="461"/>
    </row>
    <row r="70" spans="3:66" ht="9.6" customHeight="1" x14ac:dyDescent="0.2">
      <c r="C70" s="746"/>
      <c r="D70" s="942" t="str">
        <f>IFERROR(INDEX(Lookup_NoteRateAll,MATCH(INDEX(List_ProductAll,MATCH(Input_Product,List_Product,0),2)&amp;"_19",Lookup_NoteRateStack,0),1),"na")</f>
        <v>IT_011.1250000000</v>
      </c>
      <c r="E70" s="942">
        <f>IFERROR(INDEX(Lookup_NoteRateAll,MATCH(INDEX(List_ProductAll,MATCH(Input_Product,List_Product,0),2)&amp;"_19",Lookup_NoteRateStack,0),2),"na")</f>
        <v>11.125</v>
      </c>
      <c r="F70" s="942">
        <f>IFERROR(INDEX(Lookup_NoteRateAll,MATCH(INDEX(List_ProductAll,MATCH(Input_Product,List_Product,0),2)&amp;"_19",Lookup_NoteRateStack,0),5),"na")</f>
        <v>107.125</v>
      </c>
      <c r="G70" s="942">
        <f t="shared" si="14"/>
        <v>-0.125</v>
      </c>
      <c r="H70" s="942">
        <f t="shared" si="15"/>
        <v>102.5</v>
      </c>
      <c r="I70" s="942">
        <f>IFERROR(INDEX(Lookup_NoteRateAll,MATCH(INDEX(List_ProductAll,MATCH(Input_Product,List_Product,0),2)&amp;"_19",Lookup_NoteRateStack,0),7),"na")</f>
        <v>0</v>
      </c>
      <c r="J70" s="975">
        <f>INDEX(Lookup_Price_Output_All,MATCH(Lookup_Price_Code_Output_01,Lookup_Price_Output_Code,0),6)</f>
        <v>0</v>
      </c>
      <c r="K70" s="1054"/>
      <c r="M70" s="1173" t="s">
        <v>499</v>
      </c>
      <c r="N70" s="1172" t="s">
        <v>1035</v>
      </c>
      <c r="O70" s="461"/>
      <c r="U70" s="461"/>
      <c r="V70" s="461"/>
      <c r="W70" s="461"/>
      <c r="X70" s="755" t="s">
        <v>696</v>
      </c>
      <c r="Y70" s="756" t="str">
        <f t="shared" si="16"/>
        <v>3yr Prepay_321</v>
      </c>
      <c r="Z70" s="757">
        <f>IF(Y70="","",MAX(Z$50:Z69)+1)</f>
        <v>20</v>
      </c>
      <c r="AA70" s="758" t="s">
        <v>696</v>
      </c>
      <c r="AB70" s="461" t="s">
        <v>76</v>
      </c>
      <c r="AC70" s="682" t="s">
        <v>2409</v>
      </c>
      <c r="AD70" s="674" t="s">
        <v>76</v>
      </c>
      <c r="AF70" s="648" t="s">
        <v>2264</v>
      </c>
      <c r="AG70" s="675" t="s">
        <v>2291</v>
      </c>
      <c r="AQ70" s="777">
        <v>1.25</v>
      </c>
      <c r="AR70" s="780" t="s">
        <v>299</v>
      </c>
      <c r="AS70" s="643" t="s">
        <v>106</v>
      </c>
      <c r="AV70" s="1116" t="s">
        <v>481</v>
      </c>
      <c r="AW70" s="1100" t="s">
        <v>477</v>
      </c>
      <c r="AX70" s="1097" t="str">
        <f t="shared" si="9"/>
        <v>PN_006.6250000000</v>
      </c>
      <c r="AY70" s="1098">
        <f>[1]!PN_R25</f>
        <v>6.625</v>
      </c>
      <c r="AZ70" s="1099" t="e">
        <f>[1]!PN_ARM05_P25+Input_PL_Incentive_PN</f>
        <v>#N/A</v>
      </c>
      <c r="BA70" s="1099" t="e">
        <f>[1]!PN_FRM30_P25+Input_PL_Incentive_PN</f>
        <v>#N/A</v>
      </c>
      <c r="BB70" s="1097" t="e">
        <f t="shared" si="12"/>
        <v>#N/A</v>
      </c>
      <c r="BC70" s="1097" t="e">
        <f t="shared" si="10"/>
        <v>#N/A</v>
      </c>
      <c r="BD70" s="1097"/>
      <c r="BE70" s="1117" t="s">
        <v>1622</v>
      </c>
      <c r="BL70" s="461"/>
    </row>
    <row r="71" spans="3:66" ht="9.6" customHeight="1" x14ac:dyDescent="0.2">
      <c r="C71" s="746"/>
      <c r="D71" s="942" t="str">
        <f>IFERROR(INDEX(Lookup_NoteRateAll,MATCH(INDEX(List_ProductAll,MATCH(Input_Product,List_Product,0),2)&amp;"_20",Lookup_NoteRateStack,0),1),"na")</f>
        <v>IT_011.0000000000</v>
      </c>
      <c r="E71" s="942">
        <f>IFERROR(INDEX(Lookup_NoteRateAll,MATCH(INDEX(List_ProductAll,MATCH(Input_Product,List_Product,0),2)&amp;"_20",Lookup_NoteRateStack,0),2),"na")</f>
        <v>11</v>
      </c>
      <c r="F71" s="942">
        <f>IFERROR(INDEX(Lookup_NoteRateAll,MATCH(INDEX(List_ProductAll,MATCH(Input_Product,List_Product,0),2)&amp;"_20",Lookup_NoteRateStack,0),5),"na")</f>
        <v>106.875</v>
      </c>
      <c r="G71" s="942">
        <f t="shared" si="14"/>
        <v>-0.125</v>
      </c>
      <c r="H71" s="942">
        <f t="shared" si="15"/>
        <v>102.5</v>
      </c>
      <c r="I71" s="942">
        <f>IFERROR(INDEX(Lookup_NoteRateAll,MATCH(INDEX(List_ProductAll,MATCH(Input_Product,List_Product,0),2)&amp;"_20",Lookup_NoteRateStack,0),7),"na")</f>
        <v>0</v>
      </c>
      <c r="J71" s="976">
        <f>INDEX(Lookup_Price_Output_All,MATCH(Lookup_Price_Code_Output_02,Lookup_Price_Output_Code,0),6)</f>
        <v>0</v>
      </c>
      <c r="K71" s="1054"/>
      <c r="M71" s="1173" t="s">
        <v>1998</v>
      </c>
      <c r="N71" s="1172" t="s">
        <v>1035</v>
      </c>
      <c r="O71" s="461"/>
      <c r="U71" s="461"/>
      <c r="V71" s="461"/>
      <c r="X71" s="755" t="s">
        <v>697</v>
      </c>
      <c r="Y71" s="756" t="str">
        <f t="shared" si="16"/>
        <v>2yr Prepay_21</v>
      </c>
      <c r="Z71" s="757">
        <f>IF(Y71="","",MAX(Z$50:Z70)+1)</f>
        <v>21</v>
      </c>
      <c r="AA71" s="758" t="s">
        <v>697</v>
      </c>
      <c r="AB71" s="461" t="s">
        <v>76</v>
      </c>
      <c r="AC71" s="682" t="s">
        <v>2421</v>
      </c>
      <c r="AD71" s="674" t="s">
        <v>76</v>
      </c>
      <c r="AQ71" s="785">
        <v>1.5</v>
      </c>
      <c r="AR71" s="786" t="s">
        <v>354</v>
      </c>
      <c r="AS71" s="650" t="s">
        <v>106</v>
      </c>
      <c r="AV71" s="1118" t="s">
        <v>481</v>
      </c>
      <c r="AW71" s="1119" t="s">
        <v>477</v>
      </c>
      <c r="AX71" s="1109" t="str">
        <f t="shared" si="9"/>
        <v>PN_006.5000000000</v>
      </c>
      <c r="AY71" s="1110">
        <f>[1]!PN_R26</f>
        <v>6.5</v>
      </c>
      <c r="AZ71" s="1111" t="e">
        <f>[1]!PN_ARM05_P26+Input_PL_Incentive_PN</f>
        <v>#N/A</v>
      </c>
      <c r="BA71" s="1111" t="e">
        <f>[1]!PN_FRM30_P26+Input_PL_Incentive_PN</f>
        <v>#N/A</v>
      </c>
      <c r="BB71" s="1109" t="e">
        <f t="shared" si="12"/>
        <v>#N/A</v>
      </c>
      <c r="BC71" s="1109" t="e">
        <f t="shared" si="10"/>
        <v>#N/A</v>
      </c>
      <c r="BD71" s="1109"/>
      <c r="BE71" s="1120" t="s">
        <v>1623</v>
      </c>
      <c r="BL71" s="461"/>
    </row>
    <row r="72" spans="3:66" ht="9.6" customHeight="1" x14ac:dyDescent="0.2">
      <c r="C72" s="746"/>
      <c r="D72" s="942" t="str">
        <f>IFERROR(INDEX(Lookup_NoteRateAll,MATCH(INDEX(List_ProductAll,MATCH(Input_Product,List_Product,0),2)&amp;"_21",Lookup_NoteRateStack,0),1),"na")</f>
        <v>IT_010.8750000000</v>
      </c>
      <c r="E72" s="942">
        <f>IFERROR(INDEX(Lookup_NoteRateAll,MATCH(INDEX(List_ProductAll,MATCH(Input_Product,List_Product,0),2)&amp;"_21",Lookup_NoteRateStack,0),2),"na")</f>
        <v>10.875</v>
      </c>
      <c r="F72" s="942">
        <f>IFERROR(INDEX(Lookup_NoteRateAll,MATCH(INDEX(List_ProductAll,MATCH(Input_Product,List_Product,0),2)&amp;"_21",Lookup_NoteRateStack,0),5),"na")</f>
        <v>106.625</v>
      </c>
      <c r="G72" s="942">
        <f t="shared" si="14"/>
        <v>-0.125</v>
      </c>
      <c r="H72" s="942">
        <f t="shared" si="15"/>
        <v>102.5</v>
      </c>
      <c r="I72" s="942">
        <f>IFERROR(INDEX(Lookup_NoteRateAll,MATCH(INDEX(List_ProductAll,MATCH(Input_Product,List_Product,0),2)&amp;"_21",Lookup_NoteRateStack,0),7),"na")</f>
        <v>0</v>
      </c>
      <c r="J72" s="1053"/>
      <c r="K72" s="1054"/>
      <c r="M72" s="1174" t="s">
        <v>500</v>
      </c>
      <c r="N72" s="1175" t="s">
        <v>1035</v>
      </c>
      <c r="O72" s="461"/>
      <c r="U72" s="461"/>
      <c r="V72" s="461"/>
      <c r="X72" s="761" t="s">
        <v>698</v>
      </c>
      <c r="Y72" s="762" t="str">
        <f t="shared" si="16"/>
        <v>1yr Prepay_1</v>
      </c>
      <c r="Z72" s="763">
        <f>IF(Y72="","",MAX(Z$50:Z71)+1)</f>
        <v>22</v>
      </c>
      <c r="AA72" s="764" t="s">
        <v>698</v>
      </c>
      <c r="AB72" s="461" t="s">
        <v>76</v>
      </c>
      <c r="AC72" s="682" t="s">
        <v>1860</v>
      </c>
      <c r="AD72" s="674" t="s">
        <v>76</v>
      </c>
      <c r="AV72" s="1801" t="s">
        <v>1304</v>
      </c>
      <c r="AW72" s="1802" t="s">
        <v>1069</v>
      </c>
      <c r="AX72" s="1803" t="str">
        <f t="shared" ref="AX72:AX112" si="17">"IT_"&amp;RIGHT("000"&amp;TRUNC(Lookup_NoteRate),3)&amp;TEXT(Lookup_NoteRate-TRUNC(Lookup_NoteRate),".0000000000")</f>
        <v>IT_013.3750000000</v>
      </c>
      <c r="AY72" s="1804">
        <f>[1]!IR_R01</f>
        <v>13.375</v>
      </c>
      <c r="AZ72" s="1805">
        <f>[1]!IR_ARM05_P01+Input_PL_Incentive_IR</f>
        <v>-2</v>
      </c>
      <c r="BA72" s="1805">
        <f>[1]!IR_FRM30_P01+Input_PL_Incentive_IR</f>
        <v>111</v>
      </c>
      <c r="BB72" s="1803">
        <f t="shared" ref="BB72:BB74" si="18">IF(INDEX(List_AmortTermAll,MATCH(Input_AmortTerm,List_AmortTerm,0),3)=1,AZ72,IF(INDEX(List_AmortTermAll,MATCH(Input_AmortTerm,List_AmortTerm,0),3)=2,BA72,#N/A))</f>
        <v>111</v>
      </c>
      <c r="BC72" s="1803" t="str">
        <f t="shared" ref="BC72:BC112" si="19">"IT_"&amp;RIGHT("000"&amp;TRUNC(Lookup_PriceText),3)&amp;TEXT(Lookup_PriceText-TRUNC(Lookup_PriceText),".0000000000")</f>
        <v>IT_111.0000000000</v>
      </c>
      <c r="BD72" s="1803"/>
      <c r="BE72" s="1806" t="s">
        <v>1624</v>
      </c>
      <c r="BL72" s="461"/>
    </row>
    <row r="73" spans="3:66" ht="9.6" customHeight="1" x14ac:dyDescent="0.2">
      <c r="C73" s="746"/>
      <c r="D73" s="942" t="str">
        <f>IFERROR(INDEX(Lookup_NoteRateAll,MATCH(INDEX(List_ProductAll,MATCH(Input_Product,List_Product,0),2)&amp;"_22",Lookup_NoteRateStack,0),1),"na")</f>
        <v>IT_010.7500000000</v>
      </c>
      <c r="E73" s="942">
        <f>IFERROR(INDEX(Lookup_NoteRateAll,MATCH(INDEX(List_ProductAll,MATCH(Input_Product,List_Product,0),2)&amp;"_22",Lookup_NoteRateStack,0),2),"na")</f>
        <v>10.75</v>
      </c>
      <c r="F73" s="942">
        <f>IFERROR(INDEX(Lookup_NoteRateAll,MATCH(INDEX(List_ProductAll,MATCH(Input_Product,List_Product,0),2)&amp;"_22",Lookup_NoteRateStack,0),5),"na")</f>
        <v>106.375</v>
      </c>
      <c r="G73" s="942">
        <f t="shared" si="14"/>
        <v>-0.125</v>
      </c>
      <c r="H73" s="942">
        <f t="shared" si="15"/>
        <v>102.5</v>
      </c>
      <c r="I73" s="942">
        <f>IFERROR(INDEX(Lookup_NoteRateAll,MATCH(INDEX(List_ProductAll,MATCH(Input_Product,List_Product,0),2)&amp;"_22",Lookup_NoteRateStack,0),7),"na")</f>
        <v>0</v>
      </c>
      <c r="J73" s="1053"/>
      <c r="K73" s="1054"/>
      <c r="M73" s="1173" t="s">
        <v>501</v>
      </c>
      <c r="N73" s="1176" t="s">
        <v>1035</v>
      </c>
      <c r="O73" s="461"/>
      <c r="U73" s="461"/>
      <c r="V73" s="461"/>
      <c r="AB73" s="461" t="s">
        <v>76</v>
      </c>
      <c r="AR73" s="460" t="s">
        <v>421</v>
      </c>
      <c r="AV73" s="1807" t="s">
        <v>1304</v>
      </c>
      <c r="AW73" s="1808" t="s">
        <v>1069</v>
      </c>
      <c r="AX73" s="1809" t="str">
        <f t="shared" si="17"/>
        <v>IT_013.2500000000</v>
      </c>
      <c r="AY73" s="1810">
        <f>[1]!IR_R02</f>
        <v>13.25</v>
      </c>
      <c r="AZ73" s="1811">
        <f>[1]!IR_ARM05_P02+Input_PL_Incentive_IR</f>
        <v>-2</v>
      </c>
      <c r="BA73" s="1811">
        <f>[1]!IR_FRM30_P02+Input_PL_Incentive_IR</f>
        <v>110.875</v>
      </c>
      <c r="BB73" s="1809">
        <f t="shared" ref="BB73" si="20">IF(INDEX(List_AmortTermAll,MATCH(Input_AmortTerm,List_AmortTerm,0),3)=1,AZ73,IF(INDEX(List_AmortTermAll,MATCH(Input_AmortTerm,List_AmortTerm,0),3)=2,BA73,#N/A))</f>
        <v>110.875</v>
      </c>
      <c r="BC73" s="1809" t="str">
        <f t="shared" si="19"/>
        <v>IT_110.8750000000</v>
      </c>
      <c r="BD73" s="1809"/>
      <c r="BE73" s="1812" t="s">
        <v>1625</v>
      </c>
      <c r="BL73" s="461"/>
    </row>
    <row r="74" spans="3:66" ht="9.6" customHeight="1" x14ac:dyDescent="0.2">
      <c r="C74" s="746"/>
      <c r="D74" s="942" t="str">
        <f>IFERROR(INDEX(Lookup_NoteRateAll,MATCH(INDEX(List_ProductAll,MATCH(Input_Product,List_Product,0),2)&amp;"_23",Lookup_NoteRateStack,0),1),"na")</f>
        <v>IT_010.6250000000</v>
      </c>
      <c r="E74" s="942">
        <f>IFERROR(INDEX(Lookup_NoteRateAll,MATCH(INDEX(List_ProductAll,MATCH(Input_Product,List_Product,0),2)&amp;"_23",Lookup_NoteRateStack,0),2),"na")</f>
        <v>10.625</v>
      </c>
      <c r="F74" s="942">
        <f>IFERROR(INDEX(Lookup_NoteRateAll,MATCH(INDEX(List_ProductAll,MATCH(Input_Product,List_Product,0),2)&amp;"_23",Lookup_NoteRateStack,0),5),"na")</f>
        <v>106.125</v>
      </c>
      <c r="G74" s="942">
        <f t="shared" si="14"/>
        <v>-0.125</v>
      </c>
      <c r="H74" s="942">
        <f t="shared" si="15"/>
        <v>102.5</v>
      </c>
      <c r="I74" s="942">
        <f>IFERROR(INDEX(Lookup_NoteRateAll,MATCH(INDEX(List_ProductAll,MATCH(Input_Product,List_Product,0),2)&amp;"_23",Lookup_NoteRateStack,0),7),"na")</f>
        <v>0</v>
      </c>
      <c r="J74" s="1053"/>
      <c r="K74" s="1466"/>
      <c r="M74" s="1171" t="s">
        <v>502</v>
      </c>
      <c r="N74" s="1172" t="s">
        <v>1035</v>
      </c>
      <c r="O74" s="461"/>
      <c r="U74" s="461"/>
      <c r="V74" s="461"/>
      <c r="AB74" s="461" t="s">
        <v>76</v>
      </c>
      <c r="AC74" s="680" t="s">
        <v>284</v>
      </c>
      <c r="AD74" s="713"/>
      <c r="AQ74" s="680" t="s">
        <v>417</v>
      </c>
      <c r="AR74" s="788">
        <v>2.5000000000000001E-2</v>
      </c>
      <c r="AS74" s="789">
        <v>0.05</v>
      </c>
      <c r="AT74" s="789">
        <v>0.1</v>
      </c>
      <c r="AU74" s="460" t="s">
        <v>76</v>
      </c>
      <c r="AV74" s="1807" t="s">
        <v>1304</v>
      </c>
      <c r="AW74" s="1808" t="s">
        <v>1069</v>
      </c>
      <c r="AX74" s="1809" t="str">
        <f t="shared" si="17"/>
        <v>IT_013.1250000000</v>
      </c>
      <c r="AY74" s="1810">
        <f>[1]!IR_R03</f>
        <v>13.125</v>
      </c>
      <c r="AZ74" s="1811">
        <f>[1]!IR_ARM05_P03+Input_PL_Incentive_IR</f>
        <v>-2</v>
      </c>
      <c r="BA74" s="1811">
        <f>[1]!IR_FRM30_P03+Input_PL_Incentive_IR</f>
        <v>110.75</v>
      </c>
      <c r="BB74" s="1809">
        <f t="shared" si="18"/>
        <v>110.75</v>
      </c>
      <c r="BC74" s="1809" t="str">
        <f t="shared" si="19"/>
        <v>IT_110.7500000000</v>
      </c>
      <c r="BD74" s="1809"/>
      <c r="BE74" s="1812" t="s">
        <v>1626</v>
      </c>
    </row>
    <row r="75" spans="3:66" ht="9.6" customHeight="1" x14ac:dyDescent="0.2">
      <c r="C75" s="746"/>
      <c r="D75" s="942" t="str">
        <f>IFERROR(INDEX(Lookup_NoteRateAll,MATCH(INDEX(List_ProductAll,MATCH(Input_Product,List_Product,0),2)&amp;"_24",Lookup_NoteRateStack,0),1),"na")</f>
        <v>IT_010.5000000000</v>
      </c>
      <c r="E75" s="942">
        <f>IFERROR(INDEX(Lookup_NoteRateAll,MATCH(INDEX(List_ProductAll,MATCH(Input_Product,List_Product,0),2)&amp;"_24",Lookup_NoteRateStack,0),2),"na")</f>
        <v>10.5</v>
      </c>
      <c r="F75" s="942">
        <f>IFERROR(INDEX(Lookup_NoteRateAll,MATCH(INDEX(List_ProductAll,MATCH(Input_Product,List_Product,0),2)&amp;"_24",Lookup_NoteRateStack,0),5),"na")</f>
        <v>105.875</v>
      </c>
      <c r="G75" s="942">
        <f t="shared" si="14"/>
        <v>-0.125</v>
      </c>
      <c r="H75" s="942">
        <f t="shared" si="15"/>
        <v>102.5</v>
      </c>
      <c r="I75" s="942">
        <f>IFERROR(INDEX(Lookup_NoteRateAll,MATCH(INDEX(List_ProductAll,MATCH(Input_Product,List_Product,0),2)&amp;"_24",Lookup_NoteRateStack,0),7),"na")</f>
        <v>0</v>
      </c>
      <c r="J75" s="1053"/>
      <c r="K75" s="1054"/>
      <c r="M75" s="1173" t="s">
        <v>503</v>
      </c>
      <c r="N75" s="1172" t="s">
        <v>1035</v>
      </c>
      <c r="O75" s="461"/>
      <c r="U75" s="461"/>
      <c r="V75" s="461"/>
      <c r="AB75" s="461" t="s">
        <v>76</v>
      </c>
      <c r="AC75" s="636" t="s">
        <v>2422</v>
      </c>
      <c r="AD75" s="637" t="s">
        <v>2435</v>
      </c>
      <c r="AE75" s="460" t="s">
        <v>76</v>
      </c>
      <c r="AQ75" s="790" t="s">
        <v>418</v>
      </c>
      <c r="AR75" s="791">
        <v>0.1</v>
      </c>
      <c r="AS75" s="792">
        <v>0.13</v>
      </c>
      <c r="AT75" s="793">
        <v>0.2</v>
      </c>
      <c r="AU75" s="460" t="s">
        <v>76</v>
      </c>
      <c r="AV75" s="1807" t="s">
        <v>1304</v>
      </c>
      <c r="AW75" s="1808" t="s">
        <v>1069</v>
      </c>
      <c r="AX75" s="1809" t="str">
        <f t="shared" si="17"/>
        <v>IT_013.0000000000</v>
      </c>
      <c r="AY75" s="1810">
        <f>[1]!IR_R04</f>
        <v>13</v>
      </c>
      <c r="AZ75" s="1811">
        <f>[1]!IR_ARM05_P04+Input_PL_Incentive_IR</f>
        <v>-2</v>
      </c>
      <c r="BA75" s="1811">
        <f>[1]!IR_FRM30_P04+Input_PL_Incentive_IR</f>
        <v>110.625</v>
      </c>
      <c r="BB75" s="1809">
        <f t="shared" ref="BB75:BB112" si="21">IF(INDEX(List_AmortTermAll,MATCH(Input_AmortTerm,List_AmortTerm,0),3)=1,AZ75,IF(INDEX(List_AmortTermAll,MATCH(Input_AmortTerm,List_AmortTerm,0),3)=2,BA75,#N/A))</f>
        <v>110.625</v>
      </c>
      <c r="BC75" s="1809" t="str">
        <f t="shared" si="19"/>
        <v>IT_110.6250000000</v>
      </c>
      <c r="BD75" s="1809"/>
      <c r="BE75" s="1812" t="s">
        <v>1627</v>
      </c>
    </row>
    <row r="76" spans="3:66" ht="9.6" customHeight="1" x14ac:dyDescent="0.2">
      <c r="C76" s="746"/>
      <c r="D76" s="942" t="str">
        <f>IFERROR(INDEX(Lookup_NoteRateAll,MATCH(INDEX(List_ProductAll,MATCH(Input_Product,List_Product,0),2)&amp;"_25",Lookup_NoteRateStack,0),1),"na")</f>
        <v>IT_010.3750000000</v>
      </c>
      <c r="E76" s="942">
        <f>IFERROR(INDEX(Lookup_NoteRateAll,MATCH(INDEX(List_ProductAll,MATCH(Input_Product,List_Product,0),2)&amp;"_25",Lookup_NoteRateStack,0),2),"na")</f>
        <v>10.375</v>
      </c>
      <c r="F76" s="942">
        <f>IFERROR(INDEX(Lookup_NoteRateAll,MATCH(INDEX(List_ProductAll,MATCH(Input_Product,List_Product,0),2)&amp;"_25",Lookup_NoteRateStack,0),5),"na")</f>
        <v>105.625</v>
      </c>
      <c r="G76" s="942">
        <f t="shared" si="14"/>
        <v>-0.125</v>
      </c>
      <c r="H76" s="942">
        <f t="shared" si="15"/>
        <v>102.5</v>
      </c>
      <c r="I76" s="942">
        <f>IFERROR(INDEX(Lookup_NoteRateAll,MATCH(INDEX(List_ProductAll,MATCH(Input_Product,List_Product,0),2)&amp;"_25",Lookup_NoteRateStack,0),7),"na")</f>
        <v>0</v>
      </c>
      <c r="J76" s="1053"/>
      <c r="K76" s="1054"/>
      <c r="M76" s="1177" t="s">
        <v>504</v>
      </c>
      <c r="N76" s="1178" t="s">
        <v>1035</v>
      </c>
      <c r="O76" s="461"/>
      <c r="U76" s="461"/>
      <c r="V76" s="461"/>
      <c r="AB76" s="461" t="s">
        <v>76</v>
      </c>
      <c r="AC76" s="682" t="s">
        <v>2431</v>
      </c>
      <c r="AD76" s="674" t="s">
        <v>2436</v>
      </c>
      <c r="AE76" s="460" t="s">
        <v>76</v>
      </c>
      <c r="AQ76" s="794" t="s">
        <v>419</v>
      </c>
      <c r="AR76" s="795">
        <v>0.05</v>
      </c>
      <c r="AS76" s="796">
        <v>0.1</v>
      </c>
      <c r="AT76" s="797">
        <v>0.18</v>
      </c>
      <c r="AU76" s="460" t="s">
        <v>76</v>
      </c>
      <c r="AV76" s="1807" t="s">
        <v>1304</v>
      </c>
      <c r="AW76" s="1808" t="s">
        <v>1069</v>
      </c>
      <c r="AX76" s="1809" t="str">
        <f t="shared" si="17"/>
        <v>IT_012.8750000000</v>
      </c>
      <c r="AY76" s="1810">
        <f>[1]!IR_R05</f>
        <v>12.875</v>
      </c>
      <c r="AZ76" s="1811">
        <f>[1]!IR_ARM05_P05+Input_PL_Incentive_IR</f>
        <v>-2</v>
      </c>
      <c r="BA76" s="1811">
        <f>[1]!IR_FRM30_P05+Input_PL_Incentive_IR</f>
        <v>110.5</v>
      </c>
      <c r="BB76" s="1809">
        <f t="shared" si="21"/>
        <v>110.5</v>
      </c>
      <c r="BC76" s="1809" t="str">
        <f t="shared" si="19"/>
        <v>IT_110.5000000000</v>
      </c>
      <c r="BD76" s="1809"/>
      <c r="BE76" s="1812" t="s">
        <v>1628</v>
      </c>
    </row>
    <row r="77" spans="3:66" ht="9.6" customHeight="1" x14ac:dyDescent="0.2">
      <c r="C77" s="746"/>
      <c r="D77" s="942" t="str">
        <f>IFERROR(INDEX(Lookup_NoteRateAll,MATCH(INDEX(List_ProductAll,MATCH(Input_Product,List_Product,0),2)&amp;"_26",Lookup_NoteRateStack,0),1),"na")</f>
        <v>IT_010.2500000000</v>
      </c>
      <c r="E77" s="942">
        <f>IFERROR(INDEX(Lookup_NoteRateAll,MATCH(INDEX(List_ProductAll,MATCH(Input_Product,List_Product,0),2)&amp;"_26",Lookup_NoteRateStack,0),2),"na")</f>
        <v>10.25</v>
      </c>
      <c r="F77" s="942">
        <f>IFERROR(INDEX(Lookup_NoteRateAll,MATCH(INDEX(List_ProductAll,MATCH(Input_Product,List_Product,0),2)&amp;"_26",Lookup_NoteRateStack,0),5),"na")</f>
        <v>105.375</v>
      </c>
      <c r="G77" s="942">
        <f t="shared" si="14"/>
        <v>-0.125</v>
      </c>
      <c r="H77" s="942">
        <f t="shared" si="15"/>
        <v>102.5</v>
      </c>
      <c r="I77" s="942">
        <f>IFERROR(INDEX(Lookup_NoteRateAll,MATCH(INDEX(List_ProductAll,MATCH(Input_Product,List_Product,0),2)&amp;"_26",Lookup_NoteRateStack,0),7),"na")</f>
        <v>0</v>
      </c>
      <c r="J77" s="1053"/>
      <c r="K77" s="1054"/>
      <c r="M77" s="1173" t="s">
        <v>505</v>
      </c>
      <c r="N77" s="1172" t="s">
        <v>1035</v>
      </c>
      <c r="O77" s="461"/>
      <c r="U77" s="461"/>
      <c r="V77" s="461"/>
      <c r="AB77" s="461" t="s">
        <v>76</v>
      </c>
      <c r="AC77" s="682" t="s">
        <v>2423</v>
      </c>
      <c r="AD77" s="674" t="s">
        <v>2424</v>
      </c>
      <c r="AE77" s="460" t="s">
        <v>76</v>
      </c>
      <c r="AQ77" s="798" t="s">
        <v>420</v>
      </c>
      <c r="AR77" s="799">
        <v>7.0000000000000007E-2</v>
      </c>
      <c r="AS77" s="800">
        <v>0.13</v>
      </c>
      <c r="AT77" s="801">
        <v>0.2</v>
      </c>
      <c r="AV77" s="1807" t="s">
        <v>1304</v>
      </c>
      <c r="AW77" s="1808" t="s">
        <v>1069</v>
      </c>
      <c r="AX77" s="1809" t="str">
        <f t="shared" si="17"/>
        <v>IT_012.7500000000</v>
      </c>
      <c r="AY77" s="1810">
        <f>[1]!IR_R06</f>
        <v>12.75</v>
      </c>
      <c r="AZ77" s="1811">
        <f>[1]!IR_ARM05_P06+Input_PL_Incentive_IR</f>
        <v>-2</v>
      </c>
      <c r="BA77" s="1811">
        <f>[1]!IR_FRM30_P06+Input_PL_Incentive_IR</f>
        <v>110.375</v>
      </c>
      <c r="BB77" s="1809">
        <f t="shared" si="21"/>
        <v>110.375</v>
      </c>
      <c r="BC77" s="1809" t="str">
        <f t="shared" si="19"/>
        <v>IT_110.3750000000</v>
      </c>
      <c r="BD77" s="1809"/>
      <c r="BE77" s="1812" t="s">
        <v>1629</v>
      </c>
    </row>
    <row r="78" spans="3:66" ht="9.6" customHeight="1" x14ac:dyDescent="0.2">
      <c r="C78" s="746"/>
      <c r="D78" s="942" t="str">
        <f>IFERROR(INDEX(Lookup_NoteRateAll,MATCH(INDEX(List_ProductAll,MATCH(Input_Product,List_Product,0),2)&amp;"_27",Lookup_NoteRateStack,0),1),"na")</f>
        <v>IT_010.1250000000</v>
      </c>
      <c r="E78" s="942">
        <f>IFERROR(INDEX(Lookup_NoteRateAll,MATCH(INDEX(List_ProductAll,MATCH(Input_Product,List_Product,0),2)&amp;"_27",Lookup_NoteRateStack,0),2),"na")</f>
        <v>10.125</v>
      </c>
      <c r="F78" s="942">
        <f>IFERROR(INDEX(Lookup_NoteRateAll,MATCH(INDEX(List_ProductAll,MATCH(Input_Product,List_Product,0),2)&amp;"_27",Lookup_NoteRateStack,0),5),"na")</f>
        <v>105</v>
      </c>
      <c r="G78" s="942">
        <f t="shared" si="14"/>
        <v>-0.125</v>
      </c>
      <c r="H78" s="942">
        <f t="shared" si="15"/>
        <v>102.5</v>
      </c>
      <c r="I78" s="942">
        <f>IFERROR(INDEX(Lookup_NoteRateAll,MATCH(INDEX(List_ProductAll,MATCH(Input_Product,List_Product,0),2)&amp;"_27",Lookup_NoteRateStack,0),7),"na")</f>
        <v>0</v>
      </c>
      <c r="J78" s="1053"/>
      <c r="K78" s="1054"/>
      <c r="M78" s="1177" t="s">
        <v>506</v>
      </c>
      <c r="N78" s="1178" t="s">
        <v>1035</v>
      </c>
      <c r="O78" s="461"/>
      <c r="U78" s="461"/>
      <c r="V78" s="461"/>
      <c r="AB78" s="461" t="s">
        <v>76</v>
      </c>
      <c r="AC78" s="682" t="s">
        <v>2425</v>
      </c>
      <c r="AD78" s="674" t="s">
        <v>2426</v>
      </c>
      <c r="AE78" s="460" t="s">
        <v>76</v>
      </c>
      <c r="AV78" s="1807" t="s">
        <v>1304</v>
      </c>
      <c r="AW78" s="1808" t="s">
        <v>1069</v>
      </c>
      <c r="AX78" s="1809" t="str">
        <f t="shared" si="17"/>
        <v>IT_012.6250000000</v>
      </c>
      <c r="AY78" s="1810">
        <f>[1]!IR_R07</f>
        <v>12.625</v>
      </c>
      <c r="AZ78" s="1811">
        <f>[1]!IR_ARM05_P07+Input_PL_Incentive_IR</f>
        <v>-2</v>
      </c>
      <c r="BA78" s="1811">
        <f>[1]!IR_FRM30_P07+Input_PL_Incentive_IR</f>
        <v>110.125</v>
      </c>
      <c r="BB78" s="1809">
        <f t="shared" si="21"/>
        <v>110.125</v>
      </c>
      <c r="BC78" s="1809" t="str">
        <f t="shared" si="19"/>
        <v>IT_110.1250000000</v>
      </c>
      <c r="BD78" s="1809"/>
      <c r="BE78" s="1812" t="s">
        <v>1630</v>
      </c>
    </row>
    <row r="79" spans="3:66" ht="9.6" customHeight="1" x14ac:dyDescent="0.2">
      <c r="C79" s="746"/>
      <c r="D79" s="942" t="str">
        <f>IFERROR(INDEX(Lookup_NoteRateAll,MATCH(INDEX(List_ProductAll,MATCH(Input_Product,List_Product,0),2)&amp;"_28",Lookup_NoteRateStack,0),1),"na")</f>
        <v>IT_010.0000000000</v>
      </c>
      <c r="E79" s="942">
        <f>IFERROR(INDEX(Lookup_NoteRateAll,MATCH(INDEX(List_ProductAll,MATCH(Input_Product,List_Product,0),2)&amp;"_28",Lookup_NoteRateStack,0),2),"na")</f>
        <v>10</v>
      </c>
      <c r="F79" s="942">
        <f>IFERROR(INDEX(Lookup_NoteRateAll,MATCH(INDEX(List_ProductAll,MATCH(Input_Product,List_Product,0),2)&amp;"_28",Lookup_NoteRateStack,0),5),"na")</f>
        <v>104.625</v>
      </c>
      <c r="G79" s="942">
        <f t="shared" si="14"/>
        <v>-0.125</v>
      </c>
      <c r="H79" s="942">
        <f t="shared" si="15"/>
        <v>102.5</v>
      </c>
      <c r="I79" s="942">
        <f>IFERROR(INDEX(Lookup_NoteRateAll,MATCH(INDEX(List_ProductAll,MATCH(Input_Product,List_Product,0),2)&amp;"_28",Lookup_NoteRateStack,0),7),"na")</f>
        <v>0</v>
      </c>
      <c r="J79" s="1053"/>
      <c r="K79" s="1054"/>
      <c r="M79" s="1171" t="s">
        <v>507</v>
      </c>
      <c r="N79" s="1172" t="s">
        <v>1035</v>
      </c>
      <c r="O79" s="461"/>
      <c r="U79" s="461"/>
      <c r="V79" s="461"/>
      <c r="AB79" s="461" t="s">
        <v>76</v>
      </c>
      <c r="AC79" s="682" t="s">
        <v>2427</v>
      </c>
      <c r="AD79" s="674" t="s">
        <v>2428</v>
      </c>
      <c r="AE79" s="460" t="s">
        <v>76</v>
      </c>
      <c r="AV79" s="1807" t="s">
        <v>1304</v>
      </c>
      <c r="AW79" s="1808" t="s">
        <v>1069</v>
      </c>
      <c r="AX79" s="1809" t="str">
        <f t="shared" si="17"/>
        <v>IT_012.5000000000</v>
      </c>
      <c r="AY79" s="1810">
        <f>[1]!IR_R08</f>
        <v>12.5</v>
      </c>
      <c r="AZ79" s="1811">
        <f>[1]!IR_ARM05_P08+Input_PL_Incentive_IR</f>
        <v>-2</v>
      </c>
      <c r="BA79" s="1811">
        <f>[1]!IR_FRM30_P08+Input_PL_Incentive_IR</f>
        <v>109.875</v>
      </c>
      <c r="BB79" s="1809">
        <f t="shared" si="21"/>
        <v>109.875</v>
      </c>
      <c r="BC79" s="1809" t="str">
        <f t="shared" si="19"/>
        <v>IT_109.8750000000</v>
      </c>
      <c r="BD79" s="1809"/>
      <c r="BE79" s="1812" t="s">
        <v>1631</v>
      </c>
    </row>
    <row r="80" spans="3:66" ht="9.6" customHeight="1" x14ac:dyDescent="0.2">
      <c r="C80" s="746"/>
      <c r="D80" s="942" t="str">
        <f>IFERROR(INDEX(Lookup_NoteRateAll,MATCH(INDEX(List_ProductAll,MATCH(Input_Product,List_Product,0),2)&amp;"_29",Lookup_NoteRateStack,0),1),"na")</f>
        <v>IT_009.8750000000</v>
      </c>
      <c r="E80" s="942">
        <f>IFERROR(INDEX(Lookup_NoteRateAll,MATCH(INDEX(List_ProductAll,MATCH(Input_Product,List_Product,0),2)&amp;"_29",Lookup_NoteRateStack,0),2),"na")</f>
        <v>9.875</v>
      </c>
      <c r="F80" s="942">
        <f>IFERROR(INDEX(Lookup_NoteRateAll,MATCH(INDEX(List_ProductAll,MATCH(Input_Product,List_Product,0),2)&amp;"_29",Lookup_NoteRateStack,0),5),"na")</f>
        <v>104.25</v>
      </c>
      <c r="G80" s="942">
        <f t="shared" si="14"/>
        <v>-0.125</v>
      </c>
      <c r="H80" s="942">
        <f t="shared" si="15"/>
        <v>102.5</v>
      </c>
      <c r="I80" s="942">
        <f>IFERROR(INDEX(Lookup_NoteRateAll,MATCH(INDEX(List_ProductAll,MATCH(Input_Product,List_Product,0),2)&amp;"_29",Lookup_NoteRateStack,0),7),"na")</f>
        <v>0</v>
      </c>
      <c r="J80" s="1053"/>
      <c r="K80" s="1054"/>
      <c r="M80" s="1173" t="s">
        <v>508</v>
      </c>
      <c r="N80" s="1172" t="s">
        <v>1035</v>
      </c>
      <c r="O80" s="461"/>
      <c r="U80" s="461"/>
      <c r="V80" s="461"/>
      <c r="AB80" s="461" t="s">
        <v>76</v>
      </c>
      <c r="AC80" s="648" t="s">
        <v>2429</v>
      </c>
      <c r="AD80" s="649" t="s">
        <v>2430</v>
      </c>
      <c r="AQ80" s="680" t="s">
        <v>324</v>
      </c>
      <c r="AR80" s="713"/>
      <c r="AS80" s="713"/>
      <c r="AT80" s="460" t="s">
        <v>76</v>
      </c>
      <c r="AV80" s="1807" t="s">
        <v>1304</v>
      </c>
      <c r="AW80" s="1808" t="s">
        <v>1069</v>
      </c>
      <c r="AX80" s="1809" t="str">
        <f t="shared" si="17"/>
        <v>IT_012.3750000000</v>
      </c>
      <c r="AY80" s="1810">
        <f>[1]!IR_R09</f>
        <v>12.375</v>
      </c>
      <c r="AZ80" s="1811">
        <f>[1]!IR_ARM05_P09+Input_PL_Incentive_IR</f>
        <v>-2</v>
      </c>
      <c r="BA80" s="1811">
        <f>[1]!IR_FRM30_P09+Input_PL_Incentive_IR</f>
        <v>109.625</v>
      </c>
      <c r="BB80" s="1809">
        <f t="shared" si="21"/>
        <v>109.625</v>
      </c>
      <c r="BC80" s="1809" t="str">
        <f t="shared" si="19"/>
        <v>IT_109.6250000000</v>
      </c>
      <c r="BD80" s="1809"/>
      <c r="BE80" s="1812" t="s">
        <v>1632</v>
      </c>
    </row>
    <row r="81" spans="3:57" ht="9.6" customHeight="1" x14ac:dyDescent="0.25">
      <c r="C81" s="746"/>
      <c r="D81" s="942" t="str">
        <f>IFERROR(INDEX(Lookup_NoteRateAll,MATCH(INDEX(List_ProductAll,MATCH(Input_Product,List_Product,0),2)&amp;"_30",Lookup_NoteRateStack,0),1),"na")</f>
        <v>IT_009.7500000000</v>
      </c>
      <c r="E81" s="942">
        <f>IFERROR(INDEX(Lookup_NoteRateAll,MATCH(INDEX(List_ProductAll,MATCH(Input_Product,List_Product,0),2)&amp;"_30",Lookup_NoteRateStack,0),2),"na")</f>
        <v>9.75</v>
      </c>
      <c r="F81" s="942">
        <f>IFERROR(INDEX(Lookup_NoteRateAll,MATCH(INDEX(List_ProductAll,MATCH(Input_Product,List_Product,0),2)&amp;"_30",Lookup_NoteRateStack,0),5),"na")</f>
        <v>103.875</v>
      </c>
      <c r="G81" s="942">
        <f t="shared" si="14"/>
        <v>-0.125</v>
      </c>
      <c r="H81" s="942">
        <f t="shared" si="15"/>
        <v>102.5</v>
      </c>
      <c r="I81" s="942">
        <f>IFERROR(INDEX(Lookup_NoteRateAll,MATCH(INDEX(List_ProductAll,MATCH(Input_Product,List_Product,0),2)&amp;"_30",Lookup_NoteRateStack,0),7),"na")</f>
        <v>0</v>
      </c>
      <c r="J81" s="1053"/>
      <c r="K81" s="1054"/>
      <c r="M81" s="1171" t="s">
        <v>509</v>
      </c>
      <c r="N81" s="1172" t="s">
        <v>1035</v>
      </c>
      <c r="O81" s="461"/>
      <c r="AB81" s="461" t="s">
        <v>76</v>
      </c>
      <c r="AQ81" s="538" t="s">
        <v>325</v>
      </c>
      <c r="AR81" s="643" t="s">
        <v>326</v>
      </c>
      <c r="AS81" s="1471" t="s">
        <v>1994</v>
      </c>
      <c r="AT81" s="460" t="s">
        <v>76</v>
      </c>
      <c r="AV81" s="1807" t="s">
        <v>1304</v>
      </c>
      <c r="AW81" s="1808" t="s">
        <v>1069</v>
      </c>
      <c r="AX81" s="1809" t="str">
        <f t="shared" si="17"/>
        <v>IT_012.2500000000</v>
      </c>
      <c r="AY81" s="1810">
        <f>[1]!IR_R10</f>
        <v>12.25</v>
      </c>
      <c r="AZ81" s="1811">
        <f>[1]!IR_ARM05_P10+Input_PL_Incentive_IR</f>
        <v>-2</v>
      </c>
      <c r="BA81" s="1811">
        <f>[1]!IR_FRM30_P10+Input_PL_Incentive_IR</f>
        <v>109.375</v>
      </c>
      <c r="BB81" s="1809">
        <f t="shared" si="21"/>
        <v>109.375</v>
      </c>
      <c r="BC81" s="1809" t="str">
        <f t="shared" si="19"/>
        <v>IT_109.3750000000</v>
      </c>
      <c r="BD81" s="1809"/>
      <c r="BE81" s="1812" t="s">
        <v>1633</v>
      </c>
    </row>
    <row r="82" spans="3:57" ht="9.6" customHeight="1" x14ac:dyDescent="0.2">
      <c r="C82" s="746"/>
      <c r="D82" s="942" t="str">
        <f>IFERROR(INDEX(Lookup_NoteRateAll,MATCH(INDEX(List_ProductAll,MATCH(Input_Product,List_Product,0),2)&amp;"_31",Lookup_NoteRateStack,0),1),"na")</f>
        <v>IT_009.6250000000</v>
      </c>
      <c r="E82" s="942">
        <f>IFERROR(INDEX(Lookup_NoteRateAll,MATCH(INDEX(List_ProductAll,MATCH(Input_Product,List_Product,0),2)&amp;"_31",Lookup_NoteRateStack,0),2),"na")</f>
        <v>9.625</v>
      </c>
      <c r="F82" s="942">
        <f>IFERROR(INDEX(Lookup_NoteRateAll,MATCH(INDEX(List_ProductAll,MATCH(Input_Product,List_Product,0),2)&amp;"_31",Lookup_NoteRateStack,0),5),"na")</f>
        <v>103.5</v>
      </c>
      <c r="G82" s="942">
        <f t="shared" si="14"/>
        <v>-0.125</v>
      </c>
      <c r="H82" s="942">
        <f t="shared" si="15"/>
        <v>102.5</v>
      </c>
      <c r="I82" s="942">
        <f>IFERROR(INDEX(Lookup_NoteRateAll,MATCH(INDEX(List_ProductAll,MATCH(Input_Product,List_Product,0),2)&amp;"_31",Lookup_NoteRateStack,0),7),"na")</f>
        <v>0</v>
      </c>
      <c r="J82" s="1053"/>
      <c r="K82" s="1054"/>
      <c r="M82" s="1179" t="s">
        <v>510</v>
      </c>
      <c r="N82" s="1180" t="s">
        <v>1035</v>
      </c>
      <c r="O82" s="461"/>
      <c r="T82" s="461"/>
      <c r="AB82" s="461" t="s">
        <v>76</v>
      </c>
      <c r="AC82" s="680" t="s">
        <v>51</v>
      </c>
      <c r="AD82" s="713"/>
      <c r="AQ82" s="538" t="s">
        <v>323</v>
      </c>
      <c r="AR82" s="674" t="s">
        <v>322</v>
      </c>
      <c r="AS82" s="674" t="s">
        <v>1993</v>
      </c>
      <c r="AT82" s="460" t="s">
        <v>76</v>
      </c>
      <c r="AV82" s="1807" t="s">
        <v>1304</v>
      </c>
      <c r="AW82" s="1808" t="s">
        <v>1069</v>
      </c>
      <c r="AX82" s="1809" t="str">
        <f t="shared" si="17"/>
        <v>IT_012.1250000000</v>
      </c>
      <c r="AY82" s="1810">
        <f>[1]!IR_R11</f>
        <v>12.125</v>
      </c>
      <c r="AZ82" s="1811">
        <f>[1]!IR_ARM05_P11+Input_PL_Incentive_IR</f>
        <v>-2</v>
      </c>
      <c r="BA82" s="1811">
        <f>[1]!IR_FRM30_P11+Input_PL_Incentive_IR</f>
        <v>109.125</v>
      </c>
      <c r="BB82" s="1809">
        <f t="shared" si="21"/>
        <v>109.125</v>
      </c>
      <c r="BC82" s="1809" t="str">
        <f t="shared" si="19"/>
        <v>IT_109.1250000000</v>
      </c>
      <c r="BD82" s="1809"/>
      <c r="BE82" s="1812" t="s">
        <v>1634</v>
      </c>
    </row>
    <row r="83" spans="3:57" ht="9.6" customHeight="1" x14ac:dyDescent="0.2">
      <c r="C83" s="746"/>
      <c r="D83" s="942" t="str">
        <f>IFERROR(INDEX(Lookup_NoteRateAll,MATCH(INDEX(List_ProductAll,MATCH(Input_Product,List_Product,0),2)&amp;"_32",Lookup_NoteRateStack,0),1),"na")</f>
        <v>IT_009.5000000000</v>
      </c>
      <c r="E83" s="942">
        <f>IFERROR(INDEX(Lookup_NoteRateAll,MATCH(INDEX(List_ProductAll,MATCH(Input_Product,List_Product,0),2)&amp;"_32",Lookup_NoteRateStack,0),2),"na")</f>
        <v>9.5</v>
      </c>
      <c r="F83" s="942">
        <f>IFERROR(INDEX(Lookup_NoteRateAll,MATCH(INDEX(List_ProductAll,MATCH(Input_Product,List_Product,0),2)&amp;"_32",Lookup_NoteRateStack,0),5),"na")</f>
        <v>103.125</v>
      </c>
      <c r="G83" s="942">
        <f t="shared" si="14"/>
        <v>-0.125</v>
      </c>
      <c r="H83" s="942">
        <f t="shared" si="15"/>
        <v>102.5</v>
      </c>
      <c r="I83" s="942">
        <f>IFERROR(INDEX(Lookup_NoteRateAll,MATCH(INDEX(List_ProductAll,MATCH(Input_Product,List_Product,0),2)&amp;"_32",Lookup_NoteRateStack,0),7),"na")</f>
        <v>0</v>
      </c>
      <c r="J83" s="1053"/>
      <c r="K83" s="1054"/>
      <c r="M83" s="1145" t="s">
        <v>1305</v>
      </c>
      <c r="N83" s="1146" t="s">
        <v>1983</v>
      </c>
      <c r="T83" s="461"/>
      <c r="AB83" s="461" t="s">
        <v>76</v>
      </c>
      <c r="AC83" s="636" t="s">
        <v>20</v>
      </c>
      <c r="AD83" s="637"/>
      <c r="AV83" s="1807" t="s">
        <v>1304</v>
      </c>
      <c r="AW83" s="1808" t="s">
        <v>1069</v>
      </c>
      <c r="AX83" s="1809" t="str">
        <f t="shared" si="17"/>
        <v>IT_012.0000000000</v>
      </c>
      <c r="AY83" s="1810">
        <f>[1]!IR_R12</f>
        <v>12</v>
      </c>
      <c r="AZ83" s="1811">
        <f>[1]!IR_ARM05_P12+Input_PL_Incentive_IR</f>
        <v>-2</v>
      </c>
      <c r="BA83" s="1811">
        <f>[1]!IR_FRM30_P12+Input_PL_Incentive_IR</f>
        <v>108.875</v>
      </c>
      <c r="BB83" s="1809">
        <f t="shared" si="21"/>
        <v>108.875</v>
      </c>
      <c r="BC83" s="1809" t="str">
        <f t="shared" si="19"/>
        <v>IT_108.8750000000</v>
      </c>
      <c r="BD83" s="1809"/>
      <c r="BE83" s="1812" t="s">
        <v>1635</v>
      </c>
    </row>
    <row r="84" spans="3:57" ht="9.6" customHeight="1" x14ac:dyDescent="0.2">
      <c r="C84" s="746"/>
      <c r="D84" s="942" t="str">
        <f>IFERROR(INDEX(Lookup_NoteRateAll,MATCH(INDEX(List_ProductAll,MATCH(Input_Product,List_Product,0),2)&amp;"_33",Lookup_NoteRateStack,0),1),"na")</f>
        <v>IT_009.3750000000</v>
      </c>
      <c r="E84" s="942">
        <f>IFERROR(INDEX(Lookup_NoteRateAll,MATCH(INDEX(List_ProductAll,MATCH(Input_Product,List_Product,0),2)&amp;"_33",Lookup_NoteRateStack,0),2),"na")</f>
        <v>9.375</v>
      </c>
      <c r="F84" s="942">
        <f>IFERROR(INDEX(Lookup_NoteRateAll,MATCH(INDEX(List_ProductAll,MATCH(Input_Product,List_Product,0),2)&amp;"_33",Lookup_NoteRateStack,0),5),"na")</f>
        <v>102.75</v>
      </c>
      <c r="G84" s="942">
        <f t="shared" si="14"/>
        <v>-0.125</v>
      </c>
      <c r="H84" s="942">
        <f t="shared" si="15"/>
        <v>102.5</v>
      </c>
      <c r="I84" s="942">
        <f>IFERROR(INDEX(Lookup_NoteRateAll,MATCH(INDEX(List_ProductAll,MATCH(Input_Product,List_Product,0),2)&amp;"_33",Lookup_NoteRateStack,0),7),"na")</f>
        <v>0</v>
      </c>
      <c r="J84" s="1053"/>
      <c r="K84" s="1054"/>
      <c r="M84" s="1147" t="s">
        <v>1306</v>
      </c>
      <c r="N84" s="1148" t="s">
        <v>1983</v>
      </c>
      <c r="P84" s="461"/>
      <c r="Q84" s="461"/>
      <c r="R84" s="461"/>
      <c r="S84" s="461"/>
      <c r="T84" s="461"/>
      <c r="AB84" s="461" t="s">
        <v>76</v>
      </c>
      <c r="AC84" s="648" t="s">
        <v>50</v>
      </c>
      <c r="AD84" s="649"/>
      <c r="AQ84" s="719" t="s">
        <v>276</v>
      </c>
      <c r="AR84" s="720"/>
      <c r="AV84" s="1807" t="s">
        <v>1304</v>
      </c>
      <c r="AW84" s="1808" t="s">
        <v>1069</v>
      </c>
      <c r="AX84" s="1809" t="str">
        <f t="shared" si="17"/>
        <v>IT_011.8750000000</v>
      </c>
      <c r="AY84" s="1810">
        <f>[1]!IR_R13</f>
        <v>11.875</v>
      </c>
      <c r="AZ84" s="1811">
        <f>[1]!IR_ARM05_P13+Input_PL_Incentive_IR</f>
        <v>-2</v>
      </c>
      <c r="BA84" s="1811">
        <f>[1]!IR_FRM30_P13+Input_PL_Incentive_IR</f>
        <v>108.625</v>
      </c>
      <c r="BB84" s="1809">
        <f t="shared" si="21"/>
        <v>108.625</v>
      </c>
      <c r="BC84" s="1809" t="str">
        <f t="shared" si="19"/>
        <v>IT_108.6250000000</v>
      </c>
      <c r="BD84" s="1809"/>
      <c r="BE84" s="1812" t="s">
        <v>1636</v>
      </c>
    </row>
    <row r="85" spans="3:57" ht="9.6" customHeight="1" x14ac:dyDescent="0.2">
      <c r="C85" s="746"/>
      <c r="D85" s="942" t="str">
        <f>IFERROR(INDEX(Lookup_NoteRateAll,MATCH(INDEX(List_ProductAll,MATCH(Input_Product,List_Product,0),2)&amp;"_34",Lookup_NoteRateStack,0),1),"na")</f>
        <v>IT_009.2500000000</v>
      </c>
      <c r="E85" s="942">
        <f>IFERROR(INDEX(Lookup_NoteRateAll,MATCH(INDEX(List_ProductAll,MATCH(Input_Product,List_Product,0),2)&amp;"_34",Lookup_NoteRateStack,0),2),"na")</f>
        <v>9.25</v>
      </c>
      <c r="F85" s="942">
        <f>IFERROR(INDEX(Lookup_NoteRateAll,MATCH(INDEX(List_ProductAll,MATCH(Input_Product,List_Product,0),2)&amp;"_34",Lookup_NoteRateStack,0),5),"na")</f>
        <v>102.25</v>
      </c>
      <c r="G85" s="942">
        <f t="shared" si="14"/>
        <v>-0.125</v>
      </c>
      <c r="H85" s="942">
        <f t="shared" si="15"/>
        <v>102.125</v>
      </c>
      <c r="I85" s="942">
        <f>IFERROR(INDEX(Lookup_NoteRateAll,MATCH(INDEX(List_ProductAll,MATCH(Input_Product,List_Product,0),2)&amp;"_34",Lookup_NoteRateStack,0),7),"na")</f>
        <v>0</v>
      </c>
      <c r="J85" s="1053"/>
      <c r="K85" s="1054"/>
      <c r="M85" s="1149" t="s">
        <v>1307</v>
      </c>
      <c r="N85" s="1150" t="s">
        <v>1983</v>
      </c>
      <c r="P85" s="461"/>
      <c r="Q85" s="461"/>
      <c r="R85" s="461"/>
      <c r="S85" s="461"/>
      <c r="T85" s="461"/>
      <c r="AB85" s="461" t="s">
        <v>76</v>
      </c>
      <c r="AQ85" s="739">
        <v>0</v>
      </c>
      <c r="AR85" s="740" t="s">
        <v>1857</v>
      </c>
      <c r="AV85" s="1807" t="s">
        <v>1304</v>
      </c>
      <c r="AW85" s="1808" t="s">
        <v>1069</v>
      </c>
      <c r="AX85" s="1809" t="str">
        <f t="shared" si="17"/>
        <v>IT_011.7500000000</v>
      </c>
      <c r="AY85" s="1810">
        <f>[1]!IR_R14</f>
        <v>11.75</v>
      </c>
      <c r="AZ85" s="1811">
        <f>[1]!IR_ARM05_P14+Input_PL_Incentive_IR</f>
        <v>-2</v>
      </c>
      <c r="BA85" s="1811">
        <f>[1]!IR_FRM30_P14+Input_PL_Incentive_IR</f>
        <v>108.375</v>
      </c>
      <c r="BB85" s="1809">
        <f t="shared" si="21"/>
        <v>108.375</v>
      </c>
      <c r="BC85" s="1809" t="str">
        <f t="shared" si="19"/>
        <v>IT_108.3750000000</v>
      </c>
      <c r="BD85" s="1809"/>
      <c r="BE85" s="1812" t="s">
        <v>1637</v>
      </c>
    </row>
    <row r="86" spans="3:57" ht="9.6" customHeight="1" x14ac:dyDescent="0.2">
      <c r="C86" s="746"/>
      <c r="D86" s="942" t="str">
        <f>IFERROR(INDEX(Lookup_NoteRateAll,MATCH(INDEX(List_ProductAll,MATCH(Input_Product,List_Product,0),2)&amp;"_35",Lookup_NoteRateStack,0),1),"na")</f>
        <v>IT_009.1250000000</v>
      </c>
      <c r="E86" s="942">
        <f>IFERROR(INDEX(Lookup_NoteRateAll,MATCH(INDEX(List_ProductAll,MATCH(Input_Product,List_Product,0),2)&amp;"_35",Lookup_NoteRateStack,0),2),"na")</f>
        <v>9.125</v>
      </c>
      <c r="F86" s="942">
        <f>IFERROR(INDEX(Lookup_NoteRateAll,MATCH(INDEX(List_ProductAll,MATCH(Input_Product,List_Product,0),2)&amp;"_35",Lookup_NoteRateStack,0),5),"na")</f>
        <v>101.75</v>
      </c>
      <c r="G86" s="942">
        <f t="shared" si="14"/>
        <v>-0.125</v>
      </c>
      <c r="H86" s="942">
        <f t="shared" si="15"/>
        <v>101.625</v>
      </c>
      <c r="I86" s="942">
        <f>IFERROR(INDEX(Lookup_NoteRateAll,MATCH(INDEX(List_ProductAll,MATCH(Input_Product,List_Product,0),2)&amp;"_35",Lookup_NoteRateStack,0),7),"na")</f>
        <v>0</v>
      </c>
      <c r="J86" s="1053"/>
      <c r="K86" s="1054"/>
      <c r="M86" s="1149" t="s">
        <v>1332</v>
      </c>
      <c r="N86" s="1150" t="s">
        <v>1983</v>
      </c>
      <c r="P86" s="461"/>
      <c r="Q86" s="461"/>
      <c r="R86" s="461"/>
      <c r="S86" s="461"/>
      <c r="T86" s="461"/>
      <c r="AC86" s="680" t="s">
        <v>23</v>
      </c>
      <c r="AD86" s="713"/>
      <c r="AQ86" s="744">
        <v>12</v>
      </c>
      <c r="AR86" s="716" t="s">
        <v>1858</v>
      </c>
      <c r="AV86" s="1807" t="s">
        <v>1304</v>
      </c>
      <c r="AW86" s="1808" t="s">
        <v>1069</v>
      </c>
      <c r="AX86" s="1809" t="str">
        <f t="shared" si="17"/>
        <v>IT_011.6250000000</v>
      </c>
      <c r="AY86" s="1810">
        <f>[1]!IR_R15</f>
        <v>11.625</v>
      </c>
      <c r="AZ86" s="1811">
        <f>[1]!IR_ARM05_P15+Input_PL_Incentive_IR</f>
        <v>-2</v>
      </c>
      <c r="BA86" s="1811">
        <f>[1]!IR_FRM30_P15+Input_PL_Incentive_IR</f>
        <v>108.125</v>
      </c>
      <c r="BB86" s="1809">
        <f t="shared" si="21"/>
        <v>108.125</v>
      </c>
      <c r="BC86" s="1809" t="str">
        <f t="shared" si="19"/>
        <v>IT_108.1250000000</v>
      </c>
      <c r="BD86" s="1809"/>
      <c r="BE86" s="1812" t="s">
        <v>1638</v>
      </c>
    </row>
    <row r="87" spans="3:57" ht="9.6" customHeight="1" x14ac:dyDescent="0.2">
      <c r="C87" s="746"/>
      <c r="D87" s="942" t="str">
        <f>IFERROR(INDEX(Lookup_NoteRateAll,MATCH(INDEX(List_ProductAll,MATCH(Input_Product,List_Product,0),2)&amp;"_36",Lookup_NoteRateStack,0),1),"na")</f>
        <v>IT_009.0000000000</v>
      </c>
      <c r="E87" s="942">
        <f>IFERROR(INDEX(Lookup_NoteRateAll,MATCH(INDEX(List_ProductAll,MATCH(Input_Product,List_Product,0),2)&amp;"_36",Lookup_NoteRateStack,0),2),"na")</f>
        <v>9</v>
      </c>
      <c r="F87" s="942">
        <f>IFERROR(INDEX(Lookup_NoteRateAll,MATCH(INDEX(List_ProductAll,MATCH(Input_Product,List_Product,0),2)&amp;"_36",Lookup_NoteRateStack,0),5),"na")</f>
        <v>101.25</v>
      </c>
      <c r="G87" s="942">
        <f t="shared" si="14"/>
        <v>-0.125</v>
      </c>
      <c r="H87" s="942">
        <f t="shared" si="15"/>
        <v>101.125</v>
      </c>
      <c r="I87" s="942">
        <f>IFERROR(INDEX(Lookup_NoteRateAll,MATCH(INDEX(List_ProductAll,MATCH(Input_Product,List_Product,0),2)&amp;"_36",Lookup_NoteRateStack,0),7),"na")</f>
        <v>0</v>
      </c>
      <c r="J87" s="1053"/>
      <c r="K87" s="1054"/>
      <c r="M87" s="1147" t="s">
        <v>1308</v>
      </c>
      <c r="N87" s="1151" t="s">
        <v>1983</v>
      </c>
      <c r="P87" s="461"/>
      <c r="Q87" s="461"/>
      <c r="R87" s="461"/>
      <c r="S87" s="461"/>
      <c r="T87" s="461"/>
      <c r="U87" s="461"/>
      <c r="V87" s="461"/>
      <c r="AC87" s="802" t="s">
        <v>73</v>
      </c>
      <c r="AD87" s="638"/>
      <c r="AV87" s="1807" t="s">
        <v>1304</v>
      </c>
      <c r="AW87" s="1808" t="s">
        <v>1069</v>
      </c>
      <c r="AX87" s="1809" t="str">
        <f t="shared" si="17"/>
        <v>IT_011.5000000000</v>
      </c>
      <c r="AY87" s="1810">
        <f>[1]!IR_R16</f>
        <v>11.5</v>
      </c>
      <c r="AZ87" s="1811">
        <f>[1]!IR_ARM05_P16+Input_PL_Incentive_IR</f>
        <v>-2</v>
      </c>
      <c r="BA87" s="1811">
        <f>[1]!IR_FRM30_P16+Input_PL_Incentive_IR</f>
        <v>107.875</v>
      </c>
      <c r="BB87" s="1809">
        <f t="shared" si="21"/>
        <v>107.875</v>
      </c>
      <c r="BC87" s="1809" t="str">
        <f t="shared" si="19"/>
        <v>IT_107.8750000000</v>
      </c>
      <c r="BD87" s="1809"/>
      <c r="BE87" s="1812" t="s">
        <v>1639</v>
      </c>
    </row>
    <row r="88" spans="3:57" ht="9.6" customHeight="1" x14ac:dyDescent="0.2">
      <c r="C88" s="746"/>
      <c r="D88" s="942" t="str">
        <f>IFERROR(INDEX(Lookup_NoteRateAll,MATCH(INDEX(List_ProductAll,MATCH(Input_Product,List_Product,0),2)&amp;"_37",Lookup_NoteRateStack,0),1),"na")</f>
        <v>IT_008.8750000000</v>
      </c>
      <c r="E88" s="942">
        <f>IFERROR(INDEX(Lookup_NoteRateAll,MATCH(INDEX(List_ProductAll,MATCH(Input_Product,List_Product,0),2)&amp;"_37",Lookup_NoteRateStack,0),2),"na")</f>
        <v>8.875</v>
      </c>
      <c r="F88" s="942">
        <f>IFERROR(INDEX(Lookup_NoteRateAll,MATCH(INDEX(List_ProductAll,MATCH(Input_Product,List_Product,0),2)&amp;"_37",Lookup_NoteRateStack,0),5),"na")</f>
        <v>100.75</v>
      </c>
      <c r="G88" s="942">
        <f t="shared" si="14"/>
        <v>-0.125</v>
      </c>
      <c r="H88" s="942">
        <f t="shared" si="15"/>
        <v>100.625</v>
      </c>
      <c r="I88" s="942">
        <f>IFERROR(INDEX(Lookup_NoteRateAll,MATCH(INDEX(List_ProductAll,MATCH(Input_Product,List_Product,0),2)&amp;"_37",Lookup_NoteRateStack,0),7),"na")</f>
        <v>0</v>
      </c>
      <c r="J88" s="1053"/>
      <c r="K88" s="1054"/>
      <c r="M88" s="1152" t="s">
        <v>1309</v>
      </c>
      <c r="N88" s="1153" t="s">
        <v>1983</v>
      </c>
      <c r="P88" s="461"/>
      <c r="Q88" s="461"/>
      <c r="R88" s="461"/>
      <c r="S88" s="461"/>
      <c r="T88" s="461"/>
      <c r="U88" s="461"/>
      <c r="V88" s="461"/>
      <c r="AC88" s="803" t="s">
        <v>74</v>
      </c>
      <c r="AD88" s="643"/>
      <c r="AV88" s="1807" t="s">
        <v>1304</v>
      </c>
      <c r="AW88" s="1808" t="s">
        <v>1069</v>
      </c>
      <c r="AX88" s="1809" t="str">
        <f t="shared" si="17"/>
        <v>IT_011.3750000000</v>
      </c>
      <c r="AY88" s="1810">
        <f>[1]!IR_R17</f>
        <v>11.375</v>
      </c>
      <c r="AZ88" s="1811">
        <f>[1]!IR_ARM05_P17+Input_PL_Incentive_IR</f>
        <v>-2</v>
      </c>
      <c r="BA88" s="1811">
        <f>[1]!IR_FRM30_P17+Input_PL_Incentive_IR</f>
        <v>107.625</v>
      </c>
      <c r="BB88" s="1809">
        <f t="shared" si="21"/>
        <v>107.625</v>
      </c>
      <c r="BC88" s="1809" t="str">
        <f t="shared" si="19"/>
        <v>IT_107.6250000000</v>
      </c>
      <c r="BD88" s="1809"/>
      <c r="BE88" s="1812" t="s">
        <v>1640</v>
      </c>
    </row>
    <row r="89" spans="3:57" ht="9.6" customHeight="1" x14ac:dyDescent="0.2">
      <c r="C89" s="746"/>
      <c r="D89" s="942" t="str">
        <f>IFERROR(INDEX(Lookup_NoteRateAll,MATCH(INDEX(List_ProductAll,MATCH(Input_Product,List_Product,0),2)&amp;"_38",Lookup_NoteRateStack,0),1),"na")</f>
        <v>IT_008.7500000000</v>
      </c>
      <c r="E89" s="942">
        <f>IFERROR(INDEX(Lookup_NoteRateAll,MATCH(INDEX(List_ProductAll,MATCH(Input_Product,List_Product,0),2)&amp;"_38",Lookup_NoteRateStack,0),2),"na")</f>
        <v>8.75</v>
      </c>
      <c r="F89" s="942">
        <f>IFERROR(INDEX(Lookup_NoteRateAll,MATCH(INDEX(List_ProductAll,MATCH(Input_Product,List_Product,0),2)&amp;"_38",Lookup_NoteRateStack,0),5),"na")</f>
        <v>100</v>
      </c>
      <c r="G89" s="942">
        <f t="shared" si="14"/>
        <v>-0.125</v>
      </c>
      <c r="H89" s="942">
        <f t="shared" si="15"/>
        <v>99.875</v>
      </c>
      <c r="I89" s="942">
        <f>IFERROR(INDEX(Lookup_NoteRateAll,MATCH(INDEX(List_ProductAll,MATCH(Input_Product,List_Product,0),2)&amp;"_38",Lookup_NoteRateStack,0),7),"na")</f>
        <v>0</v>
      </c>
      <c r="J89" s="1053"/>
      <c r="K89" s="1054"/>
      <c r="M89" s="1154" t="s">
        <v>1778</v>
      </c>
      <c r="N89" s="1155" t="s">
        <v>1781</v>
      </c>
      <c r="P89" s="461"/>
      <c r="Q89" s="461"/>
      <c r="R89" s="461"/>
      <c r="S89" s="461"/>
      <c r="T89" s="461"/>
      <c r="U89" s="461"/>
      <c r="V89" s="461"/>
      <c r="AC89" s="803" t="s">
        <v>75</v>
      </c>
      <c r="AD89" s="643"/>
      <c r="AV89" s="1807" t="s">
        <v>1304</v>
      </c>
      <c r="AW89" s="1808" t="s">
        <v>1069</v>
      </c>
      <c r="AX89" s="1809" t="str">
        <f t="shared" si="17"/>
        <v>IT_011.2500000000</v>
      </c>
      <c r="AY89" s="1810">
        <f>[1]!IR_R18</f>
        <v>11.25</v>
      </c>
      <c r="AZ89" s="1811">
        <f>[1]!IR_ARM05_P18+Input_PL_Incentive_IR</f>
        <v>-2</v>
      </c>
      <c r="BA89" s="1811">
        <f>[1]!IR_FRM30_P18+Input_PL_Incentive_IR</f>
        <v>107.375</v>
      </c>
      <c r="BB89" s="1809">
        <f t="shared" si="21"/>
        <v>107.375</v>
      </c>
      <c r="BC89" s="1809" t="str">
        <f t="shared" si="19"/>
        <v>IT_107.3750000000</v>
      </c>
      <c r="BD89" s="1809"/>
      <c r="BE89" s="1812" t="s">
        <v>1641</v>
      </c>
    </row>
    <row r="90" spans="3:57" ht="9.6" customHeight="1" x14ac:dyDescent="0.2">
      <c r="C90" s="746"/>
      <c r="D90" s="942" t="str">
        <f>IFERROR(INDEX(Lookup_NoteRateAll,MATCH(INDEX(List_ProductAll,MATCH(Input_Product,List_Product,0),2)&amp;"_39",Lookup_NoteRateStack,0),1),"na")</f>
        <v>IT_008.6250000000</v>
      </c>
      <c r="E90" s="942">
        <f>IFERROR(INDEX(Lookup_NoteRateAll,MATCH(INDEX(List_ProductAll,MATCH(Input_Product,List_Product,0),2)&amp;"_39",Lookup_NoteRateStack,0),2),"na")</f>
        <v>8.625</v>
      </c>
      <c r="F90" s="942">
        <f>IFERROR(INDEX(Lookup_NoteRateAll,MATCH(INDEX(List_ProductAll,MATCH(Input_Product,List_Product,0),2)&amp;"_39",Lookup_NoteRateStack,0),5),"na")</f>
        <v>99.25</v>
      </c>
      <c r="G90" s="942">
        <f t="shared" si="14"/>
        <v>-0.125</v>
      </c>
      <c r="H90" s="942">
        <f t="shared" si="15"/>
        <v>99.125</v>
      </c>
      <c r="I90" s="942">
        <f>IFERROR(INDEX(Lookup_NoteRateAll,MATCH(INDEX(List_ProductAll,MATCH(Input_Product,List_Product,0),2)&amp;"_39",Lookup_NoteRateStack,0),7),"na")</f>
        <v>0</v>
      </c>
      <c r="J90" s="1053"/>
      <c r="K90" s="1054"/>
      <c r="M90" s="1156" t="s">
        <v>1779</v>
      </c>
      <c r="N90" s="1157" t="s">
        <v>1781</v>
      </c>
      <c r="P90" s="461"/>
      <c r="Q90" s="461"/>
      <c r="R90" s="461"/>
      <c r="S90" s="461"/>
      <c r="T90" s="461"/>
      <c r="U90" s="461"/>
      <c r="V90" s="461"/>
      <c r="AC90" s="779" t="s">
        <v>1415</v>
      </c>
      <c r="AD90" s="804"/>
      <c r="AV90" s="1807" t="s">
        <v>1304</v>
      </c>
      <c r="AW90" s="1808" t="s">
        <v>1069</v>
      </c>
      <c r="AX90" s="1809" t="str">
        <f t="shared" si="17"/>
        <v>IT_011.1250000000</v>
      </c>
      <c r="AY90" s="1810">
        <f>[1]!IR_R19</f>
        <v>11.125</v>
      </c>
      <c r="AZ90" s="1811">
        <f>[1]!IR_ARM05_P19+Input_PL_Incentive_IR</f>
        <v>-2</v>
      </c>
      <c r="BA90" s="1811">
        <f>[1]!IR_FRM30_P19+Input_PL_Incentive_IR</f>
        <v>107.125</v>
      </c>
      <c r="BB90" s="1809">
        <f t="shared" si="21"/>
        <v>107.125</v>
      </c>
      <c r="BC90" s="1809" t="str">
        <f t="shared" si="19"/>
        <v>IT_107.1250000000</v>
      </c>
      <c r="BD90" s="1809"/>
      <c r="BE90" s="1812" t="s">
        <v>1642</v>
      </c>
    </row>
    <row r="91" spans="3:57" ht="9.6" customHeight="1" x14ac:dyDescent="0.2">
      <c r="C91" s="746"/>
      <c r="D91" s="942" t="str">
        <f>IFERROR(INDEX(Lookup_NoteRateAll,MATCH(INDEX(List_ProductAll,MATCH(Input_Product,List_Product,0),2)&amp;"_40",Lookup_NoteRateStack,0),1),"na")</f>
        <v>IT_008.5000000000</v>
      </c>
      <c r="E91" s="942">
        <f>IFERROR(INDEX(Lookup_NoteRateAll,MATCH(INDEX(List_ProductAll,MATCH(Input_Product,List_Product,0),2)&amp;"_40",Lookup_NoteRateStack,0),2),"na")</f>
        <v>8.5</v>
      </c>
      <c r="F91" s="942">
        <f>IFERROR(INDEX(Lookup_NoteRateAll,MATCH(INDEX(List_ProductAll,MATCH(Input_Product,List_Product,0),2)&amp;"_40",Lookup_NoteRateStack,0),5),"na")</f>
        <v>98.5</v>
      </c>
      <c r="G91" s="942">
        <f t="shared" si="14"/>
        <v>-0.125</v>
      </c>
      <c r="H91" s="942">
        <f t="shared" si="15"/>
        <v>98.375</v>
      </c>
      <c r="I91" s="942">
        <f>IFERROR(INDEX(Lookup_NoteRateAll,MATCH(INDEX(List_ProductAll,MATCH(Input_Product,List_Product,0),2)&amp;"_40",Lookup_NoteRateStack,0),7),"na")</f>
        <v>0</v>
      </c>
      <c r="J91" s="1053"/>
      <c r="K91" s="1054"/>
      <c r="M91" s="1156" t="s">
        <v>1780</v>
      </c>
      <c r="N91" s="1157" t="s">
        <v>1781</v>
      </c>
      <c r="P91" s="461"/>
      <c r="Q91" s="461"/>
      <c r="R91" s="461"/>
      <c r="S91" s="461"/>
      <c r="T91" s="461"/>
      <c r="U91" s="461"/>
      <c r="V91" s="461"/>
      <c r="AV91" s="1807" t="s">
        <v>1304</v>
      </c>
      <c r="AW91" s="1808" t="s">
        <v>1069</v>
      </c>
      <c r="AX91" s="1809" t="str">
        <f t="shared" si="17"/>
        <v>IT_011.0000000000</v>
      </c>
      <c r="AY91" s="1810">
        <f>[1]!IR_R20</f>
        <v>11</v>
      </c>
      <c r="AZ91" s="1811">
        <f>[1]!IR_ARM05_P20+Input_PL_Incentive_IR</f>
        <v>-2</v>
      </c>
      <c r="BA91" s="1811">
        <f>[1]!IR_FRM30_P20+Input_PL_Incentive_IR</f>
        <v>106.875</v>
      </c>
      <c r="BB91" s="1809">
        <f t="shared" si="21"/>
        <v>106.875</v>
      </c>
      <c r="BC91" s="1809" t="str">
        <f t="shared" si="19"/>
        <v>IT_106.8750000000</v>
      </c>
      <c r="BD91" s="1809"/>
      <c r="BE91" s="1812" t="s">
        <v>1643</v>
      </c>
    </row>
    <row r="92" spans="3:57" ht="9.6" customHeight="1" x14ac:dyDescent="0.2">
      <c r="C92" s="746"/>
      <c r="D92" s="942" t="str">
        <f>IFERROR(INDEX(Lookup_NoteRateAll,MATCH(INDEX(List_ProductAll,MATCH(Input_Product,List_Product,0),2)&amp;"_41",Lookup_NoteRateStack,0),1),"na")</f>
        <v>IT_008.3750000000</v>
      </c>
      <c r="E92" s="942">
        <f>IFERROR(INDEX(Lookup_NoteRateAll,MATCH(INDEX(List_ProductAll,MATCH(Input_Product,List_Product,0),2)&amp;"_41",Lookup_NoteRateStack,0),2),"na")</f>
        <v>8.375</v>
      </c>
      <c r="F92" s="942">
        <f>IFERROR(INDEX(Lookup_NoteRateAll,MATCH(INDEX(List_ProductAll,MATCH(Input_Product,List_Product,0),2)&amp;"_41",Lookup_NoteRateStack,0),5),"na")</f>
        <v>97.75</v>
      </c>
      <c r="G92" s="942">
        <f t="shared" si="14"/>
        <v>-0.125</v>
      </c>
      <c r="H92" s="942">
        <f t="shared" si="15"/>
        <v>97.625</v>
      </c>
      <c r="I92" s="942">
        <f>IFERROR(INDEX(Lookup_NoteRateAll,MATCH(INDEX(List_ProductAll,MATCH(Input_Product,List_Product,0),2)&amp;"_41",Lookup_NoteRateStack,0),7),"na")</f>
        <v>0</v>
      </c>
      <c r="J92" s="1053"/>
      <c r="K92" s="1054"/>
      <c r="M92" s="1158" t="s">
        <v>1859</v>
      </c>
      <c r="N92" s="1159" t="s">
        <v>1781</v>
      </c>
      <c r="P92" s="461"/>
      <c r="Q92" s="461"/>
      <c r="R92" s="461"/>
      <c r="S92" s="461"/>
      <c r="T92" s="461"/>
      <c r="U92" s="461"/>
      <c r="V92" s="461"/>
      <c r="AC92" s="805" t="s">
        <v>362</v>
      </c>
      <c r="AD92" s="805" t="s">
        <v>1526</v>
      </c>
      <c r="AV92" s="1807" t="s">
        <v>1304</v>
      </c>
      <c r="AW92" s="1808" t="s">
        <v>1069</v>
      </c>
      <c r="AX92" s="1809" t="str">
        <f t="shared" si="17"/>
        <v>IT_010.8750000000</v>
      </c>
      <c r="AY92" s="1810">
        <f>[1]!IR_R21</f>
        <v>10.875</v>
      </c>
      <c r="AZ92" s="1811">
        <f>[1]!IR_ARM05_P21+Input_PL_Incentive_IR</f>
        <v>-2</v>
      </c>
      <c r="BA92" s="1811">
        <f>[1]!IR_FRM30_P21+Input_PL_Incentive_IR</f>
        <v>106.625</v>
      </c>
      <c r="BB92" s="1809">
        <f t="shared" si="21"/>
        <v>106.625</v>
      </c>
      <c r="BC92" s="1809" t="str">
        <f t="shared" si="19"/>
        <v>IT_106.6250000000</v>
      </c>
      <c r="BD92" s="1809"/>
      <c r="BE92" s="1812" t="s">
        <v>1644</v>
      </c>
    </row>
    <row r="93" spans="3:57" ht="9.6" customHeight="1" x14ac:dyDescent="0.2">
      <c r="C93" s="746"/>
      <c r="D93" s="1467" t="s">
        <v>1985</v>
      </c>
      <c r="E93" s="1467" t="s">
        <v>1985</v>
      </c>
      <c r="F93" s="1467" t="s">
        <v>1985</v>
      </c>
      <c r="G93" s="1467" t="s">
        <v>1985</v>
      </c>
      <c r="H93" s="1467" t="s">
        <v>1985</v>
      </c>
      <c r="I93" s="1467" t="s">
        <v>1985</v>
      </c>
      <c r="J93" s="1053"/>
      <c r="K93" s="1054"/>
      <c r="M93" s="1160" t="s">
        <v>1310</v>
      </c>
      <c r="N93" s="1161" t="s">
        <v>2026</v>
      </c>
      <c r="P93" s="461"/>
      <c r="Q93" s="461"/>
      <c r="R93" s="461"/>
      <c r="S93" s="461"/>
      <c r="T93" s="461"/>
      <c r="U93" s="461"/>
      <c r="V93" s="461"/>
      <c r="AC93" s="806" t="s">
        <v>360</v>
      </c>
      <c r="AD93" s="806" t="s">
        <v>1527</v>
      </c>
      <c r="AV93" s="1807" t="s">
        <v>1304</v>
      </c>
      <c r="AW93" s="1808" t="s">
        <v>1069</v>
      </c>
      <c r="AX93" s="1809" t="str">
        <f t="shared" si="17"/>
        <v>IT_010.7500000000</v>
      </c>
      <c r="AY93" s="1810">
        <f>[1]!IR_R22</f>
        <v>10.75</v>
      </c>
      <c r="AZ93" s="1811">
        <f>[1]!IR_ARM05_P22+Input_PL_Incentive_IR</f>
        <v>-2</v>
      </c>
      <c r="BA93" s="1811">
        <f>[1]!IR_FRM30_P22+Input_PL_Incentive_IR</f>
        <v>106.375</v>
      </c>
      <c r="BB93" s="1809">
        <f t="shared" si="21"/>
        <v>106.375</v>
      </c>
      <c r="BC93" s="1809" t="str">
        <f t="shared" si="19"/>
        <v>IT_106.3750000000</v>
      </c>
      <c r="BD93" s="1809"/>
      <c r="BE93" s="1812" t="s">
        <v>1645</v>
      </c>
    </row>
    <row r="94" spans="3:57" ht="9.6" customHeight="1" x14ac:dyDescent="0.2">
      <c r="C94" s="1050"/>
      <c r="D94" s="1051"/>
      <c r="E94" s="1051"/>
      <c r="F94" s="1051"/>
      <c r="G94" s="1051"/>
      <c r="H94" s="1051"/>
      <c r="I94" s="1051"/>
      <c r="J94" s="1051"/>
      <c r="K94" s="1052"/>
      <c r="M94" s="1162" t="s">
        <v>1311</v>
      </c>
      <c r="N94" s="1163" t="s">
        <v>2026</v>
      </c>
      <c r="P94" s="461"/>
      <c r="Q94" s="461"/>
      <c r="R94" s="461"/>
      <c r="S94" s="461"/>
      <c r="T94" s="461"/>
      <c r="U94" s="461"/>
      <c r="V94" s="461"/>
      <c r="AC94" s="807" t="s">
        <v>361</v>
      </c>
      <c r="AD94" s="807" t="s">
        <v>1528</v>
      </c>
      <c r="AV94" s="1807" t="s">
        <v>1304</v>
      </c>
      <c r="AW94" s="1808" t="s">
        <v>1069</v>
      </c>
      <c r="AX94" s="1809" t="str">
        <f t="shared" si="17"/>
        <v>IT_010.6250000000</v>
      </c>
      <c r="AY94" s="1810">
        <f>[1]!IR_R23</f>
        <v>10.625</v>
      </c>
      <c r="AZ94" s="1811">
        <f>[1]!IR_ARM05_P23+Input_PL_Incentive_IR</f>
        <v>-2</v>
      </c>
      <c r="BA94" s="1811">
        <f>[1]!IR_FRM30_P23+Input_PL_Incentive_IR</f>
        <v>106.125</v>
      </c>
      <c r="BB94" s="1809">
        <f t="shared" si="21"/>
        <v>106.125</v>
      </c>
      <c r="BC94" s="1809" t="str">
        <f t="shared" si="19"/>
        <v>IT_106.1250000000</v>
      </c>
      <c r="BD94" s="1809"/>
      <c r="BE94" s="1812" t="s">
        <v>1646</v>
      </c>
    </row>
    <row r="95" spans="3:57" ht="9.6" customHeight="1" x14ac:dyDescent="0.2">
      <c r="M95" s="1164" t="s">
        <v>1312</v>
      </c>
      <c r="N95" s="1165" t="s">
        <v>2026</v>
      </c>
      <c r="P95" s="461"/>
      <c r="Q95" s="461"/>
      <c r="R95" s="461"/>
      <c r="S95" s="461"/>
      <c r="T95" s="461"/>
      <c r="U95" s="461"/>
      <c r="V95" s="461"/>
      <c r="AV95" s="1807" t="s">
        <v>1304</v>
      </c>
      <c r="AW95" s="1808" t="s">
        <v>1069</v>
      </c>
      <c r="AX95" s="1809" t="str">
        <f t="shared" si="17"/>
        <v>IT_010.5000000000</v>
      </c>
      <c r="AY95" s="1810">
        <f>[1]!IR_R24</f>
        <v>10.5</v>
      </c>
      <c r="AZ95" s="1811">
        <f>[1]!IR_ARM05_P24+Input_PL_Incentive_IR</f>
        <v>-2</v>
      </c>
      <c r="BA95" s="1811">
        <f>[1]!IR_FRM30_P24+Input_PL_Incentive_IR</f>
        <v>105.875</v>
      </c>
      <c r="BB95" s="1809">
        <f t="shared" ref="BB95:BB111" si="22">IF(INDEX(List_AmortTermAll,MATCH(Input_AmortTerm,List_AmortTerm,0),3)=1,AZ95,IF(INDEX(List_AmortTermAll,MATCH(Input_AmortTerm,List_AmortTerm,0),3)=2,BA95,#N/A))</f>
        <v>105.875</v>
      </c>
      <c r="BC95" s="1809" t="str">
        <f t="shared" si="19"/>
        <v>IT_105.8750000000</v>
      </c>
      <c r="BD95" s="1809"/>
      <c r="BE95" s="1812" t="s">
        <v>1647</v>
      </c>
    </row>
    <row r="96" spans="3:57" ht="9.6" customHeight="1" x14ac:dyDescent="0.2">
      <c r="H96" s="1063">
        <f>IF(AND(Input_Ratesheet_Source="Whol",Input_AmortTerm="30yr Buydown Lender"),99.5,IF(AND(Input_Ratesheet_Source="Whol",Input_AmortTerm="30yr Buydown Seller"),98.5,IF(AND(Input_Ratesheet_Source="Whol",OR(Input_ProductClass="Second",Input_ProductClass="Closed End 2nd TD")),100,IF(Input_Ratesheet_Source="Whol",100,102.5))))</f>
        <v>102.5</v>
      </c>
      <c r="I96" s="1065" t="s">
        <v>1703</v>
      </c>
      <c r="M96" s="1164" t="s">
        <v>1333</v>
      </c>
      <c r="N96" s="1165" t="s">
        <v>2026</v>
      </c>
      <c r="P96" s="461"/>
      <c r="Q96" s="461"/>
      <c r="R96" s="461"/>
      <c r="S96" s="461"/>
      <c r="T96" s="461"/>
      <c r="U96" s="461"/>
      <c r="V96" s="461"/>
      <c r="AC96" s="680" t="s">
        <v>427</v>
      </c>
      <c r="AV96" s="1807" t="s">
        <v>1304</v>
      </c>
      <c r="AW96" s="1808" t="s">
        <v>1069</v>
      </c>
      <c r="AX96" s="1809" t="str">
        <f t="shared" si="17"/>
        <v>IT_010.3750000000</v>
      </c>
      <c r="AY96" s="1810">
        <f>[1]!IR_R25</f>
        <v>10.375</v>
      </c>
      <c r="AZ96" s="1811">
        <f>[1]!IR_ARM05_P25+Input_PL_Incentive_IR</f>
        <v>-2</v>
      </c>
      <c r="BA96" s="1811">
        <f>[1]!IR_FRM30_P25+Input_PL_Incentive_IR</f>
        <v>105.625</v>
      </c>
      <c r="BB96" s="1809">
        <f t="shared" si="22"/>
        <v>105.625</v>
      </c>
      <c r="BC96" s="1809" t="str">
        <f t="shared" si="19"/>
        <v>IT_105.6250000000</v>
      </c>
      <c r="BD96" s="1809"/>
      <c r="BE96" s="1812" t="s">
        <v>1648</v>
      </c>
    </row>
    <row r="97" spans="8:57" ht="9.6" customHeight="1" x14ac:dyDescent="0.2">
      <c r="H97" s="1064">
        <f>IFERROR(IF(Find_NoteRatePrice01-((Find_RatePriceGross01-Input_Price_Target+Output_LLPA_Total)/(Find_RatePriceGross01-Find_RatePriceGross02)*(Find_NoteRatePrice01-Find_NoteRatePrice02))&lt;Find_NoteRate_Min,Find_NoteRate_Min,Find_NoteRatePrice01-((Find_RatePriceGross01-Input_Price_Target+Output_LLPA_Total)/(Find_RatePriceGross01-Find_RatePriceGross02)*(Find_NoteRatePrice01-Find_NoteRatePrice02))),0)</f>
        <v>0</v>
      </c>
      <c r="I97" s="460" t="s">
        <v>1704</v>
      </c>
      <c r="M97" s="1166" t="s">
        <v>1313</v>
      </c>
      <c r="N97" s="1163" t="s">
        <v>2026</v>
      </c>
      <c r="P97" s="461"/>
      <c r="Q97" s="461"/>
      <c r="R97" s="461"/>
      <c r="S97" s="461"/>
      <c r="T97" s="461"/>
      <c r="U97" s="461"/>
      <c r="V97" s="461"/>
      <c r="AC97" s="806" t="s">
        <v>425</v>
      </c>
      <c r="AV97" s="1807" t="s">
        <v>1304</v>
      </c>
      <c r="AW97" s="1808" t="s">
        <v>1069</v>
      </c>
      <c r="AX97" s="1809" t="str">
        <f t="shared" si="17"/>
        <v>IT_010.2500000000</v>
      </c>
      <c r="AY97" s="1810">
        <f>[1]!IR_R26</f>
        <v>10.25</v>
      </c>
      <c r="AZ97" s="1811">
        <f>[1]!IR_ARM05_P26+Input_PL_Incentive_IR</f>
        <v>-2</v>
      </c>
      <c r="BA97" s="1811">
        <f>[1]!IR_FRM30_P26+Input_PL_Incentive_IR</f>
        <v>105.375</v>
      </c>
      <c r="BB97" s="1809">
        <f t="shared" si="22"/>
        <v>105.375</v>
      </c>
      <c r="BC97" s="1809" t="str">
        <f t="shared" si="19"/>
        <v>IT_105.3750000000</v>
      </c>
      <c r="BD97" s="1809"/>
      <c r="BE97" s="1812" t="s">
        <v>1649</v>
      </c>
    </row>
    <row r="98" spans="8:57" ht="9.6" customHeight="1" x14ac:dyDescent="0.2">
      <c r="M98" s="1167" t="s">
        <v>1314</v>
      </c>
      <c r="N98" s="1168" t="s">
        <v>2026</v>
      </c>
      <c r="P98" s="461"/>
      <c r="U98" s="461"/>
      <c r="V98" s="461"/>
      <c r="AC98" s="808" t="s">
        <v>422</v>
      </c>
      <c r="AV98" s="1807" t="s">
        <v>1304</v>
      </c>
      <c r="AW98" s="1808" t="s">
        <v>1069</v>
      </c>
      <c r="AX98" s="1809" t="str">
        <f t="shared" si="17"/>
        <v>IT_010.1250000000</v>
      </c>
      <c r="AY98" s="1810">
        <f>[1]!IR_R27</f>
        <v>10.125</v>
      </c>
      <c r="AZ98" s="1811">
        <f>[1]!IR_ARM05_P27+Input_PL_Incentive_IR</f>
        <v>-2</v>
      </c>
      <c r="BA98" s="1811">
        <f>[1]!IR_FRM30_P27+Input_PL_Incentive_IR</f>
        <v>105</v>
      </c>
      <c r="BB98" s="1809">
        <f t="shared" si="22"/>
        <v>105</v>
      </c>
      <c r="BC98" s="1809" t="str">
        <f t="shared" si="19"/>
        <v>IT_105.0000000000</v>
      </c>
      <c r="BD98" s="1809"/>
      <c r="BE98" s="1812" t="s">
        <v>1650</v>
      </c>
    </row>
    <row r="99" spans="8:57" ht="9.6" customHeight="1" x14ac:dyDescent="0.2">
      <c r="P99" s="461"/>
      <c r="U99" s="461"/>
      <c r="V99" s="461"/>
      <c r="AV99" s="1807" t="s">
        <v>1304</v>
      </c>
      <c r="AW99" s="1808" t="s">
        <v>1069</v>
      </c>
      <c r="AX99" s="1809" t="str">
        <f t="shared" si="17"/>
        <v>IT_010.0000000000</v>
      </c>
      <c r="AY99" s="1810">
        <f>[1]!IR_R28</f>
        <v>10</v>
      </c>
      <c r="AZ99" s="1811">
        <f>[1]!IR_ARM05_P28+Input_PL_Incentive_IR</f>
        <v>-2</v>
      </c>
      <c r="BA99" s="1811">
        <f>[1]!IR_FRM30_P28+Input_PL_Incentive_IR</f>
        <v>104.625</v>
      </c>
      <c r="BB99" s="1809">
        <f t="shared" si="22"/>
        <v>104.625</v>
      </c>
      <c r="BC99" s="1809" t="str">
        <f t="shared" si="19"/>
        <v>IT_104.6250000000</v>
      </c>
      <c r="BD99" s="1809"/>
      <c r="BE99" s="1812" t="s">
        <v>1651</v>
      </c>
    </row>
    <row r="100" spans="8:57" ht="9.6" customHeight="1" x14ac:dyDescent="0.2">
      <c r="P100" s="461"/>
      <c r="U100" s="461"/>
      <c r="V100" s="461"/>
      <c r="AV100" s="1807" t="s">
        <v>1304</v>
      </c>
      <c r="AW100" s="1808" t="s">
        <v>1069</v>
      </c>
      <c r="AX100" s="1809" t="str">
        <f t="shared" si="17"/>
        <v>IT_009.8750000000</v>
      </c>
      <c r="AY100" s="1810">
        <f>[1]!IR_R29</f>
        <v>9.875</v>
      </c>
      <c r="AZ100" s="1811">
        <f>[1]!IR_ARM05_P29+Input_PL_Incentive_IR</f>
        <v>-2</v>
      </c>
      <c r="BA100" s="1811">
        <f>[1]!IR_FRM30_P29+Input_PL_Incentive_IR</f>
        <v>104.25</v>
      </c>
      <c r="BB100" s="1809">
        <f t="shared" si="22"/>
        <v>104.25</v>
      </c>
      <c r="BC100" s="1809" t="str">
        <f t="shared" si="19"/>
        <v>IT_104.2500000000</v>
      </c>
      <c r="BD100" s="1809"/>
      <c r="BE100" s="1812" t="s">
        <v>1652</v>
      </c>
    </row>
    <row r="101" spans="8:57" ht="9.6" customHeight="1" x14ac:dyDescent="0.2">
      <c r="P101" s="461"/>
      <c r="U101" s="461"/>
      <c r="V101" s="461"/>
      <c r="AF101" s="1548" t="e" cm="1">
        <f t="array" aca="1" ref="AF101" ca="1">IF(val(FIND(Input_Ratesheet_Source,AD105))&gt;0,"A","B")</f>
        <v>#NAME?</v>
      </c>
      <c r="AV101" s="1807" t="s">
        <v>1304</v>
      </c>
      <c r="AW101" s="1808" t="s">
        <v>1069</v>
      </c>
      <c r="AX101" s="1809" t="str">
        <f t="shared" si="17"/>
        <v>IT_009.7500000000</v>
      </c>
      <c r="AY101" s="1810">
        <f>[1]!IR_R30</f>
        <v>9.75</v>
      </c>
      <c r="AZ101" s="1811">
        <f>[1]!IR_ARM05_P30+Input_PL_Incentive_IR</f>
        <v>-2</v>
      </c>
      <c r="BA101" s="1811">
        <f>[1]!IR_FRM30_P30+Input_PL_Incentive_IR</f>
        <v>103.875</v>
      </c>
      <c r="BB101" s="1809">
        <f t="shared" si="22"/>
        <v>103.875</v>
      </c>
      <c r="BC101" s="1809" t="str">
        <f t="shared" si="19"/>
        <v>IT_103.8750000000</v>
      </c>
      <c r="BD101" s="1809"/>
      <c r="BE101" s="1812" t="s">
        <v>1653</v>
      </c>
    </row>
    <row r="102" spans="8:57" ht="9.6" customHeight="1" x14ac:dyDescent="0.2">
      <c r="U102" s="461"/>
      <c r="V102" s="461"/>
      <c r="AD102" s="1549" t="s">
        <v>1996</v>
      </c>
      <c r="AV102" s="1807" t="s">
        <v>1304</v>
      </c>
      <c r="AW102" s="1808" t="s">
        <v>1069</v>
      </c>
      <c r="AX102" s="1809" t="str">
        <f t="shared" si="17"/>
        <v>IT_009.6250000000</v>
      </c>
      <c r="AY102" s="1810">
        <f>[1]!IR_R31</f>
        <v>9.625</v>
      </c>
      <c r="AZ102" s="1811">
        <f>[1]!IR_ARM05_P31+Input_PL_Incentive_IR</f>
        <v>-2</v>
      </c>
      <c r="BA102" s="1811">
        <f>[1]!IR_FRM30_P31+Input_PL_Incentive_IR</f>
        <v>103.5</v>
      </c>
      <c r="BB102" s="1809">
        <f t="shared" si="22"/>
        <v>103.5</v>
      </c>
      <c r="BC102" s="1809" t="str">
        <f t="shared" si="19"/>
        <v>IT_103.5000000000</v>
      </c>
      <c r="BD102" s="1809"/>
      <c r="BE102" s="1812" t="s">
        <v>1654</v>
      </c>
    </row>
    <row r="103" spans="8:57" ht="9.6" customHeight="1" x14ac:dyDescent="0.2">
      <c r="Q103" s="461"/>
      <c r="R103" s="461"/>
      <c r="S103" s="461"/>
      <c r="T103" s="461"/>
      <c r="U103" s="461"/>
      <c r="V103" s="461"/>
      <c r="AC103" s="2192" t="s">
        <v>1840</v>
      </c>
      <c r="AD103" s="2193"/>
      <c r="AF103" s="1550" t="s">
        <v>1438</v>
      </c>
      <c r="AG103" s="1091" t="s">
        <v>88</v>
      </c>
      <c r="AH103" s="1800" t="s">
        <v>1718</v>
      </c>
      <c r="AI103" s="1533"/>
      <c r="AJ103" s="1797" t="s">
        <v>1717</v>
      </c>
      <c r="AK103" s="1534"/>
      <c r="AL103" s="1798" t="s">
        <v>1705</v>
      </c>
      <c r="AM103" s="1535"/>
      <c r="AN103" s="1799" t="s">
        <v>1794</v>
      </c>
      <c r="AO103" s="1536"/>
      <c r="AP103" s="460" t="s">
        <v>76</v>
      </c>
      <c r="AV103" s="1807" t="s">
        <v>1304</v>
      </c>
      <c r="AW103" s="1808" t="s">
        <v>1069</v>
      </c>
      <c r="AX103" s="1809" t="str">
        <f t="shared" si="17"/>
        <v>IT_009.5000000000</v>
      </c>
      <c r="AY103" s="1810">
        <f>[1]!IR_R32</f>
        <v>9.5</v>
      </c>
      <c r="AZ103" s="1811">
        <f>[1]!IR_ARM05_P32+Input_PL_Incentive_IR</f>
        <v>-2</v>
      </c>
      <c r="BA103" s="1811">
        <f>[1]!IR_FRM30_P32+Input_PL_Incentive_IR</f>
        <v>103.125</v>
      </c>
      <c r="BB103" s="1809">
        <f t="shared" si="22"/>
        <v>103.125</v>
      </c>
      <c r="BC103" s="1809" t="str">
        <f t="shared" si="19"/>
        <v>IT_103.1250000000</v>
      </c>
      <c r="BD103" s="1809"/>
      <c r="BE103" s="1812" t="s">
        <v>1655</v>
      </c>
    </row>
    <row r="104" spans="8:57" ht="9.6" customHeight="1" x14ac:dyDescent="0.2">
      <c r="Q104" s="461"/>
      <c r="R104" s="461"/>
      <c r="S104" s="461"/>
      <c r="T104" s="461"/>
      <c r="U104" s="461"/>
      <c r="V104" s="461"/>
      <c r="AC104" s="600" t="s">
        <v>1714</v>
      </c>
      <c r="AD104" s="600" t="s">
        <v>1424</v>
      </c>
      <c r="AE104" s="600" t="s">
        <v>1436</v>
      </c>
      <c r="AF104" s="809" t="s">
        <v>1437</v>
      </c>
      <c r="AG104" s="810" t="s">
        <v>356</v>
      </c>
      <c r="AH104" s="811" t="s">
        <v>357</v>
      </c>
      <c r="AI104" s="811" t="s">
        <v>358</v>
      </c>
      <c r="AJ104" s="811" t="s">
        <v>357</v>
      </c>
      <c r="AK104" s="811" t="s">
        <v>358</v>
      </c>
      <c r="AL104" s="811" t="s">
        <v>357</v>
      </c>
      <c r="AM104" s="811" t="s">
        <v>358</v>
      </c>
      <c r="AN104" s="811" t="s">
        <v>357</v>
      </c>
      <c r="AO104" s="811" t="s">
        <v>358</v>
      </c>
      <c r="AP104" s="460" t="s">
        <v>76</v>
      </c>
      <c r="AV104" s="1807" t="s">
        <v>1304</v>
      </c>
      <c r="AW104" s="1808" t="s">
        <v>1069</v>
      </c>
      <c r="AX104" s="1809" t="str">
        <f t="shared" si="17"/>
        <v>IT_009.3750000000</v>
      </c>
      <c r="AY104" s="1810">
        <f>[1]!IR_R33</f>
        <v>9.375</v>
      </c>
      <c r="AZ104" s="1811">
        <f>[1]!IR_ARM05_P33+Input_PL_Incentive_IR</f>
        <v>-2</v>
      </c>
      <c r="BA104" s="1811">
        <f>[1]!IR_FRM30_P33+Input_PL_Incentive_IR</f>
        <v>102.75</v>
      </c>
      <c r="BB104" s="1809">
        <f t="shared" si="22"/>
        <v>102.75</v>
      </c>
      <c r="BC104" s="1809" t="str">
        <f t="shared" si="19"/>
        <v>IT_102.7500000000</v>
      </c>
      <c r="BD104" s="1809"/>
      <c r="BE104" s="1812" t="s">
        <v>1656</v>
      </c>
    </row>
    <row r="105" spans="8:57" ht="9.6" customHeight="1" x14ac:dyDescent="0.2">
      <c r="Q105" s="461"/>
      <c r="R105" s="461"/>
      <c r="S105" s="461"/>
      <c r="T105" s="461"/>
      <c r="U105" s="461"/>
      <c r="V105" s="461"/>
      <c r="AC105" s="1076" t="s">
        <v>1712</v>
      </c>
      <c r="AD105" s="1078" t="s">
        <v>1996</v>
      </c>
      <c r="AE105" s="1078" t="s">
        <v>1390</v>
      </c>
      <c r="AF105" s="1079" t="s">
        <v>1728</v>
      </c>
      <c r="AG105" s="1083" t="str">
        <f>AF105</f>
        <v>1003 Loan Application (Signed and Dated by LO)</v>
      </c>
      <c r="AH105" s="1067">
        <f>IF(AG105="","",IF(AC105="Disclosure",MAX(AH$104:AH104)+1,""))</f>
        <v>1</v>
      </c>
      <c r="AI105" s="1066" t="str">
        <f t="shared" ref="AI105:AI136" si="23">IFERROR(INDEX($AG$105:$AG$198,MATCH(ROW()-ROW($AI$104),$AH$105:$AH$198,0)),"")</f>
        <v>1003 Loan Application (Signed and Dated by LO)</v>
      </c>
      <c r="AJ105" s="1069" t="str">
        <f>IF(AG105="","",IF(AC105="SubmissionRequired",MAX(AJ$104:AJ104)+1,""))</f>
        <v/>
      </c>
      <c r="AK105" s="1070" t="str">
        <f t="shared" ref="AK105:AK136" si="24">IFERROR(INDEX($AG$105:$AG$198,MATCH(ROW()-ROW($AK$104),$AJ$105:$AJ$198,0)),"")</f>
        <v>ID: Passport or  DL (Cannot be Expired)</v>
      </c>
      <c r="AL105" s="1072" t="str">
        <f>IF(AG105="","",IF(AC105="SubmissionRecommended",MAX(AL$104:AL104)+1,""))</f>
        <v/>
      </c>
      <c r="AM105" s="1073" t="str">
        <f t="shared" ref="AM105:AM136" si="25">IFERROR(INDEX($AG$105:$AG$198,MATCH(ROW()-ROW($AM$104),$AL$105:$AL$198,0)),"")</f>
        <v>Preliminary Title Report / Title Commitment (24mo chain of title, ALTA supp for property address, plat map / survey)</v>
      </c>
      <c r="AN105" s="1130" t="str">
        <f>IF(AG105="","",IF(AC105="DocType",MAX(AN$104:AN104)+1,""))</f>
        <v/>
      </c>
      <c r="AO105" s="1131" t="str">
        <f t="shared" ref="AO105:AO136" si="26">IFERROR(INDEX($AG$105:$AG$198,MATCH(ROW()-ROW($AO$104),$AN$105:$AN$198,0)),"")</f>
        <v>Full documentation of non-employment income (SSI, pension, alimony, child support, trust income, etc.)</v>
      </c>
      <c r="AP105" s="460" t="s">
        <v>76</v>
      </c>
      <c r="AV105" s="1807" t="s">
        <v>1304</v>
      </c>
      <c r="AW105" s="1808" t="s">
        <v>1069</v>
      </c>
      <c r="AX105" s="1809" t="str">
        <f t="shared" si="17"/>
        <v>IT_009.2500000000</v>
      </c>
      <c r="AY105" s="1810">
        <f>[1]!IR_R34</f>
        <v>9.25</v>
      </c>
      <c r="AZ105" s="1811">
        <f>[1]!IR_ARM05_P34+Input_PL_Incentive_IR</f>
        <v>-2</v>
      </c>
      <c r="BA105" s="1811">
        <f>[1]!IR_FRM30_P34+Input_PL_Incentive_IR</f>
        <v>102.25</v>
      </c>
      <c r="BB105" s="1809">
        <f t="shared" si="22"/>
        <v>102.25</v>
      </c>
      <c r="BC105" s="1809" t="str">
        <f t="shared" si="19"/>
        <v>IT_102.2500000000</v>
      </c>
      <c r="BD105" s="1809"/>
      <c r="BE105" s="1812" t="s">
        <v>1657</v>
      </c>
    </row>
    <row r="106" spans="8:57" ht="9.6" customHeight="1" x14ac:dyDescent="0.2">
      <c r="Q106" s="461"/>
      <c r="R106" s="461"/>
      <c r="S106" s="461"/>
      <c r="T106" s="461"/>
      <c r="U106" s="461"/>
      <c r="V106" s="461"/>
      <c r="AC106" s="1076" t="s">
        <v>1712</v>
      </c>
      <c r="AD106" s="1076" t="s">
        <v>1996</v>
      </c>
      <c r="AE106" s="1076" t="s">
        <v>1390</v>
      </c>
      <c r="AF106" s="1081" t="s">
        <v>1713</v>
      </c>
      <c r="AG106" s="1084" t="str">
        <f>AF106</f>
        <v>Broker Fee Sheet</v>
      </c>
      <c r="AH106" s="1067">
        <f>IF(AG106="","",IF(AC106="Disclosure",MAX(AH$104:AH105)+1,""))</f>
        <v>2</v>
      </c>
      <c r="AI106" s="1068" t="str">
        <f t="shared" si="23"/>
        <v>Broker Fee Sheet</v>
      </c>
      <c r="AJ106" s="1069" t="str">
        <f>IF(AG106="","",IF(AC106="SubmissionRequired",MAX(AJ$104:AJ105)+1,""))</f>
        <v/>
      </c>
      <c r="AK106" s="1071" t="str">
        <f t="shared" si="24"/>
        <v>Full Documentation of Non-Employment income (SSI, Pension, Alimony, Child Support, Trust Income, etc.)</v>
      </c>
      <c r="AL106" s="1072" t="str">
        <f>IF(AG106="","",IF(AC106="SubmissionRecommended",MAX(AL$104:AL105)+1,""))</f>
        <v/>
      </c>
      <c r="AM106" s="1074" t="str">
        <f t="shared" si="25"/>
        <v>Escrow Instructions (If business entity, provide formation articles/agreement, tax ID #, cert of good standing)</v>
      </c>
      <c r="AN106" s="1130" t="str">
        <f>IF(AG106="","",IF(AC106="DocType",MAX(AN$104:AN105)+1,""))</f>
        <v/>
      </c>
      <c r="AO106" s="1132" t="str">
        <f t="shared" si="26"/>
        <v>1007 [For unleased unit(s)]</v>
      </c>
      <c r="AP106" s="460" t="s">
        <v>76</v>
      </c>
      <c r="AV106" s="1807" t="s">
        <v>1304</v>
      </c>
      <c r="AW106" s="1808" t="s">
        <v>1069</v>
      </c>
      <c r="AX106" s="1809" t="str">
        <f t="shared" si="17"/>
        <v>IT_009.1250000000</v>
      </c>
      <c r="AY106" s="1810">
        <f>[1]!IR_R35</f>
        <v>9.125</v>
      </c>
      <c r="AZ106" s="1811">
        <f>[1]!IR_ARM05_P35+Input_PL_Incentive_IR</f>
        <v>-2</v>
      </c>
      <c r="BA106" s="1811">
        <f>[1]!IR_FRM30_P35+Input_PL_Incentive_IR</f>
        <v>101.75</v>
      </c>
      <c r="BB106" s="1809">
        <f t="shared" si="22"/>
        <v>101.75</v>
      </c>
      <c r="BC106" s="1809" t="str">
        <f t="shared" si="19"/>
        <v>IT_101.7500000000</v>
      </c>
      <c r="BD106" s="1809"/>
      <c r="BE106" s="1812" t="s">
        <v>1658</v>
      </c>
    </row>
    <row r="107" spans="8:57" ht="9.6" customHeight="1" x14ac:dyDescent="0.2">
      <c r="P107" s="461"/>
      <c r="Q107" s="461"/>
      <c r="R107" s="461"/>
      <c r="S107" s="461"/>
      <c r="T107" s="461"/>
      <c r="U107" s="461"/>
      <c r="V107" s="461"/>
      <c r="AC107" s="1076" t="s">
        <v>1712</v>
      </c>
      <c r="AD107" s="1076" t="s">
        <v>1996</v>
      </c>
      <c r="AE107" s="1076" t="s">
        <v>1390</v>
      </c>
      <c r="AF107" s="1081" t="s">
        <v>1729</v>
      </c>
      <c r="AG107" s="1084" t="str">
        <f>AF107</f>
        <v>Brokers Advantage Submission Form and Checklist (Optional Cover Letter)</v>
      </c>
      <c r="AH107" s="1067">
        <f>IF(AG107="","",IF(AC107="Disclosure",MAX(AH$104:AH106)+1,""))</f>
        <v>3</v>
      </c>
      <c r="AI107" s="1068" t="str">
        <f t="shared" si="23"/>
        <v>Brokers Advantage Submission Form and Checklist (Optional Cover Letter)</v>
      </c>
      <c r="AJ107" s="1069" t="str">
        <f>IF(AG107="","",IF(AC107="SubmissionRequired",MAX(AJ$104:AJ106)+1,""))</f>
        <v/>
      </c>
      <c r="AK107" s="1071" t="str">
        <f t="shared" si="24"/>
        <v>Title Commitment</v>
      </c>
      <c r="AL107" s="1072" t="str">
        <f>IF(AG107="","",IF(AC107="SubmissionRecommended",MAX(AL$104:AL106)+1,""))</f>
        <v/>
      </c>
      <c r="AM107" s="1074" t="str">
        <f t="shared" si="25"/>
        <v>Payoff Demand(s) w/in 30 days</v>
      </c>
      <c r="AN107" s="1130" t="str">
        <f>IF(AG107="","",IF(AC107="DocType",MAX(AN$104:AN106)+1,""))</f>
        <v/>
      </c>
      <c r="AO107" s="1132" t="str">
        <f t="shared" si="26"/>
        <v>Evidence PITIA (For subject property)</v>
      </c>
      <c r="AP107" s="460" t="s">
        <v>76</v>
      </c>
      <c r="AV107" s="1807" t="s">
        <v>1304</v>
      </c>
      <c r="AW107" s="1808" t="s">
        <v>1069</v>
      </c>
      <c r="AX107" s="1809" t="str">
        <f t="shared" si="17"/>
        <v>IT_009.0000000000</v>
      </c>
      <c r="AY107" s="1810">
        <f>[1]!IR_R36</f>
        <v>9</v>
      </c>
      <c r="AZ107" s="1811">
        <f>[1]!IR_ARM05_P36+Input_PL_Incentive_IR</f>
        <v>-2</v>
      </c>
      <c r="BA107" s="1811">
        <f>[1]!IR_FRM30_P36+Input_PL_Incentive_IR</f>
        <v>101.25</v>
      </c>
      <c r="BB107" s="1809">
        <f t="shared" si="22"/>
        <v>101.25</v>
      </c>
      <c r="BC107" s="1809" t="str">
        <f t="shared" si="19"/>
        <v>IT_101.2500000000</v>
      </c>
      <c r="BD107" s="1809"/>
      <c r="BE107" s="1812" t="s">
        <v>1659</v>
      </c>
    </row>
    <row r="108" spans="8:57" ht="9.6" customHeight="1" x14ac:dyDescent="0.2">
      <c r="P108" s="461"/>
      <c r="U108" s="461"/>
      <c r="V108" s="461"/>
      <c r="AC108" s="1076" t="s">
        <v>1712</v>
      </c>
      <c r="AD108" s="1076" t="s">
        <v>1996</v>
      </c>
      <c r="AE108" s="1076" t="s">
        <v>1390</v>
      </c>
      <c r="AF108" s="1081" t="s">
        <v>1769</v>
      </c>
      <c r="AG108" s="1084" t="str">
        <f>AF108</f>
        <v>Credit Report or Tri-Merge [TPO Connect] (Not Locked or Frozen)</v>
      </c>
      <c r="AH108" s="1067">
        <f>IF(AG108="","",IF(AC108="Disclosure",MAX(AH$104:AH107)+1,""))</f>
        <v>4</v>
      </c>
      <c r="AI108" s="1068" t="str">
        <f t="shared" si="23"/>
        <v>Credit Report or Tri-Merge [TPO Connect] (Not Locked or Frozen)</v>
      </c>
      <c r="AJ108" s="1069" t="str">
        <f>IF(AG108="","",IF(AC108="SubmissionRequired",MAX(AJ$104:AJ107)+1,""))</f>
        <v/>
      </c>
      <c r="AK108" s="1071" t="str">
        <f t="shared" si="24"/>
        <v>Evidence PITIA (Subject Property)</v>
      </c>
      <c r="AL108" s="1072" t="str">
        <f>IF(AG108="","",IF(AC108="SubmissionRecommended",MAX(AL$104:AL107)+1,""))</f>
        <v/>
      </c>
      <c r="AM108" s="1074" t="str">
        <f t="shared" si="25"/>
        <v>CPL (With Brokers Advantage Listed as Mortgagee)</v>
      </c>
      <c r="AN108" s="1130" t="str">
        <f>IF(AG108="","",IF(AC108="DocType",MAX(AN$104:AN107)+1,""))</f>
        <v/>
      </c>
      <c r="AO108" s="1132" t="str">
        <f t="shared" si="26"/>
        <v>SS-89</v>
      </c>
      <c r="AP108" s="460" t="s">
        <v>76</v>
      </c>
      <c r="AV108" s="1807" t="s">
        <v>1304</v>
      </c>
      <c r="AW108" s="1808" t="s">
        <v>1069</v>
      </c>
      <c r="AX108" s="1809" t="str">
        <f t="shared" si="17"/>
        <v>IT_008.8750000000</v>
      </c>
      <c r="AY108" s="1810">
        <f>[1]!IR_R37</f>
        <v>8.875</v>
      </c>
      <c r="AZ108" s="1811">
        <f>[1]!IR_ARM05_P37+Input_PL_Incentive_IR</f>
        <v>-2</v>
      </c>
      <c r="BA108" s="1811">
        <f>[1]!IR_FRM30_P37+Input_PL_Incentive_IR</f>
        <v>100.75</v>
      </c>
      <c r="BB108" s="1809">
        <f t="shared" si="22"/>
        <v>100.75</v>
      </c>
      <c r="BC108" s="1809" t="str">
        <f t="shared" si="19"/>
        <v>IT_100.7500000000</v>
      </c>
      <c r="BD108" s="1809"/>
      <c r="BE108" s="1812" t="s">
        <v>1660</v>
      </c>
    </row>
    <row r="109" spans="8:57" ht="9.6" customHeight="1" x14ac:dyDescent="0.2">
      <c r="P109" s="461"/>
      <c r="U109" s="461"/>
      <c r="V109" s="461"/>
      <c r="AC109" s="1076" t="s">
        <v>1712</v>
      </c>
      <c r="AD109" s="1076" t="s">
        <v>1996</v>
      </c>
      <c r="AE109" s="1076" t="s">
        <v>34</v>
      </c>
      <c r="AF109" s="1081" t="s">
        <v>1747</v>
      </c>
      <c r="AG109" s="1088" t="str">
        <f>IF(Input_Purpose="Purchase",AF109,"")</f>
        <v>Purchase Contract (Cannot be Expired, All Pages, Amendments, Counteroffers, Signed by All)</v>
      </c>
      <c r="AH109" s="1067">
        <f>IF(AG109="","",IF(AC109="Disclosure",MAX(AH$104:AH108)+1,""))</f>
        <v>5</v>
      </c>
      <c r="AI109" s="1068" t="str">
        <f t="shared" si="23"/>
        <v>Purchase Contract (Cannot be Expired, All Pages, Amendments, Counteroffers, Signed by All)</v>
      </c>
      <c r="AJ109" s="1069" t="str">
        <f>IF(AG109="","",IF(AC109="SubmissionRequired",MAX(AJ$104:AJ108)+1,""))</f>
        <v/>
      </c>
      <c r="AK109" s="1071" t="str">
        <f t="shared" si="24"/>
        <v>SS-89</v>
      </c>
      <c r="AL109" s="1072" t="str">
        <f>IF(AG109="","",IF(AC109="SubmissionRecommended",MAX(AL$104:AL108)+1,""))</f>
        <v/>
      </c>
      <c r="AM109" s="1074" t="str">
        <f t="shared" si="25"/>
        <v>Letters of Explanation (Address Inquiries &lt; 90 days, Derog/Disputed Credit &lt; 2yrs, Name, SSN, Address Variations)</v>
      </c>
      <c r="AN109" s="1130" t="str">
        <f>IF(AG109="","",IF(AC109="DocType",MAX(AN$104:AN108)+1,""))</f>
        <v/>
      </c>
      <c r="AO109" s="1132" t="str">
        <f t="shared" si="26"/>
        <v/>
      </c>
      <c r="AP109" s="460" t="s">
        <v>76</v>
      </c>
      <c r="AV109" s="1807" t="s">
        <v>1304</v>
      </c>
      <c r="AW109" s="1808" t="s">
        <v>1069</v>
      </c>
      <c r="AX109" s="1809" t="str">
        <f t="shared" si="17"/>
        <v>IT_008.7500000000</v>
      </c>
      <c r="AY109" s="1810">
        <f>[1]!IR_R38</f>
        <v>8.75</v>
      </c>
      <c r="AZ109" s="1811">
        <f>[1]!IR_ARM05_P38+Input_PL_Incentive_IR</f>
        <v>-2</v>
      </c>
      <c r="BA109" s="1811">
        <f>[1]!IR_FRM30_P38+Input_PL_Incentive_IR</f>
        <v>100</v>
      </c>
      <c r="BB109" s="1809">
        <f t="shared" si="22"/>
        <v>100</v>
      </c>
      <c r="BC109" s="1809" t="str">
        <f t="shared" si="19"/>
        <v>IT_100.0000000000</v>
      </c>
      <c r="BD109" s="1809"/>
      <c r="BE109" s="1812" t="s">
        <v>1661</v>
      </c>
    </row>
    <row r="110" spans="8:57" ht="9.6" customHeight="1" x14ac:dyDescent="0.2">
      <c r="P110" s="461"/>
      <c r="U110" s="461"/>
      <c r="V110" s="461"/>
      <c r="AC110" s="1076" t="s">
        <v>1715</v>
      </c>
      <c r="AD110" s="1076" t="s">
        <v>1996</v>
      </c>
      <c r="AE110" s="1076" t="s">
        <v>1390</v>
      </c>
      <c r="AF110" s="1081" t="s">
        <v>1730</v>
      </c>
      <c r="AG110" s="1084" t="str">
        <f>AF110</f>
        <v>ID: Passport or  DL (Cannot be Expired)</v>
      </c>
      <c r="AH110" s="1067" t="str">
        <f>IF(AG110="","",IF(AC110="Disclosure",MAX(AH$104:AH109)+1,""))</f>
        <v/>
      </c>
      <c r="AI110" s="1068" t="str">
        <f t="shared" si="23"/>
        <v/>
      </c>
      <c r="AJ110" s="1069">
        <f>IF(AG110="","",IF(AC110="SubmissionRequired",MAX(AJ$104:AJ109)+1,""))</f>
        <v>1</v>
      </c>
      <c r="AK110" s="1071" t="str">
        <f t="shared" si="24"/>
        <v>Mortgage Statement Coupon</v>
      </c>
      <c r="AL110" s="1072" t="str">
        <f>IF(AG110="","",IF(AC110="SubmissionRecommended",MAX(AL$104:AL109)+1,""))</f>
        <v/>
      </c>
      <c r="AM110" s="1074" t="str">
        <f t="shared" si="25"/>
        <v>Letters of Explanation (Address Non-Arm's Length Relationships (Builder, Developer, Seller, LO, RE Agent, etc.))</v>
      </c>
      <c r="AN110" s="1130" t="str">
        <f>IF(AG110="","",IF(AC110="DocType",MAX(AN$104:AN109)+1,""))</f>
        <v/>
      </c>
      <c r="AO110" s="1132" t="str">
        <f t="shared" si="26"/>
        <v/>
      </c>
      <c r="AP110" s="460" t="s">
        <v>76</v>
      </c>
      <c r="AV110" s="1807" t="s">
        <v>1304</v>
      </c>
      <c r="AW110" s="1808" t="s">
        <v>1069</v>
      </c>
      <c r="AX110" s="1809" t="str">
        <f t="shared" si="17"/>
        <v>IT_008.6250000000</v>
      </c>
      <c r="AY110" s="1810">
        <f>[1]!IR_R39</f>
        <v>8.625</v>
      </c>
      <c r="AZ110" s="1811">
        <f>[1]!IR_ARM05_P39+Input_PL_Incentive_IR</f>
        <v>-2</v>
      </c>
      <c r="BA110" s="1811">
        <f>[1]!IR_FRM30_P39+Input_PL_Incentive_IR</f>
        <v>99.25</v>
      </c>
      <c r="BB110" s="1809">
        <f t="shared" si="22"/>
        <v>99.25</v>
      </c>
      <c r="BC110" s="1809" t="str">
        <f t="shared" si="19"/>
        <v>IT_099.2500000000</v>
      </c>
      <c r="BD110" s="1809"/>
      <c r="BE110" s="1812" t="s">
        <v>1662</v>
      </c>
    </row>
    <row r="111" spans="8:57" ht="9.6" customHeight="1" x14ac:dyDescent="0.2">
      <c r="P111" s="461"/>
      <c r="U111" s="461"/>
      <c r="V111" s="461"/>
      <c r="AC111" s="1076" t="s">
        <v>1715</v>
      </c>
      <c r="AD111" s="1076" t="s">
        <v>1996</v>
      </c>
      <c r="AE111" s="1076" t="s">
        <v>1390</v>
      </c>
      <c r="AF111" s="1081" t="s">
        <v>1748</v>
      </c>
      <c r="AG111" s="1084" t="str">
        <f>AF111</f>
        <v>Full Documentation of Non-Employment income (SSI, Pension, Alimony, Child Support, Trust Income, etc.)</v>
      </c>
      <c r="AH111" s="1067" t="str">
        <f>IF(AG111="","",IF(AC111="Disclosure",MAX(AH$104:AH110)+1,""))</f>
        <v/>
      </c>
      <c r="AI111" s="1068" t="str">
        <f t="shared" si="23"/>
        <v/>
      </c>
      <c r="AJ111" s="1069">
        <f>IF(AG111="","",IF(AC111="SubmissionRequired",MAX(AJ$104:AJ110)+1,""))</f>
        <v>2</v>
      </c>
      <c r="AK111" s="1071" t="str">
        <f t="shared" si="24"/>
        <v/>
      </c>
      <c r="AL111" s="1072" t="str">
        <f>IF(AG111="","",IF(AC111="SubmissionRecommended",MAX(AL$104:AL110)+1,""))</f>
        <v/>
      </c>
      <c r="AM111" s="1074" t="str">
        <f t="shared" si="25"/>
        <v>Divorce Decree / Separation Agmt [if applicable] (All Pages, incl. Attachments. Signed by All Parties)</v>
      </c>
      <c r="AN111" s="1130" t="str">
        <f>IF(AG111="","",IF(AC111="DocType",MAX(AN$104:AN110)+1,""))</f>
        <v/>
      </c>
      <c r="AO111" s="1132" t="str">
        <f t="shared" si="26"/>
        <v/>
      </c>
      <c r="AP111" s="460" t="s">
        <v>76</v>
      </c>
      <c r="AV111" s="1807" t="s">
        <v>1304</v>
      </c>
      <c r="AW111" s="1808" t="s">
        <v>1069</v>
      </c>
      <c r="AX111" s="1809" t="str">
        <f t="shared" si="17"/>
        <v>IT_008.5000000000</v>
      </c>
      <c r="AY111" s="1810">
        <f>[1]!IR_R40</f>
        <v>8.5</v>
      </c>
      <c r="AZ111" s="1811">
        <f>[1]!IR_ARM05_P40+Input_PL_Incentive_IR</f>
        <v>-2</v>
      </c>
      <c r="BA111" s="1811">
        <f>[1]!IR_FRM30_P40+Input_PL_Incentive_IR</f>
        <v>98.5</v>
      </c>
      <c r="BB111" s="1809">
        <f t="shared" si="22"/>
        <v>98.5</v>
      </c>
      <c r="BC111" s="1809" t="str">
        <f t="shared" si="19"/>
        <v>IT_098.5000000000</v>
      </c>
      <c r="BD111" s="1809"/>
      <c r="BE111" s="1812" t="s">
        <v>1663</v>
      </c>
    </row>
    <row r="112" spans="8:57" ht="9.6" customHeight="1" x14ac:dyDescent="0.2">
      <c r="Q112" s="461"/>
      <c r="U112" s="461"/>
      <c r="V112" s="461"/>
      <c r="AC112" s="1076" t="s">
        <v>1715</v>
      </c>
      <c r="AD112" s="1076" t="s">
        <v>1996</v>
      </c>
      <c r="AE112" s="1076" t="s">
        <v>1848</v>
      </c>
      <c r="AF112" s="1081" t="s">
        <v>1847</v>
      </c>
      <c r="AG112" s="1084" t="str">
        <f>IF(Input_State&lt;&gt;"TX",Structure!AF112,"")</f>
        <v>Title Commitment</v>
      </c>
      <c r="AH112" s="1067" t="str">
        <f>IF(AG112="","",IF(AC112="Disclosure",MAX(AH$104:AH111)+1,""))</f>
        <v/>
      </c>
      <c r="AI112" s="1068" t="str">
        <f t="shared" si="23"/>
        <v/>
      </c>
      <c r="AJ112" s="1069">
        <f>IF(AG112="","",IF(AC112="SubmissionRequired",MAX(AJ$104:AJ111)+1,""))</f>
        <v>3</v>
      </c>
      <c r="AK112" s="1071" t="str">
        <f t="shared" si="24"/>
        <v/>
      </c>
      <c r="AL112" s="1072" t="str">
        <f>IF(AG112="","",IF(AC112="SubmissionRecommended",MAX(AL$104:AL111)+1,""))</f>
        <v/>
      </c>
      <c r="AM112" s="1074" t="str">
        <f t="shared" si="25"/>
        <v>Lender Paid Comp Transactions (Anti-Steering Disclosure to be provided by Broker)</v>
      </c>
      <c r="AN112" s="1130" t="str">
        <f>IF(AG112="","",IF(AC112="DocType",MAX(AN$104:AN111)+1,""))</f>
        <v/>
      </c>
      <c r="AO112" s="1132" t="str">
        <f t="shared" si="26"/>
        <v/>
      </c>
      <c r="AP112" s="460" t="s">
        <v>76</v>
      </c>
      <c r="AV112" s="1813" t="s">
        <v>1304</v>
      </c>
      <c r="AW112" s="1814" t="s">
        <v>1069</v>
      </c>
      <c r="AX112" s="1815" t="str">
        <f t="shared" si="17"/>
        <v>IT_008.3750000000</v>
      </c>
      <c r="AY112" s="1816">
        <f>[1]!IR_R41</f>
        <v>8.375</v>
      </c>
      <c r="AZ112" s="1817">
        <f>[1]!IR_ARM05_P41+Input_PL_Incentive_IR</f>
        <v>-2</v>
      </c>
      <c r="BA112" s="1817">
        <f>[1]!IR_FRM30_P41+Input_PL_Incentive_IR</f>
        <v>97.75</v>
      </c>
      <c r="BB112" s="1815">
        <f t="shared" si="21"/>
        <v>97.75</v>
      </c>
      <c r="BC112" s="1815" t="str">
        <f t="shared" si="19"/>
        <v>IT_097.7500000000</v>
      </c>
      <c r="BD112" s="1815"/>
      <c r="BE112" s="1818" t="s">
        <v>1664</v>
      </c>
    </row>
    <row r="113" spans="13:57" ht="9.6" customHeight="1" x14ac:dyDescent="0.2">
      <c r="Q113" s="461"/>
      <c r="U113" s="461"/>
      <c r="V113" s="461"/>
      <c r="AC113" s="1076" t="s">
        <v>1715</v>
      </c>
      <c r="AD113" s="1076" t="s">
        <v>1996</v>
      </c>
      <c r="AE113" s="1076" t="s">
        <v>403</v>
      </c>
      <c r="AF113" s="1081" t="s">
        <v>1722</v>
      </c>
      <c r="AG113" s="1084" t="str">
        <f>IF(Input_State="TX",Structure!AF113,"")</f>
        <v/>
      </c>
      <c r="AH113" s="1067" t="str">
        <f>IF(AG113="","",IF(AC113="Disclosure",MAX(AH$104:AH112)+1,""))</f>
        <v/>
      </c>
      <c r="AI113" s="1068" t="str">
        <f t="shared" si="23"/>
        <v/>
      </c>
      <c r="AJ113" s="1069" t="str">
        <f>IF(AG113="","",IF(AC113="SubmissionRequired",MAX(AJ$104:AJ112)+1,""))</f>
        <v/>
      </c>
      <c r="AK113" s="1071" t="str">
        <f t="shared" si="24"/>
        <v/>
      </c>
      <c r="AL113" s="1072" t="str">
        <f>IF(AG113="","",IF(AC113="SubmissionRecommended",MAX(AL$104:AL112)+1,""))</f>
        <v/>
      </c>
      <c r="AM113" s="1074" t="str">
        <f t="shared" si="25"/>
        <v>BK papers [if applicable] (All schedules and evidence discharged)</v>
      </c>
      <c r="AN113" s="1130" t="str">
        <f>IF(AG113="","",IF(AC113="DocType",MAX(AN$104:AN112)+1,""))</f>
        <v/>
      </c>
      <c r="AO113" s="1132" t="str">
        <f t="shared" si="26"/>
        <v/>
      </c>
      <c r="AP113" s="460" t="s">
        <v>76</v>
      </c>
      <c r="AV113" s="1105" t="s">
        <v>377</v>
      </c>
      <c r="AW113" s="1101" t="s">
        <v>478</v>
      </c>
      <c r="AX113" s="1097" t="str">
        <f t="shared" ref="AX113:AX138" si="27">"IN_"&amp;RIGHT("000"&amp;TRUNC(Lookup_NoteRate),3)&amp;TEXT(Lookup_NoteRate-TRUNC(Lookup_NoteRate),".0000000000")</f>
        <v>IN_009.7500000000</v>
      </c>
      <c r="AY113" s="1098">
        <f>[1]!IN_R01</f>
        <v>9.75</v>
      </c>
      <c r="AZ113" s="1099" t="e">
        <f>[1]!IN_ARM05_P01+Input_PL_Incentive_IN</f>
        <v>#N/A</v>
      </c>
      <c r="BA113" s="1099" t="e">
        <f>[1]!IN_FRM30_P01+Input_PL_Incentive_IN</f>
        <v>#N/A</v>
      </c>
      <c r="BB113" s="1097" t="e">
        <f t="shared" ref="BB113:BB135" si="28">IF(INDEX(List_AmortTermAll,MATCH(Input_AmortTerm,List_AmortTerm,0),3)=1,AZ113,IF(INDEX(List_AmortTermAll,MATCH(Input_AmortTerm,List_AmortTerm,0),3)=2,BA113,#N/A))</f>
        <v>#N/A</v>
      </c>
      <c r="BC113" s="1097" t="e">
        <f t="shared" ref="BC113:BC138" si="29">"IN_"&amp;RIGHT("000"&amp;TRUNC(Lookup_PriceText),3)&amp;TEXT(Lookup_PriceText-TRUNC(Lookup_PriceText),".0000000000")</f>
        <v>#N/A</v>
      </c>
      <c r="BD113" s="1097"/>
      <c r="BE113" s="1106" t="s">
        <v>1665</v>
      </c>
    </row>
    <row r="114" spans="13:57" ht="9.6" customHeight="1" x14ac:dyDescent="0.2">
      <c r="Q114" s="461"/>
      <c r="R114" s="461"/>
      <c r="S114" s="461"/>
      <c r="T114" s="461"/>
      <c r="U114" s="461"/>
      <c r="V114" s="461"/>
      <c r="AC114" s="1076" t="s">
        <v>1715</v>
      </c>
      <c r="AD114" s="1076" t="s">
        <v>1996</v>
      </c>
      <c r="AE114" s="1076" t="s">
        <v>1407</v>
      </c>
      <c r="AF114" s="1081" t="s">
        <v>1742</v>
      </c>
      <c r="AG114" s="1088" t="str">
        <f>IF(Input_DocType=AE114,Structure!AF114,"")</f>
        <v/>
      </c>
      <c r="AH114" s="1067" t="str">
        <f>IF(AG114="","",IF(AC114="Disclosure",MAX(AH$104:AH112)+1,""))</f>
        <v/>
      </c>
      <c r="AI114" s="1068" t="str">
        <f t="shared" si="23"/>
        <v/>
      </c>
      <c r="AJ114" s="1069" t="str">
        <f>IF(AG114="","",IF(AC114="SubmissionRequired",MAX(AJ$104:AJ112)+1,""))</f>
        <v/>
      </c>
      <c r="AK114" s="1071" t="str">
        <f t="shared" si="24"/>
        <v/>
      </c>
      <c r="AL114" s="1072" t="str">
        <f>IF(AG114="","",IF(AC114="SubmissionRecommended",MAX(AL$104:AL112)+1,""))</f>
        <v/>
      </c>
      <c r="AM114" s="1074" t="str">
        <f t="shared" si="25"/>
        <v>12mo Verification of Primary Housing Payment if not reported on credit (If Private Party, provide 12mo Cancelled Checks)</v>
      </c>
      <c r="AN114" s="1130" t="str">
        <f>IF(AG114="","",IF(AC114="DocType",MAX(AN$104:AN112)+1,""))</f>
        <v/>
      </c>
      <c r="AO114" s="1132" t="str">
        <f t="shared" si="26"/>
        <v/>
      </c>
      <c r="AP114" s="460" t="s">
        <v>76</v>
      </c>
      <c r="AV114" s="1105" t="s">
        <v>377</v>
      </c>
      <c r="AW114" s="1101" t="s">
        <v>478</v>
      </c>
      <c r="AX114" s="1097" t="str">
        <f t="shared" si="27"/>
        <v>IN_009.6250000000</v>
      </c>
      <c r="AY114" s="1098">
        <f>[1]!IN_R02</f>
        <v>9.625</v>
      </c>
      <c r="AZ114" s="1099" t="e">
        <f>[1]!IN_ARM05_P02+Input_PL_Incentive_IN</f>
        <v>#N/A</v>
      </c>
      <c r="BA114" s="1099" t="e">
        <f>[1]!IN_FRM30_P02+Input_PL_Incentive_IN</f>
        <v>#N/A</v>
      </c>
      <c r="BB114" s="1097" t="e">
        <f t="shared" ref="BB114" si="30">IF(INDEX(List_AmortTermAll,MATCH(Input_AmortTerm,List_AmortTerm,0),3)=1,AZ114,IF(INDEX(List_AmortTermAll,MATCH(Input_AmortTerm,List_AmortTerm,0),3)=2,BA114,#N/A))</f>
        <v>#N/A</v>
      </c>
      <c r="BC114" s="1097" t="e">
        <f t="shared" si="29"/>
        <v>#N/A</v>
      </c>
      <c r="BD114" s="1097"/>
      <c r="BE114" s="1106" t="s">
        <v>1666</v>
      </c>
    </row>
    <row r="115" spans="13:57" ht="9.6" customHeight="1" x14ac:dyDescent="0.2">
      <c r="Q115" s="461"/>
      <c r="R115" s="461"/>
      <c r="S115" s="461"/>
      <c r="T115" s="461"/>
      <c r="U115" s="461"/>
      <c r="V115" s="461"/>
      <c r="AC115" s="1076" t="s">
        <v>1715</v>
      </c>
      <c r="AD115" s="1076" t="s">
        <v>1996</v>
      </c>
      <c r="AE115" s="1076" t="s">
        <v>1407</v>
      </c>
      <c r="AF115" s="1081" t="s">
        <v>1743</v>
      </c>
      <c r="AG115" s="1088" t="str">
        <f>IF(Input_DocType=AE115,Structure!AF115,"")</f>
        <v/>
      </c>
      <c r="AH115" s="1067" t="str">
        <f>IF(AG115="","",IF(AC115="Disclosure",MAX(AH$104:AH114)+1,""))</f>
        <v/>
      </c>
      <c r="AI115" s="1068" t="str">
        <f t="shared" si="23"/>
        <v/>
      </c>
      <c r="AJ115" s="1069" t="str">
        <f>IF(AG115="","",IF(AC115="SubmissionRequired",MAX(AJ$104:AJ114)+1,""))</f>
        <v/>
      </c>
      <c r="AK115" s="1071" t="str">
        <f t="shared" si="24"/>
        <v/>
      </c>
      <c r="AL115" s="1072" t="str">
        <f>IF(AG115="","",IF(AC115="SubmissionRecommended",MAX(AL$104:AL114)+1,""))</f>
        <v/>
      </c>
      <c r="AM115" s="1074" t="str">
        <f t="shared" si="25"/>
        <v>12mo Cancelled Checks (Include Copy of Note, if available)</v>
      </c>
      <c r="AN115" s="1130" t="str">
        <f>IF(AG115="","",IF(AC115="DocType",MAX(AN$104:AN114)+1,""))</f>
        <v/>
      </c>
      <c r="AO115" s="1132" t="str">
        <f t="shared" si="26"/>
        <v/>
      </c>
      <c r="AP115" s="460" t="s">
        <v>76</v>
      </c>
      <c r="AV115" s="1105" t="s">
        <v>377</v>
      </c>
      <c r="AW115" s="1101" t="s">
        <v>478</v>
      </c>
      <c r="AX115" s="1097" t="str">
        <f t="shared" si="27"/>
        <v>IN_009.5000000000</v>
      </c>
      <c r="AY115" s="1098">
        <f>[1]!IN_R03</f>
        <v>9.5</v>
      </c>
      <c r="AZ115" s="1099" t="e">
        <f>[1]!IN_ARM05_P03+Input_PL_Incentive_IN</f>
        <v>#N/A</v>
      </c>
      <c r="BA115" s="1099" t="e">
        <f>[1]!IN_FRM30_P03+Input_PL_Incentive_IN</f>
        <v>#N/A</v>
      </c>
      <c r="BB115" s="1097" t="e">
        <f t="shared" si="28"/>
        <v>#N/A</v>
      </c>
      <c r="BC115" s="1097" t="e">
        <f t="shared" si="29"/>
        <v>#N/A</v>
      </c>
      <c r="BD115" s="1097"/>
      <c r="BE115" s="1106" t="s">
        <v>1667</v>
      </c>
    </row>
    <row r="116" spans="13:57" ht="9.6" customHeight="1" x14ac:dyDescent="0.2">
      <c r="Q116" s="461"/>
      <c r="R116" s="461"/>
      <c r="S116" s="461"/>
      <c r="T116" s="461"/>
      <c r="U116" s="461"/>
      <c r="V116" s="461"/>
      <c r="AC116" s="1076" t="s">
        <v>1715</v>
      </c>
      <c r="AD116" s="1076" t="s">
        <v>1996</v>
      </c>
      <c r="AE116" s="1076" t="s">
        <v>1408</v>
      </c>
      <c r="AF116" s="1081" t="s">
        <v>1744</v>
      </c>
      <c r="AG116" s="1088" t="str">
        <f>IF(Input_DocType=AE116,Structure!AF116,"")</f>
        <v/>
      </c>
      <c r="AH116" s="1067" t="str">
        <f>IF(AG116="","",IF(AC116="Disclosure",MAX(AH$104:AH115)+1,""))</f>
        <v/>
      </c>
      <c r="AI116" s="1068" t="str">
        <f t="shared" si="23"/>
        <v/>
      </c>
      <c r="AJ116" s="1069" t="str">
        <f>IF(AG116="","",IF(AC116="SubmissionRequired",MAX(AJ$104:AJ115)+1,""))</f>
        <v/>
      </c>
      <c r="AK116" s="1071" t="str">
        <f t="shared" si="24"/>
        <v/>
      </c>
      <c r="AL116" s="1072" t="str">
        <f>IF(AG116="","",IF(AC116="SubmissionRecommended",MAX(AL$104:AL115)+1,""))</f>
        <v/>
      </c>
      <c r="AM116" s="1074" t="str">
        <f t="shared" si="25"/>
        <v>2mo Consecutive Stmts w/in 90 Days (if Business Stmt, Provide Evidence of Ownership and Balance Sheet)</v>
      </c>
      <c r="AN116" s="1130" t="str">
        <f>IF(AG116="","",IF(AC116="DocType",MAX(AN$104:AN115)+1,""))</f>
        <v/>
      </c>
      <c r="AO116" s="1132" t="str">
        <f t="shared" si="26"/>
        <v/>
      </c>
      <c r="AP116" s="460" t="s">
        <v>76</v>
      </c>
      <c r="AV116" s="1105" t="s">
        <v>377</v>
      </c>
      <c r="AW116" s="1101" t="s">
        <v>478</v>
      </c>
      <c r="AX116" s="1097" t="str">
        <f t="shared" si="27"/>
        <v>IN_009.3750000000</v>
      </c>
      <c r="AY116" s="1098">
        <f>[1]!IN_R04</f>
        <v>9.375</v>
      </c>
      <c r="AZ116" s="1099" t="e">
        <f>[1]!IN_ARM05_P04+Input_PL_Incentive_IN</f>
        <v>#N/A</v>
      </c>
      <c r="BA116" s="1099" t="e">
        <f>[1]!IN_FRM30_P04+Input_PL_Incentive_IN</f>
        <v>#N/A</v>
      </c>
      <c r="BB116" s="1097" t="e">
        <f t="shared" si="28"/>
        <v>#N/A</v>
      </c>
      <c r="BC116" s="1097" t="e">
        <f t="shared" si="29"/>
        <v>#N/A</v>
      </c>
      <c r="BD116" s="1097"/>
      <c r="BE116" s="1106" t="s">
        <v>1668</v>
      </c>
    </row>
    <row r="117" spans="13:57" ht="9.6" customHeight="1" x14ac:dyDescent="0.2">
      <c r="Q117" s="461"/>
      <c r="R117" s="461"/>
      <c r="S117" s="461"/>
      <c r="T117" s="461"/>
      <c r="U117" s="461"/>
      <c r="V117" s="461"/>
      <c r="AC117" s="1076" t="s">
        <v>1715</v>
      </c>
      <c r="AD117" s="1076" t="s">
        <v>1996</v>
      </c>
      <c r="AE117" s="1076" t="s">
        <v>1408</v>
      </c>
      <c r="AF117" s="1081" t="s">
        <v>1745</v>
      </c>
      <c r="AG117" s="1088" t="str">
        <f>IF(Input_DocType=AE117,Structure!AF117,"")</f>
        <v/>
      </c>
      <c r="AH117" s="1067" t="str">
        <f>IF(AG117="","",IF(AC117="Disclosure",MAX(AH$104:AH116)+1,""))</f>
        <v/>
      </c>
      <c r="AI117" s="1068" t="str">
        <f t="shared" si="23"/>
        <v/>
      </c>
      <c r="AJ117" s="1069" t="str">
        <f>IF(AG117="","",IF(AC117="SubmissionRequired",MAX(AJ$104:AJ116)+1,""))</f>
        <v/>
      </c>
      <c r="AK117" s="1071" t="str">
        <f t="shared" si="24"/>
        <v/>
      </c>
      <c r="AL117" s="1072" t="str">
        <f>IF(AG117="","",IF(AC117="SubmissionRecommended",MAX(AL$104:AL116)+1,""))</f>
        <v/>
      </c>
      <c r="AM117" s="1074" t="str">
        <f t="shared" si="25"/>
        <v>Balance Sheet (If using Business Assets for Funds for Closing/Reserves/Down Pmt)</v>
      </c>
      <c r="AN117" s="1130" t="str">
        <f>IF(AG117="","",IF(AC117="DocType",MAX(AN$104:AN116)+1,""))</f>
        <v/>
      </c>
      <c r="AO117" s="1132" t="str">
        <f t="shared" si="26"/>
        <v/>
      </c>
      <c r="AP117" s="460" t="s">
        <v>76</v>
      </c>
      <c r="AV117" s="1105" t="s">
        <v>377</v>
      </c>
      <c r="AW117" s="1101" t="s">
        <v>478</v>
      </c>
      <c r="AX117" s="1097" t="str">
        <f t="shared" si="27"/>
        <v>IN_009.2500000000</v>
      </c>
      <c r="AY117" s="1098">
        <f>[1]!IN_R05</f>
        <v>9.25</v>
      </c>
      <c r="AZ117" s="1099" t="e">
        <f>[1]!IN_ARM05_P05+Input_PL_Incentive_IN</f>
        <v>#N/A</v>
      </c>
      <c r="BA117" s="1099" t="e">
        <f>[1]!IN_FRM30_P05+Input_PL_Incentive_IN</f>
        <v>#N/A</v>
      </c>
      <c r="BB117" s="1097" t="e">
        <f t="shared" si="28"/>
        <v>#N/A</v>
      </c>
      <c r="BC117" s="1097" t="e">
        <f t="shared" si="29"/>
        <v>#N/A</v>
      </c>
      <c r="BD117" s="1097"/>
      <c r="BE117" s="1106" t="s">
        <v>1669</v>
      </c>
    </row>
    <row r="118" spans="13:57" ht="9.6" customHeight="1" x14ac:dyDescent="0.2">
      <c r="Q118" s="461"/>
      <c r="R118" s="461"/>
      <c r="S118" s="461"/>
      <c r="T118" s="461"/>
      <c r="U118" s="461"/>
      <c r="V118" s="461"/>
      <c r="AC118" s="1076" t="s">
        <v>1715</v>
      </c>
      <c r="AD118" s="1076" t="s">
        <v>1996</v>
      </c>
      <c r="AE118" s="1076" t="s">
        <v>185</v>
      </c>
      <c r="AF118" s="1081" t="s">
        <v>1721</v>
      </c>
      <c r="AG118" s="1088" t="str">
        <f>IF(Input_DocType=AE118,Structure!AF118,"")</f>
        <v/>
      </c>
      <c r="AH118" s="1067" t="str">
        <f>IF(AG118="","",IF(AC118="Disclosure",MAX(AH$104:AH117)+1,""))</f>
        <v/>
      </c>
      <c r="AI118" s="1068" t="str">
        <f t="shared" si="23"/>
        <v/>
      </c>
      <c r="AJ118" s="1069" t="str">
        <f>IF(AG118="","",IF(AC118="SubmissionRequired",MAX(AJ$104:AJ117)+1,""))</f>
        <v/>
      </c>
      <c r="AK118" s="1071" t="str">
        <f t="shared" si="24"/>
        <v/>
      </c>
      <c r="AL118" s="1072" t="str">
        <f>IF(AG118="","",IF(AC118="SubmissionRecommended",MAX(AL$104:AL117)+1,""))</f>
        <v/>
      </c>
      <c r="AM118" s="1074" t="str">
        <f t="shared" si="25"/>
        <v>Gift Letter [if applicable] (Evidence Donor Funds Transferred to Borrower or Settlement Agent)</v>
      </c>
      <c r="AN118" s="1130" t="str">
        <f>IF(AG118="","",IF(AC118="DocType",MAX(AN$104:AN117)+1,""))</f>
        <v/>
      </c>
      <c r="AO118" s="1132" t="str">
        <f t="shared" si="26"/>
        <v/>
      </c>
      <c r="AP118" s="460" t="s">
        <v>76</v>
      </c>
      <c r="AV118" s="1105" t="s">
        <v>377</v>
      </c>
      <c r="AW118" s="1101" t="s">
        <v>478</v>
      </c>
      <c r="AX118" s="1097" t="str">
        <f t="shared" si="27"/>
        <v>IN_009.1250000000</v>
      </c>
      <c r="AY118" s="1098">
        <f>[1]!IN_R06</f>
        <v>9.125</v>
      </c>
      <c r="AZ118" s="1099" t="e">
        <f>[1]!IN_ARM05_P06+Input_PL_Incentive_IN</f>
        <v>#N/A</v>
      </c>
      <c r="BA118" s="1099" t="e">
        <f>[1]!IN_FRM30_P06+Input_PL_Incentive_IN</f>
        <v>#N/A</v>
      </c>
      <c r="BB118" s="1097" t="e">
        <f t="shared" si="28"/>
        <v>#N/A</v>
      </c>
      <c r="BC118" s="1097" t="e">
        <f t="shared" si="29"/>
        <v>#N/A</v>
      </c>
      <c r="BD118" s="1097"/>
      <c r="BE118" s="1106" t="s">
        <v>1670</v>
      </c>
    </row>
    <row r="119" spans="13:57" ht="9.6" customHeight="1" x14ac:dyDescent="0.2">
      <c r="Q119" s="461"/>
      <c r="R119" s="461"/>
      <c r="S119" s="461"/>
      <c r="T119" s="461"/>
      <c r="U119" s="461"/>
      <c r="V119" s="461"/>
      <c r="AC119" s="1076" t="s">
        <v>1715</v>
      </c>
      <c r="AD119" s="1076" t="s">
        <v>1996</v>
      </c>
      <c r="AE119" s="1076" t="s">
        <v>185</v>
      </c>
      <c r="AF119" s="1081" t="s">
        <v>1758</v>
      </c>
      <c r="AG119" s="1088" t="str">
        <f>IF(Input_DocType=AE119,Structure!AF119,"")</f>
        <v/>
      </c>
      <c r="AH119" s="1067" t="str">
        <f>IF(AG119="","",IF(AC119="Disclosure",MAX(AH$104:AH118)+1,""))</f>
        <v/>
      </c>
      <c r="AI119" s="1068" t="str">
        <f t="shared" si="23"/>
        <v/>
      </c>
      <c r="AJ119" s="1069" t="str">
        <f>IF(AG119="","",IF(AC119="SubmissionRequired",MAX(AJ$104:AJ118)+1,""))</f>
        <v/>
      </c>
      <c r="AK119" s="1071" t="str">
        <f t="shared" si="24"/>
        <v/>
      </c>
      <c r="AL119" s="1072" t="str">
        <f>IF(AG119="","",IF(AC119="SubmissionRecommended",MAX(AL$104:AL118)+1,""))</f>
        <v/>
      </c>
      <c r="AM119" s="1074" t="str">
        <f t="shared" si="25"/>
        <v>Fee Sheet / Est. Closing Statement (Impounds Required: HPML Loans and Loans &gt;80 LTV - Unless Prohibited by State Law)</v>
      </c>
      <c r="AN119" s="1130" t="str">
        <f>IF(AG119="","",IF(AC119="DocType",MAX(AN$104:AN118)+1,""))</f>
        <v/>
      </c>
      <c r="AO119" s="1132" t="str">
        <f t="shared" si="26"/>
        <v/>
      </c>
      <c r="AP119" s="460" t="s">
        <v>76</v>
      </c>
      <c r="AV119" s="1105" t="s">
        <v>377</v>
      </c>
      <c r="AW119" s="1101" t="s">
        <v>478</v>
      </c>
      <c r="AX119" s="1097" t="str">
        <f t="shared" si="27"/>
        <v>IN_009.0000000000</v>
      </c>
      <c r="AY119" s="1098">
        <f>[1]!IN_R07</f>
        <v>9</v>
      </c>
      <c r="AZ119" s="1099" t="e">
        <f>[1]!IN_ARM05_P07+Input_PL_Incentive_IN</f>
        <v>#N/A</v>
      </c>
      <c r="BA119" s="1099" t="e">
        <f>[1]!IN_FRM30_P07+Input_PL_Incentive_IN</f>
        <v>#N/A</v>
      </c>
      <c r="BB119" s="1097" t="e">
        <f t="shared" si="28"/>
        <v>#N/A</v>
      </c>
      <c r="BC119" s="1097" t="e">
        <f t="shared" si="29"/>
        <v>#N/A</v>
      </c>
      <c r="BD119" s="1097"/>
      <c r="BE119" s="1106" t="s">
        <v>1671</v>
      </c>
    </row>
    <row r="120" spans="13:57" ht="9.6" customHeight="1" x14ac:dyDescent="0.2">
      <c r="Q120" s="461"/>
      <c r="R120" s="461"/>
      <c r="S120" s="461"/>
      <c r="T120" s="461"/>
      <c r="U120" s="461"/>
      <c r="V120" s="461"/>
      <c r="AC120" s="1076" t="s">
        <v>1715</v>
      </c>
      <c r="AD120" s="1076" t="s">
        <v>1996</v>
      </c>
      <c r="AE120" s="1076" t="s">
        <v>185</v>
      </c>
      <c r="AF120" s="1081" t="s">
        <v>1759</v>
      </c>
      <c r="AG120" s="1088" t="str">
        <f>IF(Input_DocType=AE120,Structure!AF120,"")</f>
        <v/>
      </c>
      <c r="AH120" s="1067" t="str">
        <f>IF(AG120="","",IF(AC120="Disclosure",MAX(AH$104:AH119)+1,""))</f>
        <v/>
      </c>
      <c r="AI120" s="1068" t="str">
        <f t="shared" si="23"/>
        <v/>
      </c>
      <c r="AJ120" s="1069" t="str">
        <f>IF(AG120="","",IF(AC120="SubmissionRequired",MAX(AJ$104:AJ119)+1,""))</f>
        <v/>
      </c>
      <c r="AK120" s="1071" t="str">
        <f t="shared" si="24"/>
        <v/>
      </c>
      <c r="AL120" s="1072" t="str">
        <f>IF(AG120="","",IF(AC120="SubmissionRecommended",MAX(AL$104:AL119)+1,""))</f>
        <v/>
      </c>
      <c r="AM120" s="1074" t="str">
        <f t="shared" si="25"/>
        <v>Hazard Insurance (Replacement Cost Estimator)</v>
      </c>
      <c r="AN120" s="1130" t="str">
        <f>IF(AG120="","",IF(AC120="DocType",MAX(AN$104:AN119)+1,""))</f>
        <v/>
      </c>
      <c r="AO120" s="1132" t="str">
        <f t="shared" si="26"/>
        <v/>
      </c>
      <c r="AP120" s="460" t="s">
        <v>76</v>
      </c>
      <c r="AV120" s="1105" t="s">
        <v>377</v>
      </c>
      <c r="AW120" s="1101" t="s">
        <v>478</v>
      </c>
      <c r="AX120" s="1097" t="str">
        <f t="shared" si="27"/>
        <v>IN_008.8750000000</v>
      </c>
      <c r="AY120" s="1098">
        <f>[1]!IN_R08</f>
        <v>8.875</v>
      </c>
      <c r="AZ120" s="1099" t="e">
        <f>[1]!IN_ARM05_P08+Input_PL_Incentive_IN</f>
        <v>#N/A</v>
      </c>
      <c r="BA120" s="1099" t="e">
        <f>[1]!IN_FRM30_P08+Input_PL_Incentive_IN</f>
        <v>#N/A</v>
      </c>
      <c r="BB120" s="1097" t="e">
        <f t="shared" si="28"/>
        <v>#N/A</v>
      </c>
      <c r="BC120" s="1097" t="e">
        <f t="shared" si="29"/>
        <v>#N/A</v>
      </c>
      <c r="BD120" s="1097"/>
      <c r="BE120" s="1106" t="s">
        <v>1672</v>
      </c>
    </row>
    <row r="121" spans="13:57" ht="9.6" customHeight="1" x14ac:dyDescent="0.2">
      <c r="Q121" s="461"/>
      <c r="R121" s="461"/>
      <c r="S121" s="461"/>
      <c r="T121" s="461"/>
      <c r="U121" s="461"/>
      <c r="V121" s="461"/>
      <c r="AC121" s="1076" t="s">
        <v>1715</v>
      </c>
      <c r="AD121" s="1076" t="s">
        <v>1996</v>
      </c>
      <c r="AE121" s="1076" t="s">
        <v>187</v>
      </c>
      <c r="AF121" s="1081" t="s">
        <v>1720</v>
      </c>
      <c r="AG121" s="1088" t="str">
        <f>IF(Input_DocType=AE121,Structure!AF121,"")</f>
        <v/>
      </c>
      <c r="AH121" s="1067" t="str">
        <f>IF(AG121="","",IF(AC121="Disclosure",MAX(AH$104:AH120)+1,""))</f>
        <v/>
      </c>
      <c r="AI121" s="1068" t="str">
        <f t="shared" si="23"/>
        <v/>
      </c>
      <c r="AJ121" s="1069" t="str">
        <f>IF(AG121="","",IF(AC121="SubmissionRequired",MAX(AJ$104:AJ120)+1,""))</f>
        <v/>
      </c>
      <c r="AK121" s="1071" t="str">
        <f t="shared" si="24"/>
        <v/>
      </c>
      <c r="AL121" s="1072" t="str">
        <f>IF(AG121="","",IF(AC121="SubmissionRecommended",MAX(AL$104:AL120)+1,""))</f>
        <v/>
      </c>
      <c r="AM121" s="1074" t="str">
        <f t="shared" si="25"/>
        <v>Balance Sheet (If using Business Assets for Funds for Closing/Reserves/Down Pmt)</v>
      </c>
      <c r="AN121" s="1130" t="str">
        <f>IF(AG121="","",IF(AC121="DocType",MAX(AN$104:AN120)+1,""))</f>
        <v/>
      </c>
      <c r="AO121" s="1132" t="str">
        <f t="shared" si="26"/>
        <v/>
      </c>
      <c r="AP121" s="460" t="s">
        <v>76</v>
      </c>
      <c r="AV121" s="1105" t="s">
        <v>377</v>
      </c>
      <c r="AW121" s="1101" t="s">
        <v>478</v>
      </c>
      <c r="AX121" s="1097" t="str">
        <f t="shared" si="27"/>
        <v>IN_008.7500000000</v>
      </c>
      <c r="AY121" s="1098">
        <f>[1]!IN_R09</f>
        <v>8.75</v>
      </c>
      <c r="AZ121" s="1099" t="e">
        <f>[1]!IN_ARM05_P09+Input_PL_Incentive_IN</f>
        <v>#N/A</v>
      </c>
      <c r="BA121" s="1099" t="e">
        <f>[1]!IN_FRM30_P09+Input_PL_Incentive_IN</f>
        <v>#N/A</v>
      </c>
      <c r="BB121" s="1097" t="e">
        <f t="shared" si="28"/>
        <v>#N/A</v>
      </c>
      <c r="BC121" s="1097" t="e">
        <f t="shared" si="29"/>
        <v>#N/A</v>
      </c>
      <c r="BD121" s="1097"/>
      <c r="BE121" s="1106" t="s">
        <v>1673</v>
      </c>
    </row>
    <row r="122" spans="13:57" ht="9.6" customHeight="1" x14ac:dyDescent="0.2">
      <c r="Q122" s="461"/>
      <c r="R122" s="461"/>
      <c r="S122" s="461"/>
      <c r="T122" s="461"/>
      <c r="U122" s="461"/>
      <c r="V122" s="461"/>
      <c r="AC122" s="623" t="s">
        <v>1715</v>
      </c>
      <c r="AD122" s="623" t="s">
        <v>1996</v>
      </c>
      <c r="AE122" s="623" t="s">
        <v>189</v>
      </c>
      <c r="AF122" s="624" t="s">
        <v>1719</v>
      </c>
      <c r="AG122" s="1088" t="str">
        <f>IF(Input_DocType=AE122,Structure!AF122,"")</f>
        <v>Evidence PITIA (Subject Property)</v>
      </c>
      <c r="AH122" s="1067" t="str">
        <f>IF(AG122="","",IF(AC122="Disclosure",MAX(AH$104:AH121)+1,""))</f>
        <v/>
      </c>
      <c r="AI122" s="1068" t="str">
        <f t="shared" si="23"/>
        <v/>
      </c>
      <c r="AJ122" s="1069">
        <f>IF(AG122="","",IF(AC122="SubmissionRequired",MAX(AJ$104:AJ121)+1,""))</f>
        <v>4</v>
      </c>
      <c r="AK122" s="1071" t="str">
        <f t="shared" si="24"/>
        <v/>
      </c>
      <c r="AL122" s="1072" t="str">
        <f>IF(AG122="","",IF(AC122="SubmissionRecommended",MAX(AL$104:AL121)+1,""))</f>
        <v/>
      </c>
      <c r="AM122" s="1074" t="str">
        <f t="shared" si="25"/>
        <v>1004D / Final Inspection [if applicable] (Condition rating C5/C6 and Quality rating Q6 unacceptable)</v>
      </c>
      <c r="AN122" s="1130" t="str">
        <f>IF(AG122="","",IF(AC122="DocType",MAX(AN$104:AN121)+1,""))</f>
        <v/>
      </c>
      <c r="AO122" s="1132" t="str">
        <f t="shared" si="26"/>
        <v/>
      </c>
      <c r="AP122" s="460" t="s">
        <v>76</v>
      </c>
      <c r="AV122" s="1105" t="s">
        <v>377</v>
      </c>
      <c r="AW122" s="1101" t="s">
        <v>478</v>
      </c>
      <c r="AX122" s="1097" t="str">
        <f t="shared" si="27"/>
        <v>IN_008.6250000000</v>
      </c>
      <c r="AY122" s="1098">
        <f>[1]!IN_R10</f>
        <v>8.625</v>
      </c>
      <c r="AZ122" s="1099" t="e">
        <f>[1]!IN_ARM05_P10+Input_PL_Incentive_IN</f>
        <v>#N/A</v>
      </c>
      <c r="BA122" s="1099" t="e">
        <f>[1]!IN_FRM30_P10+Input_PL_Incentive_IN</f>
        <v>#N/A</v>
      </c>
      <c r="BB122" s="1097" t="e">
        <f t="shared" si="28"/>
        <v>#N/A</v>
      </c>
      <c r="BC122" s="1097" t="e">
        <f t="shared" si="29"/>
        <v>#N/A</v>
      </c>
      <c r="BD122" s="1097"/>
      <c r="BE122" s="1106" t="s">
        <v>1674</v>
      </c>
    </row>
    <row r="123" spans="13:57" ht="9.6" customHeight="1" x14ac:dyDescent="0.2">
      <c r="Q123" s="461"/>
      <c r="R123" s="461"/>
      <c r="S123" s="461"/>
      <c r="T123" s="461"/>
      <c r="U123" s="461"/>
      <c r="V123" s="461"/>
      <c r="AC123" s="812" t="s">
        <v>1715</v>
      </c>
      <c r="AD123" s="812" t="s">
        <v>1996</v>
      </c>
      <c r="AE123" s="812" t="s">
        <v>189</v>
      </c>
      <c r="AF123" s="813" t="s">
        <v>1551</v>
      </c>
      <c r="AG123" s="1088" t="str">
        <f>IF(Input_DocType=AE123,Structure!AF123,"")</f>
        <v>SS-89</v>
      </c>
      <c r="AH123" s="1067" t="str">
        <f>IF(AG123="","",IF(AC123="Disclosure",MAX(AH$104:AH122)+1,""))</f>
        <v/>
      </c>
      <c r="AI123" s="1068" t="str">
        <f t="shared" si="23"/>
        <v/>
      </c>
      <c r="AJ123" s="1069">
        <f>IF(AG123="","",IF(AC123="SubmissionRequired",MAX(AJ$104:AJ122)+1,""))</f>
        <v>5</v>
      </c>
      <c r="AK123" s="1071" t="str">
        <f t="shared" si="24"/>
        <v/>
      </c>
      <c r="AL123" s="1072" t="str">
        <f>IF(AG123="","",IF(AC123="SubmissionRecommended",MAX(AL$104:AL122)+1,""))</f>
        <v/>
      </c>
      <c r="AM123" s="1074" t="str">
        <f t="shared" si="25"/>
        <v>1004D / Final Inspection [if applicable] (Min 600 sf)</v>
      </c>
      <c r="AN123" s="1130" t="str">
        <f>IF(AG123="","",IF(AC123="DocType",MAX(AN$104:AN122)+1,""))</f>
        <v/>
      </c>
      <c r="AO123" s="1132" t="str">
        <f t="shared" si="26"/>
        <v/>
      </c>
      <c r="AP123" s="460" t="s">
        <v>76</v>
      </c>
      <c r="AV123" s="1105" t="s">
        <v>377</v>
      </c>
      <c r="AW123" s="1101" t="s">
        <v>478</v>
      </c>
      <c r="AX123" s="1097" t="str">
        <f t="shared" si="27"/>
        <v>IN_008.5000000000</v>
      </c>
      <c r="AY123" s="1098">
        <f>[1]!IN_R11</f>
        <v>8.5</v>
      </c>
      <c r="AZ123" s="1099" t="e">
        <f>[1]!IN_ARM05_P11+Input_PL_Incentive_IN</f>
        <v>#N/A</v>
      </c>
      <c r="BA123" s="1099" t="e">
        <f>[1]!IN_FRM30_P11+Input_PL_Incentive_IN</f>
        <v>#N/A</v>
      </c>
      <c r="BB123" s="1097" t="e">
        <f t="shared" si="28"/>
        <v>#N/A</v>
      </c>
      <c r="BC123" s="1097" t="e">
        <f t="shared" si="29"/>
        <v>#N/A</v>
      </c>
      <c r="BD123" s="1097"/>
      <c r="BE123" s="1106" t="s">
        <v>1675</v>
      </c>
    </row>
    <row r="124" spans="13:57" ht="9.6" customHeight="1" x14ac:dyDescent="0.2">
      <c r="Q124" s="461"/>
      <c r="R124" s="461"/>
      <c r="S124" s="461"/>
      <c r="T124" s="461"/>
      <c r="U124" s="461"/>
      <c r="V124" s="461"/>
      <c r="AC124" s="812" t="s">
        <v>1715</v>
      </c>
      <c r="AD124" s="812" t="s">
        <v>1996</v>
      </c>
      <c r="AE124" s="812" t="s">
        <v>246</v>
      </c>
      <c r="AF124" s="813" t="s">
        <v>1746</v>
      </c>
      <c r="AG124" s="1088" t="str">
        <f>IF(Input_DocType=AE124,Structure!AF124,"")</f>
        <v/>
      </c>
      <c r="AH124" s="1067" t="str">
        <f>IF(AG124="","",IF(AC124="Disclosure",MAX(AH$104:AH123)+1,""))</f>
        <v/>
      </c>
      <c r="AI124" s="1068" t="str">
        <f t="shared" si="23"/>
        <v/>
      </c>
      <c r="AJ124" s="1069" t="str">
        <f>IF(AG124="","",IF(AC124="SubmissionRequired",MAX(AJ$104:AJ123)+1,""))</f>
        <v/>
      </c>
      <c r="AK124" s="1071" t="str">
        <f t="shared" si="24"/>
        <v/>
      </c>
      <c r="AL124" s="1072" t="str">
        <f>IF(AG124="","",IF(AC124="SubmissionRecommended",MAX(AL$104:AL123)+1,""))</f>
        <v/>
      </c>
      <c r="AM124" s="1074" t="str">
        <f t="shared" si="25"/>
        <v>Master Liability Insurance (w/ Walls-In)</v>
      </c>
      <c r="AN124" s="1130" t="str">
        <f>IF(AG124="","",IF(AC124="DocType",MAX(AN$104:AN123)+1,""))</f>
        <v/>
      </c>
      <c r="AO124" s="1132" t="str">
        <f t="shared" si="26"/>
        <v/>
      </c>
      <c r="AP124" s="460" t="s">
        <v>76</v>
      </c>
      <c r="AV124" s="1105" t="s">
        <v>377</v>
      </c>
      <c r="AW124" s="1101" t="s">
        <v>478</v>
      </c>
      <c r="AX124" s="1097" t="str">
        <f t="shared" si="27"/>
        <v>IN_008.3750000000</v>
      </c>
      <c r="AY124" s="1098">
        <f>[1]!IN_R12</f>
        <v>8.375</v>
      </c>
      <c r="AZ124" s="1099" t="e">
        <f>[1]!IN_ARM05_P12+Input_PL_Incentive_IN</f>
        <v>#N/A</v>
      </c>
      <c r="BA124" s="1099" t="e">
        <f>[1]!IN_FRM30_P12+Input_PL_Incentive_IN</f>
        <v>#N/A</v>
      </c>
      <c r="BB124" s="1097" t="e">
        <f t="shared" si="28"/>
        <v>#N/A</v>
      </c>
      <c r="BC124" s="1097" t="e">
        <f t="shared" si="29"/>
        <v>#N/A</v>
      </c>
      <c r="BD124" s="1097"/>
      <c r="BE124" s="1106" t="s">
        <v>1676</v>
      </c>
    </row>
    <row r="125" spans="13:57" ht="9.6" customHeight="1" x14ac:dyDescent="0.2">
      <c r="P125" s="461"/>
      <c r="Q125" s="461"/>
      <c r="R125" s="461"/>
      <c r="S125" s="461"/>
      <c r="T125" s="461"/>
      <c r="U125" s="461"/>
      <c r="V125" s="461"/>
      <c r="AC125" s="812" t="s">
        <v>1715</v>
      </c>
      <c r="AD125" s="812" t="s">
        <v>1996</v>
      </c>
      <c r="AE125" s="812" t="s">
        <v>246</v>
      </c>
      <c r="AF125" s="813" t="s">
        <v>1749</v>
      </c>
      <c r="AG125" s="1088" t="str">
        <f>IF(Input_DocType=AE125,Structure!AF125,"")</f>
        <v/>
      </c>
      <c r="AH125" s="1067" t="str">
        <f>IF(AG125="","",IF(AC125="Disclosure",MAX(AH$104:AH124)+1,""))</f>
        <v/>
      </c>
      <c r="AI125" s="1068" t="str">
        <f t="shared" si="23"/>
        <v/>
      </c>
      <c r="AJ125" s="1069" t="str">
        <f>IF(AG125="","",IF(AC125="SubmissionRequired",MAX(AJ$104:AJ124)+1,""))</f>
        <v/>
      </c>
      <c r="AK125" s="1071" t="str">
        <f t="shared" si="24"/>
        <v/>
      </c>
      <c r="AL125" s="1072" t="str">
        <f>IF(AG125="","",IF(AC125="SubmissionRecommended",MAX(AL$104:AL124)+1,""))</f>
        <v/>
      </c>
      <c r="AM125" s="1074" t="str">
        <f t="shared" si="25"/>
        <v>Fidelity Bond (Projects &gt; 20 units)</v>
      </c>
      <c r="AN125" s="1130" t="str">
        <f>IF(AG125="","",IF(AC125="DocType",MAX(AN$104:AN124)+1,""))</f>
        <v/>
      </c>
      <c r="AO125" s="1132" t="str">
        <f t="shared" si="26"/>
        <v/>
      </c>
      <c r="AP125" s="460" t="s">
        <v>76</v>
      </c>
      <c r="AV125" s="1105" t="s">
        <v>377</v>
      </c>
      <c r="AW125" s="1101" t="s">
        <v>478</v>
      </c>
      <c r="AX125" s="1097" t="str">
        <f t="shared" si="27"/>
        <v>IN_008.2500000000</v>
      </c>
      <c r="AY125" s="1098">
        <f>[1]!IN_R13</f>
        <v>8.25</v>
      </c>
      <c r="AZ125" s="1099" t="e">
        <f>[1]!IN_ARM05_P13+Input_PL_Incentive_IN</f>
        <v>#N/A</v>
      </c>
      <c r="BA125" s="1099" t="e">
        <f>[1]!IN_FRM30_P13+Input_PL_Incentive_IN</f>
        <v>#N/A</v>
      </c>
      <c r="BB125" s="1097" t="e">
        <f t="shared" si="28"/>
        <v>#N/A</v>
      </c>
      <c r="BC125" s="1097" t="e">
        <f t="shared" si="29"/>
        <v>#N/A</v>
      </c>
      <c r="BD125" s="1097"/>
      <c r="BE125" s="1106" t="s">
        <v>1677</v>
      </c>
    </row>
    <row r="126" spans="13:57" ht="9.6" customHeight="1" x14ac:dyDescent="0.2">
      <c r="M126" s="461"/>
      <c r="N126" s="461"/>
      <c r="P126" s="461"/>
      <c r="Q126" s="461"/>
      <c r="R126" s="461"/>
      <c r="S126" s="461"/>
      <c r="T126" s="461"/>
      <c r="U126" s="461"/>
      <c r="V126" s="461"/>
      <c r="AC126" s="812" t="s">
        <v>1715</v>
      </c>
      <c r="AD126" s="812" t="s">
        <v>1996</v>
      </c>
      <c r="AE126" s="812" t="s">
        <v>463</v>
      </c>
      <c r="AF126" s="813" t="s">
        <v>1750</v>
      </c>
      <c r="AG126" s="1088" t="str">
        <f>IF(Input_DocType=AE126,Structure!AF126,"")</f>
        <v/>
      </c>
      <c r="AH126" s="1067" t="str">
        <f>IF(AG126="","",IF(AC126="Disclosure",MAX(AH$104:AH125)+1,""))</f>
        <v/>
      </c>
      <c r="AI126" s="1068" t="str">
        <f t="shared" si="23"/>
        <v/>
      </c>
      <c r="AJ126" s="1069" t="str">
        <f>IF(AG126="","",IF(AC126="SubmissionRequired",MAX(AJ$104:AJ125)+1,""))</f>
        <v/>
      </c>
      <c r="AK126" s="1071" t="str">
        <f t="shared" si="24"/>
        <v/>
      </c>
      <c r="AL126" s="1072" t="str">
        <f>IF(AG126="","",IF(AC126="SubmissionRecommended",MAX(AL$104:AL125)+1,""))</f>
        <v/>
      </c>
      <c r="AM126" s="1074" t="str">
        <f t="shared" si="25"/>
        <v>HO-6 (if Master Ins Does Not Have Walls-In (Bare Walls Not Acceptable))</v>
      </c>
      <c r="AN126" s="1130" t="str">
        <f>IF(AG126="","",IF(AC126="DocType",MAX(AN$104:AN125)+1,""))</f>
        <v/>
      </c>
      <c r="AO126" s="1132" t="str">
        <f t="shared" si="26"/>
        <v/>
      </c>
      <c r="AP126" s="460" t="s">
        <v>76</v>
      </c>
      <c r="AV126" s="1105" t="s">
        <v>377</v>
      </c>
      <c r="AW126" s="1101" t="s">
        <v>478</v>
      </c>
      <c r="AX126" s="1097" t="str">
        <f t="shared" si="27"/>
        <v>IN_008.1250000000</v>
      </c>
      <c r="AY126" s="1098">
        <f>[1]!IN_R14</f>
        <v>8.125</v>
      </c>
      <c r="AZ126" s="1099" t="e">
        <f>[1]!IN_ARM05_P14+Input_PL_Incentive_IN</f>
        <v>#N/A</v>
      </c>
      <c r="BA126" s="1099" t="e">
        <f>[1]!IN_FRM30_P14+Input_PL_Incentive_IN</f>
        <v>#N/A</v>
      </c>
      <c r="BB126" s="1097" t="e">
        <f t="shared" si="28"/>
        <v>#N/A</v>
      </c>
      <c r="BC126" s="1097" t="e">
        <f t="shared" si="29"/>
        <v>#N/A</v>
      </c>
      <c r="BD126" s="1097"/>
      <c r="BE126" s="1106" t="s">
        <v>1678</v>
      </c>
    </row>
    <row r="127" spans="13:57" ht="9.6" customHeight="1" x14ac:dyDescent="0.2">
      <c r="M127" s="461"/>
      <c r="N127" s="461"/>
      <c r="P127" s="461"/>
      <c r="Q127" s="461"/>
      <c r="R127" s="461"/>
      <c r="S127" s="461"/>
      <c r="T127" s="461"/>
      <c r="U127" s="461"/>
      <c r="V127" s="461"/>
      <c r="AC127" s="812" t="s">
        <v>1715</v>
      </c>
      <c r="AD127" s="812" t="s">
        <v>1996</v>
      </c>
      <c r="AE127" s="812" t="s">
        <v>463</v>
      </c>
      <c r="AF127" s="813" t="s">
        <v>1771</v>
      </c>
      <c r="AG127" s="1088" t="str">
        <f>IF(Input_DocType=AE127,Structure!AF127,"")</f>
        <v/>
      </c>
      <c r="AH127" s="1067" t="str">
        <f>IF(AG127="","",IF(AC127="Disclosure",MAX(AH$104:AH126)+1,""))</f>
        <v/>
      </c>
      <c r="AI127" s="1068" t="str">
        <f t="shared" si="23"/>
        <v/>
      </c>
      <c r="AJ127" s="1069" t="str">
        <f>IF(AG127="","",IF(AC127="SubmissionRequired",MAX(AJ$104:AJ126)+1,""))</f>
        <v/>
      </c>
      <c r="AK127" s="1071" t="str">
        <f t="shared" si="24"/>
        <v/>
      </c>
      <c r="AL127" s="1072" t="str">
        <f>IF(AG127="","",IF(AC127="SubmissionRecommended",MAX(AL$104:AL126)+1,""))</f>
        <v/>
      </c>
      <c r="AM127" s="1074" t="str">
        <f t="shared" si="25"/>
        <v>1031 Exchange Documentation [if applicable] (Executed Agreement and Settlement Stmt from Accommodator)</v>
      </c>
      <c r="AN127" s="1130" t="str">
        <f>IF(AG127="","",IF(AC127="DocType",MAX(AN$104:AN126)+1,""))</f>
        <v/>
      </c>
      <c r="AO127" s="1132" t="str">
        <f t="shared" si="26"/>
        <v/>
      </c>
      <c r="AP127" s="460" t="s">
        <v>76</v>
      </c>
      <c r="AV127" s="1105" t="s">
        <v>377</v>
      </c>
      <c r="AW127" s="1101" t="s">
        <v>478</v>
      </c>
      <c r="AX127" s="1097" t="str">
        <f t="shared" si="27"/>
        <v>IN_008.0000000000</v>
      </c>
      <c r="AY127" s="1098">
        <f>[1]!IN_R15</f>
        <v>8</v>
      </c>
      <c r="AZ127" s="1099" t="e">
        <f>[1]!IN_ARM05_P15+Input_PL_Incentive_IN</f>
        <v>#N/A</v>
      </c>
      <c r="BA127" s="1099" t="e">
        <f>[1]!IN_FRM30_P15+Input_PL_Incentive_IN</f>
        <v>#N/A</v>
      </c>
      <c r="BB127" s="1097" t="e">
        <f t="shared" si="28"/>
        <v>#N/A</v>
      </c>
      <c r="BC127" s="1097" t="e">
        <f t="shared" si="29"/>
        <v>#N/A</v>
      </c>
      <c r="BD127" s="1097"/>
      <c r="BE127" s="1106" t="s">
        <v>1679</v>
      </c>
    </row>
    <row r="128" spans="13:57" ht="9.6" customHeight="1" x14ac:dyDescent="0.2">
      <c r="M128" s="461"/>
      <c r="N128" s="461"/>
      <c r="P128" s="461"/>
      <c r="Q128" s="461"/>
      <c r="R128" s="461"/>
      <c r="S128" s="461"/>
      <c r="T128" s="461"/>
      <c r="U128" s="461"/>
      <c r="V128" s="461"/>
      <c r="AC128" s="812" t="s">
        <v>1715</v>
      </c>
      <c r="AD128" s="812" t="s">
        <v>1996</v>
      </c>
      <c r="AE128" s="812" t="s">
        <v>466</v>
      </c>
      <c r="AF128" s="813" t="s">
        <v>1770</v>
      </c>
      <c r="AG128" s="1088" t="str">
        <f>IF(Input_DocType=AE128,Structure!AF128,"")</f>
        <v/>
      </c>
      <c r="AH128" s="1067" t="str">
        <f>IF(AG128="","",IF(AC128="Disclosure",MAX(AH$104:AH127)+1,""))</f>
        <v/>
      </c>
      <c r="AI128" s="1068" t="str">
        <f t="shared" si="23"/>
        <v/>
      </c>
      <c r="AJ128" s="1069" t="str">
        <f>IF(AG128="","",IF(AC128="SubmissionRequired",MAX(AJ$104:AJ127)+1,""))</f>
        <v/>
      </c>
      <c r="AK128" s="1071" t="str">
        <f t="shared" si="24"/>
        <v/>
      </c>
      <c r="AL128" s="1072" t="str">
        <f>IF(AG128="","",IF(AC128="SubmissionRecommended",MAX(AL$104:AL127)+1,""))</f>
        <v/>
      </c>
      <c r="AM128" s="1074" t="str">
        <f t="shared" si="25"/>
        <v>Solar Agreement and Endorsement [if applicable]</v>
      </c>
      <c r="AN128" s="1130" t="str">
        <f>IF(AG128="","",IF(AC128="DocType",MAX(AN$104:AN127)+1,""))</f>
        <v/>
      </c>
      <c r="AO128" s="1132" t="str">
        <f t="shared" si="26"/>
        <v/>
      </c>
      <c r="AP128" s="460" t="s">
        <v>76</v>
      </c>
      <c r="AV128" s="1105" t="s">
        <v>377</v>
      </c>
      <c r="AW128" s="1101" t="s">
        <v>478</v>
      </c>
      <c r="AX128" s="1097" t="str">
        <f t="shared" si="27"/>
        <v>IN_007.8750000000</v>
      </c>
      <c r="AY128" s="1098">
        <f>[1]!IN_R16</f>
        <v>7.875</v>
      </c>
      <c r="AZ128" s="1099" t="e">
        <f>[1]!IN_ARM05_P16+Input_PL_Incentive_IN</f>
        <v>#N/A</v>
      </c>
      <c r="BA128" s="1099" t="e">
        <f>[1]!IN_FRM30_P16+Input_PL_Incentive_IN</f>
        <v>#N/A</v>
      </c>
      <c r="BB128" s="1097" t="e">
        <f t="shared" si="28"/>
        <v>#N/A</v>
      </c>
      <c r="BC128" s="1097" t="e">
        <f t="shared" si="29"/>
        <v>#N/A</v>
      </c>
      <c r="BD128" s="1097"/>
      <c r="BE128" s="1106" t="s">
        <v>1680</v>
      </c>
    </row>
    <row r="129" spans="13:57" ht="9.6" customHeight="1" x14ac:dyDescent="0.2">
      <c r="M129" s="461"/>
      <c r="N129" s="461"/>
      <c r="P129" s="461"/>
      <c r="Q129" s="461"/>
      <c r="R129" s="461"/>
      <c r="S129" s="461"/>
      <c r="T129" s="461"/>
      <c r="U129" s="461"/>
      <c r="V129" s="461"/>
      <c r="AC129" s="812" t="s">
        <v>1715</v>
      </c>
      <c r="AD129" s="812" t="s">
        <v>1996</v>
      </c>
      <c r="AE129" s="812" t="s">
        <v>1710</v>
      </c>
      <c r="AF129" s="813" t="s">
        <v>1711</v>
      </c>
      <c r="AG129" s="1085" t="str">
        <f>AF129</f>
        <v>Mortgage Statement Coupon</v>
      </c>
      <c r="AH129" s="1067" t="str">
        <f>IF(AG129="","",IF(AC129="Disclosure",MAX(AH$104:AH128)+1,""))</f>
        <v/>
      </c>
      <c r="AI129" s="1068" t="str">
        <f t="shared" si="23"/>
        <v/>
      </c>
      <c r="AJ129" s="1069">
        <f>IF(AG129="","",IF(AC129="SubmissionRequired",MAX(AJ$104:AJ128)+1,""))</f>
        <v>6</v>
      </c>
      <c r="AK129" s="1071" t="str">
        <f t="shared" si="24"/>
        <v/>
      </c>
      <c r="AL129" s="1072" t="str">
        <f>IF(AG129="","",IF(AC129="SubmissionRecommended",MAX(AL$104:AL128)+1,""))</f>
        <v/>
      </c>
      <c r="AM129" s="1074" t="str">
        <f t="shared" si="25"/>
        <v/>
      </c>
      <c r="AN129" s="1130" t="str">
        <f>IF(AG129="","",IF(AC129="DocType",MAX(AN$104:AN128)+1,""))</f>
        <v/>
      </c>
      <c r="AO129" s="1132" t="str">
        <f t="shared" si="26"/>
        <v/>
      </c>
      <c r="AP129" s="460" t="s">
        <v>76</v>
      </c>
      <c r="AV129" s="1105" t="s">
        <v>377</v>
      </c>
      <c r="AW129" s="1101" t="s">
        <v>478</v>
      </c>
      <c r="AX129" s="1097" t="str">
        <f t="shared" si="27"/>
        <v>IN_007.7500000000</v>
      </c>
      <c r="AY129" s="1098">
        <f>[1]!IN_R17</f>
        <v>7.75</v>
      </c>
      <c r="AZ129" s="1099" t="e">
        <f>[1]!IN_ARM05_P17+Input_PL_Incentive_IN</f>
        <v>#N/A</v>
      </c>
      <c r="BA129" s="1099" t="e">
        <f>[1]!IN_FRM30_P17+Input_PL_Incentive_IN</f>
        <v>#N/A</v>
      </c>
      <c r="BB129" s="1097" t="e">
        <f t="shared" si="28"/>
        <v>#N/A</v>
      </c>
      <c r="BC129" s="1097" t="e">
        <f t="shared" si="29"/>
        <v>#N/A</v>
      </c>
      <c r="BD129" s="1097"/>
      <c r="BE129" s="1106" t="s">
        <v>1681</v>
      </c>
    </row>
    <row r="130" spans="13:57" ht="9.6" customHeight="1" x14ac:dyDescent="0.2">
      <c r="P130" s="461"/>
      <c r="Q130" s="461"/>
      <c r="R130" s="461"/>
      <c r="S130" s="461"/>
      <c r="T130" s="461"/>
      <c r="U130" s="461"/>
      <c r="V130" s="461"/>
      <c r="AC130" s="1077" t="s">
        <v>1716</v>
      </c>
      <c r="AD130" s="1077" t="s">
        <v>1996</v>
      </c>
      <c r="AE130" s="1077" t="s">
        <v>1407</v>
      </c>
      <c r="AF130" s="1080" t="s">
        <v>1723</v>
      </c>
      <c r="AG130" s="1088" t="str">
        <f>IF(Input_DocType="01-Full Doc 2yr",Structure!AF130,"")</f>
        <v/>
      </c>
      <c r="AH130" s="1067" t="str">
        <f>IF(AG130="","",IF(AC130="Disclosure",MAX(AH$104:AH129)+1,""))</f>
        <v/>
      </c>
      <c r="AI130" s="1068" t="str">
        <f t="shared" si="23"/>
        <v/>
      </c>
      <c r="AJ130" s="1069" t="str">
        <f>IF(AG130="","",IF(AC130="SubmissionRequired",MAX(AJ$104:AJ129)+1,""))</f>
        <v/>
      </c>
      <c r="AK130" s="1071" t="str">
        <f t="shared" si="24"/>
        <v/>
      </c>
      <c r="AL130" s="1072" t="str">
        <f>IF(AG130="","",IF(AC130="SubmissionRecommended",MAX(AL$104:AL129)+1,""))</f>
        <v/>
      </c>
      <c r="AM130" s="1074" t="str">
        <f t="shared" si="25"/>
        <v/>
      </c>
      <c r="AN130" s="1130" t="str">
        <f>IF(AG130="","",IF(AC130="DocType",MAX(AN$104:AN129)+1,""))</f>
        <v/>
      </c>
      <c r="AO130" s="1132" t="str">
        <f t="shared" si="26"/>
        <v/>
      </c>
      <c r="AP130" s="460" t="s">
        <v>76</v>
      </c>
      <c r="AV130" s="1105" t="s">
        <v>377</v>
      </c>
      <c r="AW130" s="1101" t="s">
        <v>478</v>
      </c>
      <c r="AX130" s="1097" t="str">
        <f t="shared" si="27"/>
        <v>IN_007.6250000000</v>
      </c>
      <c r="AY130" s="1098">
        <f>[1]!IN_R18</f>
        <v>7.625</v>
      </c>
      <c r="AZ130" s="1099" t="e">
        <f>[1]!IN_ARM05_P18+Input_PL_Incentive_IN</f>
        <v>#N/A</v>
      </c>
      <c r="BA130" s="1099" t="e">
        <f>[1]!IN_FRM30_P18+Input_PL_Incentive_IN</f>
        <v>#N/A</v>
      </c>
      <c r="BB130" s="1097" t="e">
        <f t="shared" si="28"/>
        <v>#N/A</v>
      </c>
      <c r="BC130" s="1097" t="e">
        <f t="shared" si="29"/>
        <v>#N/A</v>
      </c>
      <c r="BD130" s="1097"/>
      <c r="BE130" s="1106" t="s">
        <v>1682</v>
      </c>
    </row>
    <row r="131" spans="13:57" ht="9.6" customHeight="1" x14ac:dyDescent="0.2">
      <c r="P131" s="461"/>
      <c r="Q131" s="461"/>
      <c r="R131" s="461"/>
      <c r="S131" s="461"/>
      <c r="T131" s="461"/>
      <c r="U131" s="461"/>
      <c r="V131" s="461"/>
      <c r="AC131" s="1077" t="s">
        <v>1716</v>
      </c>
      <c r="AD131" s="1077" t="s">
        <v>1996</v>
      </c>
      <c r="AE131" s="1077" t="s">
        <v>1407</v>
      </c>
      <c r="AF131" s="1080" t="s">
        <v>1768</v>
      </c>
      <c r="AG131" s="1088" t="str">
        <f>IF(Input_DocType="01-Full Doc 2yr",Structure!AF131,"")</f>
        <v/>
      </c>
      <c r="AH131" s="1067" t="str">
        <f>IF(AG131="","",IF(AC131="Disclosure",MAX(AH$104:AH130)+1,""))</f>
        <v/>
      </c>
      <c r="AI131" s="1068" t="str">
        <f t="shared" si="23"/>
        <v/>
      </c>
      <c r="AJ131" s="1069" t="str">
        <f>IF(AG131="","",IF(AC131="SubmissionRequired",MAX(AJ$104:AJ130)+1,""))</f>
        <v/>
      </c>
      <c r="AK131" s="1071" t="str">
        <f t="shared" si="24"/>
        <v/>
      </c>
      <c r="AL131" s="1072" t="str">
        <f>IF(AG131="","",IF(AC131="SubmissionRecommended",MAX(AL$104:AL130)+1,""))</f>
        <v/>
      </c>
      <c r="AM131" s="1074" t="str">
        <f t="shared" si="25"/>
        <v/>
      </c>
      <c r="AN131" s="1130" t="str">
        <f>IF(AG131="","",IF(AC131="DocType",MAX(AN$104:AN130)+1,""))</f>
        <v/>
      </c>
      <c r="AO131" s="1132" t="str">
        <f t="shared" si="26"/>
        <v/>
      </c>
      <c r="AP131" s="460" t="s">
        <v>76</v>
      </c>
      <c r="AV131" s="1105" t="s">
        <v>377</v>
      </c>
      <c r="AW131" s="1101" t="s">
        <v>478</v>
      </c>
      <c r="AX131" s="1097" t="str">
        <f t="shared" si="27"/>
        <v>IN_007.5000000000</v>
      </c>
      <c r="AY131" s="1098">
        <f>[1]!IN_R19</f>
        <v>7.5</v>
      </c>
      <c r="AZ131" s="1099" t="e">
        <f>[1]!IN_ARM05_P19+Input_PL_Incentive_IN</f>
        <v>#N/A</v>
      </c>
      <c r="BA131" s="1099" t="e">
        <f>[1]!IN_FRM30_P19+Input_PL_Incentive_IN</f>
        <v>#N/A</v>
      </c>
      <c r="BB131" s="1097" t="e">
        <f t="shared" si="28"/>
        <v>#N/A</v>
      </c>
      <c r="BC131" s="1097" t="e">
        <f t="shared" si="29"/>
        <v>#N/A</v>
      </c>
      <c r="BD131" s="1097"/>
      <c r="BE131" s="1106" t="s">
        <v>1683</v>
      </c>
    </row>
    <row r="132" spans="13:57" ht="9.6" customHeight="1" x14ac:dyDescent="0.2">
      <c r="P132" s="461"/>
      <c r="Q132" s="461"/>
      <c r="R132" s="461"/>
      <c r="S132" s="461"/>
      <c r="T132" s="461"/>
      <c r="U132" s="461"/>
      <c r="V132" s="461"/>
      <c r="AC132" s="1077" t="s">
        <v>1716</v>
      </c>
      <c r="AD132" s="1077" t="s">
        <v>1996</v>
      </c>
      <c r="AE132" s="1077" t="s">
        <v>1408</v>
      </c>
      <c r="AF132" s="1080" t="s">
        <v>1768</v>
      </c>
      <c r="AG132" s="1088" t="str">
        <f>IF(Input_DocType="02-Full Doc 1yr",Structure!AF132,"")</f>
        <v/>
      </c>
      <c r="AH132" s="1067" t="str">
        <f>IF(AG132="","",IF(AC132="Disclosure",MAX(AH$104:AH131)+1,""))</f>
        <v/>
      </c>
      <c r="AI132" s="1068" t="str">
        <f t="shared" si="23"/>
        <v/>
      </c>
      <c r="AJ132" s="1069" t="str">
        <f>IF(AG132="","",IF(AC132="SubmissionRequired",MAX(AJ$104:AJ131)+1,""))</f>
        <v/>
      </c>
      <c r="AK132" s="1071" t="str">
        <f t="shared" si="24"/>
        <v/>
      </c>
      <c r="AL132" s="1072" t="str">
        <f>IF(AG132="","",IF(AC132="SubmissionRecommended",MAX(AL$104:AL131)+1,""))</f>
        <v/>
      </c>
      <c r="AM132" s="1074" t="str">
        <f t="shared" si="25"/>
        <v/>
      </c>
      <c r="AN132" s="1130" t="str">
        <f>IF(AG132="","",IF(AC132="DocType",MAX(AN$104:AN131)+1,""))</f>
        <v/>
      </c>
      <c r="AO132" s="1132" t="str">
        <f t="shared" si="26"/>
        <v/>
      </c>
      <c r="AP132" s="460" t="s">
        <v>76</v>
      </c>
      <c r="AV132" s="1105" t="s">
        <v>377</v>
      </c>
      <c r="AW132" s="1101" t="s">
        <v>478</v>
      </c>
      <c r="AX132" s="1097" t="str">
        <f t="shared" si="27"/>
        <v>IN_007.3750000000</v>
      </c>
      <c r="AY132" s="1098">
        <f>[1]!IN_R20</f>
        <v>7.375</v>
      </c>
      <c r="AZ132" s="1099" t="e">
        <f>[1]!IN_ARM05_P20+Input_PL_Incentive_IN</f>
        <v>#N/A</v>
      </c>
      <c r="BA132" s="1099" t="e">
        <f>[1]!IN_FRM30_P20+Input_PL_Incentive_IN</f>
        <v>#N/A</v>
      </c>
      <c r="BB132" s="1097" t="e">
        <f t="shared" si="28"/>
        <v>#N/A</v>
      </c>
      <c r="BC132" s="1097" t="e">
        <f t="shared" si="29"/>
        <v>#N/A</v>
      </c>
      <c r="BD132" s="1097"/>
      <c r="BE132" s="1106" t="s">
        <v>1684</v>
      </c>
    </row>
    <row r="133" spans="13:57" ht="9.6" customHeight="1" x14ac:dyDescent="0.2">
      <c r="P133" s="461"/>
      <c r="Q133" s="461"/>
      <c r="R133" s="461"/>
      <c r="S133" s="461"/>
      <c r="T133" s="461"/>
      <c r="U133" s="461"/>
      <c r="V133" s="461"/>
      <c r="AC133" s="1077" t="s">
        <v>1716</v>
      </c>
      <c r="AD133" s="1077" t="s">
        <v>1996</v>
      </c>
      <c r="AE133" s="1077" t="s">
        <v>187</v>
      </c>
      <c r="AF133" s="1080" t="s">
        <v>1751</v>
      </c>
      <c r="AG133" s="1088" t="str">
        <f>IF(Input_DocType="07-P&amp;L Only",Structure!AF133,"")</f>
        <v/>
      </c>
      <c r="AH133" s="1067" t="str">
        <f>IF(AG133="","",IF(AC133="Disclosure",MAX(AH$104:AH132)+1,""))</f>
        <v/>
      </c>
      <c r="AI133" s="1068" t="str">
        <f t="shared" si="23"/>
        <v/>
      </c>
      <c r="AJ133" s="1069" t="str">
        <f>IF(AG133="","",IF(AC133="SubmissionRequired",MAX(AJ$104:AJ132)+1,""))</f>
        <v/>
      </c>
      <c r="AK133" s="1071" t="str">
        <f t="shared" si="24"/>
        <v/>
      </c>
      <c r="AL133" s="1072" t="str">
        <f>IF(AG133="","",IF(AC133="SubmissionRecommended",MAX(AL$104:AL132)+1,""))</f>
        <v/>
      </c>
      <c r="AM133" s="1074" t="str">
        <f t="shared" si="25"/>
        <v/>
      </c>
      <c r="AN133" s="1130" t="str">
        <f>IF(AG133="","",IF(AC133="DocType",MAX(AN$104:AN132)+1,""))</f>
        <v/>
      </c>
      <c r="AO133" s="1132" t="str">
        <f t="shared" si="26"/>
        <v/>
      </c>
      <c r="AP133" s="460" t="s">
        <v>76</v>
      </c>
      <c r="AV133" s="1105" t="s">
        <v>377</v>
      </c>
      <c r="AW133" s="1101" t="s">
        <v>478</v>
      </c>
      <c r="AX133" s="1097" t="str">
        <f t="shared" si="27"/>
        <v>IN_007.2500000000</v>
      </c>
      <c r="AY133" s="1098">
        <f>[1]!IN_R21</f>
        <v>7.25</v>
      </c>
      <c r="AZ133" s="1099" t="e">
        <f>[1]!IN_ARM05_P21+Input_PL_Incentive_IN</f>
        <v>#N/A</v>
      </c>
      <c r="BA133" s="1099" t="e">
        <f>[1]!IN_FRM30_P21+Input_PL_Incentive_IN</f>
        <v>#N/A</v>
      </c>
      <c r="BB133" s="1097" t="e">
        <f t="shared" si="28"/>
        <v>#N/A</v>
      </c>
      <c r="BC133" s="1097" t="e">
        <f t="shared" si="29"/>
        <v>#N/A</v>
      </c>
      <c r="BD133" s="1097"/>
      <c r="BE133" s="1106" t="s">
        <v>1685</v>
      </c>
    </row>
    <row r="134" spans="13:57" ht="9.6" customHeight="1" x14ac:dyDescent="0.2">
      <c r="P134" s="461"/>
      <c r="Q134" s="461"/>
      <c r="R134" s="461"/>
      <c r="S134" s="461"/>
      <c r="T134" s="461"/>
      <c r="U134" s="461"/>
      <c r="V134" s="461"/>
      <c r="AC134" s="812" t="s">
        <v>1716</v>
      </c>
      <c r="AD134" s="812" t="s">
        <v>1996</v>
      </c>
      <c r="AE134" s="812" t="s">
        <v>187</v>
      </c>
      <c r="AF134" s="813" t="s">
        <v>1731</v>
      </c>
      <c r="AG134" s="1088" t="str">
        <f>IF(Input_DocType="07-P&amp;L Only",Structure!AF134,"")</f>
        <v/>
      </c>
      <c r="AH134" s="1067" t="str">
        <f>IF(AG134="","",IF(AC134="Disclosure",MAX(AH$104:AH133)+1,""))</f>
        <v/>
      </c>
      <c r="AI134" s="1068" t="str">
        <f t="shared" si="23"/>
        <v/>
      </c>
      <c r="AJ134" s="1069" t="str">
        <f>IF(AG134="","",IF(AC134="SubmissionRequired",MAX(AJ$104:AJ133)+1,""))</f>
        <v/>
      </c>
      <c r="AK134" s="1071" t="str">
        <f t="shared" si="24"/>
        <v/>
      </c>
      <c r="AL134" s="1072" t="str">
        <f>IF(AG134="","",IF(AC134="SubmissionRecommended",MAX(AL$104:AL133)+1,""))</f>
        <v/>
      </c>
      <c r="AM134" s="1074" t="str">
        <f t="shared" si="25"/>
        <v/>
      </c>
      <c r="AN134" s="1130" t="str">
        <f>IF(AG134="","",IF(AC134="DocType",MAX(AN$104:AN133)+1,""))</f>
        <v/>
      </c>
      <c r="AO134" s="1132" t="str">
        <f t="shared" si="26"/>
        <v/>
      </c>
      <c r="AP134" s="460" t="s">
        <v>76</v>
      </c>
      <c r="AV134" s="1105" t="s">
        <v>377</v>
      </c>
      <c r="AW134" s="1101" t="s">
        <v>478</v>
      </c>
      <c r="AX134" s="1097" t="str">
        <f t="shared" si="27"/>
        <v>IN_007.1250000000</v>
      </c>
      <c r="AY134" s="1098">
        <f>[1]!IN_R22</f>
        <v>7.125</v>
      </c>
      <c r="AZ134" s="1099" t="e">
        <f>[1]!IN_ARM05_P22+Input_PL_Incentive_IN</f>
        <v>#N/A</v>
      </c>
      <c r="BA134" s="1099" t="e">
        <f>[1]!IN_FRM30_P22+Input_PL_Incentive_IN</f>
        <v>#N/A</v>
      </c>
      <c r="BB134" s="1097" t="e">
        <f t="shared" si="28"/>
        <v>#N/A</v>
      </c>
      <c r="BC134" s="1097" t="e">
        <f t="shared" si="29"/>
        <v>#N/A</v>
      </c>
      <c r="BD134" s="1097"/>
      <c r="BE134" s="1106" t="s">
        <v>1686</v>
      </c>
    </row>
    <row r="135" spans="13:57" ht="9.6" customHeight="1" x14ac:dyDescent="0.2">
      <c r="P135" s="461"/>
      <c r="Q135" s="461"/>
      <c r="R135" s="461"/>
      <c r="S135" s="461"/>
      <c r="T135" s="461"/>
      <c r="U135" s="461"/>
      <c r="V135" s="461"/>
      <c r="AC135" s="812" t="s">
        <v>1716</v>
      </c>
      <c r="AD135" s="812" t="s">
        <v>1996</v>
      </c>
      <c r="AE135" s="812" t="s">
        <v>463</v>
      </c>
      <c r="AF135" s="1080" t="s">
        <v>1768</v>
      </c>
      <c r="AG135" s="1088" t="str">
        <f>IF(Input_DocType="14-1099",Structure!AF135,"")</f>
        <v/>
      </c>
      <c r="AH135" s="1067" t="str">
        <f>IF(AG135="","",IF(AC135="Disclosure",MAX(AH$104:AH134)+1,""))</f>
        <v/>
      </c>
      <c r="AI135" s="1068" t="str">
        <f t="shared" si="23"/>
        <v/>
      </c>
      <c r="AJ135" s="1069" t="str">
        <f>IF(AG135="","",IF(AC135="SubmissionRequired",MAX(AJ$104:AJ134)+1,""))</f>
        <v/>
      </c>
      <c r="AK135" s="1071" t="str">
        <f t="shared" si="24"/>
        <v/>
      </c>
      <c r="AL135" s="1072" t="str">
        <f>IF(AG135="","",IF(AC135="SubmissionRecommended",MAX(AL$104:AL134)+1,""))</f>
        <v/>
      </c>
      <c r="AM135" s="1074" t="str">
        <f t="shared" si="25"/>
        <v/>
      </c>
      <c r="AN135" s="1130" t="str">
        <f>IF(AG135="","",IF(AC135="DocType",MAX(AN$104:AN134)+1,""))</f>
        <v/>
      </c>
      <c r="AO135" s="1132" t="str">
        <f t="shared" si="26"/>
        <v/>
      </c>
      <c r="AP135" s="460" t="s">
        <v>76</v>
      </c>
      <c r="AV135" s="1105" t="s">
        <v>377</v>
      </c>
      <c r="AW135" s="1101" t="s">
        <v>478</v>
      </c>
      <c r="AX135" s="1097" t="str">
        <f t="shared" si="27"/>
        <v>IN_007.0000000000</v>
      </c>
      <c r="AY135" s="1098">
        <f>[1]!IN_R23</f>
        <v>7</v>
      </c>
      <c r="AZ135" s="1099" t="e">
        <f>[1]!IN_ARM05_P23+Input_PL_Incentive_IN</f>
        <v>#N/A</v>
      </c>
      <c r="BA135" s="1099" t="e">
        <f>[1]!IN_FRM30_P23+Input_PL_Incentive_IN</f>
        <v>#N/A</v>
      </c>
      <c r="BB135" s="1097" t="e">
        <f t="shared" si="28"/>
        <v>#N/A</v>
      </c>
      <c r="BC135" s="1097" t="e">
        <f t="shared" si="29"/>
        <v>#N/A</v>
      </c>
      <c r="BD135" s="1097"/>
      <c r="BE135" s="1106" t="s">
        <v>1687</v>
      </c>
    </row>
    <row r="136" spans="13:57" ht="9.6" customHeight="1" x14ac:dyDescent="0.2">
      <c r="P136" s="461"/>
      <c r="Q136" s="461"/>
      <c r="R136" s="461"/>
      <c r="S136" s="461"/>
      <c r="T136" s="461"/>
      <c r="AC136" s="812" t="s">
        <v>1716</v>
      </c>
      <c r="AD136" s="812" t="s">
        <v>1996</v>
      </c>
      <c r="AE136" s="812" t="s">
        <v>1390</v>
      </c>
      <c r="AF136" s="813" t="s">
        <v>1766</v>
      </c>
      <c r="AG136" s="1082" t="str">
        <f>IF(Input_Purpose&lt;&gt;"Purchase",Structure!AF169,"")</f>
        <v/>
      </c>
      <c r="AH136" s="1067" t="str">
        <f>IF(AG136="","",IF(AC136="Disclosure",MAX(AH$104:AH135)+1,""))</f>
        <v/>
      </c>
      <c r="AI136" s="1068" t="str">
        <f t="shared" si="23"/>
        <v/>
      </c>
      <c r="AJ136" s="1069" t="str">
        <f>IF(AG136="","",IF(AC136="SubmissionRequired",MAX(AJ$104:AJ135)+1,""))</f>
        <v/>
      </c>
      <c r="AK136" s="1071" t="str">
        <f t="shared" si="24"/>
        <v/>
      </c>
      <c r="AL136" s="1072" t="str">
        <f>IF(AG136="","",IF(AC136="SubmissionRecommended",MAX(AL$104:AL135)+1,""))</f>
        <v/>
      </c>
      <c r="AM136" s="1074" t="str">
        <f t="shared" si="25"/>
        <v/>
      </c>
      <c r="AN136" s="1130" t="str">
        <f>IF(AG136="","",IF(AC136="DocType",MAX(AN$104:AN135)+1,""))</f>
        <v/>
      </c>
      <c r="AO136" s="1132" t="str">
        <f t="shared" si="26"/>
        <v/>
      </c>
      <c r="AP136" s="460" t="s">
        <v>76</v>
      </c>
      <c r="AV136" s="1105" t="s">
        <v>377</v>
      </c>
      <c r="AW136" s="1101" t="s">
        <v>478</v>
      </c>
      <c r="AX136" s="1097" t="str">
        <f t="shared" si="27"/>
        <v>IN_006.8750000000</v>
      </c>
      <c r="AY136" s="1098">
        <f>[1]!IN_R24</f>
        <v>6.875</v>
      </c>
      <c r="AZ136" s="1099" t="e">
        <f>[1]!IN_ARM05_P24+Input_PL_Incentive_IN</f>
        <v>#N/A</v>
      </c>
      <c r="BA136" s="1099" t="e">
        <f>[1]!IN_FRM30_P24+Input_PL_Incentive_IN</f>
        <v>#N/A</v>
      </c>
      <c r="BB136" s="1097" t="e">
        <f t="shared" ref="BB136:BB138" si="31">IF(INDEX(List_AmortTermAll,MATCH(Input_AmortTerm,List_AmortTerm,0),3)=1,AZ136,IF(INDEX(List_AmortTermAll,MATCH(Input_AmortTerm,List_AmortTerm,0),3)=2,BA136,#N/A))</f>
        <v>#N/A</v>
      </c>
      <c r="BC136" s="1097" t="e">
        <f t="shared" si="29"/>
        <v>#N/A</v>
      </c>
      <c r="BD136" s="1097"/>
      <c r="BE136" s="1106" t="s">
        <v>1688</v>
      </c>
    </row>
    <row r="137" spans="13:57" ht="9.6" customHeight="1" x14ac:dyDescent="0.2">
      <c r="P137" s="461"/>
      <c r="Q137" s="461"/>
      <c r="R137" s="461"/>
      <c r="S137" s="461"/>
      <c r="T137" s="461"/>
      <c r="AC137" s="812" t="s">
        <v>1716</v>
      </c>
      <c r="AD137" s="812" t="s">
        <v>1996</v>
      </c>
      <c r="AE137" s="812" t="s">
        <v>1390</v>
      </c>
      <c r="AF137" s="813" t="s">
        <v>1741</v>
      </c>
      <c r="AG137" s="1087" t="str">
        <f>AF137</f>
        <v>Preliminary Title Report / Title Commitment (24mo chain of title, ALTA supp for property address, plat map / survey)</v>
      </c>
      <c r="AH137" s="1067" t="str">
        <f>IF(AG137="","",IF(AC137="Disclosure",MAX(AH$104:AH136)+1,""))</f>
        <v/>
      </c>
      <c r="AI137" s="1068" t="str">
        <f t="shared" ref="AI137:AI168" si="32">IFERROR(INDEX($AG$105:$AG$198,MATCH(ROW()-ROW($AI$104),$AH$105:$AH$198,0)),"")</f>
        <v/>
      </c>
      <c r="AJ137" s="1069" t="str">
        <f>IF(AG137="","",IF(AC137="SubmissionRequired",MAX(AJ$104:AJ136)+1,""))</f>
        <v/>
      </c>
      <c r="AK137" s="1071" t="str">
        <f t="shared" ref="AK137:AK168" si="33">IFERROR(INDEX($AG$105:$AG$198,MATCH(ROW()-ROW($AK$104),$AJ$105:$AJ$198,0)),"")</f>
        <v/>
      </c>
      <c r="AL137" s="1072">
        <f>IF(AG137="","",IF(AC137="SubmissionRecommended",MAX(AL$104:AL136)+1,""))</f>
        <v>1</v>
      </c>
      <c r="AM137" s="1074" t="str">
        <f t="shared" ref="AM137:AM168" si="34">IFERROR(INDEX($AG$105:$AG$198,MATCH(ROW()-ROW($AM$104),$AL$105:$AL$198,0)),"")</f>
        <v/>
      </c>
      <c r="AN137" s="1130" t="str">
        <f>IF(AG137="","",IF(AC137="DocType",MAX(AN$104:AN136)+1,""))</f>
        <v/>
      </c>
      <c r="AO137" s="1132" t="str">
        <f t="shared" ref="AO137:AO168" si="35">IFERROR(INDEX($AG$105:$AG$198,MATCH(ROW()-ROW($AO$104),$AN$105:$AN$198,0)),"")</f>
        <v/>
      </c>
      <c r="AP137" s="460" t="s">
        <v>76</v>
      </c>
      <c r="AV137" s="1105" t="s">
        <v>377</v>
      </c>
      <c r="AW137" s="1101" t="s">
        <v>478</v>
      </c>
      <c r="AX137" s="1097" t="str">
        <f t="shared" si="27"/>
        <v>IN_006.7500000000</v>
      </c>
      <c r="AY137" s="1098">
        <f>[1]!IN_R25</f>
        <v>6.75</v>
      </c>
      <c r="AZ137" s="1099" t="e">
        <f>[1]!IN_ARM05_P25+Input_PL_Incentive_IN</f>
        <v>#N/A</v>
      </c>
      <c r="BA137" s="1099" t="e">
        <f>[1]!IN_FRM30_P25+Input_PL_Incentive_IN</f>
        <v>#N/A</v>
      </c>
      <c r="BB137" s="1097" t="e">
        <f t="shared" si="31"/>
        <v>#N/A</v>
      </c>
      <c r="BC137" s="1097" t="e">
        <f t="shared" si="29"/>
        <v>#N/A</v>
      </c>
      <c r="BD137" s="1097"/>
      <c r="BE137" s="1106" t="s">
        <v>1689</v>
      </c>
    </row>
    <row r="138" spans="13:57" ht="9.6" customHeight="1" x14ac:dyDescent="0.2">
      <c r="P138" s="461"/>
      <c r="Q138" s="461"/>
      <c r="R138" s="461"/>
      <c r="S138" s="461"/>
      <c r="T138" s="461"/>
      <c r="AC138" s="812" t="s">
        <v>1716</v>
      </c>
      <c r="AD138" s="812" t="s">
        <v>1996</v>
      </c>
      <c r="AE138" s="812" t="s">
        <v>1390</v>
      </c>
      <c r="AF138" s="813" t="s">
        <v>1727</v>
      </c>
      <c r="AG138" s="1087" t="str">
        <f>AF138</f>
        <v>Escrow Instructions (If business entity, provide formation articles/agreement, tax ID #, cert of good standing)</v>
      </c>
      <c r="AH138" s="1067" t="str">
        <f>IF(AG138="","",IF(AC138="Disclosure",MAX(AH$104:AH137)+1,""))</f>
        <v/>
      </c>
      <c r="AI138" s="1068" t="str">
        <f t="shared" si="32"/>
        <v/>
      </c>
      <c r="AJ138" s="1069" t="str">
        <f>IF(AG138="","",IF(AC138="SubmissionRequired",MAX(AJ$104:AJ137)+1,""))</f>
        <v/>
      </c>
      <c r="AK138" s="1071" t="str">
        <f t="shared" si="33"/>
        <v/>
      </c>
      <c r="AL138" s="1072">
        <f>IF(AG138="","",IF(AC138="SubmissionRecommended",MAX(AL$104:AL137)+1,""))</f>
        <v>2</v>
      </c>
      <c r="AM138" s="1074" t="str">
        <f t="shared" si="34"/>
        <v/>
      </c>
      <c r="AN138" s="1130" t="str">
        <f>IF(AG138="","",IF(AC138="DocType",MAX(AN$104:AN137)+1,""))</f>
        <v/>
      </c>
      <c r="AO138" s="1132" t="str">
        <f t="shared" si="35"/>
        <v/>
      </c>
      <c r="AP138" s="460" t="s">
        <v>76</v>
      </c>
      <c r="AV138" s="1107" t="s">
        <v>377</v>
      </c>
      <c r="AW138" s="1108" t="s">
        <v>478</v>
      </c>
      <c r="AX138" s="1109" t="str">
        <f t="shared" si="27"/>
        <v>IN_006.6250000000</v>
      </c>
      <c r="AY138" s="1110">
        <f>[1]!IN_R26</f>
        <v>6.625</v>
      </c>
      <c r="AZ138" s="1111" t="e">
        <f>[1]!IN_ARM05_P26+Input_PL_Incentive_IN</f>
        <v>#N/A</v>
      </c>
      <c r="BA138" s="1111" t="e">
        <f>[1]!IN_FRM30_P26+Input_PL_Incentive_IN</f>
        <v>#N/A</v>
      </c>
      <c r="BB138" s="1109" t="e">
        <f t="shared" si="31"/>
        <v>#N/A</v>
      </c>
      <c r="BC138" s="1109" t="e">
        <f t="shared" si="29"/>
        <v>#N/A</v>
      </c>
      <c r="BD138" s="1109"/>
      <c r="BE138" s="1112" t="s">
        <v>1690</v>
      </c>
    </row>
    <row r="139" spans="13:57" ht="9.6" customHeight="1" x14ac:dyDescent="0.2">
      <c r="P139" s="461"/>
      <c r="Q139" s="461"/>
      <c r="R139" s="461"/>
      <c r="S139" s="461"/>
      <c r="T139" s="461"/>
      <c r="AC139" s="812" t="s">
        <v>1716</v>
      </c>
      <c r="AD139" s="812" t="s">
        <v>1996</v>
      </c>
      <c r="AE139" s="812" t="s">
        <v>1390</v>
      </c>
      <c r="AF139" s="813" t="s">
        <v>1740</v>
      </c>
      <c r="AG139" s="1087" t="str">
        <f>AF139</f>
        <v>Payoff Demand(s) w/in 30 days</v>
      </c>
      <c r="AH139" s="1067" t="str">
        <f>IF(AG139="","",IF(AC139="Disclosure",MAX(AH$104:AH138)+1,""))</f>
        <v/>
      </c>
      <c r="AI139" s="1068" t="str">
        <f t="shared" si="32"/>
        <v/>
      </c>
      <c r="AJ139" s="1069" t="str">
        <f>IF(AG139="","",IF(AC139="SubmissionRequired",MAX(AJ$104:AJ138)+1,""))</f>
        <v/>
      </c>
      <c r="AK139" s="1071" t="str">
        <f t="shared" si="33"/>
        <v/>
      </c>
      <c r="AL139" s="1072">
        <f>IF(AG139="","",IF(AC139="SubmissionRecommended",MAX(AL$104:AL138)+1,""))</f>
        <v>3</v>
      </c>
      <c r="AM139" s="1074" t="str">
        <f t="shared" si="34"/>
        <v/>
      </c>
      <c r="AN139" s="1130" t="str">
        <f>IF(AG139="","",IF(AC139="DocType",MAX(AN$104:AN138)+1,""))</f>
        <v/>
      </c>
      <c r="AO139" s="1132" t="str">
        <f t="shared" si="35"/>
        <v/>
      </c>
      <c r="AP139" s="460" t="s">
        <v>76</v>
      </c>
      <c r="AV139" s="1338"/>
      <c r="AW139" s="1339"/>
      <c r="AX139" s="1340"/>
      <c r="AY139" s="1341"/>
      <c r="AZ139" s="1341"/>
      <c r="BA139" s="1341"/>
      <c r="BB139" s="1340"/>
      <c r="BC139" s="1340"/>
      <c r="BD139" s="1340"/>
      <c r="BE139" s="1342"/>
    </row>
    <row r="140" spans="13:57" ht="9.6" customHeight="1" x14ac:dyDescent="0.2">
      <c r="P140" s="461"/>
      <c r="Q140" s="461"/>
      <c r="R140" s="461"/>
      <c r="S140" s="461"/>
      <c r="T140" s="461"/>
      <c r="AC140" s="812" t="s">
        <v>1716</v>
      </c>
      <c r="AD140" s="812" t="s">
        <v>1996</v>
      </c>
      <c r="AE140" s="812" t="s">
        <v>1390</v>
      </c>
      <c r="AF140" s="813" t="s">
        <v>1767</v>
      </c>
      <c r="AG140" s="1087" t="str">
        <f>AF140</f>
        <v>CPL (With Brokers Advantage Listed as Mortgagee)</v>
      </c>
      <c r="AH140" s="1067" t="str">
        <f>IF(AG140="","",IF(AC140="Disclosure",MAX(AH$104:AH139)+1,""))</f>
        <v/>
      </c>
      <c r="AI140" s="1068" t="str">
        <f t="shared" si="32"/>
        <v/>
      </c>
      <c r="AJ140" s="1069" t="str">
        <f>IF(AG140="","",IF(AC140="SubmissionRequired",MAX(AJ$104:AJ139)+1,""))</f>
        <v/>
      </c>
      <c r="AK140" s="1071" t="str">
        <f t="shared" si="33"/>
        <v/>
      </c>
      <c r="AL140" s="1072">
        <f>IF(AG140="","",IF(AC140="SubmissionRecommended",MAX(AL$104:AL139)+1,""))</f>
        <v>4</v>
      </c>
      <c r="AM140" s="1074" t="str">
        <f t="shared" si="34"/>
        <v/>
      </c>
      <c r="AN140" s="1130" t="str">
        <f>IF(AG140="","",IF(AC140="DocType",MAX(AN$104:AN139)+1,""))</f>
        <v/>
      </c>
      <c r="AO140" s="1132" t="str">
        <f t="shared" si="35"/>
        <v/>
      </c>
      <c r="AP140" s="460" t="s">
        <v>76</v>
      </c>
    </row>
    <row r="141" spans="13:57" ht="9.6" customHeight="1" x14ac:dyDescent="0.2">
      <c r="P141" s="461"/>
      <c r="Q141" s="461"/>
      <c r="R141" s="461"/>
      <c r="S141" s="461"/>
      <c r="T141" s="461"/>
      <c r="AC141" s="812" t="s">
        <v>1716</v>
      </c>
      <c r="AD141" s="812" t="s">
        <v>1996</v>
      </c>
      <c r="AE141" s="812" t="s">
        <v>1390</v>
      </c>
      <c r="AF141" s="813" t="s">
        <v>1724</v>
      </c>
      <c r="AG141" s="1082" t="str">
        <f>IF(Input_LoanAmt&gt;2000000,Structure!AF154,"")</f>
        <v/>
      </c>
      <c r="AH141" s="1067" t="str">
        <f>IF(AG141="","",IF(AC141="Disclosure",MAX(AH$104:AH140)+1,""))</f>
        <v/>
      </c>
      <c r="AI141" s="1068" t="str">
        <f t="shared" si="32"/>
        <v/>
      </c>
      <c r="AJ141" s="1069" t="str">
        <f>IF(AG141="","",IF(AC141="SubmissionRequired",MAX(AJ$104:AJ140)+1,""))</f>
        <v/>
      </c>
      <c r="AK141" s="1071" t="str">
        <f t="shared" si="33"/>
        <v/>
      </c>
      <c r="AL141" s="1072" t="str">
        <f>IF(AG141="","",IF(AC141="SubmissionRecommended",MAX(AL$104:AL140)+1,""))</f>
        <v/>
      </c>
      <c r="AM141" s="1074" t="str">
        <f t="shared" si="34"/>
        <v/>
      </c>
      <c r="AN141" s="1130" t="str">
        <f>IF(AG141="","",IF(AC141="DocType",MAX(AN$104:AN140)+1,""))</f>
        <v/>
      </c>
      <c r="AO141" s="1132" t="str">
        <f t="shared" si="35"/>
        <v/>
      </c>
      <c r="AP141" s="460" t="s">
        <v>76</v>
      </c>
    </row>
    <row r="142" spans="13:57" ht="9.6" customHeight="1" x14ac:dyDescent="0.2">
      <c r="P142" s="461"/>
      <c r="Q142" s="461"/>
      <c r="R142" s="461"/>
      <c r="S142" s="461"/>
      <c r="T142" s="461"/>
      <c r="AC142" s="1077" t="s">
        <v>1716</v>
      </c>
      <c r="AD142" s="1077" t="s">
        <v>1996</v>
      </c>
      <c r="AE142" s="1077" t="s">
        <v>1390</v>
      </c>
      <c r="AF142" s="1080" t="s">
        <v>1734</v>
      </c>
      <c r="AG142" s="1086" t="str">
        <f>AF142</f>
        <v>Letters of Explanation (Address Inquiries &lt; 90 days, Derog/Disputed Credit &lt; 2yrs, Name, SSN, Address Variations)</v>
      </c>
      <c r="AH142" s="1067" t="str">
        <f>IF(AG142="","",IF(AC142="Disclosure",MAX(AH$104:AH141)+1,""))</f>
        <v/>
      </c>
      <c r="AI142" s="1068" t="str">
        <f t="shared" si="32"/>
        <v/>
      </c>
      <c r="AJ142" s="1069" t="str">
        <f>IF(AG142="","",IF(AC142="SubmissionRequired",MAX(AJ$104:AJ141)+1,""))</f>
        <v/>
      </c>
      <c r="AK142" s="1071" t="str">
        <f t="shared" si="33"/>
        <v/>
      </c>
      <c r="AL142" s="1072">
        <f>IF(AG142="","",IF(AC142="SubmissionRecommended",MAX(AL$104:AL141)+1,""))</f>
        <v>5</v>
      </c>
      <c r="AM142" s="1074" t="str">
        <f t="shared" si="34"/>
        <v/>
      </c>
      <c r="AN142" s="1130" t="str">
        <f>IF(AG142="","",IF(AC142="DocType",MAX(AN$104:AN141)+1,""))</f>
        <v/>
      </c>
      <c r="AO142" s="1132" t="str">
        <f t="shared" si="35"/>
        <v/>
      </c>
      <c r="AP142" s="460" t="s">
        <v>76</v>
      </c>
    </row>
    <row r="143" spans="13:57" ht="9.6" customHeight="1" x14ac:dyDescent="0.2">
      <c r="P143" s="461"/>
      <c r="Q143" s="461"/>
      <c r="R143" s="461"/>
      <c r="S143" s="461"/>
      <c r="T143" s="461"/>
      <c r="AC143" s="1077" t="s">
        <v>1716</v>
      </c>
      <c r="AD143" s="1077" t="s">
        <v>1996</v>
      </c>
      <c r="AE143" s="1077" t="s">
        <v>1390</v>
      </c>
      <c r="AF143" s="1080" t="s">
        <v>1735</v>
      </c>
      <c r="AG143" s="1086" t="str">
        <f>AF143</f>
        <v>Letters of Explanation (Address Non-Arm's Length Relationships (Builder, Developer, Seller, LO, RE Agent, etc.))</v>
      </c>
      <c r="AH143" s="1067" t="str">
        <f>IF(AG143="","",IF(AC143="Disclosure",MAX(AH$104:AH142)+1,""))</f>
        <v/>
      </c>
      <c r="AI143" s="1068" t="str">
        <f t="shared" si="32"/>
        <v/>
      </c>
      <c r="AJ143" s="1069" t="str">
        <f>IF(AG143="","",IF(AC143="SubmissionRequired",MAX(AJ$104:AJ142)+1,""))</f>
        <v/>
      </c>
      <c r="AK143" s="1071" t="str">
        <f t="shared" si="33"/>
        <v/>
      </c>
      <c r="AL143" s="1072">
        <f>IF(AG143="","",IF(AC143="SubmissionRecommended",MAX(AL$104:AL142)+1,""))</f>
        <v>6</v>
      </c>
      <c r="AM143" s="1074" t="str">
        <f t="shared" si="34"/>
        <v/>
      </c>
      <c r="AN143" s="1130" t="str">
        <f>IF(AG143="","",IF(AC143="DocType",MAX(AN$104:AN142)+1,""))</f>
        <v/>
      </c>
      <c r="AO143" s="1132" t="str">
        <f t="shared" si="35"/>
        <v/>
      </c>
      <c r="AP143" s="460" t="s">
        <v>76</v>
      </c>
    </row>
    <row r="144" spans="13:57" ht="9.6" customHeight="1" x14ac:dyDescent="0.2">
      <c r="P144" s="461"/>
      <c r="Q144" s="461"/>
      <c r="R144" s="461"/>
      <c r="S144" s="461"/>
      <c r="T144" s="461"/>
      <c r="AC144" s="1077" t="s">
        <v>1716</v>
      </c>
      <c r="AD144" s="1077" t="s">
        <v>1996</v>
      </c>
      <c r="AE144" s="1077" t="s">
        <v>1390</v>
      </c>
      <c r="AF144" s="1080" t="s">
        <v>1752</v>
      </c>
      <c r="AG144" s="1090" t="str">
        <f>IF(AND(Input_Purpose="Cash-Out",Input_DocType="09-DSCR"),Structure!AF147,"")</f>
        <v/>
      </c>
      <c r="AH144" s="1067" t="str">
        <f>IF(AG144="","",IF(AC144="Disclosure",MAX(AH$104:AH143)+1,""))</f>
        <v/>
      </c>
      <c r="AI144" s="1068" t="str">
        <f t="shared" si="32"/>
        <v/>
      </c>
      <c r="AJ144" s="1069" t="str">
        <f>IF(AG144="","",IF(AC144="SubmissionRequired",MAX(AJ$104:AJ143)+1,""))</f>
        <v/>
      </c>
      <c r="AK144" s="1071" t="str">
        <f t="shared" si="33"/>
        <v/>
      </c>
      <c r="AL144" s="1072" t="str">
        <f>IF(AG144="","",IF(AC144="SubmissionRecommended",MAX(AL$104:AL143)+1,""))</f>
        <v/>
      </c>
      <c r="AM144" s="1074" t="str">
        <f t="shared" si="34"/>
        <v/>
      </c>
      <c r="AN144" s="1130" t="str">
        <f>IF(AG144="","",IF(AC144="DocType",MAX(AN$104:AN143)+1,""))</f>
        <v/>
      </c>
      <c r="AO144" s="1132" t="str">
        <f t="shared" si="35"/>
        <v/>
      </c>
      <c r="AP144" s="460" t="s">
        <v>76</v>
      </c>
    </row>
    <row r="145" spans="16:42" ht="9.6" customHeight="1" x14ac:dyDescent="0.2">
      <c r="P145" s="461"/>
      <c r="Q145" s="461"/>
      <c r="R145" s="461"/>
      <c r="S145" s="461"/>
      <c r="T145" s="461"/>
      <c r="AC145" s="1077" t="s">
        <v>1716</v>
      </c>
      <c r="AD145" s="1077" t="s">
        <v>1996</v>
      </c>
      <c r="AE145" s="1077" t="s">
        <v>1390</v>
      </c>
      <c r="AF145" s="1080" t="s">
        <v>1760</v>
      </c>
      <c r="AG145" s="1086" t="str">
        <f>AF145</f>
        <v>Divorce Decree / Separation Agmt [if applicable] (All Pages, incl. Attachments. Signed by All Parties)</v>
      </c>
      <c r="AH145" s="1067" t="str">
        <f>IF(AG145="","",IF(AC145="Disclosure",MAX(AH$104:AH144)+1,""))</f>
        <v/>
      </c>
      <c r="AI145" s="1068" t="str">
        <f t="shared" si="32"/>
        <v/>
      </c>
      <c r="AJ145" s="1069" t="str">
        <f>IF(AG145="","",IF(AC145="SubmissionRequired",MAX(AJ$104:AJ144)+1,""))</f>
        <v/>
      </c>
      <c r="AK145" s="1071" t="str">
        <f t="shared" si="33"/>
        <v/>
      </c>
      <c r="AL145" s="1072">
        <f>IF(AG145="","",IF(AC145="SubmissionRecommended",MAX(AL$104:AL144)+1,""))</f>
        <v>7</v>
      </c>
      <c r="AM145" s="1074" t="str">
        <f t="shared" si="34"/>
        <v/>
      </c>
      <c r="AN145" s="1130" t="str">
        <f>IF(AG145="","",IF(AC145="DocType",MAX(AN$104:AN144)+1,""))</f>
        <v/>
      </c>
      <c r="AO145" s="1132" t="str">
        <f t="shared" si="35"/>
        <v/>
      </c>
      <c r="AP145" s="460" t="s">
        <v>76</v>
      </c>
    </row>
    <row r="146" spans="16:42" ht="9.6" customHeight="1" x14ac:dyDescent="0.2">
      <c r="P146" s="461"/>
      <c r="Q146" s="461"/>
      <c r="R146" s="461"/>
      <c r="S146" s="461"/>
      <c r="T146" s="461"/>
      <c r="AC146" s="1077" t="s">
        <v>1716</v>
      </c>
      <c r="AD146" s="1077" t="s">
        <v>1996</v>
      </c>
      <c r="AE146" s="1077" t="s">
        <v>1390</v>
      </c>
      <c r="AF146" s="1080" t="s">
        <v>1737</v>
      </c>
      <c r="AG146" s="1090" t="str">
        <f>IF(Input_DocType&lt;&gt;"09-DSCR",Structure!AF137,"")</f>
        <v/>
      </c>
      <c r="AH146" s="1067" t="str">
        <f>IF(AG146="","",IF(AC146="Disclosure",MAX(AH$104:AH145)+1,""))</f>
        <v/>
      </c>
      <c r="AI146" s="1068" t="str">
        <f t="shared" si="32"/>
        <v/>
      </c>
      <c r="AJ146" s="1069" t="str">
        <f>IF(AG146="","",IF(AC146="SubmissionRequired",MAX(AJ$104:AJ145)+1,""))</f>
        <v/>
      </c>
      <c r="AK146" s="1071" t="str">
        <f t="shared" si="33"/>
        <v/>
      </c>
      <c r="AL146" s="1072" t="str">
        <f>IF(AG146="","",IF(AC146="SubmissionRecommended",MAX(AL$104:AL145)+1,""))</f>
        <v/>
      </c>
      <c r="AM146" s="1074" t="str">
        <f t="shared" si="34"/>
        <v/>
      </c>
      <c r="AN146" s="1130" t="str">
        <f>IF(AG146="","",IF(AC146="DocType",MAX(AN$104:AN145)+1,""))</f>
        <v/>
      </c>
      <c r="AO146" s="1132" t="str">
        <f t="shared" si="35"/>
        <v/>
      </c>
      <c r="AP146" s="460" t="s">
        <v>76</v>
      </c>
    </row>
    <row r="147" spans="16:42" ht="9.6" customHeight="1" x14ac:dyDescent="0.2">
      <c r="P147" s="461"/>
      <c r="Q147" s="461"/>
      <c r="R147" s="461"/>
      <c r="S147" s="461"/>
      <c r="T147" s="461"/>
      <c r="AC147" s="1077" t="s">
        <v>1716</v>
      </c>
      <c r="AD147" s="1077" t="s">
        <v>1996</v>
      </c>
      <c r="AE147" s="1077" t="s">
        <v>1390</v>
      </c>
      <c r="AF147" s="1080" t="s">
        <v>1706</v>
      </c>
      <c r="AG147" s="1088" t="str">
        <f>IF(Input_DocType&lt;&gt;"09-DSCR",Structure!AF138,"")</f>
        <v/>
      </c>
      <c r="AH147" s="1067" t="str">
        <f>IF(AG147="","",IF(AC147="Disclosure",MAX(AH$104:AH146)+1,""))</f>
        <v/>
      </c>
      <c r="AI147" s="1068" t="str">
        <f t="shared" si="32"/>
        <v/>
      </c>
      <c r="AJ147" s="1069" t="str">
        <f>IF(AG147="","",IF(AC147="SubmissionRequired",MAX(AJ$104:AJ146)+1,""))</f>
        <v/>
      </c>
      <c r="AK147" s="1071" t="str">
        <f t="shared" si="33"/>
        <v/>
      </c>
      <c r="AL147" s="1072" t="str">
        <f>IF(AG147="","",IF(AC147="SubmissionRecommended",MAX(AL$104:AL146)+1,""))</f>
        <v/>
      </c>
      <c r="AM147" s="1074" t="str">
        <f t="shared" si="34"/>
        <v/>
      </c>
      <c r="AN147" s="1130" t="str">
        <f>IF(AG147="","",IF(AC147="DocType",MAX(AN$104:AN146)+1,""))</f>
        <v/>
      </c>
      <c r="AO147" s="1132" t="str">
        <f t="shared" si="35"/>
        <v/>
      </c>
      <c r="AP147" s="460" t="s">
        <v>76</v>
      </c>
    </row>
    <row r="148" spans="16:42" ht="9.6" customHeight="1" x14ac:dyDescent="0.2">
      <c r="P148" s="461"/>
      <c r="Q148" s="461"/>
      <c r="R148" s="461"/>
      <c r="S148" s="461"/>
      <c r="T148" s="461"/>
      <c r="AC148" s="1077" t="s">
        <v>1716</v>
      </c>
      <c r="AD148" s="1077" t="s">
        <v>1996</v>
      </c>
      <c r="AE148" s="1077" t="s">
        <v>1390</v>
      </c>
      <c r="AF148" s="1080" t="s">
        <v>1733</v>
      </c>
      <c r="AG148" s="1090" t="str">
        <f>IF(Input_Citizenship&lt;&gt;"US Citizen",Structure!AF139,"")</f>
        <v/>
      </c>
      <c r="AH148" s="1067" t="str">
        <f>IF(AG148="","",IF(AC148="Disclosure",MAX(AH$104:AH147)+1,""))</f>
        <v/>
      </c>
      <c r="AI148" s="1068" t="str">
        <f t="shared" si="32"/>
        <v/>
      </c>
      <c r="AJ148" s="1069" t="str">
        <f>IF(AG148="","",IF(AC148="SubmissionRequired",MAX(AJ$104:AJ147)+1,""))</f>
        <v/>
      </c>
      <c r="AK148" s="1071" t="str">
        <f t="shared" si="33"/>
        <v/>
      </c>
      <c r="AL148" s="1072" t="str">
        <f>IF(AG148="","",IF(AC148="SubmissionRecommended",MAX(AL$104:AL147)+1,""))</f>
        <v/>
      </c>
      <c r="AM148" s="1074" t="str">
        <f t="shared" si="34"/>
        <v/>
      </c>
      <c r="AN148" s="1130" t="str">
        <f>IF(AG148="","",IF(AC148="DocType",MAX(AN$104:AN147)+1,""))</f>
        <v/>
      </c>
      <c r="AO148" s="1132" t="str">
        <f t="shared" si="35"/>
        <v/>
      </c>
      <c r="AP148" s="460" t="s">
        <v>76</v>
      </c>
    </row>
    <row r="149" spans="16:42" ht="9.6" customHeight="1" x14ac:dyDescent="0.2">
      <c r="P149" s="461"/>
      <c r="Q149" s="461"/>
      <c r="R149" s="461"/>
      <c r="S149" s="461"/>
      <c r="T149" s="461"/>
      <c r="AC149" s="1077" t="s">
        <v>1716</v>
      </c>
      <c r="AD149" s="1077" t="s">
        <v>1996</v>
      </c>
      <c r="AE149" s="1077" t="s">
        <v>1390</v>
      </c>
      <c r="AF149" s="1080" t="s">
        <v>1732</v>
      </c>
      <c r="AG149" s="1086" t="str">
        <f>AF149</f>
        <v>Lender Paid Comp Transactions (Anti-Steering Disclosure to be provided by Broker)</v>
      </c>
      <c r="AH149" s="1067" t="str">
        <f>IF(AG149="","",IF(AC149="Disclosure",MAX(AH$104:AH148)+1,""))</f>
        <v/>
      </c>
      <c r="AI149" s="1068" t="str">
        <f t="shared" si="32"/>
        <v/>
      </c>
      <c r="AJ149" s="1069" t="str">
        <f>IF(AG149="","",IF(AC149="SubmissionRequired",MAX(AJ$104:AJ148)+1,""))</f>
        <v/>
      </c>
      <c r="AK149" s="1071" t="str">
        <f t="shared" si="33"/>
        <v/>
      </c>
      <c r="AL149" s="1072">
        <f>IF(AG149="","",IF(AC149="SubmissionRecommended",MAX(AL$104:AL148)+1,""))</f>
        <v>8</v>
      </c>
      <c r="AM149" s="1074" t="str">
        <f t="shared" si="34"/>
        <v/>
      </c>
      <c r="AN149" s="1130" t="str">
        <f>IF(AG149="","",IF(AC149="DocType",MAX(AN$104:AN148)+1,""))</f>
        <v/>
      </c>
      <c r="AO149" s="1132" t="str">
        <f t="shared" si="35"/>
        <v/>
      </c>
      <c r="AP149" s="460" t="s">
        <v>76</v>
      </c>
    </row>
    <row r="150" spans="16:42" ht="9.6" customHeight="1" x14ac:dyDescent="0.2">
      <c r="P150" s="461"/>
      <c r="Q150" s="461"/>
      <c r="R150" s="461"/>
      <c r="S150" s="461"/>
      <c r="T150" s="461"/>
      <c r="AC150" s="1077" t="s">
        <v>1716</v>
      </c>
      <c r="AD150" s="1077" t="s">
        <v>1996</v>
      </c>
      <c r="AE150" s="1077" t="s">
        <v>1390</v>
      </c>
      <c r="AF150" s="1080" t="s">
        <v>1761</v>
      </c>
      <c r="AG150" s="1086" t="str">
        <f>AF150</f>
        <v>BK papers [if applicable] (All schedules and evidence discharged)</v>
      </c>
      <c r="AH150" s="1067" t="str">
        <f>IF(AG150="","",IF(AC150="Disclosure",MAX(AH$104:AH149)+1,""))</f>
        <v/>
      </c>
      <c r="AI150" s="1068" t="str">
        <f t="shared" si="32"/>
        <v/>
      </c>
      <c r="AJ150" s="1069" t="str">
        <f>IF(AG150="","",IF(AC150="SubmissionRequired",MAX(AJ$104:AJ149)+1,""))</f>
        <v/>
      </c>
      <c r="AK150" s="1071" t="str">
        <f t="shared" si="33"/>
        <v/>
      </c>
      <c r="AL150" s="1072">
        <f>IF(AG150="","",IF(AC150="SubmissionRecommended",MAX(AL$104:AL149)+1,""))</f>
        <v>9</v>
      </c>
      <c r="AM150" s="1074" t="str">
        <f t="shared" si="34"/>
        <v/>
      </c>
      <c r="AN150" s="1130" t="str">
        <f>IF(AG150="","",IF(AC150="DocType",MAX(AN$104:AN149)+1,""))</f>
        <v/>
      </c>
      <c r="AO150" s="1132" t="str">
        <f t="shared" si="35"/>
        <v/>
      </c>
      <c r="AP150" s="460" t="s">
        <v>76</v>
      </c>
    </row>
    <row r="151" spans="16:42" ht="9.6" customHeight="1" x14ac:dyDescent="0.2">
      <c r="P151" s="461"/>
      <c r="Q151" s="461"/>
      <c r="R151" s="461"/>
      <c r="S151" s="461"/>
      <c r="T151" s="461"/>
      <c r="AC151" s="1077" t="s">
        <v>1716</v>
      </c>
      <c r="AD151" s="1077" t="s">
        <v>1996</v>
      </c>
      <c r="AE151" s="1077" t="s">
        <v>1390</v>
      </c>
      <c r="AF151" s="1080" t="s">
        <v>1774</v>
      </c>
      <c r="AG151" s="1086" t="str">
        <f>AF151</f>
        <v>12mo Verification of Primary Housing Payment if not reported on credit (If Private Party, provide 12mo Cancelled Checks)</v>
      </c>
      <c r="AH151" s="1067" t="str">
        <f>IF(AG151="","",IF(AC151="Disclosure",MAX(AH$104:AH150)+1,""))</f>
        <v/>
      </c>
      <c r="AI151" s="1068" t="str">
        <f t="shared" si="32"/>
        <v/>
      </c>
      <c r="AJ151" s="1069" t="str">
        <f>IF(AG151="","",IF(AC151="SubmissionRequired",MAX(AJ$104:AJ150)+1,""))</f>
        <v/>
      </c>
      <c r="AK151" s="1071" t="str">
        <f t="shared" si="33"/>
        <v/>
      </c>
      <c r="AL151" s="1072">
        <f>IF(AG151="","",IF(AC151="SubmissionRecommended",MAX(AL$104:AL150)+1,""))</f>
        <v>10</v>
      </c>
      <c r="AM151" s="1074" t="str">
        <f t="shared" si="34"/>
        <v/>
      </c>
      <c r="AN151" s="1130" t="str">
        <f>IF(AG151="","",IF(AC151="DocType",MAX(AN$104:AN150)+1,""))</f>
        <v/>
      </c>
      <c r="AO151" s="1132" t="str">
        <f t="shared" si="35"/>
        <v/>
      </c>
      <c r="AP151" s="460" t="s">
        <v>76</v>
      </c>
    </row>
    <row r="152" spans="16:42" ht="9.6" customHeight="1" x14ac:dyDescent="0.2">
      <c r="P152" s="461"/>
      <c r="Q152" s="461"/>
      <c r="R152" s="461"/>
      <c r="S152" s="461"/>
      <c r="T152" s="461"/>
      <c r="AC152" s="1077" t="s">
        <v>1716</v>
      </c>
      <c r="AD152" s="1077" t="s">
        <v>1996</v>
      </c>
      <c r="AE152" s="1077" t="s">
        <v>1390</v>
      </c>
      <c r="AF152" s="1080" t="s">
        <v>1738</v>
      </c>
      <c r="AG152" s="1086" t="str">
        <f>AF152</f>
        <v>12mo Cancelled Checks (Include Copy of Note, if available)</v>
      </c>
      <c r="AH152" s="1067" t="str">
        <f>IF(AG152="","",IF(AC152="Disclosure",MAX(AH$104:AH151)+1,""))</f>
        <v/>
      </c>
      <c r="AI152" s="1068" t="str">
        <f t="shared" si="32"/>
        <v/>
      </c>
      <c r="AJ152" s="1069" t="str">
        <f>IF(AG152="","",IF(AC152="SubmissionRequired",MAX(AJ$104:AJ151)+1,""))</f>
        <v/>
      </c>
      <c r="AK152" s="1071" t="str">
        <f t="shared" si="33"/>
        <v/>
      </c>
      <c r="AL152" s="1072">
        <f>IF(AG152="","",IF(AC152="SubmissionRecommended",MAX(AL$104:AL151)+1,""))</f>
        <v>11</v>
      </c>
      <c r="AM152" s="1074" t="str">
        <f t="shared" si="34"/>
        <v/>
      </c>
      <c r="AN152" s="1130" t="str">
        <f>IF(AG152="","",IF(AC152="DocType",MAX(AN$104:AN151)+1,""))</f>
        <v/>
      </c>
      <c r="AO152" s="1132" t="str">
        <f t="shared" si="35"/>
        <v/>
      </c>
      <c r="AP152" s="460" t="s">
        <v>76</v>
      </c>
    </row>
    <row r="153" spans="16:42" ht="9.6" customHeight="1" x14ac:dyDescent="0.2">
      <c r="P153" s="461"/>
      <c r="Q153" s="461"/>
      <c r="R153" s="461"/>
      <c r="S153" s="461"/>
      <c r="T153" s="461"/>
      <c r="AC153" s="1077" t="s">
        <v>1716</v>
      </c>
      <c r="AD153" s="1077" t="s">
        <v>1996</v>
      </c>
      <c r="AE153" s="1077" t="s">
        <v>1390</v>
      </c>
      <c r="AF153" s="1080" t="s">
        <v>1708</v>
      </c>
      <c r="AG153" s="1090" t="str">
        <f>IF(OR(Input_DocType="'01-Full Doc 2yr",Input_DocType="02-Full Doc 1yr"),Structure!AF144,"")</f>
        <v/>
      </c>
      <c r="AH153" s="1067" t="str">
        <f>IF(AG153="","",IF(AC153="Disclosure",MAX(AH$104:AH152)+1,""))</f>
        <v/>
      </c>
      <c r="AI153" s="1068" t="str">
        <f t="shared" si="32"/>
        <v/>
      </c>
      <c r="AJ153" s="1069" t="str">
        <f>IF(AG153="","",IF(AC153="SubmissionRequired",MAX(AJ$104:AJ152)+1,""))</f>
        <v/>
      </c>
      <c r="AK153" s="1071" t="str">
        <f t="shared" si="33"/>
        <v/>
      </c>
      <c r="AL153" s="1072" t="str">
        <f>IF(AG153="","",IF(AC153="SubmissionRecommended",MAX(AL$104:AL152)+1,""))</f>
        <v/>
      </c>
      <c r="AM153" s="1074" t="str">
        <f t="shared" si="34"/>
        <v/>
      </c>
      <c r="AN153" s="1130" t="str">
        <f>IF(AG153="","",IF(AC153="DocType",MAX(AN$104:AN152)+1,""))</f>
        <v/>
      </c>
      <c r="AO153" s="1132" t="str">
        <f t="shared" si="35"/>
        <v/>
      </c>
      <c r="AP153" s="460" t="s">
        <v>76</v>
      </c>
    </row>
    <row r="154" spans="16:42" ht="9.6" customHeight="1" x14ac:dyDescent="0.2">
      <c r="P154" s="461"/>
      <c r="Q154" s="461"/>
      <c r="R154" s="461"/>
      <c r="S154" s="461"/>
      <c r="T154" s="461"/>
      <c r="AC154" s="812" t="s">
        <v>1716</v>
      </c>
      <c r="AD154" s="812" t="s">
        <v>1996</v>
      </c>
      <c r="AE154" s="812" t="s">
        <v>1390</v>
      </c>
      <c r="AF154" s="813" t="s">
        <v>1772</v>
      </c>
      <c r="AG154" s="1086" t="str">
        <f>AF154</f>
        <v>2mo Consecutive Stmts w/in 90 Days (if Business Stmt, Provide Evidence of Ownership and Balance Sheet)</v>
      </c>
      <c r="AH154" s="1067" t="str">
        <f>IF(AG154="","",IF(AC154="Disclosure",MAX(AH$104:AH153)+1,""))</f>
        <v/>
      </c>
      <c r="AI154" s="1068" t="str">
        <f t="shared" si="32"/>
        <v/>
      </c>
      <c r="AJ154" s="1069" t="str">
        <f>IF(AG154="","",IF(AC154="SubmissionRequired",MAX(AJ$104:AJ153)+1,""))</f>
        <v/>
      </c>
      <c r="AK154" s="1071" t="str">
        <f t="shared" si="33"/>
        <v/>
      </c>
      <c r="AL154" s="1072">
        <f>IF(AG154="","",IF(AC154="SubmissionRecommended",MAX(AL$104:AL153)+1,""))</f>
        <v>12</v>
      </c>
      <c r="AM154" s="1074" t="str">
        <f t="shared" si="34"/>
        <v/>
      </c>
      <c r="AN154" s="1130" t="str">
        <f>IF(AG154="","",IF(AC154="DocType",MAX(AN$104:AN153)+1,""))</f>
        <v/>
      </c>
      <c r="AO154" s="1132" t="str">
        <f t="shared" si="35"/>
        <v/>
      </c>
      <c r="AP154" s="460" t="s">
        <v>76</v>
      </c>
    </row>
    <row r="155" spans="16:42" ht="9.6" customHeight="1" x14ac:dyDescent="0.2">
      <c r="P155" s="461"/>
      <c r="Q155" s="461"/>
      <c r="R155" s="461"/>
      <c r="S155" s="461"/>
      <c r="T155" s="461"/>
      <c r="AC155" s="812" t="s">
        <v>1716</v>
      </c>
      <c r="AD155" s="812" t="s">
        <v>1996</v>
      </c>
      <c r="AE155" s="812" t="s">
        <v>1390</v>
      </c>
      <c r="AF155" s="813" t="s">
        <v>1736</v>
      </c>
      <c r="AG155" s="1086" t="str">
        <f>AF155</f>
        <v>Balance Sheet (If using Business Assets for Funds for Closing/Reserves/Down Pmt)</v>
      </c>
      <c r="AH155" s="1067" t="str">
        <f>IF(AG155="","",IF(AC155="Disclosure",MAX(AH$104:AH154)+1,""))</f>
        <v/>
      </c>
      <c r="AI155" s="1068" t="str">
        <f t="shared" si="32"/>
        <v/>
      </c>
      <c r="AJ155" s="1069" t="str">
        <f>IF(AG155="","",IF(AC155="SubmissionRequired",MAX(AJ$104:AJ154)+1,""))</f>
        <v/>
      </c>
      <c r="AK155" s="1071" t="str">
        <f t="shared" si="33"/>
        <v/>
      </c>
      <c r="AL155" s="1072">
        <f>IF(AG155="","",IF(AC155="SubmissionRecommended",MAX(AL$104:AL154)+1,""))</f>
        <v>13</v>
      </c>
      <c r="AM155" s="1074" t="str">
        <f t="shared" si="34"/>
        <v/>
      </c>
      <c r="AN155" s="1130" t="str">
        <f>IF(AG155="","",IF(AC155="DocType",MAX(AN$104:AN154)+1,""))</f>
        <v/>
      </c>
      <c r="AO155" s="1132" t="str">
        <f t="shared" si="35"/>
        <v/>
      </c>
      <c r="AP155" s="460" t="s">
        <v>76</v>
      </c>
    </row>
    <row r="156" spans="16:42" ht="9.6" customHeight="1" x14ac:dyDescent="0.2">
      <c r="P156" s="461"/>
      <c r="Q156" s="461"/>
      <c r="R156" s="461"/>
      <c r="S156" s="461"/>
      <c r="T156" s="461"/>
      <c r="AC156" s="812" t="s">
        <v>1716</v>
      </c>
      <c r="AD156" s="812" t="s">
        <v>1996</v>
      </c>
      <c r="AE156" s="812" t="s">
        <v>1390</v>
      </c>
      <c r="AF156" s="813" t="s">
        <v>1762</v>
      </c>
      <c r="AG156" s="1086" t="str">
        <f>AF156</f>
        <v>Gift Letter [if applicable] (Evidence Donor Funds Transferred to Borrower or Settlement Agent)</v>
      </c>
      <c r="AH156" s="1067" t="str">
        <f>IF(AG156="","",IF(AC156="Disclosure",MAX(AH$104:AH155)+1,""))</f>
        <v/>
      </c>
      <c r="AI156" s="1068" t="str">
        <f t="shared" si="32"/>
        <v/>
      </c>
      <c r="AJ156" s="1069" t="str">
        <f>IF(AG156="","",IF(AC156="SubmissionRequired",MAX(AJ$104:AJ155)+1,""))</f>
        <v/>
      </c>
      <c r="AK156" s="1071" t="str">
        <f t="shared" si="33"/>
        <v/>
      </c>
      <c r="AL156" s="1072">
        <f>IF(AG156="","",IF(AC156="SubmissionRecommended",MAX(AL$104:AL155)+1,""))</f>
        <v>14</v>
      </c>
      <c r="AM156" s="1074" t="str">
        <f t="shared" si="34"/>
        <v/>
      </c>
      <c r="AN156" s="1130" t="str">
        <f>IF(AG156="","",IF(AC156="DocType",MAX(AN$104:AN155)+1,""))</f>
        <v/>
      </c>
      <c r="AO156" s="1132" t="str">
        <f t="shared" si="35"/>
        <v/>
      </c>
      <c r="AP156" s="460" t="s">
        <v>76</v>
      </c>
    </row>
    <row r="157" spans="16:42" ht="9.6" customHeight="1" x14ac:dyDescent="0.2">
      <c r="P157" s="461"/>
      <c r="Q157" s="461"/>
      <c r="R157" s="461"/>
      <c r="S157" s="461"/>
      <c r="T157" s="461"/>
      <c r="AC157" s="812" t="s">
        <v>1716</v>
      </c>
      <c r="AD157" s="812" t="s">
        <v>1996</v>
      </c>
      <c r="AE157" s="812" t="s">
        <v>1390</v>
      </c>
      <c r="AF157" s="813" t="s">
        <v>1775</v>
      </c>
      <c r="AG157" s="1087" t="str">
        <f>AF157</f>
        <v>Fee Sheet / Est. Closing Statement (Impounds Required: HPML Loans and Loans &gt;80 LTV - Unless Prohibited by State Law)</v>
      </c>
      <c r="AH157" s="1067" t="str">
        <f>IF(AG157="","",IF(AC157="Disclosure",MAX(AH$104:AH156)+1,""))</f>
        <v/>
      </c>
      <c r="AI157" s="1068" t="str">
        <f t="shared" si="32"/>
        <v/>
      </c>
      <c r="AJ157" s="1069" t="str">
        <f>IF(AG157="","",IF(AC157="SubmissionRequired",MAX(AJ$104:AJ156)+1,""))</f>
        <v/>
      </c>
      <c r="AK157" s="1071" t="str">
        <f t="shared" si="33"/>
        <v/>
      </c>
      <c r="AL157" s="1072">
        <f>IF(AG157="","",IF(AC157="SubmissionRecommended",MAX(AL$104:AL156)+1,""))</f>
        <v>15</v>
      </c>
      <c r="AM157" s="1074" t="str">
        <f t="shared" si="34"/>
        <v/>
      </c>
      <c r="AN157" s="1130" t="str">
        <f>IF(AG157="","",IF(AC157="DocType",MAX(AN$104:AN156)+1,""))</f>
        <v/>
      </c>
      <c r="AO157" s="1132" t="str">
        <f t="shared" si="35"/>
        <v/>
      </c>
      <c r="AP157" s="460" t="s">
        <v>76</v>
      </c>
    </row>
    <row r="158" spans="16:42" ht="9.6" customHeight="1" x14ac:dyDescent="0.2">
      <c r="P158" s="461"/>
      <c r="Q158" s="461"/>
      <c r="R158" s="461"/>
      <c r="S158" s="461"/>
      <c r="T158" s="461"/>
      <c r="AC158" s="812" t="s">
        <v>1716</v>
      </c>
      <c r="AD158" s="812" t="s">
        <v>1996</v>
      </c>
      <c r="AE158" s="812" t="s">
        <v>1390</v>
      </c>
      <c r="AF158" s="813" t="s">
        <v>1753</v>
      </c>
      <c r="AG158" s="1082" t="str">
        <f>IF(IFERROR(FIND("Condo",Input_PropertyType),0)&gt;=1,AF158,"")</f>
        <v/>
      </c>
      <c r="AH158" s="1067" t="str">
        <f>IF(AG158="","",IF(AC158="Disclosure",MAX(AH$104:AH157)+1,""))</f>
        <v/>
      </c>
      <c r="AI158" s="1068" t="str">
        <f t="shared" si="32"/>
        <v/>
      </c>
      <c r="AJ158" s="1069" t="str">
        <f>IF(AG158="","",IF(AC158="SubmissionRequired",MAX(AJ$104:AJ157)+1,""))</f>
        <v/>
      </c>
      <c r="AK158" s="1071" t="str">
        <f t="shared" si="33"/>
        <v/>
      </c>
      <c r="AL158" s="1072" t="str">
        <f>IF(AG158="","",IF(AC158="SubmissionRecommended",MAX(AL$104:AL157)+1,""))</f>
        <v/>
      </c>
      <c r="AM158" s="1074" t="str">
        <f t="shared" si="34"/>
        <v/>
      </c>
      <c r="AN158" s="1130" t="str">
        <f>IF(AG158="","",IF(AC158="DocType",MAX(AN$104:AN157)+1,""))</f>
        <v/>
      </c>
      <c r="AO158" s="1132" t="str">
        <f t="shared" si="35"/>
        <v/>
      </c>
      <c r="AP158" s="460" t="s">
        <v>76</v>
      </c>
    </row>
    <row r="159" spans="16:42" ht="9.6" customHeight="1" x14ac:dyDescent="0.2">
      <c r="P159" s="461"/>
      <c r="Q159" s="461"/>
      <c r="R159" s="461"/>
      <c r="S159" s="461"/>
      <c r="T159" s="461"/>
      <c r="AC159" s="812" t="s">
        <v>1716</v>
      </c>
      <c r="AD159" s="812" t="s">
        <v>1996</v>
      </c>
      <c r="AE159" s="812" t="s">
        <v>1390</v>
      </c>
      <c r="AF159" s="813" t="s">
        <v>1754</v>
      </c>
      <c r="AG159" s="1087" t="str">
        <f>AF159</f>
        <v>Hazard Insurance (Replacement Cost Estimator)</v>
      </c>
      <c r="AH159" s="1067" t="str">
        <f>IF(AG159="","",IF(AC159="Disclosure",MAX(AH$104:AH158)+1,""))</f>
        <v/>
      </c>
      <c r="AI159" s="1068" t="str">
        <f t="shared" si="32"/>
        <v/>
      </c>
      <c r="AJ159" s="1069" t="str">
        <f>IF(AG159="","",IF(AC159="SubmissionRequired",MAX(AJ$104:AJ158)+1,""))</f>
        <v/>
      </c>
      <c r="AK159" s="1071" t="str">
        <f t="shared" si="33"/>
        <v/>
      </c>
      <c r="AL159" s="1072">
        <f>IF(AG159="","",IF(AC159="SubmissionRecommended",MAX(AL$104:AL158)+1,""))</f>
        <v>16</v>
      </c>
      <c r="AM159" s="1074" t="str">
        <f t="shared" si="34"/>
        <v/>
      </c>
      <c r="AN159" s="1130" t="str">
        <f>IF(AG159="","",IF(AC159="DocType",MAX(AN$104:AN158)+1,""))</f>
        <v/>
      </c>
      <c r="AO159" s="1132" t="str">
        <f t="shared" si="35"/>
        <v/>
      </c>
      <c r="AP159" s="460" t="s">
        <v>76</v>
      </c>
    </row>
    <row r="160" spans="16:42" ht="9.6" customHeight="1" x14ac:dyDescent="0.2">
      <c r="P160" s="461"/>
      <c r="Q160" s="461"/>
      <c r="R160" s="461"/>
      <c r="S160" s="461"/>
      <c r="T160" s="461"/>
      <c r="AC160" s="812" t="s">
        <v>1716</v>
      </c>
      <c r="AD160" s="812" t="s">
        <v>1996</v>
      </c>
      <c r="AE160" s="812" t="s">
        <v>1390</v>
      </c>
      <c r="AF160" s="813" t="s">
        <v>1755</v>
      </c>
      <c r="AG160" s="1082" t="str">
        <f>IF(Input_Purpose&lt;&gt;"Purchase",Structure!AF153,"")</f>
        <v/>
      </c>
      <c r="AH160" s="1067" t="str">
        <f>IF(AG160="","",IF(AC160="Disclosure",MAX(AH$104:AH159)+1,""))</f>
        <v/>
      </c>
      <c r="AI160" s="1068" t="str">
        <f t="shared" si="32"/>
        <v/>
      </c>
      <c r="AJ160" s="1069" t="str">
        <f>IF(AG160="","",IF(AC160="SubmissionRequired",MAX(AJ$104:AJ159)+1,""))</f>
        <v/>
      </c>
      <c r="AK160" s="1071" t="str">
        <f t="shared" si="33"/>
        <v/>
      </c>
      <c r="AL160" s="1072" t="str">
        <f>IF(AG160="","",IF(AC160="SubmissionRecommended",MAX(AL$104:AL159)+1,""))</f>
        <v/>
      </c>
      <c r="AM160" s="1074" t="str">
        <f t="shared" si="34"/>
        <v/>
      </c>
      <c r="AN160" s="1130" t="str">
        <f>IF(AG160="","",IF(AC160="DocType",MAX(AN$104:AN159)+1,""))</f>
        <v/>
      </c>
      <c r="AO160" s="1132" t="str">
        <f t="shared" si="35"/>
        <v/>
      </c>
      <c r="AP160" s="460" t="s">
        <v>76</v>
      </c>
    </row>
    <row r="161" spans="16:42" ht="9.6" customHeight="1" x14ac:dyDescent="0.2">
      <c r="P161" s="461"/>
      <c r="Q161" s="461"/>
      <c r="R161" s="461"/>
      <c r="S161" s="461"/>
      <c r="T161" s="461"/>
      <c r="AC161" s="812" t="s">
        <v>1716</v>
      </c>
      <c r="AD161" s="812" t="s">
        <v>1996</v>
      </c>
      <c r="AE161" s="812" t="s">
        <v>1390</v>
      </c>
      <c r="AF161" s="813" t="s">
        <v>1725</v>
      </c>
      <c r="AG161" s="1082" t="str">
        <f>IF(Input_Occupancy="Non Owner Occupied",Structure!AF155,"")</f>
        <v>Balance Sheet (If using Business Assets for Funds for Closing/Reserves/Down Pmt)</v>
      </c>
      <c r="AH161" s="1067" t="str">
        <f>IF(AG161="","",IF(AC161="Disclosure",MAX(AH$104:AH160)+1,""))</f>
        <v/>
      </c>
      <c r="AI161" s="1068" t="str">
        <f t="shared" si="32"/>
        <v/>
      </c>
      <c r="AJ161" s="1069" t="str">
        <f>IF(AG161="","",IF(AC161="SubmissionRequired",MAX(AJ$104:AJ160)+1,""))</f>
        <v/>
      </c>
      <c r="AK161" s="1071" t="str">
        <f t="shared" si="33"/>
        <v/>
      </c>
      <c r="AL161" s="1072">
        <f>IF(AG161="","",IF(AC161="SubmissionRecommended",MAX(AL$104:AL160)+1,""))</f>
        <v>17</v>
      </c>
      <c r="AM161" s="1074" t="str">
        <f t="shared" si="34"/>
        <v/>
      </c>
      <c r="AN161" s="1130" t="str">
        <f>IF(AG161="","",IF(AC161="DocType",MAX(AN$104:AN160)+1,""))</f>
        <v/>
      </c>
      <c r="AO161" s="1132" t="str">
        <f t="shared" si="35"/>
        <v/>
      </c>
      <c r="AP161" s="460" t="s">
        <v>76</v>
      </c>
    </row>
    <row r="162" spans="16:42" ht="9.6" customHeight="1" x14ac:dyDescent="0.2">
      <c r="P162" s="461"/>
      <c r="Q162" s="461"/>
      <c r="R162" s="461"/>
      <c r="S162" s="461"/>
      <c r="T162" s="461"/>
      <c r="AC162" s="812" t="s">
        <v>1716</v>
      </c>
      <c r="AD162" s="812" t="s">
        <v>1996</v>
      </c>
      <c r="AE162" s="812" t="s">
        <v>1390</v>
      </c>
      <c r="AF162" s="813" t="s">
        <v>1763</v>
      </c>
      <c r="AG162" s="1087" t="str">
        <f t="shared" ref="AG162:AG167" si="36">AF162</f>
        <v>1004D / Final Inspection [if applicable] (Condition rating C5/C6 and Quality rating Q6 unacceptable)</v>
      </c>
      <c r="AH162" s="1067" t="str">
        <f>IF(AG162="","",IF(AC162="Disclosure",MAX(AH$104:AH161)+1,""))</f>
        <v/>
      </c>
      <c r="AI162" s="1068" t="str">
        <f t="shared" si="32"/>
        <v/>
      </c>
      <c r="AJ162" s="1069" t="str">
        <f>IF(AG162="","",IF(AC162="SubmissionRequired",MAX(AJ$104:AJ161)+1,""))</f>
        <v/>
      </c>
      <c r="AK162" s="1071" t="str">
        <f t="shared" si="33"/>
        <v/>
      </c>
      <c r="AL162" s="1072">
        <f>IF(AG162="","",IF(AC162="SubmissionRecommended",MAX(AL$104:AL161)+1,""))</f>
        <v>18</v>
      </c>
      <c r="AM162" s="1074" t="str">
        <f t="shared" si="34"/>
        <v/>
      </c>
      <c r="AN162" s="1130" t="str">
        <f>IF(AG162="","",IF(AC162="DocType",MAX(AN$104:AN161)+1,""))</f>
        <v/>
      </c>
      <c r="AO162" s="1132" t="str">
        <f t="shared" si="35"/>
        <v/>
      </c>
      <c r="AP162" s="460" t="s">
        <v>76</v>
      </c>
    </row>
    <row r="163" spans="16:42" ht="9.6" customHeight="1" x14ac:dyDescent="0.2">
      <c r="AC163" s="812" t="s">
        <v>1716</v>
      </c>
      <c r="AD163" s="812" t="s">
        <v>1996</v>
      </c>
      <c r="AE163" s="812" t="s">
        <v>1390</v>
      </c>
      <c r="AF163" s="813" t="s">
        <v>1764</v>
      </c>
      <c r="AG163" s="1087" t="str">
        <f t="shared" si="36"/>
        <v>1004D / Final Inspection [if applicable] (Min 600 sf)</v>
      </c>
      <c r="AH163" s="1067" t="str">
        <f>IF(AG163="","",IF(AC163="Disclosure",MAX(AH$104:AH162)+1,""))</f>
        <v/>
      </c>
      <c r="AI163" s="1068" t="str">
        <f t="shared" si="32"/>
        <v/>
      </c>
      <c r="AJ163" s="1069" t="str">
        <f>IF(AG163="","",IF(AC163="SubmissionRequired",MAX(AJ$104:AJ162)+1,""))</f>
        <v/>
      </c>
      <c r="AK163" s="1071" t="str">
        <f t="shared" si="33"/>
        <v/>
      </c>
      <c r="AL163" s="1072">
        <f>IF(AG163="","",IF(AC163="SubmissionRecommended",MAX(AL$104:AL162)+1,""))</f>
        <v>19</v>
      </c>
      <c r="AM163" s="1074" t="str">
        <f t="shared" si="34"/>
        <v/>
      </c>
      <c r="AN163" s="1130" t="str">
        <f>IF(AG163="","",IF(AC163="DocType",MAX(AN$104:AN162)+1,""))</f>
        <v/>
      </c>
      <c r="AO163" s="1132" t="str">
        <f t="shared" si="35"/>
        <v/>
      </c>
      <c r="AP163" s="460" t="s">
        <v>76</v>
      </c>
    </row>
    <row r="164" spans="16:42" ht="9.6" customHeight="1" x14ac:dyDescent="0.2">
      <c r="AC164" s="812" t="s">
        <v>1716</v>
      </c>
      <c r="AD164" s="812" t="s">
        <v>1996</v>
      </c>
      <c r="AE164" s="812" t="s">
        <v>1390</v>
      </c>
      <c r="AF164" s="813" t="s">
        <v>1739</v>
      </c>
      <c r="AG164" s="1087" t="str">
        <f t="shared" si="36"/>
        <v>Master Liability Insurance (w/ Walls-In)</v>
      </c>
      <c r="AH164" s="1067" t="str">
        <f>IF(AG164="","",IF(AC164="Disclosure",MAX(AH$104:AH163)+1,""))</f>
        <v/>
      </c>
      <c r="AI164" s="1068" t="str">
        <f t="shared" si="32"/>
        <v/>
      </c>
      <c r="AJ164" s="1069" t="str">
        <f>IF(AG164="","",IF(AC164="SubmissionRequired",MAX(AJ$104:AJ163)+1,""))</f>
        <v/>
      </c>
      <c r="AK164" s="1071" t="str">
        <f t="shared" si="33"/>
        <v/>
      </c>
      <c r="AL164" s="1072">
        <f>IF(AG164="","",IF(AC164="SubmissionRecommended",MAX(AL$104:AL163)+1,""))</f>
        <v>20</v>
      </c>
      <c r="AM164" s="1074" t="str">
        <f t="shared" si="34"/>
        <v/>
      </c>
      <c r="AN164" s="1130" t="str">
        <f>IF(AG164="","",IF(AC164="DocType",MAX(AN$104:AN163)+1,""))</f>
        <v/>
      </c>
      <c r="AO164" s="1132" t="str">
        <f t="shared" si="35"/>
        <v/>
      </c>
      <c r="AP164" s="460" t="s">
        <v>76</v>
      </c>
    </row>
    <row r="165" spans="16:42" ht="9.6" customHeight="1" x14ac:dyDescent="0.2">
      <c r="AC165" s="812" t="s">
        <v>1716</v>
      </c>
      <c r="AD165" s="812" t="s">
        <v>1996</v>
      </c>
      <c r="AE165" s="812" t="s">
        <v>1390</v>
      </c>
      <c r="AF165" s="813" t="s">
        <v>1756</v>
      </c>
      <c r="AG165" s="1087" t="str">
        <f t="shared" si="36"/>
        <v>Fidelity Bond (Projects &gt; 20 units)</v>
      </c>
      <c r="AH165" s="1067" t="str">
        <f>IF(AG165="","",IF(AC165="Disclosure",MAX(AH$104:AH164)+1,""))</f>
        <v/>
      </c>
      <c r="AI165" s="1068" t="str">
        <f t="shared" si="32"/>
        <v/>
      </c>
      <c r="AJ165" s="1069" t="str">
        <f>IF(AG165="","",IF(AC165="SubmissionRequired",MAX(AJ$104:AJ164)+1,""))</f>
        <v/>
      </c>
      <c r="AK165" s="1071" t="str">
        <f t="shared" si="33"/>
        <v/>
      </c>
      <c r="AL165" s="1072">
        <f>IF(AG165="","",IF(AC165="SubmissionRecommended",MAX(AL$104:AL164)+1,""))</f>
        <v>21</v>
      </c>
      <c r="AM165" s="1074" t="str">
        <f t="shared" si="34"/>
        <v/>
      </c>
      <c r="AN165" s="1130" t="str">
        <f>IF(AG165="","",IF(AC165="DocType",MAX(AN$104:AN164)+1,""))</f>
        <v/>
      </c>
      <c r="AO165" s="1132" t="str">
        <f t="shared" si="35"/>
        <v/>
      </c>
      <c r="AP165" s="460" t="s">
        <v>76</v>
      </c>
    </row>
    <row r="166" spans="16:42" ht="9.6" customHeight="1" x14ac:dyDescent="0.2">
      <c r="AC166" s="812" t="s">
        <v>1716</v>
      </c>
      <c r="AD166" s="812" t="s">
        <v>1996</v>
      </c>
      <c r="AE166" s="812" t="s">
        <v>1390</v>
      </c>
      <c r="AF166" s="813" t="s">
        <v>1773</v>
      </c>
      <c r="AG166" s="1087" t="str">
        <f t="shared" si="36"/>
        <v>HO-6 (if Master Ins Does Not Have Walls-In (Bare Walls Not Acceptable))</v>
      </c>
      <c r="AH166" s="1067" t="str">
        <f>IF(AG166="","",IF(AC166="Disclosure",MAX(AH$104:AH165)+1,""))</f>
        <v/>
      </c>
      <c r="AI166" s="1068" t="str">
        <f t="shared" si="32"/>
        <v/>
      </c>
      <c r="AJ166" s="1069" t="str">
        <f>IF(AG166="","",IF(AC166="SubmissionRequired",MAX(AJ$104:AJ165)+1,""))</f>
        <v/>
      </c>
      <c r="AK166" s="1071" t="str">
        <f t="shared" si="33"/>
        <v/>
      </c>
      <c r="AL166" s="1072">
        <f>IF(AG166="","",IF(AC166="SubmissionRecommended",MAX(AL$104:AL165)+1,""))</f>
        <v>22</v>
      </c>
      <c r="AM166" s="1074" t="str">
        <f t="shared" si="34"/>
        <v/>
      </c>
      <c r="AN166" s="1130" t="str">
        <f>IF(AG166="","",IF(AC166="DocType",MAX(AN$104:AN165)+1,""))</f>
        <v/>
      </c>
      <c r="AO166" s="1132" t="str">
        <f t="shared" si="35"/>
        <v/>
      </c>
      <c r="AP166" s="460" t="s">
        <v>76</v>
      </c>
    </row>
    <row r="167" spans="16:42" ht="9.6" customHeight="1" x14ac:dyDescent="0.2">
      <c r="AC167" s="812" t="s">
        <v>1716</v>
      </c>
      <c r="AD167" s="812" t="s">
        <v>1996</v>
      </c>
      <c r="AE167" s="812" t="s">
        <v>1390</v>
      </c>
      <c r="AF167" s="813" t="s">
        <v>1765</v>
      </c>
      <c r="AG167" s="1087" t="str">
        <f t="shared" si="36"/>
        <v>1031 Exchange Documentation [if applicable] (Executed Agreement and Settlement Stmt from Accommodator)</v>
      </c>
      <c r="AH167" s="1067" t="str">
        <f>IF(AG167="","",IF(AC167="Disclosure",MAX(AH$104:AH166)+1,""))</f>
        <v/>
      </c>
      <c r="AI167" s="1068" t="str">
        <f t="shared" si="32"/>
        <v/>
      </c>
      <c r="AJ167" s="1069" t="str">
        <f>IF(AG167="","",IF(AC167="SubmissionRequired",MAX(AJ$104:AJ166)+1,""))</f>
        <v/>
      </c>
      <c r="AK167" s="1071" t="str">
        <f t="shared" si="33"/>
        <v/>
      </c>
      <c r="AL167" s="1072">
        <f>IF(AG167="","",IF(AC167="SubmissionRecommended",MAX(AL$104:AL166)+1,""))</f>
        <v>23</v>
      </c>
      <c r="AM167" s="1074" t="str">
        <f t="shared" si="34"/>
        <v/>
      </c>
      <c r="AN167" s="1130" t="str">
        <f>IF(AG167="","",IF(AC167="DocType",MAX(AN$104:AN166)+1,""))</f>
        <v/>
      </c>
      <c r="AO167" s="1132" t="str">
        <f t="shared" si="35"/>
        <v/>
      </c>
      <c r="AP167" s="460" t="s">
        <v>76</v>
      </c>
    </row>
    <row r="168" spans="16:42" ht="9.6" customHeight="1" x14ac:dyDescent="0.2">
      <c r="AC168" s="812" t="s">
        <v>1716</v>
      </c>
      <c r="AD168" s="812" t="s">
        <v>1996</v>
      </c>
      <c r="AE168" s="812" t="s">
        <v>1390</v>
      </c>
      <c r="AF168" s="813" t="s">
        <v>1709</v>
      </c>
      <c r="AG168" s="1082" t="str">
        <f>IF(AND(Input_Purpose="Cash-Out",Input_State="TX"),Structure!AF163,"")</f>
        <v/>
      </c>
      <c r="AH168" s="1067" t="str">
        <f>IF(AG168="","",IF(AC168="Disclosure",MAX(AH$104:AH167)+1,""))</f>
        <v/>
      </c>
      <c r="AI168" s="1068" t="str">
        <f t="shared" si="32"/>
        <v/>
      </c>
      <c r="AJ168" s="1069" t="str">
        <f>IF(AG168="","",IF(AC168="SubmissionRequired",MAX(AJ$104:AJ167)+1,""))</f>
        <v/>
      </c>
      <c r="AK168" s="1071" t="str">
        <f t="shared" si="33"/>
        <v/>
      </c>
      <c r="AL168" s="1072" t="str">
        <f>IF(AG168="","",IF(AC168="SubmissionRecommended",MAX(AL$104:AL167)+1,""))</f>
        <v/>
      </c>
      <c r="AM168" s="1074" t="str">
        <f t="shared" si="34"/>
        <v/>
      </c>
      <c r="AN168" s="1130" t="str">
        <f>IF(AG168="","",IF(AC168="DocType",MAX(AN$104:AN167)+1,""))</f>
        <v/>
      </c>
      <c r="AO168" s="1132" t="str">
        <f t="shared" si="35"/>
        <v/>
      </c>
      <c r="AP168" s="460" t="s">
        <v>76</v>
      </c>
    </row>
    <row r="169" spans="16:42" ht="9.6" customHeight="1" x14ac:dyDescent="0.2">
      <c r="AC169" s="812" t="s">
        <v>1716</v>
      </c>
      <c r="AD169" s="812" t="s">
        <v>1996</v>
      </c>
      <c r="AE169" s="812" t="s">
        <v>1390</v>
      </c>
      <c r="AF169" s="813" t="s">
        <v>1757</v>
      </c>
      <c r="AG169" s="1087" t="str">
        <f>AF169</f>
        <v>Solar Agreement and Endorsement [if applicable]</v>
      </c>
      <c r="AH169" s="1067" t="str">
        <f>IF(AG169="","",IF(AC169="Disclosure",MAX(AH$104:AH168)+1,""))</f>
        <v/>
      </c>
      <c r="AI169" s="1068" t="str">
        <f t="shared" ref="AI169:AI198" si="37">IFERROR(INDEX($AG$105:$AG$198,MATCH(ROW()-ROW($AI$104),$AH$105:$AH$198,0)),"")</f>
        <v/>
      </c>
      <c r="AJ169" s="1069" t="str">
        <f>IF(AG169="","",IF(AC169="SubmissionRequired",MAX(AJ$104:AJ168)+1,""))</f>
        <v/>
      </c>
      <c r="AK169" s="1071" t="str">
        <f t="shared" ref="AK169:AK198" si="38">IFERROR(INDEX($AG$105:$AG$198,MATCH(ROW()-ROW($AK$104),$AJ$105:$AJ$198,0)),"")</f>
        <v/>
      </c>
      <c r="AL169" s="1072">
        <f>IF(AG169="","",IF(AC169="SubmissionRecommended",MAX(AL$104:AL168)+1,""))</f>
        <v>24</v>
      </c>
      <c r="AM169" s="1074" t="str">
        <f t="shared" ref="AM169:AM198" si="39">IFERROR(INDEX($AG$105:$AG$198,MATCH(ROW()-ROW($AM$104),$AL$105:$AL$198,0)),"")</f>
        <v/>
      </c>
      <c r="AN169" s="1130" t="str">
        <f>IF(AG169="","",IF(AC169="DocType",MAX(AN$104:AN168)+1,""))</f>
        <v/>
      </c>
      <c r="AO169" s="1132" t="str">
        <f t="shared" ref="AO169:AO198" si="40">IFERROR(INDEX($AG$105:$AG$198,MATCH(ROW()-ROW($AO$104),$AN$105:$AN$198,0)),"")</f>
        <v/>
      </c>
      <c r="AP169" s="460" t="s">
        <v>76</v>
      </c>
    </row>
    <row r="170" spans="16:42" ht="9.6" customHeight="1" x14ac:dyDescent="0.2">
      <c r="AC170" s="1077" t="s">
        <v>1716</v>
      </c>
      <c r="AD170" s="1077" t="s">
        <v>1996</v>
      </c>
      <c r="AE170" s="1077" t="s">
        <v>1707</v>
      </c>
      <c r="AF170" s="1080" t="s">
        <v>1726</v>
      </c>
      <c r="AG170" s="1082" t="str">
        <f>IF(Input_State="CO",Structure!AF170,"")</f>
        <v/>
      </c>
      <c r="AH170" s="1067" t="str">
        <f>IF(AG170="","",IF(AC170="Disclosure",MAX(AH$104:AH169)+1,""))</f>
        <v/>
      </c>
      <c r="AI170" s="1068" t="str">
        <f t="shared" si="37"/>
        <v/>
      </c>
      <c r="AJ170" s="1069" t="str">
        <f>IF(AG170="","",IF(AC170="SubmissionRequired",MAX(AJ$104:AJ169)+1,""))</f>
        <v/>
      </c>
      <c r="AK170" s="1071" t="str">
        <f t="shared" si="38"/>
        <v/>
      </c>
      <c r="AL170" s="1072" t="str">
        <f>IF(AG170="","",IF(AC170="SubmissionRecommended",MAX(AL$104:AL169)+1,""))</f>
        <v/>
      </c>
      <c r="AM170" s="1074" t="str">
        <f t="shared" si="39"/>
        <v/>
      </c>
      <c r="AN170" s="1130" t="str">
        <f>IF(AG170="","",IF(AC170="DocType",MAX(AN$104:AN169)+1,""))</f>
        <v/>
      </c>
      <c r="AO170" s="1132" t="str">
        <f t="shared" si="40"/>
        <v/>
      </c>
      <c r="AP170" s="460" t="s">
        <v>76</v>
      </c>
    </row>
    <row r="171" spans="16:42" ht="9.6" customHeight="1" x14ac:dyDescent="0.2">
      <c r="AC171" s="1077" t="s">
        <v>1794</v>
      </c>
      <c r="AD171" s="1077" t="s">
        <v>1996</v>
      </c>
      <c r="AE171" s="1077" t="s">
        <v>1407</v>
      </c>
      <c r="AF171" s="1080" t="s">
        <v>1784</v>
      </c>
      <c r="AG171" s="1082" t="str">
        <f>IF(Input_DocType=Structure!AE171,Structure!AF171,"")</f>
        <v/>
      </c>
      <c r="AH171" s="1067" t="str">
        <f>IF(AG171="","",IF(AC171="Disclosure",MAX(AH$104:AH170)+1,""))</f>
        <v/>
      </c>
      <c r="AI171" s="1068" t="str">
        <f t="shared" si="37"/>
        <v/>
      </c>
      <c r="AJ171" s="1069" t="str">
        <f>IF(AG171="","",IF(AC171="SubmissionRequired",MAX(AJ$104:AJ170)+1,""))</f>
        <v/>
      </c>
      <c r="AK171" s="1071" t="str">
        <f t="shared" si="38"/>
        <v/>
      </c>
      <c r="AL171" s="1072" t="str">
        <f>IF(AG171="","",IF(AC171="SubmissionRecommended",MAX(AL$104:AL170)+1,""))</f>
        <v/>
      </c>
      <c r="AM171" s="1074" t="str">
        <f t="shared" si="39"/>
        <v/>
      </c>
      <c r="AN171" s="1130" t="str">
        <f>IF(AG171="","",IF(AC171="DocType",MAX(AN$104:AN170)+1,""))</f>
        <v/>
      </c>
      <c r="AO171" s="1132" t="str">
        <f t="shared" si="40"/>
        <v/>
      </c>
      <c r="AP171" s="460" t="s">
        <v>76</v>
      </c>
    </row>
    <row r="172" spans="16:42" ht="9.6" customHeight="1" x14ac:dyDescent="0.2">
      <c r="AC172" s="1077" t="s">
        <v>1794</v>
      </c>
      <c r="AD172" s="1077" t="s">
        <v>1996</v>
      </c>
      <c r="AE172" s="1077" t="s">
        <v>1407</v>
      </c>
      <c r="AF172" s="1080" t="s">
        <v>1785</v>
      </c>
      <c r="AG172" s="1082" t="str">
        <f>IF(Input_DocType=Structure!AE172,Structure!AF172,"")</f>
        <v/>
      </c>
      <c r="AH172" s="1067" t="str">
        <f>IF(AG172="","",IF(AC172="Disclosure",MAX(AH$104:AH171)+1,""))</f>
        <v/>
      </c>
      <c r="AI172" s="1068" t="str">
        <f t="shared" si="37"/>
        <v/>
      </c>
      <c r="AJ172" s="1069" t="str">
        <f>IF(AG172="","",IF(AC172="SubmissionRequired",MAX(AJ$104:AJ171)+1,""))</f>
        <v/>
      </c>
      <c r="AK172" s="1071" t="str">
        <f t="shared" si="38"/>
        <v/>
      </c>
      <c r="AL172" s="1072" t="str">
        <f>IF(AG172="","",IF(AC172="SubmissionRecommended",MAX(AL$104:AL171)+1,""))</f>
        <v/>
      </c>
      <c r="AM172" s="1074" t="str">
        <f t="shared" si="39"/>
        <v/>
      </c>
      <c r="AN172" s="1130" t="str">
        <f>IF(AG172="","",IF(AC172="DocType",MAX(AN$104:AN171)+1,""))</f>
        <v/>
      </c>
      <c r="AO172" s="1132" t="str">
        <f t="shared" si="40"/>
        <v/>
      </c>
      <c r="AP172" s="460" t="s">
        <v>76</v>
      </c>
    </row>
    <row r="173" spans="16:42" ht="9.6" customHeight="1" x14ac:dyDescent="0.2">
      <c r="AC173" s="1077" t="s">
        <v>1794</v>
      </c>
      <c r="AD173" s="1077" t="s">
        <v>1996</v>
      </c>
      <c r="AE173" s="1077" t="s">
        <v>1407</v>
      </c>
      <c r="AF173" s="1080" t="s">
        <v>1786</v>
      </c>
      <c r="AG173" s="1082" t="str">
        <f>IF(Input_DocType=Structure!AE173,Structure!AF173,"")</f>
        <v/>
      </c>
      <c r="AH173" s="1067" t="str">
        <f>IF(AG173="","",IF(AC173="Disclosure",MAX(AH$104:AH172)+1,""))</f>
        <v/>
      </c>
      <c r="AI173" s="1068" t="str">
        <f t="shared" si="37"/>
        <v/>
      </c>
      <c r="AJ173" s="1069" t="str">
        <f>IF(AG173="","",IF(AC173="SubmissionRequired",MAX(AJ$104:AJ172)+1,""))</f>
        <v/>
      </c>
      <c r="AK173" s="1071" t="str">
        <f t="shared" si="38"/>
        <v/>
      </c>
      <c r="AL173" s="1072" t="str">
        <f>IF(AG173="","",IF(AC173="SubmissionRecommended",MAX(AL$104:AL172)+1,""))</f>
        <v/>
      </c>
      <c r="AM173" s="1074" t="str">
        <f t="shared" si="39"/>
        <v/>
      </c>
      <c r="AN173" s="1130" t="str">
        <f>IF(AG173="","",IF(AC173="DocType",MAX(AN$104:AN172)+1,""))</f>
        <v/>
      </c>
      <c r="AO173" s="1132" t="str">
        <f t="shared" si="40"/>
        <v/>
      </c>
      <c r="AP173" s="460" t="s">
        <v>76</v>
      </c>
    </row>
    <row r="174" spans="16:42" ht="9.6" customHeight="1" x14ac:dyDescent="0.2">
      <c r="AC174" s="1077" t="s">
        <v>1794</v>
      </c>
      <c r="AD174" s="1077" t="s">
        <v>1996</v>
      </c>
      <c r="AE174" s="1077" t="s">
        <v>1407</v>
      </c>
      <c r="AF174" s="1080" t="s">
        <v>1800</v>
      </c>
      <c r="AG174" s="1082" t="str">
        <f>IF(Input_DocType=Structure!AE174,Structure!AF174,"")</f>
        <v/>
      </c>
      <c r="AH174" s="1067" t="str">
        <f>IF(AG174="","",IF(AC174="Disclosure",MAX(AH$104:AH173)+1,""))</f>
        <v/>
      </c>
      <c r="AI174" s="1068" t="str">
        <f t="shared" si="37"/>
        <v/>
      </c>
      <c r="AJ174" s="1069" t="str">
        <f>IF(AG174="","",IF(AC174="SubmissionRequired",MAX(AJ$104:AJ173)+1,""))</f>
        <v/>
      </c>
      <c r="AK174" s="1071" t="str">
        <f t="shared" si="38"/>
        <v/>
      </c>
      <c r="AL174" s="1072" t="str">
        <f>IF(AG174="","",IF(AC174="SubmissionRecommended",MAX(AL$104:AL173)+1,""))</f>
        <v/>
      </c>
      <c r="AM174" s="1074" t="str">
        <f t="shared" si="39"/>
        <v/>
      </c>
      <c r="AN174" s="1130" t="str">
        <f>IF(AG174="","",IF(AC174="DocType",MAX(AN$104:AN173)+1,""))</f>
        <v/>
      </c>
      <c r="AO174" s="1132" t="str">
        <f t="shared" si="40"/>
        <v/>
      </c>
      <c r="AP174" s="460" t="s">
        <v>76</v>
      </c>
    </row>
    <row r="175" spans="16:42" ht="9.6" customHeight="1" x14ac:dyDescent="0.2">
      <c r="AC175" s="1077" t="s">
        <v>1794</v>
      </c>
      <c r="AD175" s="1077" t="s">
        <v>1996</v>
      </c>
      <c r="AE175" s="1077" t="s">
        <v>1408</v>
      </c>
      <c r="AF175" s="1080" t="s">
        <v>1784</v>
      </c>
      <c r="AG175" s="1082" t="str">
        <f>IF(Input_DocType=Structure!AE175,Structure!AF175,"")</f>
        <v/>
      </c>
      <c r="AH175" s="1067" t="str">
        <f>IF(AG175="","",IF(AC175="Disclosure",MAX(AH$104:AH174)+1,""))</f>
        <v/>
      </c>
      <c r="AI175" s="1068" t="str">
        <f t="shared" si="37"/>
        <v/>
      </c>
      <c r="AJ175" s="1069" t="str">
        <f>IF(AG175="","",IF(AC175="SubmissionRequired",MAX(AJ$104:AJ174)+1,""))</f>
        <v/>
      </c>
      <c r="AK175" s="1071" t="str">
        <f t="shared" si="38"/>
        <v/>
      </c>
      <c r="AL175" s="1072" t="str">
        <f>IF(AG175="","",IF(AC175="SubmissionRecommended",MAX(AL$104:AL174)+1,""))</f>
        <v/>
      </c>
      <c r="AM175" s="1074" t="str">
        <f t="shared" si="39"/>
        <v/>
      </c>
      <c r="AN175" s="1130" t="str">
        <f>IF(AG175="","",IF(AC175="DocType",MAX(AN$104:AN174)+1,""))</f>
        <v/>
      </c>
      <c r="AO175" s="1132" t="str">
        <f t="shared" si="40"/>
        <v/>
      </c>
      <c r="AP175" s="460" t="s">
        <v>76</v>
      </c>
    </row>
    <row r="176" spans="16:42" ht="9.6" customHeight="1" x14ac:dyDescent="0.2">
      <c r="AC176" s="1077" t="s">
        <v>1794</v>
      </c>
      <c r="AD176" s="1077" t="s">
        <v>1996</v>
      </c>
      <c r="AE176" s="1077" t="s">
        <v>1408</v>
      </c>
      <c r="AF176" s="1080" t="s">
        <v>1787</v>
      </c>
      <c r="AG176" s="1082" t="str">
        <f>IF(Input_DocType=Structure!AE176,Structure!AF176,"")</f>
        <v/>
      </c>
      <c r="AH176" s="1067" t="str">
        <f>IF(AG176="","",IF(AC176="Disclosure",MAX(AH$104:AH175)+1,""))</f>
        <v/>
      </c>
      <c r="AI176" s="1068" t="str">
        <f t="shared" si="37"/>
        <v/>
      </c>
      <c r="AJ176" s="1069" t="str">
        <f>IF(AG176="","",IF(AC176="SubmissionRequired",MAX(AJ$104:AJ175)+1,""))</f>
        <v/>
      </c>
      <c r="AK176" s="1071" t="str">
        <f t="shared" si="38"/>
        <v/>
      </c>
      <c r="AL176" s="1072" t="str">
        <f>IF(AG176="","",IF(AC176="SubmissionRecommended",MAX(AL$104:AL175)+1,""))</f>
        <v/>
      </c>
      <c r="AM176" s="1074" t="str">
        <f t="shared" si="39"/>
        <v/>
      </c>
      <c r="AN176" s="1130" t="str">
        <f>IF(AG176="","",IF(AC176="DocType",MAX(AN$104:AN175)+1,""))</f>
        <v/>
      </c>
      <c r="AO176" s="1132" t="str">
        <f t="shared" si="40"/>
        <v/>
      </c>
      <c r="AP176" s="460" t="s">
        <v>76</v>
      </c>
    </row>
    <row r="177" spans="24:54" ht="9.6" customHeight="1" x14ac:dyDescent="0.2">
      <c r="AC177" s="1077" t="s">
        <v>1794</v>
      </c>
      <c r="AD177" s="1077" t="s">
        <v>1996</v>
      </c>
      <c r="AE177" s="1077" t="s">
        <v>1408</v>
      </c>
      <c r="AF177" s="1080" t="s">
        <v>1788</v>
      </c>
      <c r="AG177" s="1082" t="str">
        <f>IF(Input_DocType=Structure!AE177,Structure!AF177,"")</f>
        <v/>
      </c>
      <c r="AH177" s="1067" t="str">
        <f>IF(AG177="","",IF(AC177="Disclosure",MAX(AH$104:AH176)+1,""))</f>
        <v/>
      </c>
      <c r="AI177" s="1068" t="str">
        <f t="shared" si="37"/>
        <v/>
      </c>
      <c r="AJ177" s="1069" t="str">
        <f>IF(AG177="","",IF(AC177="SubmissionRequired",MAX(AJ$104:AJ176)+1,""))</f>
        <v/>
      </c>
      <c r="AK177" s="1071" t="str">
        <f t="shared" si="38"/>
        <v/>
      </c>
      <c r="AL177" s="1072" t="str">
        <f>IF(AG177="","",IF(AC177="SubmissionRecommended",MAX(AL$104:AL176)+1,""))</f>
        <v/>
      </c>
      <c r="AM177" s="1074" t="str">
        <f t="shared" si="39"/>
        <v/>
      </c>
      <c r="AN177" s="1130" t="str">
        <f>IF(AG177="","",IF(AC177="DocType",MAX(AN$104:AN176)+1,""))</f>
        <v/>
      </c>
      <c r="AO177" s="1132" t="str">
        <f t="shared" si="40"/>
        <v/>
      </c>
      <c r="AP177" s="460" t="s">
        <v>76</v>
      </c>
    </row>
    <row r="178" spans="24:54" ht="9.6" customHeight="1" x14ac:dyDescent="0.2">
      <c r="AC178" s="1077" t="s">
        <v>1794</v>
      </c>
      <c r="AD178" s="1077" t="s">
        <v>1996</v>
      </c>
      <c r="AE178" s="1077" t="s">
        <v>1408</v>
      </c>
      <c r="AF178" s="1080" t="s">
        <v>1800</v>
      </c>
      <c r="AG178" s="1082" t="str">
        <f>IF(Input_DocType=Structure!AE178,Structure!AF178,"")</f>
        <v/>
      </c>
      <c r="AH178" s="1067" t="str">
        <f>IF(AG178="","",IF(AC178="Disclosure",MAX(AH$104:AH177)+1,""))</f>
        <v/>
      </c>
      <c r="AI178" s="1068" t="str">
        <f t="shared" si="37"/>
        <v/>
      </c>
      <c r="AJ178" s="1069" t="str">
        <f>IF(AG178="","",IF(AC178="SubmissionRequired",MAX(AJ$104:AJ177)+1,""))</f>
        <v/>
      </c>
      <c r="AK178" s="1071" t="str">
        <f t="shared" si="38"/>
        <v/>
      </c>
      <c r="AL178" s="1072" t="str">
        <f>IF(AG178="","",IF(AC178="SubmissionRecommended",MAX(AL$104:AL177)+1,""))</f>
        <v/>
      </c>
      <c r="AM178" s="1074" t="str">
        <f t="shared" si="39"/>
        <v/>
      </c>
      <c r="AN178" s="1130" t="str">
        <f>IF(AG178="","",IF(AC178="DocType",MAX(AN$104:AN177)+1,""))</f>
        <v/>
      </c>
      <c r="AO178" s="1132" t="str">
        <f t="shared" si="40"/>
        <v/>
      </c>
      <c r="AP178" s="460" t="s">
        <v>76</v>
      </c>
      <c r="AS178" s="460" t="e">
        <f>Input_PL_Incentive_PN</f>
        <v>#N/A</v>
      </c>
    </row>
    <row r="179" spans="24:54" ht="9.6" customHeight="1" x14ac:dyDescent="0.2">
      <c r="AC179" s="1077" t="s">
        <v>1794</v>
      </c>
      <c r="AD179" s="1077" t="s">
        <v>1996</v>
      </c>
      <c r="AE179" s="1077" t="s">
        <v>185</v>
      </c>
      <c r="AF179" s="1080" t="s">
        <v>1784</v>
      </c>
      <c r="AG179" s="1082" t="str">
        <f>IF(Input_DocType=Structure!AE179,Structure!AF179,"")</f>
        <v/>
      </c>
      <c r="AH179" s="1067" t="str">
        <f>IF(AG179="","",IF(AC179="Disclosure",MAX(AH$104:AH178)+1,""))</f>
        <v/>
      </c>
      <c r="AI179" s="1068" t="str">
        <f t="shared" si="37"/>
        <v/>
      </c>
      <c r="AJ179" s="1069" t="str">
        <f>IF(AG179="","",IF(AC179="SubmissionRequired",MAX(AJ$104:AJ178)+1,""))</f>
        <v/>
      </c>
      <c r="AK179" s="1071" t="str">
        <f t="shared" si="38"/>
        <v/>
      </c>
      <c r="AL179" s="1072" t="str">
        <f>IF(AG179="","",IF(AC179="SubmissionRecommended",MAX(AL$104:AL178)+1,""))</f>
        <v/>
      </c>
      <c r="AM179" s="1074" t="str">
        <f t="shared" si="39"/>
        <v/>
      </c>
      <c r="AN179" s="1130" t="str">
        <f>IF(AG179="","",IF(AC179="DocType",MAX(AN$104:AN178)+1,""))</f>
        <v/>
      </c>
      <c r="AO179" s="1132" t="str">
        <f t="shared" si="40"/>
        <v/>
      </c>
      <c r="AP179" s="460" t="s">
        <v>76</v>
      </c>
    </row>
    <row r="180" spans="24:54" ht="9.6" customHeight="1" x14ac:dyDescent="0.2">
      <c r="AC180" s="1077" t="s">
        <v>1794</v>
      </c>
      <c r="AD180" s="1077" t="s">
        <v>1996</v>
      </c>
      <c r="AE180" s="1077" t="s">
        <v>185</v>
      </c>
      <c r="AF180" s="1080" t="s">
        <v>1789</v>
      </c>
      <c r="AG180" s="1082" t="str">
        <f>IF(Input_DocType=Structure!AE180,Structure!AF180,"")</f>
        <v/>
      </c>
      <c r="AH180" s="1067" t="str">
        <f>IF(AG180="","",IF(AC180="Disclosure",MAX(AH$104:AH179)+1,""))</f>
        <v/>
      </c>
      <c r="AI180" s="1068" t="str">
        <f t="shared" si="37"/>
        <v/>
      </c>
      <c r="AJ180" s="1069" t="str">
        <f>IF(AG180="","",IF(AC180="SubmissionRequired",MAX(AJ$104:AJ179)+1,""))</f>
        <v/>
      </c>
      <c r="AK180" s="1071" t="str">
        <f t="shared" si="38"/>
        <v/>
      </c>
      <c r="AL180" s="1072" t="str">
        <f>IF(AG180="","",IF(AC180="SubmissionRecommended",MAX(AL$104:AL179)+1,""))</f>
        <v/>
      </c>
      <c r="AM180" s="1074" t="str">
        <f t="shared" si="39"/>
        <v/>
      </c>
      <c r="AN180" s="1130" t="str">
        <f>IF(AG180="","",IF(AC180="DocType",MAX(AN$104:AN179)+1,""))</f>
        <v/>
      </c>
      <c r="AO180" s="1132" t="str">
        <f t="shared" si="40"/>
        <v/>
      </c>
      <c r="AP180" s="460" t="s">
        <v>76</v>
      </c>
    </row>
    <row r="181" spans="24:54" ht="9.6" customHeight="1" x14ac:dyDescent="0.2">
      <c r="AC181" s="1077" t="s">
        <v>1794</v>
      </c>
      <c r="AD181" s="1077" t="s">
        <v>1996</v>
      </c>
      <c r="AE181" s="1077" t="s">
        <v>185</v>
      </c>
      <c r="AF181" s="1080" t="s">
        <v>1790</v>
      </c>
      <c r="AG181" s="1082" t="str">
        <f>IF(Input_DocType=Structure!AE181,Structure!AF181,"")</f>
        <v/>
      </c>
      <c r="AH181" s="1067" t="str">
        <f>IF(AG181="","",IF(AC181="Disclosure",MAX(AH$104:AH180)+1,""))</f>
        <v/>
      </c>
      <c r="AI181" s="1068" t="str">
        <f t="shared" si="37"/>
        <v/>
      </c>
      <c r="AJ181" s="1069" t="str">
        <f>IF(AG181="","",IF(AC181="SubmissionRequired",MAX(AJ$104:AJ180)+1,""))</f>
        <v/>
      </c>
      <c r="AK181" s="1071" t="str">
        <f t="shared" si="38"/>
        <v/>
      </c>
      <c r="AL181" s="1072" t="str">
        <f>IF(AG181="","",IF(AC181="SubmissionRecommended",MAX(AL$104:AL180)+1,""))</f>
        <v/>
      </c>
      <c r="AM181" s="1074" t="str">
        <f t="shared" si="39"/>
        <v/>
      </c>
      <c r="AN181" s="1130" t="str">
        <f>IF(AG181="","",IF(AC181="DocType",MAX(AN$104:AN180)+1,""))</f>
        <v/>
      </c>
      <c r="AO181" s="1132" t="str">
        <f t="shared" si="40"/>
        <v/>
      </c>
      <c r="AP181" s="460" t="s">
        <v>76</v>
      </c>
    </row>
    <row r="182" spans="24:54" ht="9.6" customHeight="1" x14ac:dyDescent="0.2">
      <c r="AC182" s="1077" t="s">
        <v>1794</v>
      </c>
      <c r="AD182" s="1077" t="s">
        <v>1996</v>
      </c>
      <c r="AE182" s="1077" t="s">
        <v>187</v>
      </c>
      <c r="AF182" s="1080" t="s">
        <v>1784</v>
      </c>
      <c r="AG182" s="1082" t="str">
        <f>IF(Input_DocType=Structure!AE182,Structure!AF182,"")</f>
        <v/>
      </c>
      <c r="AH182" s="1067" t="str">
        <f>IF(AG182="","",IF(AC182="Disclosure",MAX(AH$104:AH181)+1,""))</f>
        <v/>
      </c>
      <c r="AI182" s="1068" t="str">
        <f t="shared" si="37"/>
        <v/>
      </c>
      <c r="AJ182" s="1069" t="str">
        <f>IF(AG182="","",IF(AC182="SubmissionRequired",MAX(AJ$104:AJ181)+1,""))</f>
        <v/>
      </c>
      <c r="AK182" s="1071" t="str">
        <f t="shared" si="38"/>
        <v/>
      </c>
      <c r="AL182" s="1072" t="str">
        <f>IF(AG182="","",IF(AC182="SubmissionRecommended",MAX(AL$104:AL181)+1,""))</f>
        <v/>
      </c>
      <c r="AM182" s="1074" t="str">
        <f t="shared" si="39"/>
        <v/>
      </c>
      <c r="AN182" s="1130" t="str">
        <f>IF(AG182="","",IF(AC182="DocType",MAX(AN$104:AN181)+1,""))</f>
        <v/>
      </c>
      <c r="AO182" s="1132" t="str">
        <f t="shared" si="40"/>
        <v/>
      </c>
      <c r="AP182" s="460" t="s">
        <v>76</v>
      </c>
    </row>
    <row r="183" spans="24:54" ht="9.6" customHeight="1" x14ac:dyDescent="0.2">
      <c r="AC183" s="1077" t="s">
        <v>1794</v>
      </c>
      <c r="AD183" s="1077" t="s">
        <v>1996</v>
      </c>
      <c r="AE183" s="1077" t="s">
        <v>187</v>
      </c>
      <c r="AF183" s="1080" t="s">
        <v>1720</v>
      </c>
      <c r="AG183" s="1082" t="str">
        <f>IF(Input_DocType=Structure!AE183,Structure!AF183,"")</f>
        <v/>
      </c>
      <c r="AH183" s="1067" t="str">
        <f>IF(AG183="","",IF(AC183="Disclosure",MAX(AH$104:AH182)+1,""))</f>
        <v/>
      </c>
      <c r="AI183" s="1068" t="str">
        <f t="shared" si="37"/>
        <v/>
      </c>
      <c r="AJ183" s="1069" t="str">
        <f>IF(AG183="","",IF(AC183="SubmissionRequired",MAX(AJ$104:AJ182)+1,""))</f>
        <v/>
      </c>
      <c r="AK183" s="1071" t="str">
        <f t="shared" si="38"/>
        <v/>
      </c>
      <c r="AL183" s="1072" t="str">
        <f>IF(AG183="","",IF(AC183="SubmissionRecommended",MAX(AL$104:AL182)+1,""))</f>
        <v/>
      </c>
      <c r="AM183" s="1074" t="str">
        <f t="shared" si="39"/>
        <v/>
      </c>
      <c r="AN183" s="1130" t="str">
        <f>IF(AG183="","",IF(AC183="DocType",MAX(AN$104:AN182)+1,""))</f>
        <v/>
      </c>
      <c r="AO183" s="1132" t="str">
        <f t="shared" si="40"/>
        <v/>
      </c>
      <c r="AP183" s="460" t="s">
        <v>76</v>
      </c>
    </row>
    <row r="184" spans="24:54" ht="9.6" customHeight="1" x14ac:dyDescent="0.2">
      <c r="AC184" s="1077" t="s">
        <v>1794</v>
      </c>
      <c r="AD184" s="1077" t="s">
        <v>1996</v>
      </c>
      <c r="AE184" s="1077" t="s">
        <v>187</v>
      </c>
      <c r="AF184" s="1080" t="s">
        <v>1791</v>
      </c>
      <c r="AG184" s="1082" t="str">
        <f>IF(Input_DocType=Structure!AE184,Structure!AF184,"")</f>
        <v/>
      </c>
      <c r="AH184" s="1067" t="str">
        <f>IF(AG184="","",IF(AC184="Disclosure",MAX(AH$104:AH183)+1,""))</f>
        <v/>
      </c>
      <c r="AI184" s="1068" t="str">
        <f t="shared" si="37"/>
        <v/>
      </c>
      <c r="AJ184" s="1069" t="str">
        <f>IF(AG184="","",IF(AC184="SubmissionRequired",MAX(AJ$104:AJ183)+1,""))</f>
        <v/>
      </c>
      <c r="AK184" s="1071" t="str">
        <f t="shared" si="38"/>
        <v/>
      </c>
      <c r="AL184" s="1072" t="str">
        <f>IF(AG184="","",IF(AC184="SubmissionRecommended",MAX(AL$104:AL183)+1,""))</f>
        <v/>
      </c>
      <c r="AM184" s="1074" t="str">
        <f t="shared" si="39"/>
        <v/>
      </c>
      <c r="AN184" s="1130" t="str">
        <f>IF(AG184="","",IF(AC184="DocType",MAX(AN$104:AN183)+1,""))</f>
        <v/>
      </c>
      <c r="AO184" s="1132" t="str">
        <f t="shared" si="40"/>
        <v/>
      </c>
      <c r="AP184" s="460" t="s">
        <v>76</v>
      </c>
    </row>
    <row r="185" spans="24:54" ht="9.6" customHeight="1" x14ac:dyDescent="0.2">
      <c r="AC185" s="1077" t="s">
        <v>1794</v>
      </c>
      <c r="AD185" s="1077" t="s">
        <v>1996</v>
      </c>
      <c r="AE185" s="1077" t="s">
        <v>187</v>
      </c>
      <c r="AF185" s="1080" t="s">
        <v>1797</v>
      </c>
      <c r="AG185" s="1082" t="str">
        <f>IF(Input_DocType=Structure!AE185,Structure!AF185,"")</f>
        <v/>
      </c>
      <c r="AH185" s="1067" t="str">
        <f>IF(AG185="","",IF(AC185="Disclosure",MAX(AH$104:AH184)+1,""))</f>
        <v/>
      </c>
      <c r="AI185" s="1068" t="str">
        <f t="shared" si="37"/>
        <v/>
      </c>
      <c r="AJ185" s="1069" t="str">
        <f>IF(AG185="","",IF(AC185="SubmissionRequired",MAX(AJ$104:AJ184)+1,""))</f>
        <v/>
      </c>
      <c r="AK185" s="1071" t="str">
        <f t="shared" si="38"/>
        <v/>
      </c>
      <c r="AL185" s="1072" t="str">
        <f>IF(AG185="","",IF(AC185="SubmissionRecommended",MAX(AL$104:AL184)+1,""))</f>
        <v/>
      </c>
      <c r="AM185" s="1074" t="str">
        <f t="shared" si="39"/>
        <v/>
      </c>
      <c r="AN185" s="1130" t="str">
        <f>IF(AG185="","",IF(AC185="DocType",MAX(AN$104:AN184)+1,""))</f>
        <v/>
      </c>
      <c r="AO185" s="1132" t="str">
        <f t="shared" si="40"/>
        <v/>
      </c>
      <c r="AP185" s="460" t="s">
        <v>76</v>
      </c>
      <c r="BB185" s="814"/>
    </row>
    <row r="186" spans="24:54" ht="9.6" customHeight="1" x14ac:dyDescent="0.2">
      <c r="AC186" s="1077" t="s">
        <v>1794</v>
      </c>
      <c r="AD186" s="1077" t="s">
        <v>1996</v>
      </c>
      <c r="AE186" s="1077" t="s">
        <v>189</v>
      </c>
      <c r="AF186" s="1080" t="s">
        <v>1784</v>
      </c>
      <c r="AG186" s="1082" t="str">
        <f>IF(Input_DocType=Structure!AE186,Structure!AF186,"")</f>
        <v>Full documentation of non-employment income (SSI, pension, alimony, child support, trust income, etc.)</v>
      </c>
      <c r="AH186" s="1067" t="str">
        <f>IF(AG186="","",IF(AC186="Disclosure",MAX(AH$104:AH185)+1,""))</f>
        <v/>
      </c>
      <c r="AI186" s="1068" t="str">
        <f t="shared" si="37"/>
        <v/>
      </c>
      <c r="AJ186" s="1069" t="str">
        <f>IF(AG186="","",IF(AC186="SubmissionRequired",MAX(AJ$104:AJ185)+1,""))</f>
        <v/>
      </c>
      <c r="AK186" s="1071" t="str">
        <f t="shared" si="38"/>
        <v/>
      </c>
      <c r="AL186" s="1072" t="str">
        <f>IF(AG186="","",IF(AC186="SubmissionRecommended",MAX(AL$104:AL185)+1,""))</f>
        <v/>
      </c>
      <c r="AM186" s="1074" t="str">
        <f t="shared" si="39"/>
        <v/>
      </c>
      <c r="AN186" s="1130">
        <f>IF(AG186="","",IF(AC186="DocType",MAX(AN$104:AN185)+1,""))</f>
        <v>1</v>
      </c>
      <c r="AO186" s="1132" t="str">
        <f t="shared" si="40"/>
        <v/>
      </c>
      <c r="AP186" s="460" t="s">
        <v>76</v>
      </c>
      <c r="BB186" s="814"/>
    </row>
    <row r="187" spans="24:54" ht="9.6" customHeight="1" x14ac:dyDescent="0.2">
      <c r="AC187" s="1077" t="s">
        <v>1794</v>
      </c>
      <c r="AD187" s="1077" t="s">
        <v>1996</v>
      </c>
      <c r="AE187" s="1077" t="s">
        <v>189</v>
      </c>
      <c r="AF187" s="1080" t="s">
        <v>1798</v>
      </c>
      <c r="AG187" s="1082" t="str">
        <f>IF(Input_DocType=Structure!AE187,Structure!AF187,"")</f>
        <v>1007 [For unleased unit(s)]</v>
      </c>
      <c r="AH187" s="1067" t="str">
        <f>IF(AG187="","",IF(AC187="Disclosure",MAX(AH$104:AH186)+1,""))</f>
        <v/>
      </c>
      <c r="AI187" s="1068" t="str">
        <f t="shared" si="37"/>
        <v/>
      </c>
      <c r="AJ187" s="1069" t="str">
        <f>IF(AG187="","",IF(AC187="SubmissionRequired",MAX(AJ$104:AJ186)+1,""))</f>
        <v/>
      </c>
      <c r="AK187" s="1071" t="str">
        <f t="shared" si="38"/>
        <v/>
      </c>
      <c r="AL187" s="1072" t="str">
        <f>IF(AG187="","",IF(AC187="SubmissionRecommended",MAX(AL$104:AL186)+1,""))</f>
        <v/>
      </c>
      <c r="AM187" s="1074" t="str">
        <f t="shared" si="39"/>
        <v/>
      </c>
      <c r="AN187" s="1130">
        <f>IF(AG187="","",IF(AC187="DocType",MAX(AN$104:AN186)+1,""))</f>
        <v>2</v>
      </c>
      <c r="AO187" s="1132" t="str">
        <f t="shared" si="40"/>
        <v/>
      </c>
      <c r="AP187" s="460" t="s">
        <v>76</v>
      </c>
    </row>
    <row r="188" spans="24:54" ht="9.6" customHeight="1" x14ac:dyDescent="0.2">
      <c r="AC188" s="1077" t="s">
        <v>1794</v>
      </c>
      <c r="AD188" s="1077" t="s">
        <v>1996</v>
      </c>
      <c r="AE188" s="1077" t="s">
        <v>189</v>
      </c>
      <c r="AF188" s="1080" t="s">
        <v>1792</v>
      </c>
      <c r="AG188" s="1082" t="str">
        <f>IF(Input_DocType=Structure!AE188,Structure!AF188,"")</f>
        <v>Evidence PITIA (For subject property)</v>
      </c>
      <c r="AH188" s="1067" t="str">
        <f>IF(AG188="","",IF(AC188="Disclosure",MAX(AH$104:AH187)+1,""))</f>
        <v/>
      </c>
      <c r="AI188" s="1068" t="str">
        <f t="shared" si="37"/>
        <v/>
      </c>
      <c r="AJ188" s="1069" t="str">
        <f>IF(AG188="","",IF(AC188="SubmissionRequired",MAX(AJ$104:AJ187)+1,""))</f>
        <v/>
      </c>
      <c r="AK188" s="1071" t="str">
        <f t="shared" si="38"/>
        <v/>
      </c>
      <c r="AL188" s="1072" t="str">
        <f>IF(AG188="","",IF(AC188="SubmissionRecommended",MAX(AL$104:AL187)+1,""))</f>
        <v/>
      </c>
      <c r="AM188" s="1074" t="str">
        <f t="shared" si="39"/>
        <v/>
      </c>
      <c r="AN188" s="1130">
        <f>IF(AG188="","",IF(AC188="DocType",MAX(AN$104:AN187)+1,""))</f>
        <v>3</v>
      </c>
      <c r="AO188" s="1132" t="str">
        <f t="shared" si="40"/>
        <v/>
      </c>
      <c r="AP188" s="460" t="s">
        <v>76</v>
      </c>
    </row>
    <row r="189" spans="24:54" ht="9.6" customHeight="1" x14ac:dyDescent="0.2">
      <c r="AC189" s="1077" t="s">
        <v>1794</v>
      </c>
      <c r="AD189" s="1077" t="s">
        <v>1996</v>
      </c>
      <c r="AE189" s="1077" t="s">
        <v>189</v>
      </c>
      <c r="AF189" s="1080" t="s">
        <v>1551</v>
      </c>
      <c r="AG189" s="1082" t="str">
        <f>IF(Input_DocType=Structure!AE189,Structure!AF189,"")</f>
        <v>SS-89</v>
      </c>
      <c r="AH189" s="1067" t="str">
        <f>IF(AG189="","",IF(AC189="Disclosure",MAX(AH$104:AH188)+1,""))</f>
        <v/>
      </c>
      <c r="AI189" s="1068" t="str">
        <f t="shared" si="37"/>
        <v/>
      </c>
      <c r="AJ189" s="1069" t="str">
        <f>IF(AG189="","",IF(AC189="SubmissionRequired",MAX(AJ$104:AJ188)+1,""))</f>
        <v/>
      </c>
      <c r="AK189" s="1071" t="str">
        <f t="shared" si="38"/>
        <v/>
      </c>
      <c r="AL189" s="1072" t="str">
        <f>IF(AG189="","",IF(AC189="SubmissionRecommended",MAX(AL$104:AL188)+1,""))</f>
        <v/>
      </c>
      <c r="AM189" s="1074" t="str">
        <f t="shared" si="39"/>
        <v/>
      </c>
      <c r="AN189" s="1130">
        <f>IF(AG189="","",IF(AC189="DocType",MAX(AN$104:AN188)+1,""))</f>
        <v>4</v>
      </c>
      <c r="AO189" s="1132" t="str">
        <f t="shared" si="40"/>
        <v/>
      </c>
      <c r="AP189" s="460" t="s">
        <v>76</v>
      </c>
    </row>
    <row r="190" spans="24:54" ht="9.6" customHeight="1" x14ac:dyDescent="0.2">
      <c r="X190" s="461"/>
      <c r="Y190" s="461"/>
      <c r="Z190" s="461"/>
      <c r="AA190" s="461"/>
      <c r="AC190" s="1077" t="s">
        <v>1794</v>
      </c>
      <c r="AD190" s="1077" t="s">
        <v>1996</v>
      </c>
      <c r="AE190" s="1077" t="s">
        <v>246</v>
      </c>
      <c r="AF190" s="1080" t="s">
        <v>1784</v>
      </c>
      <c r="AG190" s="1082" t="str">
        <f>IF(Input_DocType=Structure!AE190,Structure!AF190,"")</f>
        <v/>
      </c>
      <c r="AH190" s="1067" t="str">
        <f>IF(AG190="","",IF(AC190="Disclosure",MAX(AH$104:AH189)+1,""))</f>
        <v/>
      </c>
      <c r="AI190" s="1068" t="str">
        <f t="shared" si="37"/>
        <v/>
      </c>
      <c r="AJ190" s="1069" t="str">
        <f>IF(AG190="","",IF(AC190="SubmissionRequired",MAX(AJ$104:AJ189)+1,""))</f>
        <v/>
      </c>
      <c r="AK190" s="1071" t="str">
        <f t="shared" si="38"/>
        <v/>
      </c>
      <c r="AL190" s="1072" t="str">
        <f>IF(AG190="","",IF(AC190="SubmissionRecommended",MAX(AL$104:AL189)+1,""))</f>
        <v/>
      </c>
      <c r="AM190" s="1074" t="str">
        <f t="shared" si="39"/>
        <v/>
      </c>
      <c r="AN190" s="1130" t="str">
        <f>IF(AG190="","",IF(AC190="DocType",MAX(AN$104:AN189)+1,""))</f>
        <v/>
      </c>
      <c r="AO190" s="1132" t="str">
        <f t="shared" si="40"/>
        <v/>
      </c>
      <c r="AP190" s="460" t="s">
        <v>76</v>
      </c>
    </row>
    <row r="191" spans="24:54" ht="9.6" customHeight="1" x14ac:dyDescent="0.2">
      <c r="X191" s="461"/>
      <c r="Y191" s="461"/>
      <c r="Z191" s="461"/>
      <c r="AA191" s="461"/>
      <c r="AC191" s="1077" t="s">
        <v>1794</v>
      </c>
      <c r="AD191" s="1077" t="s">
        <v>1996</v>
      </c>
      <c r="AE191" s="1077" t="s">
        <v>246</v>
      </c>
      <c r="AF191" s="1080" t="s">
        <v>1793</v>
      </c>
      <c r="AG191" s="1082" t="str">
        <f>IF(Input_DocType=Structure!AE191,Structure!AF191,"")</f>
        <v/>
      </c>
      <c r="AH191" s="1067" t="str">
        <f>IF(AG191="","",IF(AC191="Disclosure",MAX(AH$104:AH190)+1,""))</f>
        <v/>
      </c>
      <c r="AI191" s="1068" t="str">
        <f t="shared" si="37"/>
        <v/>
      </c>
      <c r="AJ191" s="1069" t="str">
        <f>IF(AG191="","",IF(AC191="SubmissionRequired",MAX(AJ$104:AJ190)+1,""))</f>
        <v/>
      </c>
      <c r="AK191" s="1071" t="str">
        <f t="shared" si="38"/>
        <v/>
      </c>
      <c r="AL191" s="1072" t="str">
        <f>IF(AG191="","",IF(AC191="SubmissionRecommended",MAX(AL$104:AL190)+1,""))</f>
        <v/>
      </c>
      <c r="AM191" s="1074" t="str">
        <f t="shared" si="39"/>
        <v/>
      </c>
      <c r="AN191" s="1130" t="str">
        <f>IF(AG191="","",IF(AC191="DocType",MAX(AN$104:AN190)+1,""))</f>
        <v/>
      </c>
      <c r="AO191" s="1132" t="str">
        <f t="shared" si="40"/>
        <v/>
      </c>
      <c r="AP191" s="460" t="s">
        <v>76</v>
      </c>
    </row>
    <row r="192" spans="24:54" ht="9.6" customHeight="1" x14ac:dyDescent="0.2">
      <c r="X192" s="461"/>
      <c r="Y192" s="461"/>
      <c r="Z192" s="461"/>
      <c r="AA192" s="461"/>
      <c r="AC192" s="1077" t="s">
        <v>1794</v>
      </c>
      <c r="AD192" s="1077" t="s">
        <v>1996</v>
      </c>
      <c r="AE192" s="1077" t="s">
        <v>463</v>
      </c>
      <c r="AF192" s="1080" t="s">
        <v>1784</v>
      </c>
      <c r="AG192" s="1082" t="str">
        <f>IF(Input_DocType=Structure!AE192,Structure!AF192,"")</f>
        <v/>
      </c>
      <c r="AH192" s="1067" t="str">
        <f>IF(AG192="","",IF(AC192="Disclosure",MAX(AH$104:AH191)+1,""))</f>
        <v/>
      </c>
      <c r="AI192" s="1068" t="str">
        <f t="shared" si="37"/>
        <v/>
      </c>
      <c r="AJ192" s="1069" t="str">
        <f>IF(AG192="","",IF(AC192="SubmissionRequired",MAX(AJ$104:AJ191)+1,""))</f>
        <v/>
      </c>
      <c r="AK192" s="1071" t="str">
        <f t="shared" si="38"/>
        <v/>
      </c>
      <c r="AL192" s="1072" t="str">
        <f>IF(AG192="","",IF(AC192="SubmissionRecommended",MAX(AL$104:AL191)+1,""))</f>
        <v/>
      </c>
      <c r="AM192" s="1074" t="str">
        <f t="shared" si="39"/>
        <v/>
      </c>
      <c r="AN192" s="1130" t="str">
        <f>IF(AG192="","",IF(AC192="DocType",MAX(AN$104:AN191)+1,""))</f>
        <v/>
      </c>
      <c r="AO192" s="1132" t="str">
        <f t="shared" si="40"/>
        <v/>
      </c>
      <c r="AP192" s="460" t="s">
        <v>76</v>
      </c>
    </row>
    <row r="193" spans="24:66" ht="9.6" customHeight="1" x14ac:dyDescent="0.2">
      <c r="X193" s="461"/>
      <c r="Y193" s="461"/>
      <c r="Z193" s="461"/>
      <c r="AA193" s="461"/>
      <c r="AC193" s="1077" t="s">
        <v>1794</v>
      </c>
      <c r="AD193" s="1077" t="s">
        <v>1996</v>
      </c>
      <c r="AE193" s="1077" t="s">
        <v>463</v>
      </c>
      <c r="AF193" s="1080" t="s">
        <v>1791</v>
      </c>
      <c r="AG193" s="1082" t="str">
        <f>IF(Input_DocType=Structure!AE193,Structure!AF193,"")</f>
        <v/>
      </c>
      <c r="AH193" s="1067" t="str">
        <f>IF(AG193="","",IF(AC193="Disclosure",MAX(AH$104:AH192)+1,""))</f>
        <v/>
      </c>
      <c r="AI193" s="1068" t="str">
        <f t="shared" si="37"/>
        <v/>
      </c>
      <c r="AJ193" s="1069" t="str">
        <f>IF(AG193="","",IF(AC193="SubmissionRequired",MAX(AJ$104:AJ192)+1,""))</f>
        <v/>
      </c>
      <c r="AK193" s="1071" t="str">
        <f t="shared" si="38"/>
        <v/>
      </c>
      <c r="AL193" s="1072" t="str">
        <f>IF(AG193="","",IF(AC193="SubmissionRecommended",MAX(AL$104:AL192)+1,""))</f>
        <v/>
      </c>
      <c r="AM193" s="1074" t="str">
        <f t="shared" si="39"/>
        <v/>
      </c>
      <c r="AN193" s="1130" t="str">
        <f>IF(AG193="","",IF(AC193="DocType",MAX(AN$104:AN192)+1,""))</f>
        <v/>
      </c>
      <c r="AO193" s="1132" t="str">
        <f t="shared" si="40"/>
        <v/>
      </c>
      <c r="AP193" s="460" t="s">
        <v>76</v>
      </c>
    </row>
    <row r="194" spans="24:66" ht="9.6" customHeight="1" x14ac:dyDescent="0.2">
      <c r="X194" s="461"/>
      <c r="Y194" s="461"/>
      <c r="Z194" s="461"/>
      <c r="AA194" s="461"/>
      <c r="AC194" s="1077" t="s">
        <v>1794</v>
      </c>
      <c r="AD194" s="1077" t="s">
        <v>1996</v>
      </c>
      <c r="AE194" s="1077" t="s">
        <v>463</v>
      </c>
      <c r="AF194" s="1080" t="s">
        <v>1799</v>
      </c>
      <c r="AG194" s="1082" t="str">
        <f>IF(Input_DocType=Structure!AE194,Structure!AF194,"")</f>
        <v/>
      </c>
      <c r="AH194" s="1067" t="str">
        <f>IF(AG194="","",IF(AC194="Disclosure",MAX(AH$104:AH193)+1,""))</f>
        <v/>
      </c>
      <c r="AI194" s="1068" t="str">
        <f t="shared" si="37"/>
        <v/>
      </c>
      <c r="AJ194" s="1069" t="str">
        <f>IF(AG194="","",IF(AC194="SubmissionRequired",MAX(AJ$104:AJ193)+1,""))</f>
        <v/>
      </c>
      <c r="AK194" s="1071" t="str">
        <f t="shared" si="38"/>
        <v/>
      </c>
      <c r="AL194" s="1072" t="str">
        <f>IF(AG194="","",IF(AC194="SubmissionRecommended",MAX(AL$104:AL193)+1,""))</f>
        <v/>
      </c>
      <c r="AM194" s="1074" t="str">
        <f t="shared" si="39"/>
        <v/>
      </c>
      <c r="AN194" s="1130" t="str">
        <f>IF(AG194="","",IF(AC194="DocType",MAX(AN$104:AN193)+1,""))</f>
        <v/>
      </c>
      <c r="AO194" s="1132" t="str">
        <f t="shared" si="40"/>
        <v/>
      </c>
      <c r="AP194" s="460" t="s">
        <v>76</v>
      </c>
    </row>
    <row r="195" spans="24:66" ht="9.6" customHeight="1" x14ac:dyDescent="0.2">
      <c r="X195" s="461"/>
      <c r="Y195" s="461"/>
      <c r="Z195" s="461"/>
      <c r="AA195" s="461"/>
      <c r="AC195" s="1077" t="s">
        <v>1794</v>
      </c>
      <c r="AD195" s="1077" t="s">
        <v>1996</v>
      </c>
      <c r="AE195" s="1077" t="s">
        <v>463</v>
      </c>
      <c r="AF195" s="1080" t="s">
        <v>1795</v>
      </c>
      <c r="AG195" s="1082" t="str">
        <f>IF(Input_DocType=Structure!AE195,Structure!AF195,"")</f>
        <v/>
      </c>
      <c r="AH195" s="1067" t="str">
        <f>IF(AG195="","",IF(AC195="Disclosure",MAX(AH$104:AH194)+1,""))</f>
        <v/>
      </c>
      <c r="AI195" s="1068" t="str">
        <f t="shared" si="37"/>
        <v/>
      </c>
      <c r="AJ195" s="1069" t="str">
        <f>IF(AG195="","",IF(AC195="SubmissionRequired",MAX(AJ$104:AJ194)+1,""))</f>
        <v/>
      </c>
      <c r="AK195" s="1071" t="str">
        <f t="shared" si="38"/>
        <v/>
      </c>
      <c r="AL195" s="1072" t="str">
        <f>IF(AG195="","",IF(AC195="SubmissionRecommended",MAX(AL$104:AL194)+1,""))</f>
        <v/>
      </c>
      <c r="AM195" s="1074" t="str">
        <f t="shared" si="39"/>
        <v/>
      </c>
      <c r="AN195" s="1130" t="str">
        <f>IF(AG195="","",IF(AC195="DocType",MAX(AN$104:AN194)+1,""))</f>
        <v/>
      </c>
      <c r="AO195" s="1132" t="str">
        <f t="shared" si="40"/>
        <v/>
      </c>
      <c r="AP195" s="460" t="s">
        <v>76</v>
      </c>
    </row>
    <row r="196" spans="24:66" ht="9.6" customHeight="1" x14ac:dyDescent="0.2">
      <c r="X196" s="461"/>
      <c r="Y196" s="461"/>
      <c r="Z196" s="461"/>
      <c r="AA196" s="461"/>
      <c r="AC196" s="1077" t="s">
        <v>1794</v>
      </c>
      <c r="AD196" s="1077" t="s">
        <v>1996</v>
      </c>
      <c r="AE196" s="1077" t="s">
        <v>466</v>
      </c>
      <c r="AF196" s="1080" t="s">
        <v>1784</v>
      </c>
      <c r="AG196" s="1082" t="str">
        <f>IF(Input_DocType=Structure!AE196,Structure!AF196,"")</f>
        <v/>
      </c>
      <c r="AH196" s="1067" t="str">
        <f>IF(AG196="","",IF(AC196="Disclosure",MAX(AH$104:AH195)+1,""))</f>
        <v/>
      </c>
      <c r="AI196" s="1068" t="str">
        <f t="shared" si="37"/>
        <v/>
      </c>
      <c r="AJ196" s="1069" t="str">
        <f>IF(AG196="","",IF(AC196="SubmissionRequired",MAX(AJ$104:AJ195)+1,""))</f>
        <v/>
      </c>
      <c r="AK196" s="1071" t="str">
        <f t="shared" si="38"/>
        <v/>
      </c>
      <c r="AL196" s="1072" t="str">
        <f>IF(AG196="","",IF(AC196="SubmissionRecommended",MAX(AL$104:AL195)+1,""))</f>
        <v/>
      </c>
      <c r="AM196" s="1074" t="str">
        <f t="shared" si="39"/>
        <v/>
      </c>
      <c r="AN196" s="1130" t="str">
        <f>IF(AG196="","",IF(AC196="DocType",MAX(AN$104:AN195)+1,""))</f>
        <v/>
      </c>
      <c r="AO196" s="1132" t="str">
        <f t="shared" si="40"/>
        <v/>
      </c>
      <c r="AP196" s="460" t="s">
        <v>76</v>
      </c>
    </row>
    <row r="197" spans="24:66" ht="9.6" customHeight="1" x14ac:dyDescent="0.2">
      <c r="X197" s="461"/>
      <c r="Y197" s="461"/>
      <c r="Z197" s="461"/>
      <c r="AA197" s="461"/>
      <c r="AC197" s="1077" t="s">
        <v>1794</v>
      </c>
      <c r="AD197" s="1077" t="s">
        <v>1996</v>
      </c>
      <c r="AE197" s="1077" t="s">
        <v>466</v>
      </c>
      <c r="AF197" s="1080" t="s">
        <v>1796</v>
      </c>
      <c r="AG197" s="1082" t="str">
        <f>IF(Input_DocType=Structure!AE197,Structure!AF197,"")</f>
        <v/>
      </c>
      <c r="AH197" s="1067" t="str">
        <f>IF(AG197="","",IF(AC197="Disclosure",MAX(AH$104:AH196)+1,""))</f>
        <v/>
      </c>
      <c r="AI197" s="1068" t="str">
        <f t="shared" si="37"/>
        <v/>
      </c>
      <c r="AJ197" s="1069" t="str">
        <f>IF(AG197="","",IF(AC197="SubmissionRequired",MAX(AJ$104:AJ196)+1,""))</f>
        <v/>
      </c>
      <c r="AK197" s="1071" t="str">
        <f t="shared" si="38"/>
        <v/>
      </c>
      <c r="AL197" s="1072" t="str">
        <f>IF(AG197="","",IF(AC197="SubmissionRecommended",MAX(AL$104:AL196)+1,""))</f>
        <v/>
      </c>
      <c r="AM197" s="1074" t="str">
        <f t="shared" si="39"/>
        <v/>
      </c>
      <c r="AN197" s="1130" t="str">
        <f>IF(AG197="","",IF(AC197="DocType",MAX(AN$104:AN196)+1,""))</f>
        <v/>
      </c>
      <c r="AO197" s="1132" t="str">
        <f t="shared" si="40"/>
        <v/>
      </c>
      <c r="AP197" s="460" t="s">
        <v>76</v>
      </c>
    </row>
    <row r="198" spans="24:66" ht="9.6" customHeight="1" x14ac:dyDescent="0.2">
      <c r="X198" s="461"/>
      <c r="Y198" s="461"/>
      <c r="Z198" s="461"/>
      <c r="AA198" s="461"/>
      <c r="AC198" s="1075"/>
      <c r="AD198" s="1075"/>
      <c r="AE198" s="1075"/>
      <c r="AF198" s="626"/>
      <c r="AG198" s="1089"/>
      <c r="AH198" s="1067" t="str">
        <f>IF(AG198="","",IF(AC198="Disclosure",MAX(AH$104:AH197)+1,""))</f>
        <v/>
      </c>
      <c r="AI198" s="1068" t="str">
        <f t="shared" si="37"/>
        <v/>
      </c>
      <c r="AJ198" s="1069" t="str">
        <f>IF(AG198="","",IF(AC198="SubmissionRequired",MAX(AJ$104:AJ197)+1,""))</f>
        <v/>
      </c>
      <c r="AK198" s="1071" t="str">
        <f t="shared" si="38"/>
        <v/>
      </c>
      <c r="AL198" s="1072" t="str">
        <f>IF(AG198="","",IF(AC198="SubmissionRecommended",MAX(AL$104:AL197)+1,""))</f>
        <v/>
      </c>
      <c r="AM198" s="1074" t="str">
        <f t="shared" si="39"/>
        <v/>
      </c>
      <c r="AN198" s="1130" t="str">
        <f>IF(AG198="","",IF(AC198="DocType",MAX(AN$104:AN197)+1,""))</f>
        <v/>
      </c>
      <c r="AO198" s="1132" t="str">
        <f t="shared" si="40"/>
        <v/>
      </c>
      <c r="AP198" s="460" t="s">
        <v>76</v>
      </c>
    </row>
    <row r="199" spans="24:66" ht="9.6" customHeight="1" x14ac:dyDescent="0.2">
      <c r="X199" s="461"/>
      <c r="Y199" s="461"/>
      <c r="Z199" s="461"/>
      <c r="AA199" s="461"/>
    </row>
    <row r="200" spans="24:66" ht="9.6" customHeight="1" x14ac:dyDescent="0.2">
      <c r="X200" s="461"/>
      <c r="Y200" s="461"/>
      <c r="Z200" s="461"/>
      <c r="AA200" s="461"/>
    </row>
    <row r="201" spans="24:66" ht="9.6" customHeight="1" x14ac:dyDescent="0.2">
      <c r="X201" s="461"/>
      <c r="Y201" s="461"/>
      <c r="Z201" s="461"/>
      <c r="AA201" s="461"/>
    </row>
    <row r="202" spans="24:66" ht="9.6" customHeight="1" x14ac:dyDescent="0.2">
      <c r="X202" s="461"/>
      <c r="Y202" s="461"/>
      <c r="Z202" s="461"/>
      <c r="AA202" s="461"/>
    </row>
    <row r="203" spans="24:66" ht="9.6" customHeight="1" x14ac:dyDescent="0.2">
      <c r="X203" s="461"/>
      <c r="Y203" s="461"/>
      <c r="Z203" s="461"/>
      <c r="AA203" s="461"/>
    </row>
    <row r="204" spans="24:66" ht="9.6" customHeight="1" x14ac:dyDescent="0.2">
      <c r="X204" s="461"/>
      <c r="Y204" s="461"/>
      <c r="Z204" s="461"/>
      <c r="AA204" s="461"/>
    </row>
    <row r="205" spans="24:66" ht="9.6" customHeight="1" x14ac:dyDescent="0.2">
      <c r="X205" s="461"/>
      <c r="Y205" s="461"/>
      <c r="Z205" s="461"/>
      <c r="AA205" s="461"/>
    </row>
    <row r="206" spans="24:66" ht="9.6" customHeight="1" x14ac:dyDescent="0.2">
      <c r="X206" s="461"/>
      <c r="Y206" s="461"/>
      <c r="Z206" s="461"/>
      <c r="AA206" s="461"/>
    </row>
    <row r="207" spans="24:66" ht="9.6" customHeight="1" x14ac:dyDescent="0.2">
      <c r="X207" s="461"/>
      <c r="Y207" s="461"/>
      <c r="Z207" s="461"/>
      <c r="AA207" s="461"/>
    </row>
    <row r="208" spans="24:66" ht="9.6" customHeight="1" x14ac:dyDescent="0.2">
      <c r="X208" s="461"/>
      <c r="Y208" s="461"/>
      <c r="Z208" s="461"/>
      <c r="AA208" s="461"/>
      <c r="BG208" s="461"/>
      <c r="BH208" s="461"/>
      <c r="BI208" s="461"/>
      <c r="BJ208" s="461"/>
      <c r="BK208" s="461"/>
      <c r="BL208" s="461"/>
      <c r="BM208" s="461"/>
      <c r="BN208" s="461"/>
    </row>
    <row r="209" spans="23:66" ht="9.6" customHeight="1" x14ac:dyDescent="0.2">
      <c r="X209" s="461"/>
      <c r="Y209" s="461"/>
      <c r="Z209" s="461"/>
      <c r="AA209" s="461"/>
      <c r="BG209" s="461"/>
      <c r="BH209" s="461"/>
      <c r="BI209" s="461"/>
      <c r="BJ209" s="461"/>
      <c r="BK209" s="461"/>
      <c r="BL209" s="461"/>
      <c r="BM209" s="461"/>
      <c r="BN209" s="461"/>
    </row>
    <row r="210" spans="23:66" ht="9.6" customHeight="1" x14ac:dyDescent="0.2">
      <c r="X210" s="461"/>
      <c r="Y210" s="461"/>
      <c r="Z210" s="461"/>
      <c r="AA210" s="461"/>
      <c r="BG210" s="461"/>
      <c r="BH210" s="461"/>
      <c r="BI210" s="461"/>
      <c r="BJ210" s="461"/>
      <c r="BK210" s="461"/>
      <c r="BL210" s="461"/>
      <c r="BM210" s="461"/>
      <c r="BN210" s="461"/>
    </row>
    <row r="211" spans="23:66" ht="9.6" customHeight="1" x14ac:dyDescent="0.2">
      <c r="X211" s="461"/>
      <c r="Y211" s="461"/>
      <c r="Z211" s="461"/>
      <c r="AA211" s="461"/>
      <c r="BG211" s="461"/>
      <c r="BH211" s="461"/>
      <c r="BI211" s="461"/>
      <c r="BJ211" s="461"/>
      <c r="BK211" s="461"/>
      <c r="BL211" s="461"/>
      <c r="BM211" s="461"/>
      <c r="BN211" s="461"/>
    </row>
    <row r="212" spans="23:66" ht="9.6" customHeight="1" x14ac:dyDescent="0.2">
      <c r="X212" s="461"/>
      <c r="Y212" s="461"/>
      <c r="Z212" s="461"/>
      <c r="AA212" s="461"/>
      <c r="BG212" s="461"/>
      <c r="BH212" s="461"/>
      <c r="BI212" s="461"/>
      <c r="BJ212" s="461"/>
      <c r="BK212" s="461"/>
      <c r="BL212" s="461"/>
      <c r="BM212" s="461"/>
      <c r="BN212" s="461"/>
    </row>
    <row r="213" spans="23:66" ht="9.6" customHeight="1" x14ac:dyDescent="0.2">
      <c r="X213" s="461"/>
      <c r="Y213" s="461"/>
      <c r="Z213" s="461"/>
      <c r="AA213" s="461"/>
      <c r="BG213" s="461"/>
      <c r="BH213" s="461"/>
      <c r="BI213" s="461"/>
      <c r="BJ213" s="461"/>
      <c r="BK213" s="461"/>
      <c r="BL213" s="461"/>
      <c r="BM213" s="461"/>
      <c r="BN213" s="461"/>
    </row>
    <row r="214" spans="23:66" ht="9.6" customHeight="1" x14ac:dyDescent="0.2">
      <c r="X214" s="461"/>
      <c r="Y214" s="461"/>
      <c r="Z214" s="461"/>
      <c r="AA214" s="461"/>
      <c r="AB214" s="461"/>
      <c r="AP214" s="461"/>
      <c r="AQ214" s="461"/>
      <c r="AR214" s="461"/>
      <c r="AS214" s="461"/>
      <c r="AT214" s="461"/>
      <c r="AU214" s="461"/>
      <c r="BG214" s="461"/>
      <c r="BH214" s="461"/>
      <c r="BI214" s="461"/>
      <c r="BJ214" s="461"/>
      <c r="BK214" s="461"/>
      <c r="BL214" s="461"/>
      <c r="BM214" s="461"/>
      <c r="BN214" s="461"/>
    </row>
    <row r="215" spans="23:66" ht="9.6" customHeight="1" x14ac:dyDescent="0.2">
      <c r="X215" s="461"/>
      <c r="Y215" s="461"/>
      <c r="Z215" s="461"/>
      <c r="AA215" s="461"/>
      <c r="AB215" s="461"/>
      <c r="AP215" s="461"/>
      <c r="AQ215" s="461"/>
      <c r="AR215" s="461"/>
      <c r="AS215" s="461"/>
      <c r="AT215" s="461"/>
      <c r="AU215" s="461"/>
      <c r="BG215" s="461"/>
      <c r="BH215" s="461"/>
      <c r="BI215" s="461"/>
      <c r="BJ215" s="461"/>
      <c r="BK215" s="461"/>
      <c r="BL215" s="461"/>
      <c r="BM215" s="461"/>
      <c r="BN215" s="461"/>
    </row>
    <row r="216" spans="23:66" ht="9.6" customHeight="1" x14ac:dyDescent="0.2">
      <c r="W216" s="461"/>
      <c r="X216" s="461"/>
      <c r="Y216" s="461"/>
      <c r="Z216" s="461"/>
      <c r="AA216" s="461"/>
      <c r="AB216" s="461"/>
      <c r="AP216" s="461"/>
      <c r="AQ216" s="461"/>
      <c r="AR216" s="461"/>
      <c r="AS216" s="461"/>
      <c r="AT216" s="461"/>
      <c r="AU216" s="461"/>
      <c r="BG216" s="461"/>
      <c r="BH216" s="461"/>
      <c r="BI216" s="461"/>
      <c r="BJ216" s="461"/>
      <c r="BK216" s="461"/>
      <c r="BL216" s="461"/>
      <c r="BM216" s="461"/>
      <c r="BN216" s="461"/>
    </row>
    <row r="217" spans="23:66" ht="9.6" customHeight="1" x14ac:dyDescent="0.2">
      <c r="W217" s="461"/>
      <c r="X217" s="461"/>
      <c r="Y217" s="461"/>
      <c r="Z217" s="461"/>
      <c r="AA217" s="461"/>
      <c r="AB217" s="461"/>
      <c r="AP217" s="461"/>
      <c r="AQ217" s="461"/>
      <c r="AR217" s="461"/>
      <c r="AS217" s="461"/>
      <c r="AT217" s="461"/>
      <c r="AU217" s="461"/>
      <c r="BG217" s="461"/>
      <c r="BH217" s="461"/>
      <c r="BI217" s="461"/>
      <c r="BJ217" s="461"/>
      <c r="BK217" s="461"/>
      <c r="BL217" s="461"/>
      <c r="BM217" s="461"/>
      <c r="BN217" s="461"/>
    </row>
    <row r="218" spans="23:66" ht="9.6" customHeight="1" x14ac:dyDescent="0.2">
      <c r="W218" s="461"/>
      <c r="X218" s="461"/>
      <c r="Y218" s="461"/>
      <c r="Z218" s="461"/>
      <c r="AA218" s="461"/>
      <c r="AB218" s="461"/>
      <c r="AP218" s="461"/>
      <c r="AQ218" s="461"/>
      <c r="AR218" s="461"/>
      <c r="AS218" s="461"/>
      <c r="AT218" s="461"/>
      <c r="AU218" s="461"/>
      <c r="BG218" s="461"/>
      <c r="BH218" s="461"/>
      <c r="BI218" s="461"/>
      <c r="BJ218" s="461"/>
      <c r="BK218" s="461"/>
      <c r="BL218" s="461"/>
      <c r="BM218" s="461"/>
      <c r="BN218" s="461"/>
    </row>
    <row r="219" spans="23:66" ht="9.6" customHeight="1" x14ac:dyDescent="0.2">
      <c r="W219" s="461"/>
      <c r="X219" s="461"/>
      <c r="Y219" s="461"/>
      <c r="Z219" s="461"/>
      <c r="AA219" s="461"/>
      <c r="AB219" s="461"/>
      <c r="AP219" s="461"/>
      <c r="AQ219" s="461"/>
      <c r="AR219" s="461"/>
      <c r="AS219" s="461"/>
      <c r="AT219" s="461"/>
      <c r="AU219" s="461"/>
      <c r="BG219" s="461"/>
      <c r="BH219" s="461"/>
      <c r="BI219" s="461"/>
      <c r="BJ219" s="461"/>
      <c r="BK219" s="461"/>
      <c r="BL219" s="461"/>
      <c r="BM219" s="461"/>
      <c r="BN219" s="461"/>
    </row>
    <row r="220" spans="23:66" ht="9.6" customHeight="1" x14ac:dyDescent="0.2">
      <c r="W220" s="461"/>
      <c r="X220" s="461"/>
      <c r="Y220" s="461"/>
      <c r="Z220" s="461"/>
      <c r="AA220" s="461"/>
      <c r="AB220" s="461"/>
      <c r="AP220" s="461"/>
      <c r="AQ220" s="461"/>
      <c r="AR220" s="461"/>
      <c r="AS220" s="461"/>
      <c r="AT220" s="461"/>
      <c r="AU220" s="461"/>
      <c r="BG220" s="461"/>
      <c r="BH220" s="461"/>
      <c r="BI220" s="461"/>
      <c r="BJ220" s="461"/>
      <c r="BK220" s="461"/>
      <c r="BL220" s="461"/>
      <c r="BM220" s="461"/>
      <c r="BN220" s="461"/>
    </row>
    <row r="221" spans="23:66" ht="9.6" customHeight="1" x14ac:dyDescent="0.2">
      <c r="W221" s="461"/>
      <c r="X221" s="461"/>
      <c r="Y221" s="461"/>
      <c r="Z221" s="461"/>
      <c r="AA221" s="461"/>
      <c r="AB221" s="461"/>
      <c r="AP221" s="461"/>
      <c r="AQ221" s="461"/>
      <c r="AR221" s="461"/>
      <c r="AS221" s="461"/>
      <c r="AT221" s="461"/>
      <c r="AU221" s="461"/>
      <c r="BG221" s="461"/>
      <c r="BH221" s="461"/>
      <c r="BI221" s="461"/>
      <c r="BJ221" s="461"/>
      <c r="BK221" s="461"/>
      <c r="BL221" s="461"/>
      <c r="BM221" s="461"/>
      <c r="BN221" s="461"/>
    </row>
    <row r="222" spans="23:66" ht="9.6" customHeight="1" x14ac:dyDescent="0.2">
      <c r="W222" s="461"/>
      <c r="X222" s="461"/>
      <c r="Y222" s="461"/>
      <c r="Z222" s="461"/>
      <c r="AA222" s="461"/>
      <c r="AB222" s="461"/>
      <c r="AP222" s="461"/>
      <c r="AQ222" s="461"/>
      <c r="AR222" s="461"/>
      <c r="AS222" s="461"/>
      <c r="AT222" s="461"/>
      <c r="AU222" s="461"/>
      <c r="BG222" s="461"/>
      <c r="BH222" s="461"/>
      <c r="BI222" s="461"/>
      <c r="BJ222" s="461"/>
      <c r="BK222" s="461"/>
      <c r="BL222" s="461"/>
      <c r="BM222" s="461"/>
      <c r="BN222" s="461"/>
    </row>
    <row r="223" spans="23:66" ht="9.6" customHeight="1" x14ac:dyDescent="0.2">
      <c r="W223" s="461"/>
      <c r="X223" s="461"/>
      <c r="Y223" s="461"/>
      <c r="Z223" s="461"/>
      <c r="AA223" s="461"/>
      <c r="AB223" s="461"/>
      <c r="AP223" s="461"/>
      <c r="AQ223" s="461"/>
      <c r="AR223" s="461"/>
      <c r="AS223" s="461"/>
      <c r="AT223" s="461"/>
      <c r="AU223" s="461"/>
      <c r="BG223" s="461"/>
      <c r="BH223" s="461"/>
      <c r="BI223" s="461"/>
      <c r="BJ223" s="461"/>
      <c r="BK223" s="461"/>
      <c r="BL223" s="461"/>
      <c r="BM223" s="461"/>
      <c r="BN223" s="461"/>
    </row>
    <row r="224" spans="23:66" ht="9.6" customHeight="1" x14ac:dyDescent="0.2">
      <c r="W224" s="461"/>
      <c r="X224" s="461"/>
      <c r="Y224" s="461"/>
      <c r="Z224" s="461"/>
      <c r="AA224" s="461"/>
      <c r="AB224" s="461"/>
      <c r="AP224" s="461"/>
      <c r="AQ224" s="461"/>
      <c r="AR224" s="461"/>
      <c r="AS224" s="461"/>
      <c r="AT224" s="461"/>
      <c r="AU224" s="461"/>
      <c r="BG224" s="461"/>
      <c r="BH224" s="461"/>
      <c r="BI224" s="461"/>
      <c r="BJ224" s="461"/>
      <c r="BK224" s="461"/>
      <c r="BL224" s="461"/>
      <c r="BM224" s="461"/>
      <c r="BN224" s="461"/>
    </row>
    <row r="225" spans="23:66" ht="9.6" customHeight="1" x14ac:dyDescent="0.2">
      <c r="W225" s="461"/>
      <c r="X225" s="461"/>
      <c r="Y225" s="461"/>
      <c r="Z225" s="461"/>
      <c r="AA225" s="461"/>
      <c r="AB225" s="461"/>
      <c r="AP225" s="461"/>
      <c r="AQ225" s="461"/>
      <c r="AR225" s="461"/>
      <c r="AS225" s="461"/>
      <c r="AT225" s="461"/>
      <c r="AU225" s="461"/>
      <c r="BG225" s="461"/>
      <c r="BH225" s="461"/>
      <c r="BI225" s="461"/>
      <c r="BJ225" s="461"/>
      <c r="BK225" s="461"/>
      <c r="BL225" s="461"/>
      <c r="BM225" s="461"/>
      <c r="BN225" s="461"/>
    </row>
    <row r="226" spans="23:66" ht="9.6" customHeight="1" x14ac:dyDescent="0.2">
      <c r="W226" s="461"/>
      <c r="X226" s="461"/>
      <c r="Y226" s="461"/>
      <c r="Z226" s="461"/>
      <c r="AA226" s="461"/>
      <c r="AB226" s="461"/>
      <c r="AP226" s="461"/>
      <c r="AQ226" s="461"/>
      <c r="AR226" s="461"/>
      <c r="AS226" s="461"/>
      <c r="AT226" s="461"/>
      <c r="AU226" s="461"/>
      <c r="BG226" s="461"/>
      <c r="BH226" s="461"/>
      <c r="BI226" s="461"/>
      <c r="BJ226" s="461"/>
      <c r="BK226" s="461"/>
      <c r="BL226" s="461"/>
      <c r="BM226" s="461"/>
      <c r="BN226" s="461"/>
    </row>
    <row r="227" spans="23:66" ht="9.6" customHeight="1" x14ac:dyDescent="0.2">
      <c r="W227" s="461"/>
      <c r="X227" s="461"/>
      <c r="Y227" s="461"/>
      <c r="Z227" s="461"/>
      <c r="AA227" s="461"/>
      <c r="AB227" s="461"/>
      <c r="AP227" s="461"/>
      <c r="AQ227" s="461"/>
      <c r="AR227" s="461"/>
      <c r="AS227" s="461"/>
      <c r="AT227" s="461"/>
      <c r="AU227" s="461"/>
      <c r="BG227" s="461"/>
      <c r="BH227" s="461"/>
      <c r="BI227" s="461"/>
      <c r="BJ227" s="461"/>
      <c r="BK227" s="461"/>
      <c r="BL227" s="461"/>
      <c r="BM227" s="461"/>
      <c r="BN227" s="461"/>
    </row>
    <row r="228" spans="23:66" ht="9.6" customHeight="1" x14ac:dyDescent="0.2">
      <c r="W228" s="461"/>
      <c r="X228" s="461"/>
      <c r="Y228" s="461"/>
      <c r="Z228" s="461"/>
      <c r="AA228" s="461"/>
      <c r="AB228" s="461"/>
      <c r="AP228" s="461"/>
      <c r="AQ228" s="461"/>
      <c r="AR228" s="461"/>
      <c r="AS228" s="461"/>
      <c r="AT228" s="461"/>
      <c r="AU228" s="461"/>
      <c r="BG228" s="461"/>
      <c r="BH228" s="461"/>
      <c r="BI228" s="461"/>
      <c r="BJ228" s="461"/>
      <c r="BK228" s="461"/>
      <c r="BL228" s="461"/>
      <c r="BM228" s="461"/>
      <c r="BN228" s="461"/>
    </row>
    <row r="229" spans="23:66" ht="9.6" customHeight="1" x14ac:dyDescent="0.2">
      <c r="W229" s="461"/>
      <c r="X229" s="461"/>
      <c r="Y229" s="461"/>
      <c r="Z229" s="461"/>
      <c r="AA229" s="461"/>
      <c r="AB229" s="461"/>
      <c r="AP229" s="461"/>
      <c r="AQ229" s="461"/>
      <c r="AR229" s="461"/>
      <c r="AS229" s="461"/>
      <c r="AT229" s="461"/>
      <c r="AU229" s="461"/>
      <c r="BG229" s="461"/>
      <c r="BH229" s="461"/>
      <c r="BI229" s="461"/>
      <c r="BJ229" s="461"/>
      <c r="BK229" s="461"/>
      <c r="BL229" s="461"/>
      <c r="BM229" s="461"/>
      <c r="BN229" s="461"/>
    </row>
    <row r="230" spans="23:66" ht="9.6" customHeight="1" x14ac:dyDescent="0.2">
      <c r="W230" s="461"/>
      <c r="X230" s="461"/>
      <c r="Y230" s="461"/>
      <c r="Z230" s="461"/>
      <c r="AA230" s="461"/>
      <c r="AB230" s="461"/>
      <c r="AP230" s="461"/>
      <c r="AQ230" s="461"/>
      <c r="AR230" s="461"/>
      <c r="AS230" s="461"/>
      <c r="AT230" s="461"/>
      <c r="AU230" s="461"/>
      <c r="BG230" s="461"/>
      <c r="BH230" s="461"/>
      <c r="BI230" s="461"/>
      <c r="BJ230" s="461"/>
      <c r="BK230" s="461"/>
      <c r="BL230" s="461"/>
      <c r="BM230" s="461"/>
      <c r="BN230" s="461"/>
    </row>
    <row r="231" spans="23:66" ht="9.6" customHeight="1" x14ac:dyDescent="0.2">
      <c r="W231" s="461"/>
      <c r="X231" s="461"/>
      <c r="Y231" s="461"/>
      <c r="Z231" s="461"/>
      <c r="AA231" s="461"/>
      <c r="AB231" s="461"/>
      <c r="AP231" s="461"/>
      <c r="AQ231" s="461"/>
      <c r="AR231" s="461"/>
      <c r="AS231" s="461"/>
      <c r="AT231" s="461"/>
      <c r="AU231" s="461"/>
      <c r="BG231" s="461"/>
      <c r="BH231" s="461"/>
      <c r="BI231" s="461"/>
      <c r="BJ231" s="461"/>
      <c r="BK231" s="461"/>
      <c r="BL231" s="461"/>
      <c r="BM231" s="461"/>
      <c r="BN231" s="461"/>
    </row>
    <row r="232" spans="23:66" ht="9.6" customHeight="1" x14ac:dyDescent="0.2">
      <c r="W232" s="461"/>
      <c r="X232" s="461"/>
      <c r="Y232" s="461"/>
      <c r="Z232" s="461"/>
      <c r="AA232" s="461"/>
      <c r="AB232" s="461"/>
      <c r="AP232" s="461"/>
      <c r="AQ232" s="461"/>
      <c r="AR232" s="461"/>
      <c r="AS232" s="461"/>
      <c r="AT232" s="461"/>
      <c r="AU232" s="461"/>
      <c r="BG232" s="461"/>
      <c r="BH232" s="461"/>
      <c r="BI232" s="461"/>
      <c r="BJ232" s="461"/>
      <c r="BK232" s="461"/>
      <c r="BL232" s="461"/>
      <c r="BM232" s="461"/>
      <c r="BN232" s="461"/>
    </row>
    <row r="233" spans="23:66" ht="9.6" customHeight="1" x14ac:dyDescent="0.2">
      <c r="W233" s="461"/>
      <c r="X233" s="461"/>
      <c r="Y233" s="461"/>
      <c r="Z233" s="461"/>
      <c r="AA233" s="461"/>
      <c r="AB233" s="461"/>
      <c r="AP233" s="461"/>
      <c r="AQ233" s="461"/>
      <c r="AR233" s="461"/>
      <c r="AS233" s="461"/>
      <c r="AT233" s="461"/>
      <c r="AU233" s="461"/>
      <c r="BG233" s="461"/>
      <c r="BH233" s="461"/>
      <c r="BI233" s="461"/>
      <c r="BJ233" s="461"/>
      <c r="BK233" s="461"/>
      <c r="BL233" s="461"/>
      <c r="BM233" s="461"/>
      <c r="BN233" s="461"/>
    </row>
    <row r="234" spans="23:66" ht="9.6" customHeight="1" x14ac:dyDescent="0.2">
      <c r="W234" s="461"/>
      <c r="X234" s="461"/>
      <c r="Y234" s="461"/>
      <c r="Z234" s="461"/>
      <c r="AA234" s="461"/>
      <c r="AB234" s="461"/>
      <c r="AP234" s="461"/>
      <c r="AQ234" s="461"/>
      <c r="AR234" s="461"/>
      <c r="AS234" s="461"/>
      <c r="AT234" s="461"/>
      <c r="AU234" s="461"/>
      <c r="BG234" s="461"/>
      <c r="BH234" s="461"/>
      <c r="BI234" s="461"/>
      <c r="BJ234" s="461"/>
      <c r="BK234" s="461"/>
      <c r="BL234" s="461"/>
      <c r="BM234" s="461"/>
      <c r="BN234" s="461"/>
    </row>
    <row r="235" spans="23:66" ht="9.6" customHeight="1" x14ac:dyDescent="0.2">
      <c r="W235" s="461"/>
      <c r="X235" s="461"/>
      <c r="Y235" s="461"/>
      <c r="Z235" s="461"/>
      <c r="AA235" s="461"/>
      <c r="AB235" s="461"/>
      <c r="AP235" s="461"/>
      <c r="AQ235" s="461"/>
      <c r="AR235" s="461"/>
      <c r="AS235" s="461"/>
      <c r="AT235" s="461"/>
      <c r="AU235" s="461"/>
      <c r="BG235" s="461"/>
      <c r="BH235" s="461"/>
      <c r="BI235" s="461"/>
      <c r="BJ235" s="461"/>
      <c r="BK235" s="461"/>
      <c r="BL235" s="461"/>
      <c r="BM235" s="461"/>
      <c r="BN235" s="461"/>
    </row>
    <row r="236" spans="23:66" ht="9.6" customHeight="1" x14ac:dyDescent="0.2">
      <c r="W236" s="461"/>
      <c r="X236" s="461"/>
      <c r="Y236" s="461"/>
      <c r="Z236" s="461"/>
      <c r="AA236" s="461"/>
      <c r="AB236" s="461"/>
      <c r="AP236" s="461"/>
      <c r="AQ236" s="461"/>
      <c r="AR236" s="461"/>
      <c r="AS236" s="461"/>
      <c r="AT236" s="461"/>
      <c r="AU236" s="461"/>
      <c r="BG236" s="461"/>
      <c r="BH236" s="461"/>
      <c r="BI236" s="461"/>
      <c r="BJ236" s="461"/>
      <c r="BK236" s="461"/>
      <c r="BL236" s="461"/>
      <c r="BM236" s="461"/>
      <c r="BN236" s="461"/>
    </row>
    <row r="237" spans="23:66" ht="9.6" customHeight="1" x14ac:dyDescent="0.2">
      <c r="W237" s="461"/>
      <c r="X237" s="461"/>
      <c r="Y237" s="461"/>
      <c r="Z237" s="461"/>
      <c r="AA237" s="461"/>
      <c r="AB237" s="461"/>
      <c r="AP237" s="461"/>
      <c r="AQ237" s="461"/>
      <c r="AR237" s="461"/>
      <c r="AS237" s="461"/>
      <c r="AT237" s="461"/>
      <c r="AU237" s="461"/>
      <c r="BG237" s="461"/>
      <c r="BH237" s="461"/>
      <c r="BI237" s="461"/>
      <c r="BJ237" s="461"/>
      <c r="BK237" s="461"/>
      <c r="BL237" s="461"/>
      <c r="BM237" s="461"/>
      <c r="BN237" s="461"/>
    </row>
    <row r="238" spans="23:66" ht="9.6" customHeight="1" x14ac:dyDescent="0.2">
      <c r="W238" s="461"/>
      <c r="X238" s="461"/>
      <c r="Y238" s="461"/>
      <c r="Z238" s="461"/>
      <c r="AA238" s="461"/>
      <c r="AB238" s="461"/>
      <c r="AP238" s="461"/>
      <c r="AQ238" s="461"/>
      <c r="AR238" s="461"/>
      <c r="AS238" s="461"/>
      <c r="AT238" s="461"/>
      <c r="AU238" s="461"/>
      <c r="BG238" s="461"/>
      <c r="BH238" s="461"/>
      <c r="BI238" s="461"/>
      <c r="BJ238" s="461"/>
      <c r="BK238" s="461"/>
      <c r="BL238" s="461"/>
      <c r="BM238" s="461"/>
      <c r="BN238" s="461"/>
    </row>
    <row r="239" spans="23:66" ht="9.6" customHeight="1" x14ac:dyDescent="0.2">
      <c r="W239" s="461"/>
      <c r="X239" s="461"/>
      <c r="Y239" s="461"/>
      <c r="Z239" s="461"/>
      <c r="AA239" s="461"/>
      <c r="AB239" s="461"/>
      <c r="AP239" s="461"/>
      <c r="AQ239" s="461"/>
      <c r="AR239" s="461"/>
      <c r="AS239" s="461"/>
      <c r="AT239" s="461"/>
      <c r="AU239" s="461"/>
      <c r="BG239" s="461"/>
      <c r="BH239" s="461"/>
      <c r="BI239" s="461"/>
      <c r="BJ239" s="461"/>
      <c r="BK239" s="461"/>
      <c r="BL239" s="461"/>
      <c r="BM239" s="461"/>
      <c r="BN239" s="461"/>
    </row>
    <row r="240" spans="23:66" ht="9.6" customHeight="1" x14ac:dyDescent="0.2">
      <c r="W240" s="461"/>
      <c r="X240" s="461"/>
      <c r="Y240" s="461"/>
      <c r="Z240" s="461"/>
      <c r="AA240" s="461"/>
      <c r="AB240" s="461"/>
      <c r="AP240" s="461"/>
      <c r="AQ240" s="461"/>
      <c r="AR240" s="461"/>
      <c r="AS240" s="461"/>
      <c r="AT240" s="461"/>
      <c r="AU240" s="461"/>
      <c r="BG240" s="461"/>
      <c r="BH240" s="461"/>
      <c r="BI240" s="461"/>
      <c r="BJ240" s="461"/>
      <c r="BK240" s="461"/>
      <c r="BL240" s="461"/>
      <c r="BM240" s="461"/>
      <c r="BN240" s="461"/>
    </row>
    <row r="241" spans="23:66" ht="9.6" customHeight="1" x14ac:dyDescent="0.2">
      <c r="W241" s="461"/>
      <c r="X241" s="461"/>
      <c r="Y241" s="461"/>
      <c r="Z241" s="461"/>
      <c r="AA241" s="461"/>
      <c r="AB241" s="461"/>
      <c r="AP241" s="461"/>
      <c r="AQ241" s="461"/>
      <c r="AR241" s="461"/>
      <c r="AS241" s="461"/>
      <c r="AT241" s="461"/>
      <c r="AU241" s="461"/>
      <c r="BG241" s="461"/>
      <c r="BH241" s="461"/>
      <c r="BI241" s="461"/>
      <c r="BJ241" s="461"/>
      <c r="BK241" s="461"/>
      <c r="BL241" s="461"/>
      <c r="BM241" s="461"/>
      <c r="BN241" s="461"/>
    </row>
    <row r="242" spans="23:66" ht="9.6" customHeight="1" x14ac:dyDescent="0.2">
      <c r="W242" s="461"/>
      <c r="X242" s="461"/>
      <c r="Y242" s="461"/>
      <c r="Z242" s="461"/>
      <c r="AA242" s="461"/>
      <c r="AB242" s="461"/>
      <c r="AP242" s="461"/>
      <c r="AQ242" s="461"/>
      <c r="AR242" s="461"/>
      <c r="AS242" s="461"/>
      <c r="AT242" s="461"/>
      <c r="AU242" s="461"/>
      <c r="BG242" s="461"/>
      <c r="BH242" s="461"/>
      <c r="BI242" s="461"/>
      <c r="BJ242" s="461"/>
      <c r="BK242" s="461"/>
      <c r="BL242" s="461"/>
      <c r="BM242" s="461"/>
      <c r="BN242" s="461"/>
    </row>
    <row r="243" spans="23:66" ht="9.6" customHeight="1" x14ac:dyDescent="0.2">
      <c r="W243" s="461"/>
      <c r="X243" s="461"/>
      <c r="Y243" s="461"/>
      <c r="Z243" s="461"/>
      <c r="AA243" s="461"/>
      <c r="AB243" s="461"/>
      <c r="AP243" s="461"/>
      <c r="AQ243" s="461"/>
      <c r="AR243" s="461"/>
      <c r="AS243" s="461"/>
      <c r="AT243" s="461"/>
      <c r="AU243" s="461"/>
      <c r="BG243" s="461"/>
      <c r="BH243" s="461"/>
      <c r="BI243" s="461"/>
      <c r="BJ243" s="461"/>
      <c r="BK243" s="461"/>
      <c r="BL243" s="461"/>
      <c r="BM243" s="461"/>
      <c r="BN243" s="461"/>
    </row>
    <row r="244" spans="23:66" ht="9.6" customHeight="1" x14ac:dyDescent="0.2">
      <c r="W244" s="461"/>
      <c r="X244" s="461"/>
      <c r="Y244" s="461"/>
      <c r="Z244" s="461"/>
      <c r="AA244" s="461"/>
      <c r="AB244" s="461"/>
      <c r="AP244" s="461"/>
      <c r="AQ244" s="461"/>
      <c r="AR244" s="461"/>
      <c r="AS244" s="461"/>
      <c r="AT244" s="461"/>
      <c r="AU244" s="461"/>
      <c r="BG244" s="461"/>
      <c r="BH244" s="461"/>
      <c r="BI244" s="461"/>
      <c r="BJ244" s="461"/>
      <c r="BK244" s="461"/>
      <c r="BL244" s="461"/>
      <c r="BM244" s="461"/>
      <c r="BN244" s="461"/>
    </row>
    <row r="245" spans="23:66" ht="9.6" customHeight="1" x14ac:dyDescent="0.2">
      <c r="W245" s="461"/>
      <c r="X245" s="461"/>
      <c r="Y245" s="461"/>
      <c r="Z245" s="461"/>
      <c r="AA245" s="461"/>
      <c r="AB245" s="461"/>
      <c r="AP245" s="461"/>
      <c r="AQ245" s="461"/>
      <c r="AR245" s="461"/>
      <c r="AS245" s="461"/>
      <c r="AT245" s="461"/>
      <c r="AU245" s="461"/>
      <c r="BG245" s="461"/>
      <c r="BH245" s="461"/>
      <c r="BI245" s="461"/>
      <c r="BJ245" s="461"/>
      <c r="BK245" s="461"/>
      <c r="BL245" s="461"/>
      <c r="BM245" s="461"/>
      <c r="BN245" s="461"/>
    </row>
    <row r="246" spans="23:66" ht="9.6" customHeight="1" x14ac:dyDescent="0.2">
      <c r="W246" s="461"/>
      <c r="AB246" s="461"/>
      <c r="AP246" s="461"/>
      <c r="AQ246" s="461"/>
      <c r="AR246" s="461"/>
      <c r="AS246" s="461"/>
      <c r="AT246" s="461"/>
      <c r="AU246" s="461"/>
      <c r="BG246" s="461"/>
      <c r="BH246" s="461"/>
      <c r="BI246" s="461"/>
      <c r="BJ246" s="461"/>
      <c r="BK246" s="461"/>
      <c r="BL246" s="461"/>
      <c r="BM246" s="461"/>
      <c r="BN246" s="461"/>
    </row>
    <row r="247" spans="23:66" ht="9.6" customHeight="1" x14ac:dyDescent="0.2">
      <c r="W247" s="461"/>
      <c r="AB247" s="461"/>
      <c r="AP247" s="461"/>
      <c r="AQ247" s="461"/>
      <c r="AR247" s="461"/>
      <c r="AS247" s="461"/>
      <c r="AT247" s="461"/>
      <c r="AU247" s="461"/>
      <c r="BG247" s="461"/>
      <c r="BH247" s="461"/>
      <c r="BI247" s="461"/>
      <c r="BJ247" s="461"/>
      <c r="BK247" s="461"/>
      <c r="BL247" s="461"/>
      <c r="BM247" s="461"/>
      <c r="BN247" s="461"/>
    </row>
    <row r="248" spans="23:66" ht="9.6" customHeight="1" x14ac:dyDescent="0.2">
      <c r="W248" s="461"/>
      <c r="AB248" s="461"/>
      <c r="AP248" s="461"/>
      <c r="AQ248" s="461"/>
      <c r="AR248" s="461"/>
      <c r="AS248" s="461"/>
      <c r="AT248" s="461"/>
      <c r="AU248" s="461"/>
      <c r="BG248" s="461"/>
      <c r="BH248" s="461"/>
      <c r="BI248" s="461"/>
      <c r="BJ248" s="461"/>
      <c r="BK248" s="461"/>
      <c r="BL248" s="461"/>
      <c r="BM248" s="461"/>
      <c r="BN248" s="461"/>
    </row>
    <row r="249" spans="23:66" ht="9.6" customHeight="1" x14ac:dyDescent="0.2">
      <c r="W249" s="461"/>
      <c r="AB249" s="461"/>
      <c r="AP249" s="461"/>
      <c r="AQ249" s="461"/>
      <c r="AR249" s="461"/>
      <c r="AS249" s="461"/>
      <c r="AT249" s="461"/>
      <c r="AU249" s="461"/>
      <c r="BG249" s="461"/>
      <c r="BH249" s="461"/>
      <c r="BI249" s="461"/>
      <c r="BJ249" s="461"/>
      <c r="BK249" s="461"/>
      <c r="BL249" s="461"/>
      <c r="BM249" s="461"/>
      <c r="BN249" s="461"/>
    </row>
    <row r="250" spans="23:66" ht="9.6" customHeight="1" x14ac:dyDescent="0.2">
      <c r="W250" s="461"/>
      <c r="AB250" s="461"/>
      <c r="AP250" s="461"/>
      <c r="AQ250" s="461"/>
      <c r="AR250" s="461"/>
      <c r="AS250" s="461"/>
      <c r="AT250" s="461"/>
      <c r="AU250" s="461"/>
      <c r="BG250" s="461"/>
      <c r="BH250" s="461"/>
      <c r="BI250" s="461"/>
      <c r="BJ250" s="461"/>
      <c r="BK250" s="461"/>
      <c r="BL250" s="461"/>
      <c r="BM250" s="461"/>
      <c r="BN250" s="461"/>
    </row>
    <row r="251" spans="23:66" ht="9.6" customHeight="1" x14ac:dyDescent="0.2">
      <c r="W251" s="461"/>
      <c r="AB251" s="461"/>
      <c r="AP251" s="461"/>
      <c r="AQ251" s="461"/>
      <c r="AR251" s="461"/>
      <c r="AS251" s="461"/>
      <c r="AT251" s="461"/>
      <c r="AU251" s="461"/>
      <c r="BG251" s="461"/>
      <c r="BH251" s="461"/>
      <c r="BI251" s="461"/>
      <c r="BJ251" s="461"/>
      <c r="BK251" s="461"/>
      <c r="BL251" s="461"/>
      <c r="BM251" s="461"/>
      <c r="BN251" s="461"/>
    </row>
    <row r="252" spans="23:66" ht="9.6" customHeight="1" x14ac:dyDescent="0.2">
      <c r="W252" s="461"/>
      <c r="AB252" s="461"/>
      <c r="AP252" s="461"/>
      <c r="AQ252" s="461"/>
      <c r="AR252" s="461"/>
      <c r="AS252" s="461"/>
      <c r="AT252" s="461"/>
      <c r="AU252" s="461"/>
      <c r="BG252" s="461"/>
      <c r="BH252" s="461"/>
      <c r="BI252" s="461"/>
      <c r="BJ252" s="461"/>
      <c r="BK252" s="461"/>
      <c r="BL252" s="461"/>
      <c r="BM252" s="461"/>
      <c r="BN252" s="461"/>
    </row>
    <row r="253" spans="23:66" ht="9.6" customHeight="1" x14ac:dyDescent="0.2">
      <c r="W253" s="461"/>
      <c r="AB253" s="461"/>
      <c r="AP253" s="461"/>
      <c r="AQ253" s="461"/>
      <c r="AR253" s="461"/>
      <c r="AS253" s="461"/>
      <c r="AT253" s="461"/>
      <c r="AU253" s="461"/>
      <c r="BG253" s="461"/>
      <c r="BH253" s="461"/>
      <c r="BI253" s="461"/>
      <c r="BJ253" s="461"/>
      <c r="BK253" s="461"/>
      <c r="BL253" s="461"/>
      <c r="BM253" s="461"/>
      <c r="BN253" s="461"/>
    </row>
    <row r="254" spans="23:66" ht="9.6" customHeight="1" x14ac:dyDescent="0.2">
      <c r="W254" s="461"/>
      <c r="AB254" s="461"/>
      <c r="AP254" s="461"/>
      <c r="AQ254" s="461"/>
      <c r="AR254" s="461"/>
      <c r="AS254" s="461"/>
      <c r="AT254" s="461"/>
      <c r="AU254" s="461"/>
      <c r="BG254" s="461"/>
      <c r="BH254" s="461"/>
      <c r="BI254" s="461"/>
      <c r="BJ254" s="461"/>
      <c r="BK254" s="461"/>
      <c r="BL254" s="461"/>
      <c r="BM254" s="461"/>
      <c r="BN254" s="461"/>
    </row>
    <row r="255" spans="23:66" ht="9.6" customHeight="1" x14ac:dyDescent="0.2">
      <c r="W255" s="461"/>
      <c r="AB255" s="461"/>
      <c r="AP255" s="461"/>
      <c r="AQ255" s="461"/>
      <c r="AR255" s="461"/>
      <c r="AS255" s="461"/>
      <c r="AT255" s="461"/>
      <c r="AU255" s="461"/>
      <c r="BG255" s="461"/>
      <c r="BH255" s="461"/>
      <c r="BI255" s="461"/>
      <c r="BJ255" s="461"/>
      <c r="BK255" s="461"/>
      <c r="BL255" s="461"/>
      <c r="BM255" s="461"/>
      <c r="BN255" s="461"/>
    </row>
    <row r="256" spans="23:66" ht="9.6" customHeight="1" x14ac:dyDescent="0.2">
      <c r="W256" s="461"/>
      <c r="AB256" s="461"/>
      <c r="AP256" s="461"/>
      <c r="AQ256" s="461"/>
      <c r="AR256" s="461"/>
      <c r="AS256" s="461"/>
      <c r="AT256" s="461"/>
      <c r="AU256" s="461"/>
      <c r="BG256" s="461"/>
      <c r="BH256" s="461"/>
      <c r="BI256" s="461"/>
      <c r="BJ256" s="461"/>
      <c r="BK256" s="461"/>
      <c r="BL256" s="461"/>
      <c r="BM256" s="461"/>
      <c r="BN256" s="461"/>
    </row>
    <row r="257" spans="23:66" ht="9.6" customHeight="1" x14ac:dyDescent="0.2">
      <c r="W257" s="461"/>
      <c r="AB257" s="461"/>
      <c r="AP257" s="461"/>
      <c r="AQ257" s="461"/>
      <c r="AR257" s="461"/>
      <c r="AS257" s="461"/>
      <c r="AT257" s="461"/>
      <c r="AU257" s="461"/>
      <c r="BG257" s="461"/>
      <c r="BH257" s="461"/>
      <c r="BI257" s="461"/>
      <c r="BJ257" s="461"/>
      <c r="BK257" s="461"/>
      <c r="BL257" s="461"/>
      <c r="BM257" s="461"/>
      <c r="BN257" s="461"/>
    </row>
    <row r="258" spans="23:66" ht="9.6" customHeight="1" x14ac:dyDescent="0.2">
      <c r="W258" s="461"/>
      <c r="AB258" s="461"/>
      <c r="AP258" s="461"/>
      <c r="AQ258" s="461"/>
      <c r="AR258" s="461"/>
      <c r="AS258" s="461"/>
      <c r="AT258" s="461"/>
      <c r="AU258" s="461"/>
      <c r="BG258" s="461"/>
      <c r="BH258" s="461"/>
      <c r="BI258" s="461"/>
      <c r="BJ258" s="461"/>
      <c r="BK258" s="461"/>
      <c r="BL258" s="461"/>
      <c r="BM258" s="461"/>
      <c r="BN258" s="461"/>
    </row>
    <row r="259" spans="23:66" ht="9.6" customHeight="1" x14ac:dyDescent="0.2">
      <c r="W259" s="461"/>
      <c r="AB259" s="461"/>
      <c r="AP259" s="461"/>
      <c r="AQ259" s="461"/>
      <c r="AR259" s="461"/>
      <c r="AS259" s="461"/>
      <c r="AT259" s="461"/>
      <c r="AU259" s="461"/>
      <c r="BG259" s="461"/>
      <c r="BH259" s="461"/>
      <c r="BI259" s="461"/>
      <c r="BJ259" s="461"/>
      <c r="BK259" s="461"/>
      <c r="BL259" s="461"/>
      <c r="BM259" s="461"/>
      <c r="BN259" s="461"/>
    </row>
    <row r="260" spans="23:66" ht="9.6" customHeight="1" x14ac:dyDescent="0.2">
      <c r="W260" s="461"/>
      <c r="AB260" s="461"/>
      <c r="AP260" s="461"/>
      <c r="AQ260" s="461"/>
      <c r="AR260" s="461"/>
      <c r="AS260" s="461"/>
      <c r="AT260" s="461"/>
      <c r="AU260" s="461"/>
      <c r="BG260" s="461"/>
      <c r="BH260" s="461"/>
      <c r="BI260" s="461"/>
      <c r="BJ260" s="461"/>
      <c r="BK260" s="461"/>
      <c r="BL260" s="461"/>
      <c r="BM260" s="461"/>
      <c r="BN260" s="461"/>
    </row>
    <row r="261" spans="23:66" ht="9.6" customHeight="1" x14ac:dyDescent="0.2">
      <c r="W261" s="461"/>
      <c r="AB261" s="461"/>
      <c r="AP261" s="461"/>
      <c r="AQ261" s="461"/>
      <c r="AR261" s="461"/>
      <c r="AS261" s="461"/>
      <c r="AT261" s="461"/>
      <c r="AU261" s="461"/>
      <c r="BG261" s="461"/>
      <c r="BH261" s="461"/>
      <c r="BI261" s="461"/>
      <c r="BJ261" s="461"/>
      <c r="BK261" s="461"/>
      <c r="BL261" s="461"/>
      <c r="BM261" s="461"/>
      <c r="BN261" s="461"/>
    </row>
    <row r="262" spans="23:66" ht="9.6" customHeight="1" x14ac:dyDescent="0.2">
      <c r="W262" s="461"/>
      <c r="AB262" s="461"/>
      <c r="AP262" s="461"/>
      <c r="AQ262" s="461"/>
      <c r="AR262" s="461"/>
      <c r="AS262" s="461"/>
      <c r="AT262" s="461"/>
      <c r="AU262" s="461"/>
      <c r="BG262" s="461"/>
      <c r="BH262" s="461"/>
      <c r="BI262" s="461"/>
      <c r="BJ262" s="461"/>
      <c r="BK262" s="461"/>
      <c r="BL262" s="461"/>
      <c r="BM262" s="461"/>
      <c r="BN262" s="461"/>
    </row>
    <row r="263" spans="23:66" ht="9.6" customHeight="1" x14ac:dyDescent="0.2">
      <c r="W263" s="461"/>
      <c r="AB263" s="461"/>
      <c r="AP263" s="461"/>
      <c r="AQ263" s="461"/>
      <c r="AR263" s="461"/>
      <c r="AS263" s="461"/>
      <c r="AT263" s="461"/>
      <c r="AU263" s="461"/>
      <c r="BG263" s="461"/>
      <c r="BH263" s="461"/>
      <c r="BI263" s="461"/>
      <c r="BJ263" s="461"/>
      <c r="BK263" s="461"/>
      <c r="BL263" s="461"/>
      <c r="BM263" s="461"/>
      <c r="BN263" s="461"/>
    </row>
    <row r="264" spans="23:66" ht="9.6" customHeight="1" x14ac:dyDescent="0.2">
      <c r="W264" s="461"/>
      <c r="AB264" s="461"/>
      <c r="AO264" s="461"/>
      <c r="AP264" s="461"/>
      <c r="AQ264" s="461"/>
      <c r="AR264" s="461"/>
      <c r="AS264" s="461"/>
      <c r="AT264" s="461"/>
      <c r="AU264" s="461"/>
    </row>
    <row r="265" spans="23:66" ht="9.6" customHeight="1" x14ac:dyDescent="0.2">
      <c r="W265" s="461"/>
      <c r="AB265" s="461"/>
      <c r="AO265" s="461"/>
      <c r="AP265" s="461"/>
      <c r="AQ265" s="461"/>
      <c r="AR265" s="461"/>
      <c r="AS265" s="461"/>
      <c r="AT265" s="461"/>
      <c r="AU265" s="461"/>
    </row>
    <row r="266" spans="23:66" ht="9.6" customHeight="1" x14ac:dyDescent="0.2">
      <c r="W266" s="461"/>
      <c r="AB266" s="461"/>
      <c r="AO266" s="461"/>
      <c r="AP266" s="461"/>
      <c r="AQ266" s="461"/>
      <c r="AR266" s="461"/>
      <c r="AS266" s="461"/>
      <c r="AT266" s="461"/>
      <c r="AU266" s="461"/>
    </row>
    <row r="267" spans="23:66" ht="9.6" customHeight="1" x14ac:dyDescent="0.2">
      <c r="W267" s="461"/>
      <c r="AB267" s="461"/>
      <c r="AO267" s="461"/>
      <c r="AP267" s="461"/>
      <c r="AQ267" s="461"/>
      <c r="AR267" s="461"/>
      <c r="AS267" s="461"/>
      <c r="AT267" s="461"/>
      <c r="AU267" s="461"/>
    </row>
    <row r="268" spans="23:66" ht="9.6" customHeight="1" x14ac:dyDescent="0.2">
      <c r="W268" s="461"/>
      <c r="AB268" s="461"/>
      <c r="AO268" s="461"/>
      <c r="AP268" s="461"/>
      <c r="AQ268" s="461"/>
      <c r="AR268" s="461"/>
      <c r="AS268" s="461"/>
      <c r="AT268" s="461"/>
      <c r="AU268" s="461"/>
    </row>
    <row r="269" spans="23:66" ht="9.6" customHeight="1" x14ac:dyDescent="0.2">
      <c r="W269" s="461"/>
      <c r="AB269" s="461"/>
      <c r="AO269" s="461"/>
      <c r="AP269" s="461"/>
      <c r="AQ269" s="461"/>
      <c r="AR269" s="461"/>
      <c r="AS269" s="461"/>
      <c r="AT269" s="461"/>
      <c r="AU269" s="461"/>
    </row>
    <row r="270" spans="23:66" ht="9.6" customHeight="1" x14ac:dyDescent="0.2">
      <c r="W270" s="461"/>
    </row>
    <row r="271" spans="23:66" ht="9.6" customHeight="1" x14ac:dyDescent="0.2">
      <c r="W271" s="461"/>
    </row>
    <row r="272" spans="23:66" ht="9.6" customHeight="1" x14ac:dyDescent="0.2"/>
    <row r="273" ht="9.6" customHeight="1" x14ac:dyDescent="0.2"/>
    <row r="274" ht="9.6" customHeight="1" x14ac:dyDescent="0.2"/>
    <row r="275" ht="9.6" customHeight="1" x14ac:dyDescent="0.2"/>
    <row r="276" ht="9.6" customHeight="1" x14ac:dyDescent="0.2"/>
    <row r="277" ht="9.6" customHeight="1" x14ac:dyDescent="0.2"/>
    <row r="278" ht="9.6" customHeight="1" x14ac:dyDescent="0.2"/>
    <row r="279" ht="9.6" customHeight="1" x14ac:dyDescent="0.2"/>
    <row r="280" ht="9.6" customHeight="1" x14ac:dyDescent="0.2"/>
    <row r="281" ht="9.6" customHeight="1" x14ac:dyDescent="0.2"/>
    <row r="282" ht="9.6" customHeight="1" x14ac:dyDescent="0.2"/>
    <row r="283" ht="9.6" customHeight="1" x14ac:dyDescent="0.2"/>
    <row r="284" ht="9.6" customHeight="1" x14ac:dyDescent="0.2"/>
    <row r="285" ht="9.6" customHeight="1" x14ac:dyDescent="0.2"/>
    <row r="286" ht="9.6" customHeight="1" x14ac:dyDescent="0.2"/>
    <row r="287" ht="9.6" customHeight="1" x14ac:dyDescent="0.2"/>
    <row r="288" ht="9.6" customHeight="1" x14ac:dyDescent="0.2"/>
    <row r="289" ht="9.6" customHeight="1" x14ac:dyDescent="0.2"/>
    <row r="290" ht="9.6" customHeight="1" x14ac:dyDescent="0.2"/>
    <row r="291" ht="9.6" customHeight="1" x14ac:dyDescent="0.2"/>
    <row r="292" ht="9.6" customHeight="1" x14ac:dyDescent="0.2"/>
    <row r="293" ht="9.6" customHeight="1" x14ac:dyDescent="0.2"/>
    <row r="294" ht="9.6" customHeight="1" x14ac:dyDescent="0.2"/>
    <row r="295" ht="9.6" customHeight="1" x14ac:dyDescent="0.2"/>
    <row r="296" ht="9.6" customHeight="1" x14ac:dyDescent="0.2"/>
    <row r="297" ht="9.6" customHeight="1" x14ac:dyDescent="0.2"/>
    <row r="298" ht="9.6" customHeight="1" x14ac:dyDescent="0.2"/>
    <row r="299" ht="9.6" customHeight="1" x14ac:dyDescent="0.2"/>
    <row r="300" ht="9.6" customHeight="1" x14ac:dyDescent="0.2"/>
    <row r="301" ht="9.6" customHeight="1" x14ac:dyDescent="0.2"/>
    <row r="302" ht="9.6" customHeight="1" x14ac:dyDescent="0.2"/>
    <row r="303" ht="9.6" customHeight="1" x14ac:dyDescent="0.2"/>
    <row r="304" ht="9.6" customHeight="1" x14ac:dyDescent="0.2"/>
    <row r="305" ht="9.6" customHeight="1" x14ac:dyDescent="0.2"/>
    <row r="306" ht="9.6" customHeight="1" x14ac:dyDescent="0.2"/>
    <row r="307" ht="9.6" customHeight="1" x14ac:dyDescent="0.2"/>
    <row r="308" ht="9.6" customHeight="1" x14ac:dyDescent="0.2"/>
    <row r="309" ht="9.6" customHeight="1" x14ac:dyDescent="0.2"/>
    <row r="310" ht="9.6" customHeight="1" x14ac:dyDescent="0.2"/>
    <row r="311" ht="9.6" customHeight="1" x14ac:dyDescent="0.2"/>
    <row r="312" ht="9.6" customHeight="1" x14ac:dyDescent="0.2"/>
    <row r="313" ht="9.6" customHeight="1" x14ac:dyDescent="0.2"/>
    <row r="314" ht="9.6" customHeight="1" x14ac:dyDescent="0.2"/>
    <row r="315" ht="9.6" customHeight="1" x14ac:dyDescent="0.2"/>
    <row r="316" ht="9.6" customHeight="1" x14ac:dyDescent="0.2"/>
    <row r="317" ht="9.6" customHeight="1" x14ac:dyDescent="0.2"/>
    <row r="318" ht="9.6" customHeight="1" x14ac:dyDescent="0.2"/>
    <row r="319" ht="9.6" customHeight="1" x14ac:dyDescent="0.2"/>
    <row r="320" ht="9.6" customHeight="1" x14ac:dyDescent="0.2"/>
    <row r="321" ht="9.6" customHeight="1" x14ac:dyDescent="0.2"/>
    <row r="322" ht="9.6" customHeight="1" x14ac:dyDescent="0.2"/>
    <row r="323" ht="9.6" customHeight="1" x14ac:dyDescent="0.2"/>
    <row r="324" ht="9.6" customHeight="1" x14ac:dyDescent="0.2"/>
    <row r="325" ht="9.6" customHeight="1" x14ac:dyDescent="0.2"/>
    <row r="326" ht="9.6" customHeight="1" x14ac:dyDescent="0.2"/>
    <row r="327" ht="9.6" customHeight="1" x14ac:dyDescent="0.2"/>
    <row r="328" ht="9.6" customHeight="1" x14ac:dyDescent="0.2"/>
    <row r="329" ht="9.6" customHeight="1" x14ac:dyDescent="0.2"/>
    <row r="330" ht="9.6" customHeight="1" x14ac:dyDescent="0.2"/>
    <row r="331" ht="9.6" customHeight="1" x14ac:dyDescent="0.2"/>
    <row r="332" ht="9.6" customHeight="1" x14ac:dyDescent="0.2"/>
    <row r="333" ht="9.6" customHeight="1" x14ac:dyDescent="0.2"/>
    <row r="334" ht="9.6" customHeight="1" x14ac:dyDescent="0.2"/>
    <row r="335" ht="9.6" customHeight="1" x14ac:dyDescent="0.2"/>
    <row r="336" ht="9.6" customHeight="1" x14ac:dyDescent="0.2"/>
    <row r="337" ht="9.6" customHeight="1" x14ac:dyDescent="0.2"/>
    <row r="338" ht="9.6" customHeight="1" x14ac:dyDescent="0.2"/>
    <row r="339" ht="9.6" customHeight="1" x14ac:dyDescent="0.2"/>
    <row r="340" ht="9.6" customHeight="1" x14ac:dyDescent="0.2"/>
    <row r="341" ht="9.6" customHeight="1" x14ac:dyDescent="0.2"/>
    <row r="342" ht="9.6" customHeight="1" x14ac:dyDescent="0.2"/>
    <row r="343" ht="9.6" customHeight="1" x14ac:dyDescent="0.2"/>
    <row r="344" ht="9.6" customHeight="1" x14ac:dyDescent="0.2"/>
    <row r="345" ht="9.6" customHeight="1" x14ac:dyDescent="0.2"/>
    <row r="346" ht="9.6" customHeight="1" x14ac:dyDescent="0.2"/>
    <row r="347" ht="9.6" customHeight="1" x14ac:dyDescent="0.2"/>
    <row r="348" ht="9.6" customHeight="1" x14ac:dyDescent="0.2"/>
    <row r="349" ht="9.6" customHeight="1" x14ac:dyDescent="0.2"/>
    <row r="350" ht="9.6" customHeight="1" x14ac:dyDescent="0.2"/>
    <row r="351" ht="9.6" customHeight="1" x14ac:dyDescent="0.2"/>
    <row r="352" ht="9.6" customHeight="1" x14ac:dyDescent="0.2"/>
    <row r="353" ht="9.6" customHeight="1" x14ac:dyDescent="0.2"/>
    <row r="354" ht="9.6" customHeight="1" x14ac:dyDescent="0.2"/>
    <row r="355" ht="9.6" customHeight="1" x14ac:dyDescent="0.2"/>
    <row r="356" ht="9.6" customHeight="1" x14ac:dyDescent="0.2"/>
    <row r="357" ht="9.6" customHeight="1" x14ac:dyDescent="0.2"/>
    <row r="358" ht="9.6" customHeight="1" x14ac:dyDescent="0.2"/>
    <row r="359" ht="9.6" customHeight="1" x14ac:dyDescent="0.2"/>
    <row r="360" ht="9.6" customHeight="1" x14ac:dyDescent="0.2"/>
    <row r="361" ht="9.6" customHeight="1" x14ac:dyDescent="0.2"/>
    <row r="362" ht="9.6" customHeight="1" x14ac:dyDescent="0.2"/>
    <row r="363" ht="9.6" customHeight="1" x14ac:dyDescent="0.2"/>
    <row r="364" ht="9.6" customHeight="1" x14ac:dyDescent="0.2"/>
    <row r="365" ht="9.6" customHeight="1" x14ac:dyDescent="0.2"/>
    <row r="366" ht="9.6" customHeight="1" x14ac:dyDescent="0.2"/>
    <row r="367" ht="9.6" customHeight="1" x14ac:dyDescent="0.2"/>
    <row r="368" ht="9.6" customHeight="1" x14ac:dyDescent="0.2"/>
    <row r="369" ht="9.6" customHeight="1" x14ac:dyDescent="0.2"/>
    <row r="370" ht="9.6" customHeight="1" x14ac:dyDescent="0.2"/>
    <row r="371" ht="9.6" customHeight="1" x14ac:dyDescent="0.2"/>
    <row r="372" ht="9.6" customHeight="1" x14ac:dyDescent="0.2"/>
    <row r="373" ht="9.6" customHeight="1" x14ac:dyDescent="0.2"/>
    <row r="374" ht="9.6" customHeight="1" x14ac:dyDescent="0.2"/>
    <row r="375" ht="9.6" customHeight="1" x14ac:dyDescent="0.2"/>
    <row r="376" ht="9.6" customHeight="1" x14ac:dyDescent="0.2"/>
    <row r="377" ht="9.6" customHeight="1" x14ac:dyDescent="0.2"/>
    <row r="378" ht="9.6" customHeight="1" x14ac:dyDescent="0.2"/>
    <row r="379" ht="9.6" customHeight="1" x14ac:dyDescent="0.2"/>
    <row r="380" ht="9.6" customHeight="1" x14ac:dyDescent="0.2"/>
    <row r="381" ht="9.6" customHeight="1" x14ac:dyDescent="0.2"/>
    <row r="382" ht="9.6" customHeight="1" x14ac:dyDescent="0.2"/>
    <row r="383" ht="9.6" customHeight="1" x14ac:dyDescent="0.2"/>
    <row r="384" ht="9.6" customHeight="1" x14ac:dyDescent="0.2"/>
    <row r="385" ht="9.6" customHeight="1" x14ac:dyDescent="0.2"/>
    <row r="386" ht="9.6" customHeight="1" x14ac:dyDescent="0.2"/>
    <row r="387" ht="9.6" customHeight="1" x14ac:dyDescent="0.2"/>
    <row r="388" ht="9.6" customHeight="1" x14ac:dyDescent="0.2"/>
    <row r="389" ht="9.6" customHeight="1" x14ac:dyDescent="0.2"/>
    <row r="390" ht="9.6" customHeight="1" x14ac:dyDescent="0.2"/>
    <row r="391" ht="9.6" customHeight="1" x14ac:dyDescent="0.2"/>
    <row r="392" ht="9.6" customHeight="1" x14ac:dyDescent="0.2"/>
    <row r="393" ht="9.6" customHeight="1" x14ac:dyDescent="0.2"/>
    <row r="394" ht="9.6" customHeight="1" x14ac:dyDescent="0.2"/>
    <row r="395" ht="9.6" customHeight="1" x14ac:dyDescent="0.2"/>
    <row r="396" ht="9.6" customHeight="1" x14ac:dyDescent="0.2"/>
    <row r="397" ht="9.6" customHeight="1" x14ac:dyDescent="0.2"/>
    <row r="398" ht="9.6" customHeight="1" x14ac:dyDescent="0.2"/>
    <row r="399" ht="9.6" customHeight="1" x14ac:dyDescent="0.2"/>
    <row r="400" ht="9.6" customHeight="1" x14ac:dyDescent="0.2"/>
    <row r="401" ht="9.6" customHeight="1" x14ac:dyDescent="0.2"/>
    <row r="402" ht="9.6" customHeight="1" x14ac:dyDescent="0.2"/>
    <row r="403" ht="9.6" customHeight="1" x14ac:dyDescent="0.2"/>
    <row r="404" ht="9.6" customHeight="1" x14ac:dyDescent="0.2"/>
    <row r="405" ht="9.6" customHeight="1" x14ac:dyDescent="0.2"/>
    <row r="406" ht="9.6" customHeight="1" x14ac:dyDescent="0.2"/>
    <row r="407" ht="9.6" customHeight="1" x14ac:dyDescent="0.2"/>
    <row r="408" ht="9.6" customHeight="1" x14ac:dyDescent="0.2"/>
    <row r="409" ht="9.6" customHeight="1" x14ac:dyDescent="0.2"/>
    <row r="410" ht="9.6" customHeight="1" x14ac:dyDescent="0.2"/>
    <row r="411" ht="9.6" customHeight="1" x14ac:dyDescent="0.2"/>
    <row r="412" ht="9.6" customHeight="1" x14ac:dyDescent="0.2"/>
    <row r="413" ht="9.6" customHeight="1" x14ac:dyDescent="0.2"/>
    <row r="414" ht="9.6" customHeight="1" x14ac:dyDescent="0.2"/>
    <row r="415" ht="9.6" customHeight="1" x14ac:dyDescent="0.2"/>
    <row r="416" ht="9.6" customHeight="1" x14ac:dyDescent="0.2"/>
    <row r="417" ht="9.6" customHeight="1" x14ac:dyDescent="0.2"/>
    <row r="418" ht="9.6" customHeight="1" x14ac:dyDescent="0.2"/>
    <row r="419" ht="9.6" customHeight="1" x14ac:dyDescent="0.2"/>
    <row r="420" ht="9.6" customHeight="1" x14ac:dyDescent="0.2"/>
    <row r="421" ht="9.6" customHeight="1" x14ac:dyDescent="0.2"/>
    <row r="422" ht="9.6" customHeight="1" x14ac:dyDescent="0.2"/>
    <row r="423" ht="9.6" customHeight="1" x14ac:dyDescent="0.2"/>
    <row r="424" ht="9.6" customHeight="1" x14ac:dyDescent="0.2"/>
    <row r="425" ht="9.6" customHeight="1" x14ac:dyDescent="0.2"/>
    <row r="426" ht="9.6" customHeight="1" x14ac:dyDescent="0.2"/>
    <row r="427" ht="9.6" customHeight="1" x14ac:dyDescent="0.2"/>
    <row r="428" ht="9.6" customHeight="1" x14ac:dyDescent="0.2"/>
    <row r="429" ht="9.6" customHeight="1" x14ac:dyDescent="0.2"/>
    <row r="430" ht="9.6" customHeight="1" x14ac:dyDescent="0.2"/>
    <row r="431" ht="9.6" customHeight="1" x14ac:dyDescent="0.2"/>
    <row r="432" ht="9.6" customHeight="1" x14ac:dyDescent="0.2"/>
    <row r="433" ht="9.6" customHeight="1" x14ac:dyDescent="0.2"/>
    <row r="434" ht="9.6" customHeight="1" x14ac:dyDescent="0.2"/>
    <row r="435" ht="9.6" customHeight="1" x14ac:dyDescent="0.2"/>
    <row r="436" ht="9.6" customHeight="1" x14ac:dyDescent="0.2"/>
    <row r="437" ht="9.6" customHeight="1" x14ac:dyDescent="0.2"/>
    <row r="438" ht="9.6" customHeight="1" x14ac:dyDescent="0.2"/>
    <row r="439" ht="9.6" customHeight="1" x14ac:dyDescent="0.2"/>
    <row r="440" ht="9.6" customHeight="1" x14ac:dyDescent="0.2"/>
    <row r="441" ht="9.6" customHeight="1" x14ac:dyDescent="0.2"/>
    <row r="442" ht="9.6" customHeight="1" x14ac:dyDescent="0.2"/>
    <row r="443" ht="9.6" customHeight="1" x14ac:dyDescent="0.2"/>
    <row r="444" ht="9.6" customHeight="1" x14ac:dyDescent="0.2"/>
    <row r="445" ht="9.6" customHeight="1" x14ac:dyDescent="0.2"/>
    <row r="446" ht="9.6" customHeight="1" x14ac:dyDescent="0.2"/>
    <row r="447" ht="9.6" customHeight="1" x14ac:dyDescent="0.2"/>
    <row r="448" ht="9.6" customHeight="1" x14ac:dyDescent="0.2"/>
    <row r="449" ht="9.6" customHeight="1" x14ac:dyDescent="0.2"/>
    <row r="450" ht="9.6" customHeight="1" x14ac:dyDescent="0.2"/>
    <row r="451" ht="9.6" customHeight="1" x14ac:dyDescent="0.2"/>
    <row r="452" ht="9.6" customHeight="1" x14ac:dyDescent="0.2"/>
    <row r="453" ht="9.6" customHeight="1" x14ac:dyDescent="0.2"/>
    <row r="454" ht="9.6" customHeight="1" x14ac:dyDescent="0.2"/>
    <row r="455" ht="9.6" customHeight="1" x14ac:dyDescent="0.2"/>
    <row r="456" ht="9.6" customHeight="1" x14ac:dyDescent="0.2"/>
    <row r="457" ht="9.6" customHeight="1" x14ac:dyDescent="0.2"/>
    <row r="458" ht="9.6" customHeight="1" x14ac:dyDescent="0.2"/>
    <row r="459" ht="9.6" customHeight="1" x14ac:dyDescent="0.2"/>
    <row r="460" ht="9.6" customHeight="1" x14ac:dyDescent="0.2"/>
    <row r="461" ht="9.6" customHeight="1" x14ac:dyDescent="0.2"/>
    <row r="462" ht="9.6" customHeight="1" x14ac:dyDescent="0.2"/>
    <row r="463" ht="9.6" customHeight="1" x14ac:dyDescent="0.2"/>
    <row r="464" ht="9.6" customHeight="1" x14ac:dyDescent="0.2"/>
    <row r="465" ht="9.6" customHeight="1" x14ac:dyDescent="0.2"/>
    <row r="466" ht="9.6" customHeight="1" x14ac:dyDescent="0.2"/>
    <row r="467" ht="9.6" customHeight="1" x14ac:dyDescent="0.2"/>
    <row r="468" ht="9.6" customHeight="1" x14ac:dyDescent="0.2"/>
    <row r="469" ht="9.6" customHeight="1" x14ac:dyDescent="0.2"/>
    <row r="470" ht="9.6" customHeight="1" x14ac:dyDescent="0.2"/>
    <row r="471" ht="9.6" customHeight="1" x14ac:dyDescent="0.2"/>
    <row r="472" ht="9.6" customHeight="1" x14ac:dyDescent="0.2"/>
    <row r="473" ht="9.6" customHeight="1" x14ac:dyDescent="0.2"/>
    <row r="474" ht="9.6" customHeight="1" x14ac:dyDescent="0.2"/>
    <row r="475" ht="9.6" customHeight="1" x14ac:dyDescent="0.2"/>
    <row r="476" ht="9.6" customHeight="1" x14ac:dyDescent="0.2"/>
    <row r="477" ht="9.6" customHeight="1" x14ac:dyDescent="0.2"/>
    <row r="478" ht="9.6" customHeight="1" x14ac:dyDescent="0.2"/>
    <row r="479" ht="9.6" customHeight="1" x14ac:dyDescent="0.2"/>
    <row r="480" ht="9.6" customHeight="1" x14ac:dyDescent="0.2"/>
    <row r="481" ht="9.6" customHeight="1" x14ac:dyDescent="0.2"/>
    <row r="482" ht="9.6" customHeight="1" x14ac:dyDescent="0.2"/>
    <row r="483" ht="9.6" customHeight="1" x14ac:dyDescent="0.2"/>
    <row r="484" ht="9.6" customHeight="1" x14ac:dyDescent="0.2"/>
    <row r="485" ht="9.6" customHeight="1" x14ac:dyDescent="0.2"/>
    <row r="486" ht="9.6" customHeight="1" x14ac:dyDescent="0.2"/>
    <row r="487" ht="9.6" customHeight="1" x14ac:dyDescent="0.2"/>
    <row r="488" ht="9.6" customHeight="1" x14ac:dyDescent="0.2"/>
    <row r="489" ht="9.6" customHeight="1" x14ac:dyDescent="0.2"/>
    <row r="490" ht="9.6" customHeight="1" x14ac:dyDescent="0.2"/>
    <row r="491" ht="9.6" customHeight="1" x14ac:dyDescent="0.2"/>
  </sheetData>
  <sheetProtection algorithmName="SHA-512" hashValue="0TaW3JTSDkHRXIWt/fbO0Y6KIVO1dRjBmBLNqCTGbitFVJTPi6cryjPvyZ2k+cDiNWJnAl07cUj2b4YTUodPAw==" saltValue="zde3c9NCcXig2x1QPpZwwg==" spinCount="100000" sheet="1" objects="1" scenarios="1"/>
  <sortState xmlns:xlrd2="http://schemas.microsoft.com/office/spreadsheetml/2017/richdata2" ref="AB144:AF169">
    <sortCondition ref="AB144:AB169"/>
  </sortState>
  <mergeCells count="19">
    <mergeCell ref="BO3:BP3"/>
    <mergeCell ref="BQ3:BS3"/>
    <mergeCell ref="BG3:BN3"/>
    <mergeCell ref="BV3:CE3"/>
    <mergeCell ref="BG2:CE2"/>
    <mergeCell ref="AC103:AD103"/>
    <mergeCell ref="AV1:BE2"/>
    <mergeCell ref="I20:I21"/>
    <mergeCell ref="R52:S52"/>
    <mergeCell ref="AF51:AG51"/>
    <mergeCell ref="C49:K49"/>
    <mergeCell ref="B10:K10"/>
    <mergeCell ref="M2:U2"/>
    <mergeCell ref="AQ2:AT2"/>
    <mergeCell ref="B9:K9"/>
    <mergeCell ref="B2:K2"/>
    <mergeCell ref="X2:AA2"/>
    <mergeCell ref="AC2:AO2"/>
    <mergeCell ref="L20:L21"/>
  </mergeCells>
  <phoneticPr fontId="10" type="noConversion"/>
  <conditionalFormatting sqref="E12:E13">
    <cfRule type="expression" dxfId="36" priority="334">
      <formula>ISERROR(E12)</formula>
    </cfRule>
  </conditionalFormatting>
  <conditionalFormatting sqref="F11:F12">
    <cfRule type="expression" dxfId="35" priority="410">
      <formula>ISERROR(F11)</formula>
    </cfRule>
  </conditionalFormatting>
  <conditionalFormatting sqref="F13:G13">
    <cfRule type="expression" dxfId="34" priority="163">
      <formula>ISERROR(F13)</formula>
    </cfRule>
  </conditionalFormatting>
  <conditionalFormatting sqref="G12">
    <cfRule type="expression" dxfId="33" priority="412">
      <formula>ISERROR(G12)</formula>
    </cfRule>
  </conditionalFormatting>
  <conditionalFormatting sqref="G46">
    <cfRule type="expression" dxfId="32" priority="337">
      <formula>ISERROR(G46)</formula>
    </cfRule>
  </conditionalFormatting>
  <conditionalFormatting sqref="H13:H14 J14">
    <cfRule type="expression" dxfId="31" priority="417">
      <formula>H13&lt;&gt;0</formula>
    </cfRule>
  </conditionalFormatting>
  <conditionalFormatting sqref="H13:H14">
    <cfRule type="expression" dxfId="30" priority="418">
      <formula>ISERROR(H13)</formula>
    </cfRule>
  </conditionalFormatting>
  <conditionalFormatting sqref="H96:H97">
    <cfRule type="expression" dxfId="29" priority="20">
      <formula>ISERROR(H96)</formula>
    </cfRule>
  </conditionalFormatting>
  <conditionalFormatting sqref="I11">
    <cfRule type="expression" dxfId="28" priority="2">
      <formula>ISERROR(I11)</formula>
    </cfRule>
  </conditionalFormatting>
  <conditionalFormatting sqref="J12:J14">
    <cfRule type="expression" dxfId="27" priority="3">
      <formula>ISERROR(J12)</formula>
    </cfRule>
  </conditionalFormatting>
  <conditionalFormatting sqref="J17:J42 H17:H43">
    <cfRule type="expression" dxfId="26" priority="9">
      <formula>H17&lt;&gt;0</formula>
    </cfRule>
  </conditionalFormatting>
  <conditionalFormatting sqref="J17:J42 H17:H46">
    <cfRule type="expression" dxfId="25" priority="10">
      <formula>ISERROR(H17)</formula>
    </cfRule>
  </conditionalFormatting>
  <conditionalFormatting sqref="J43:K43">
    <cfRule type="expression" dxfId="24" priority="398">
      <formula>J43&lt;&gt;0</formula>
    </cfRule>
  </conditionalFormatting>
  <conditionalFormatting sqref="J43:K46">
    <cfRule type="expression" dxfId="23" priority="399">
      <formula>ISERROR(J43)</formula>
    </cfRule>
  </conditionalFormatting>
  <conditionalFormatting sqref="K33">
    <cfRule type="expression" dxfId="22" priority="67">
      <formula>ISERROR(K33)</formula>
    </cfRule>
    <cfRule type="expression" dxfId="21" priority="66">
      <formula>K33&lt;&gt;0</formula>
    </cfRule>
  </conditionalFormatting>
  <conditionalFormatting sqref="K40:K41">
    <cfRule type="expression" dxfId="20" priority="57">
      <formula>K40&lt;&gt;0</formula>
    </cfRule>
  </conditionalFormatting>
  <conditionalFormatting sqref="K40:K42">
    <cfRule type="expression" dxfId="19" priority="56">
      <formula>ISERROR(K40)</formula>
    </cfRule>
  </conditionalFormatting>
  <conditionalFormatting sqref="P67:P71">
    <cfRule type="expression" dxfId="18" priority="1">
      <formula>ISERROR(P67)</formula>
    </cfRule>
  </conditionalFormatting>
  <conditionalFormatting sqref="AF103">
    <cfRule type="expression" dxfId="17" priority="59">
      <formula>Input_Product = "InvestPointSelect"</formula>
    </cfRule>
    <cfRule type="expression" dxfId="16" priority="60">
      <formula>Input_Product = "PrimePointSelect"</formula>
    </cfRule>
    <cfRule type="expression" dxfId="15" priority="61">
      <formula>Input_Product = "InvestPointVantage"</formula>
    </cfRule>
    <cfRule type="expression" dxfId="14" priority="62">
      <formula>Input_Product = "MultiPoint"</formula>
    </cfRule>
    <cfRule type="expression" dxfId="13" priority="63">
      <formula>Input_Product = "InvestPoint"</formula>
    </cfRule>
    <cfRule type="expression" dxfId="12" priority="64">
      <formula>Input_Product = "PrimePoint"</formula>
    </cfRule>
    <cfRule type="expression" dxfId="11" priority="65">
      <formula>Input_Product = "PrimePointVantage"</formula>
    </cfRule>
  </conditionalFormatting>
  <conditionalFormatting sqref="AJ57:AJ59">
    <cfRule type="expression" dxfId="10" priority="14">
      <formula>ISERROR(AJ57)</formula>
    </cfRule>
    <cfRule type="expression" dxfId="9" priority="13">
      <formula>AJ57&lt;&gt;0</formula>
    </cfRule>
  </conditionalFormatting>
  <conditionalFormatting sqref="AR42">
    <cfRule type="cellIs" dxfId="8" priority="387" operator="between">
      <formula>101</formula>
      <formula>101.5</formula>
    </cfRule>
  </conditionalFormatting>
  <conditionalFormatting sqref="AR48:AR52">
    <cfRule type="cellIs" dxfId="7" priority="77" operator="between">
      <formula>101</formula>
      <formula>101.5</formula>
    </cfRule>
  </conditionalFormatting>
  <conditionalFormatting sqref="AR56:AR57">
    <cfRule type="cellIs" dxfId="6" priority="386" operator="between">
      <formula>101</formula>
      <formula>101.5</formula>
    </cfRule>
  </conditionalFormatting>
  <conditionalFormatting sqref="AR60">
    <cfRule type="cellIs" dxfId="5" priority="446" operator="between">
      <formula>101</formula>
      <formula>101.5</formula>
    </cfRule>
  </conditionalFormatting>
  <conditionalFormatting sqref="AR85">
    <cfRule type="cellIs" dxfId="4" priority="8" operator="between">
      <formula>101</formula>
      <formula>101.5</formula>
    </cfRule>
  </conditionalFormatting>
  <conditionalFormatting sqref="AS189">
    <cfRule type="expression" dxfId="3" priority="31">
      <formula>ISERROR(AS189)</formula>
    </cfRule>
  </conditionalFormatting>
  <dataValidations disablePrompts="1" count="4">
    <dataValidation type="list" allowBlank="1" showInputMessage="1" showErrorMessage="1" sqref="E4" xr:uid="{B1BD9D04-767E-4671-B0E8-1250EDF39D5A}">
      <formula1>"Standard, Master"</formula1>
    </dataValidation>
    <dataValidation type="list" allowBlank="1" showInputMessage="1" showErrorMessage="1" sqref="E5" xr:uid="{02E9D6BD-E26E-43DD-82E6-E8DBF86CEE37}">
      <formula1>"Restriction, NoRestriction"</formula1>
    </dataValidation>
    <dataValidation type="list" allowBlank="1" showInputMessage="1" showErrorMessage="1" sqref="E6" xr:uid="{56FA7DC8-7D01-4DC5-BD2D-DE6E856D2BC7}">
      <formula1>"DollarPrice,Points"</formula1>
    </dataValidation>
    <dataValidation type="list" allowBlank="1" showInputMessage="1" showErrorMessage="1" sqref="AF103" xr:uid="{91AD2302-CF98-471C-8199-503D2474FFA4}">
      <formula1>"All,Internal,External"</formula1>
    </dataValidation>
  </dataValidations>
  <hyperlinks>
    <hyperlink ref="AS81" r:id="rId1" xr:uid="{22B0F8EC-DFC0-4799-A012-A1D2CD77C7A5}"/>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CC31F-0139-4966-9628-00693876B07A}">
  <sheetPr codeName="Sheet8"/>
  <dimension ref="A1:DJ1006"/>
  <sheetViews>
    <sheetView showGridLines="0" zoomScaleNormal="100" workbookViewId="0">
      <pane xSplit="3" ySplit="6" topLeftCell="F239" activePane="bottomRight" state="frozen"/>
      <selection pane="topRight" activeCell="D1" sqref="D1"/>
      <selection pane="bottomLeft" activeCell="A7" sqref="A7"/>
      <selection pane="bottomRight" activeCell="X510" sqref="X510:X513"/>
    </sheetView>
  </sheetViews>
  <sheetFormatPr defaultColWidth="8.85546875" defaultRowHeight="15" x14ac:dyDescent="0.25"/>
  <cols>
    <col min="1" max="1" width="8.5703125" style="2" customWidth="1"/>
    <col min="2" max="2" width="9.85546875" style="2" bestFit="1" customWidth="1"/>
    <col min="3" max="3" width="12.28515625" style="2" customWidth="1"/>
    <col min="4" max="4" width="7.85546875" style="2" customWidth="1"/>
    <col min="5" max="5" width="5.5703125" style="2" customWidth="1"/>
    <col min="6" max="6" width="5.7109375" style="2" customWidth="1"/>
    <col min="7" max="7" width="7.28515625" style="2" customWidth="1"/>
    <col min="8" max="8" width="10.7109375" style="2" customWidth="1"/>
    <col min="9" max="9" width="10.28515625" style="2" customWidth="1"/>
    <col min="10" max="10" width="2.7109375" style="2" customWidth="1"/>
    <col min="11" max="11" width="13.28515625" style="2" customWidth="1"/>
    <col min="12" max="12" width="5.5703125" style="2" customWidth="1"/>
    <col min="13" max="13" width="6.5703125" style="2" customWidth="1"/>
    <col min="14" max="17" width="5.140625" style="2" customWidth="1"/>
    <col min="18" max="18" width="9.140625" style="2" customWidth="1"/>
    <col min="19" max="19" width="9.140625" style="2" bestFit="1" customWidth="1"/>
    <col min="20" max="20" width="6.28515625" style="2" bestFit="1" customWidth="1"/>
    <col min="21" max="21" width="9.140625" style="2" bestFit="1" customWidth="1"/>
    <col min="22" max="23" width="5.28515625" style="2" customWidth="1"/>
    <col min="24" max="25" width="5.7109375" style="2" customWidth="1"/>
    <col min="26" max="27" width="4.5703125" style="2" customWidth="1"/>
    <col min="28" max="28" width="5.85546875" style="2" customWidth="1"/>
    <col min="29" max="29" width="5.85546875" style="2" bestFit="1" customWidth="1"/>
    <col min="30" max="30" width="4.85546875" style="2" customWidth="1"/>
    <col min="31" max="31" width="5.7109375" style="2" customWidth="1"/>
    <col min="32" max="32" width="3.140625" style="2" customWidth="1"/>
    <col min="33" max="53" width="4.5703125" style="2" customWidth="1"/>
    <col min="54" max="54" width="7" style="2" bestFit="1" customWidth="1"/>
    <col min="55" max="55" width="7.7109375" style="2" customWidth="1"/>
    <col min="56" max="56" width="6.85546875" style="2" customWidth="1"/>
    <col min="57" max="57" width="7.28515625" style="2" customWidth="1"/>
    <col min="58" max="59" width="1.85546875" style="2" customWidth="1"/>
    <col min="60" max="60" width="5.85546875" style="2" customWidth="1"/>
    <col min="61" max="61" width="8.140625" style="2" customWidth="1"/>
    <col min="62" max="88" width="4.7109375" style="2" customWidth="1"/>
    <col min="89" max="89" width="5.140625" style="460" customWidth="1"/>
    <col min="90" max="90" width="7.7109375" style="460" bestFit="1" customWidth="1"/>
    <col min="91" max="114" width="9.140625"/>
    <col min="115" max="115" width="4.28515625" style="2" bestFit="1" customWidth="1"/>
    <col min="116" max="116" width="3.140625" style="2" bestFit="1" customWidth="1"/>
    <col min="117" max="117" width="3.5703125" style="2" bestFit="1" customWidth="1"/>
    <col min="118" max="118" width="4.28515625" style="2" bestFit="1" customWidth="1"/>
    <col min="119" max="120" width="8.85546875" style="2"/>
    <col min="121" max="121" width="17.140625" style="2" bestFit="1" customWidth="1"/>
    <col min="122" max="16384" width="8.85546875" style="2"/>
  </cols>
  <sheetData>
    <row r="1" spans="1:89" ht="10.15" customHeight="1" x14ac:dyDescent="0.25">
      <c r="A1" s="157" t="e" cm="1" vm="2">
        <f t="array" aca="1" ref="A1" ca="1">Elig_All</f>
        <v>#VALUE!</v>
      </c>
      <c r="B1" s="2221" t="s">
        <v>300</v>
      </c>
      <c r="C1" s="2222"/>
      <c r="D1" s="2222"/>
      <c r="E1" s="2222"/>
      <c r="F1" s="2222"/>
      <c r="G1" s="2222"/>
      <c r="H1" s="2222"/>
      <c r="I1" s="2222"/>
      <c r="J1" s="2222"/>
      <c r="K1" s="2222"/>
      <c r="L1" s="2222"/>
      <c r="M1" s="2222"/>
      <c r="N1" s="2222"/>
      <c r="O1" s="2222"/>
      <c r="P1" s="2222"/>
      <c r="Q1" s="2222"/>
      <c r="R1" s="2222"/>
      <c r="S1" s="2222"/>
      <c r="T1" s="2222"/>
      <c r="U1" s="2222"/>
      <c r="V1" s="2222"/>
      <c r="W1" s="2222"/>
      <c r="X1" s="2222"/>
      <c r="Y1" s="2222"/>
      <c r="Z1" s="2222"/>
      <c r="AA1" s="2222"/>
      <c r="AB1" s="2222"/>
      <c r="AC1" s="2222"/>
      <c r="AD1" s="2222"/>
      <c r="AE1" s="2222"/>
      <c r="AF1" s="2223"/>
      <c r="AG1" s="2223"/>
      <c r="AH1" s="2223"/>
      <c r="AI1" s="2223"/>
      <c r="AJ1" s="2223"/>
      <c r="AK1" s="2223"/>
      <c r="AL1" s="2223"/>
      <c r="AM1" s="2223"/>
      <c r="AN1" s="2223"/>
      <c r="AO1" s="2223"/>
      <c r="AP1" s="2223"/>
      <c r="AQ1" s="2223"/>
      <c r="AR1" s="2223"/>
      <c r="AS1" s="2223"/>
      <c r="AT1" s="2223"/>
      <c r="AU1" s="2223"/>
      <c r="AV1" s="2223"/>
      <c r="AW1" s="2223"/>
      <c r="AX1" s="2223"/>
      <c r="AY1" s="2223"/>
      <c r="AZ1" s="2223"/>
      <c r="BA1" s="2223"/>
      <c r="BB1" s="2223"/>
      <c r="BC1" s="2224"/>
      <c r="BE1" s="151">
        <f>INDEX(Elig_All,MATCH(Elig_FindMatrixMatch_LTVMax,Elig_ID,0),27)</f>
        <v>0</v>
      </c>
      <c r="BH1" s="2" t="e" cm="1" vm="3">
        <f t="array" aca="1" ref="BH1" ca="1">Elig_MatchCountMultResults</f>
        <v>#VALUE!</v>
      </c>
      <c r="BI1" s="2" t="e" cm="1" vm="4">
        <f t="array" aca="1" ref="BI1" ca="1">Elig_All_TestMatch</f>
        <v>#VALUE!</v>
      </c>
      <c r="BJ1" s="2" t="str">
        <f>Elig_FindMatrixMatch_All</f>
        <v>NSN0041</v>
      </c>
      <c r="BO1" s="2" t="s">
        <v>1130</v>
      </c>
      <c r="BW1" s="107">
        <f>IF(AND(Input_Product=Elig!$C1,Elig_MatchAll_Ct&lt;22,$BC1=(Elig_MatchAll_Ct-1),AU1=0),R1&amp;"-"&amp;S1,0)</f>
        <v>0</v>
      </c>
      <c r="BX1" s="106"/>
      <c r="BY1" s="107">
        <f>IF(AND(Input_Product=Elig!$C1,Elig_MatchAll_Ct&lt;22,$BC1=(Elig_MatchAll_Ct-1),AV1=0),T1&amp;"-"&amp;U1,0)</f>
        <v>0</v>
      </c>
      <c r="BZ1" s="106"/>
      <c r="CA1" s="107">
        <f>IF(AND(Input_Product=Elig!$C1,Elig_MatchAll_Ct&lt;22,$BC1=(Elig_MatchAll_Ct-1),AW1=0),V1&amp;"-"&amp;W1,0)</f>
        <v>0</v>
      </c>
      <c r="CB1" s="106"/>
      <c r="CC1" s="107">
        <f>IF(AND(Input_Product=Elig!$C1,Elig_MatchAll_Ct&lt;22,$BC1=(Elig_MatchAll_Ct-1),AX1=0),X1&amp;"-"&amp;Y1,0)</f>
        <v>0</v>
      </c>
      <c r="CD1" s="106"/>
      <c r="CE1" s="107">
        <f>IF(AND(Input_Product=Elig!$C1,Elig_MatchAll_Ct&lt;22,$BC1=(Elig_MatchAll_Ct-1),AY1=0),Z1&amp;"-"&amp;AA1,0)</f>
        <v>0</v>
      </c>
      <c r="CF1" s="106"/>
      <c r="CG1" s="107">
        <f>IF(AND(Input_Product=Elig!$C1,Elig_MatchAll_Ct&lt;22,$BC1=(Elig_MatchAll_Ct-1),AZ1=0),AB1&amp;"-"&amp;AC1,0)</f>
        <v>0</v>
      </c>
      <c r="CH1" s="106"/>
      <c r="CI1" s="107">
        <f>IF(AND(Input_Product=Elig!$C1,Elig_MatchAll_Ct&lt;22,$BC1=(Elig_MatchAll_Ct-1),BA1=0),AD1&amp;"-"&amp;BA1,0)</f>
        <v>0</v>
      </c>
      <c r="CK1" s="460" t="e">
        <f>Input_Name_Product16</f>
        <v>#NAME?</v>
      </c>
    </row>
    <row r="2" spans="1:89" ht="18" customHeight="1" x14ac:dyDescent="0.25">
      <c r="B2" s="156" t="s">
        <v>355</v>
      </c>
      <c r="C2" s="156" t="str">
        <f>INDEX(Elig_All,MATCH(Elig_FindMatrixMatch_LTVMax,Elig_ID,0),2)</f>
        <v>Second NOO</v>
      </c>
      <c r="D2" s="156" t="str">
        <f>INDEX(Elig_All,MATCH(Elig_FindMatrixMatch_LTVMax,Elig_ID,0),3)</f>
        <v>10yr Fixed, 15yr Fixed, 20yr Fixed, 30yr Fixed</v>
      </c>
      <c r="E2" s="156" t="str">
        <f>INDEX(Elig_All,MATCH(Elig_FindMatrixMatch_LTVMax,Elig_ID,0),4)</f>
        <v>Full Amortization</v>
      </c>
      <c r="F2" s="156" t="str">
        <f>INDEX(Elig_All,MATCH(Elig_FindMatrixMatch_LTVMax,Elig_ID,0),5)</f>
        <v>NOO</v>
      </c>
      <c r="G2" s="156" t="str">
        <f>INDEX(Elig_All,MATCH(Elig_FindMatrixMatch_LTVMax,Elig_ID,0),6)</f>
        <v>09</v>
      </c>
      <c r="H2" s="156" t="str">
        <f>INDEX(Elig_All,MATCH(Elig_FindMatrixMatch_LTVMax,Elig_ID,0),7)</f>
        <v>No Bank Stmt</v>
      </c>
      <c r="I2" s="156" t="str">
        <f>INDEX(Elig_All,MATCH(Elig_FindMatrixMatch_LTVMax,Elig_ID,0),8)</f>
        <v>Purchase, Rate-Term, Cash-Out</v>
      </c>
      <c r="J2" s="156" t="str">
        <f>INDEX(Elig_All,MATCH(Elig_FindMatrixMatch_LTVMax,Elig_ID,0),9)</f>
        <v>AK, AL, AR, AZ, CA, CO, CT, DC, DE, FL, GA, HI, IA, ID, IL, IN, KS, KY, LA, MA, MD, ME, MI, MN, MO, MS, MT, NC, ND, NE, NH, NJ, NM, NV, NY, OH, OK, OR, PA, RI, SC, SD, TN, TX, UT, VA, VT, WA, WI, WV, WY</v>
      </c>
      <c r="K2" s="156" t="str">
        <f>INDEX(Elig_All,MATCH(Elig_FindMatrixMatch_LTVMax,Elig_ID,0),10)</f>
        <v>SF, DP, PD, CS, 2U, 3U, 4U, CW, TH, RW, MD, RL</v>
      </c>
      <c r="L2" s="156" t="str">
        <f>INDEX(Elig_All,MATCH(Elig_FindMatrixMatch_LTVMax,Elig_ID,0),11)</f>
        <v>NoLatesx24, NoLatesx12</v>
      </c>
      <c r="M2" s="156" t="str">
        <f>INDEX(Elig_All,MATCH(Elig_FindMatrixMatch_LTVMax,Elig_ID,0),12)</f>
        <v>No Events 48mo+</v>
      </c>
      <c r="N2" s="156" t="str">
        <f>INDEX(Elig_All,MATCH(Elig_FindMatrixMatch_LTVMax,Elig_ID,0),13)</f>
        <v>No Prepay, 1yr Prepay, 2yr Prepay, 3yr Prepay, 4yr Prepay, 5yr Prepay, 1yr Prepay_5Pct, 2yr Prepay_5Pct, 3yr Prepay_5Pct, 4yr Prepay_5Pct, 5yr Prepay_5Pct, 1yr Prepay_1, 2yr Prepay_21, 3yr Prepay_321, 4yr Prepay_4321, 5yr Prepay_54321, 1yr Prepay_Standard, 2yr Prepay_Standard, 3yr Prepay_Standard, 4yr Prepay_Standard,  5yr Prepay_Standard</v>
      </c>
      <c r="O2" s="156" t="str">
        <f>INDEX(Elig_All,MATCH(Elig_FindMatrixMatch_LTVMax,Elig_ID,0),14)</f>
        <v>US Citizen, Permanent Resident Alien</v>
      </c>
      <c r="P2" s="156"/>
      <c r="Q2" s="156" t="str">
        <f>INDEX(Elig_All,MATCH(Elig_FindMatrixMatch_LTVMax,Elig_ID,0),16)</f>
        <v>No Escrows, Escrows</v>
      </c>
      <c r="R2" s="156">
        <f>INDEX(Elig_All,MATCH(Elig_FindMatrixMatch_LTVMax,Elig_ID,0),17)</f>
        <v>50000</v>
      </c>
      <c r="S2" s="156">
        <f>INDEX(Elig_All,MATCH(Elig_FindMatrixMatch_LTVMax,Elig_ID,0),18)</f>
        <v>350000</v>
      </c>
      <c r="T2" s="156">
        <f>INDEX(Elig_All,MATCH(Elig_FindMatrixMatch_LTVMax,Elig_ID,0),19)</f>
        <v>0</v>
      </c>
      <c r="U2" s="156">
        <f>INDEX(Elig_All,MATCH(Elig_FindMatrixMatch_LTVMax,Elig_ID,0),20)</f>
        <v>350000</v>
      </c>
      <c r="V2" s="156">
        <f>INDEX(Elig_All,MATCH(Elig_FindMatrixMatch_LTVMax,Elig_ID,0),21)</f>
        <v>0</v>
      </c>
      <c r="W2" s="156">
        <f>INDEX(Elig_All,MATCH(Elig_FindMatrixMatch_LTVMax,Elig_ID,0),22)</f>
        <v>50</v>
      </c>
      <c r="X2" s="156">
        <f>INDEX(Elig_All,MATCH(Elig_FindMatrixMatch_LTVMax,Elig_ID,0),23)</f>
        <v>1</v>
      </c>
      <c r="Y2" s="156">
        <f>INDEX(Elig_All,MATCH(Elig_FindMatrixMatch_LTVMax,Elig_ID,0),24)</f>
        <v>999</v>
      </c>
      <c r="Z2" s="156">
        <f>INDEX(Elig_All,MATCH(Elig_FindMatrixMatch_LTVMax,Elig_ID,0),25)</f>
        <v>720</v>
      </c>
      <c r="AA2" s="156">
        <f>INDEX(Elig_All,MATCH(Elig_FindMatrixMatch_LTVMax,Elig_ID,0),26)</f>
        <v>999</v>
      </c>
      <c r="AB2" s="156">
        <f>INDEX(Elig_All,MATCH(Elig_FindMatrixMatch_LTVMax,Elig_ID,0),27)</f>
        <v>0</v>
      </c>
      <c r="AC2" s="156">
        <f>INDEX(Elig_All,MATCH(Elig_FindMatrixMatch_LTVMax,Elig_ID,0),28)</f>
        <v>999999</v>
      </c>
      <c r="AD2" s="156">
        <f>INDEX(Elig_All,MATCH(Elig_FindMatrixMatch_LTVMax,Elig_ID,0),29)</f>
        <v>0</v>
      </c>
      <c r="AE2" s="156">
        <f>INDEX(Elig_All,MATCH(Elig_FindMatrixMatch_LTVMax,Elig_ID,0),30)</f>
        <v>80</v>
      </c>
      <c r="BB2" s="108" t="s">
        <v>446</v>
      </c>
      <c r="BC2" s="109" t="s">
        <v>447</v>
      </c>
      <c r="BD2" s="109" t="s">
        <v>449</v>
      </c>
      <c r="BG2" s="26"/>
      <c r="BI2" s="2" t="str">
        <f>Elig_FindMatrixMatch_All</f>
        <v>NSN0041</v>
      </c>
      <c r="BW2" s="105" t="str">
        <f>MIN(BW4:BW783)&amp;"-"&amp;MAX(BX4:BX783)</f>
        <v>0-0</v>
      </c>
      <c r="BY2" s="105" t="str">
        <f>MIN(BY4:BY783)&amp;"-"&amp;MAX(BZ4:BZ783)</f>
        <v>0-0</v>
      </c>
      <c r="CA2" s="105" t="str">
        <f>MIN(CA4:CA783)&amp;"-"&amp;MAX(CB4:CB783)</f>
        <v>0-0</v>
      </c>
      <c r="CC2" s="105" t="str">
        <f>MIN(CC4:CC783)&amp;"-"&amp;MAX(CD4:CD783)</f>
        <v>0-0</v>
      </c>
      <c r="CE2" s="105" t="str">
        <f>MIN(CE4:CE783)&amp;"-"&amp;MAX(CF4:CF783)</f>
        <v>0-0</v>
      </c>
      <c r="CG2" s="105" t="str">
        <f>MIN(CG4:CG783)&amp;"-"&amp;MAX(CH4:CH783)</f>
        <v>0-0</v>
      </c>
      <c r="CI2" s="105" t="str">
        <f>MIN(CI4:CI783)&amp;"-"&amp;MAX(CJ4:CJ783)</f>
        <v>0-0</v>
      </c>
    </row>
    <row r="3" spans="1:89" ht="10.15" customHeight="1" x14ac:dyDescent="0.25">
      <c r="B3" s="153" t="e" cm="1" vm="5">
        <f t="array" aca="1" ref="B3" ca="1">Elig_ID</f>
        <v>#VALUE!</v>
      </c>
      <c r="C3" s="153" t="e" cm="1" vm="6">
        <f t="array" aca="1" ref="C3" ca="1">Elig_Product</f>
        <v>#VALUE!</v>
      </c>
      <c r="D3" s="154" t="e" cm="1" vm="6">
        <f t="array" aca="1" ref="D3" ca="1">Elig_AmortTerm</f>
        <v>#VALUE!</v>
      </c>
      <c r="E3" s="154" t="e" cm="1" vm="6">
        <f t="array" aca="1" ref="E3" ca="1">Elig_AmortType</f>
        <v>#VALUE!</v>
      </c>
      <c r="F3" s="154" t="e" cm="1" vm="6">
        <f t="array" aca="1" ref="F3" ca="1">Elig_Occupancy</f>
        <v>#VALUE!</v>
      </c>
      <c r="G3" s="154" t="e" cm="1" vm="6">
        <f t="array" aca="1" ref="G3" ca="1">Elig_DocType</f>
        <v>#VALUE!</v>
      </c>
      <c r="H3" s="154" t="e" cm="1" vm="6">
        <f t="array" aca="1" ref="H3" ca="1">Elig_BankStmt</f>
        <v>#VALUE!</v>
      </c>
      <c r="I3" s="154" t="e" cm="1" vm="6">
        <f t="array" aca="1" ref="I3" ca="1">Elig_Purpose</f>
        <v>#VALUE!</v>
      </c>
      <c r="J3" s="154" t="e" cm="1" vm="6">
        <f t="array" aca="1" ref="J3" ca="1">Elig_State</f>
        <v>#VALUE!</v>
      </c>
      <c r="K3" s="154" t="e" cm="1" vm="6">
        <f t="array" aca="1" ref="K3" ca="1">Elig_PropType</f>
        <v>#VALUE!</v>
      </c>
      <c r="L3" s="154" t="e" cm="1" vm="6">
        <f t="array" aca="1" ref="L3" ca="1">Elig_CreditHistory</f>
        <v>#VALUE!</v>
      </c>
      <c r="M3" s="154" t="e" cm="1" vm="6">
        <f t="array" aca="1" ref="M3" ca="1">Elig_HousingHistory</f>
        <v>#VALUE!</v>
      </c>
      <c r="N3" s="154" t="e" cm="1" vm="6">
        <f t="array" aca="1" ref="N3" ca="1">Elig_PrepayPenalty</f>
        <v>#VALUE!</v>
      </c>
      <c r="O3" s="154" t="e" cm="1" vm="6">
        <f t="array" aca="1" ref="O3" ca="1">Elig_Citizenship</f>
        <v>#VALUE!</v>
      </c>
      <c r="P3" s="154" t="e" cm="1" vm="6">
        <f t="array" aca="1" ref="P3" ca="1">Elig_FirstTimeHomeBuyer</f>
        <v>#VALUE!</v>
      </c>
      <c r="Q3" s="154" t="e" cm="1" vm="6">
        <f t="array" aca="1" ref="Q3" ca="1">Elig_Servicing</f>
        <v>#VALUE!</v>
      </c>
      <c r="R3" s="154" t="e" cm="1" vm="6">
        <f t="array" aca="1" ref="R3" ca="1">Elig_LoanAmt_Min</f>
        <v>#VALUE!</v>
      </c>
      <c r="S3" s="154" t="e" cm="1" vm="6">
        <f t="array" aca="1" ref="S3" ca="1">Elig_LoanAmt_Max</f>
        <v>#VALUE!</v>
      </c>
      <c r="T3" s="154" t="e" cm="1" vm="6">
        <f t="array" aca="1" ref="T3" ca="1">Elig_CashoutAmt_Min</f>
        <v>#VALUE!</v>
      </c>
      <c r="U3" s="154" t="e" cm="1" vm="6">
        <f t="array" aca="1" ref="U3" ca="1">Elig_CashoutAmt_Max</f>
        <v>#VALUE!</v>
      </c>
      <c r="V3" s="154" t="e" cm="1" vm="6">
        <f t="array" aca="1" ref="V3" ca="1">Elig_DTI_Min</f>
        <v>#VALUE!</v>
      </c>
      <c r="W3" s="154" t="e" cm="1" vm="6">
        <f t="array" aca="1" ref="W3" ca="1">Elig_DTI_Max</f>
        <v>#VALUE!</v>
      </c>
      <c r="X3" s="154" t="e" cm="1" vm="6">
        <f t="array" aca="1" ref="X3" ca="1">Elig_DSCR_Min</f>
        <v>#VALUE!</v>
      </c>
      <c r="Y3" s="154" t="e" cm="1" vm="6">
        <f t="array" aca="1" ref="Y3" ca="1">Elig_DSCR_Max</f>
        <v>#VALUE!</v>
      </c>
      <c r="Z3" s="154" t="e" cm="1" vm="6">
        <f t="array" aca="1" ref="Z3" ca="1">Elig_CreditScore_Min</f>
        <v>#VALUE!</v>
      </c>
      <c r="AA3" s="154" t="e" cm="1" vm="6">
        <f t="array" aca="1" ref="AA3" ca="1">Elig_CreditScore_Max</f>
        <v>#VALUE!</v>
      </c>
      <c r="AB3" s="154" t="e" cm="1" vm="6">
        <f t="array" aca="1" ref="AB3" ca="1">Elig_Reserves_Min</f>
        <v>#VALUE!</v>
      </c>
      <c r="AC3" s="154" t="e" cm="1" vm="6">
        <f t="array" aca="1" ref="AC3" ca="1">Elig_Reserves_Max</f>
        <v>#VALUE!</v>
      </c>
      <c r="AD3" s="154" t="e" cm="1" vm="6">
        <f t="array" aca="1" ref="AD3" ca="1">Elig_LTV_Min</f>
        <v>#VALUE!</v>
      </c>
      <c r="AE3" s="155" t="e" cm="1" vm="6">
        <f t="array" aca="1" ref="AE3" ca="1">Elig_LTV_Max</f>
        <v>#VALUE!</v>
      </c>
      <c r="AF3" s="2225" t="s">
        <v>1131</v>
      </c>
      <c r="AG3" s="2226"/>
      <c r="AH3" s="2226"/>
      <c r="AI3" s="2226"/>
      <c r="AJ3" s="2226"/>
      <c r="AK3" s="2226"/>
      <c r="AL3" s="2226"/>
      <c r="AM3" s="2226"/>
      <c r="AN3" s="2226"/>
      <c r="AO3" s="2226"/>
      <c r="AP3" s="2226"/>
      <c r="AQ3" s="2226"/>
      <c r="AR3" s="2226"/>
      <c r="AS3" s="2226"/>
      <c r="AT3" s="2226"/>
      <c r="AU3" s="2226"/>
      <c r="AV3" s="2226"/>
      <c r="AW3" s="2226"/>
      <c r="AX3" s="2226"/>
      <c r="AY3" s="2226"/>
      <c r="AZ3" s="2226"/>
      <c r="BA3" s="2227"/>
      <c r="BC3" s="151">
        <f>INDEX(Elig_All,MATCH(Elig_FindMatrixMatch_LTVMax,Elig_ID,0),30)</f>
        <v>80</v>
      </c>
      <c r="BD3" s="39" t="s">
        <v>448</v>
      </c>
      <c r="BM3" s="2" t="str">
        <f>Result_Msg2_LLPA_BankStmt</f>
        <v/>
      </c>
      <c r="BW3" s="2" t="str" cm="1">
        <f t="array" ref="BW3">MIN(IF(BW7:BW783=0,"",BW7:BW783))&amp;"-"&amp;MAX(IF(BX7:BX783=0,"",BX7:BX783))</f>
        <v>0-0</v>
      </c>
      <c r="BY3" s="2" t="str" cm="1">
        <f t="array" ref="BY3">MIN(IF(BY7:BY783=0,"",BY7:BY783))&amp;"-"&amp;MAX(IF(BZ7:BZ783=0,"",BZ7:BZ783))</f>
        <v>0-0</v>
      </c>
      <c r="CA3" s="2" t="str" cm="1">
        <f t="array" ref="CA3">MIN(IF(CA7:CA783=0,"",CA7:CA783))&amp;"-"&amp;MAX(IF(CB7:CB783=0,"",CB7:CB783))</f>
        <v>0-0</v>
      </c>
      <c r="CC3" s="2" t="str" cm="1">
        <f t="array" ref="CC3">MIN(IF(CC7:CC783=0,"",CC7:CC783))&amp;"-"&amp;MAX(IF(CD7:CD783=0,"",CD7:CD783))</f>
        <v>0-0</v>
      </c>
      <c r="CE3" s="2" t="str" cm="1">
        <f t="array" ref="CE3">MIN(IF(CE7:CE783=0,"",CE7:CE783))&amp;"-"&amp;MAX(IF(CF7:CF783=0,"",CF7:CF783))</f>
        <v>0-0</v>
      </c>
      <c r="CG3" s="2" t="str" cm="1">
        <f t="array" ref="CG3">MIN(IF(CG7:CG783=0,"",CG7:CG783))&amp;"-"&amp;MAX(IF(CH7:CH783=0,"",CH7:CH783))</f>
        <v>0-0</v>
      </c>
      <c r="CI3" s="2" t="str" cm="1">
        <f t="array" ref="CI3">MIN(IF(CI7:CI783=0,"",CI7:CI783))&amp;"-"&amp;MAX(IF(CJ7:CJ783=0,"",CJ7:CJ783))</f>
        <v>0-0</v>
      </c>
    </row>
    <row r="4" spans="1:89" ht="10.15" customHeight="1" x14ac:dyDescent="0.25">
      <c r="C4" s="2230" t="s">
        <v>262</v>
      </c>
      <c r="D4" s="2231"/>
      <c r="E4" s="2231"/>
      <c r="F4" s="2231"/>
      <c r="G4" s="2231"/>
      <c r="H4" s="2231"/>
      <c r="I4" s="2231"/>
      <c r="J4" s="2231"/>
      <c r="K4" s="2231"/>
      <c r="L4" s="2231"/>
      <c r="M4" s="2231"/>
      <c r="N4" s="2231"/>
      <c r="O4" s="2231"/>
      <c r="P4" s="2231"/>
      <c r="Q4" s="2231"/>
      <c r="R4" s="2231"/>
      <c r="S4" s="2231"/>
      <c r="T4" s="2231"/>
      <c r="U4" s="2231"/>
      <c r="V4" s="2231"/>
      <c r="W4" s="2231"/>
      <c r="X4" s="2231"/>
      <c r="Y4" s="2231"/>
      <c r="Z4" s="2231"/>
      <c r="AA4" s="2231"/>
      <c r="AB4" s="2231"/>
      <c r="AC4" s="2231"/>
      <c r="AD4" s="2231"/>
      <c r="AE4" s="2231"/>
      <c r="AF4" s="164">
        <f>INDEX(Elig_All_TestMatch,MATCH(Elig_FindMatrixMatch_All,Elig_ID,0),31)</f>
        <v>1</v>
      </c>
      <c r="AG4" s="164">
        <f>INDEX(Elig_All_TestMatch,MATCH(Elig_FindMatrixMatch_All,Elig_ID,0),32)</f>
        <v>1</v>
      </c>
      <c r="AH4" s="164">
        <f>INDEX(Elig_All_TestMatch,MATCH(Elig_FindMatrixMatch_All,Elig_ID,0),33)</f>
        <v>1</v>
      </c>
      <c r="AI4" s="164">
        <f>INDEX(Elig_All_TestMatch,MATCH(Elig_FindMatrixMatch_All,Elig_ID,0),34)</f>
        <v>1</v>
      </c>
      <c r="AJ4" s="164">
        <f>INDEX(Elig_All_TestMatch,MATCH(Elig_FindMatrixMatch_All,Elig_ID,0),35)</f>
        <v>1</v>
      </c>
      <c r="AK4" s="164">
        <f>INDEX(Elig_All_TestMatch,MATCH(Elig_FindMatrixMatch_All,Elig_ID,0),36)</f>
        <v>1</v>
      </c>
      <c r="AL4" s="164">
        <f>INDEX(Elig_All_TestMatch,MATCH(Elig_FindMatrixMatch_All,Elig_ID,0),37)</f>
        <v>1</v>
      </c>
      <c r="AM4" s="164">
        <f>INDEX(Elig_All_TestMatch,MATCH(Elig_FindMatrixMatch_All,Elig_ID,0),38)</f>
        <v>1</v>
      </c>
      <c r="AN4" s="164">
        <f>INDEX(Elig_All_TestMatch,MATCH(Elig_FindMatrixMatch_All,Elig_ID,0),39)</f>
        <v>1</v>
      </c>
      <c r="AO4" s="164">
        <f>INDEX(Elig_All_TestMatch,MATCH(Elig_FindMatrixMatch_All,Elig_ID,0),40)</f>
        <v>1</v>
      </c>
      <c r="AP4" s="164">
        <f>INDEX(Elig_All_TestMatch,MATCH(Elig_FindMatrixMatch_All,Elig_ID,0),41)</f>
        <v>1</v>
      </c>
      <c r="AQ4" s="164">
        <f>INDEX(Elig_All_TestMatch,MATCH(Elig_FindMatrixMatch_All,Elig_ID,0),42)</f>
        <v>1</v>
      </c>
      <c r="AR4" s="164">
        <f>INDEX(Elig_All_TestMatch,MATCH(Elig_FindMatrixMatch_All,Elig_ID,0),43)</f>
        <v>1</v>
      </c>
      <c r="AS4" s="164">
        <f>INDEX(Elig_All_TestMatch,MATCH(Elig_FindMatrixMatch_All,Elig_ID,0),44)</f>
        <v>1</v>
      </c>
      <c r="AT4" s="164">
        <f>INDEX(Elig_All_TestMatch,MATCH(Elig_FindMatrixMatch_All,Elig_ID,0),45)</f>
        <v>1</v>
      </c>
      <c r="AU4" s="164">
        <f>INDEX(Elig_All_TestMatch,MATCH(Elig_FindMatrixMatch_All,Elig_ID,0),46)</f>
        <v>1</v>
      </c>
      <c r="AV4" s="164">
        <f>INDEX(Elig_All_TestMatch,MATCH(Elig_FindMatrixMatch_All,Elig_ID,0),47)</f>
        <v>1</v>
      </c>
      <c r="AW4" s="164">
        <f>INDEX(Elig_All_TestMatch,MATCH(Elig_FindMatrixMatch_All,Elig_ID,0),48)</f>
        <v>1</v>
      </c>
      <c r="AX4" s="164">
        <f>INDEX(Elig_All_TestMatch,MATCH(Elig_FindMatrixMatch_All,Elig_ID,0),49)</f>
        <v>1</v>
      </c>
      <c r="AY4" s="164">
        <f>INDEX(Elig_All_TestMatch,MATCH(Elig_FindMatrixMatch_All,Elig_ID,0),50)</f>
        <v>1</v>
      </c>
      <c r="AZ4" s="164">
        <f>INDEX(Elig_All_TestMatch,MATCH(Elig_FindMatrixMatch_All,Elig_ID,0),51)</f>
        <v>1</v>
      </c>
      <c r="BA4" s="164">
        <f>INDEX(Elig_All_TestMatch,MATCH(Elig_FindMatrixMatch_All,Elig_ID,0),52)</f>
        <v>1</v>
      </c>
      <c r="BB4" s="133" t="str">
        <f>IFERROR(INDEX(Elig_ID,MATCH(22,Elig_MatchCount,0)),0)</f>
        <v>NSN0041</v>
      </c>
      <c r="BC4" s="134" t="str">
        <f>IFERROR(INDEX(Elig_ID,MATCH(21,Elig_MatchCountLTV,0)),0)</f>
        <v>NSN0041</v>
      </c>
      <c r="BD4" s="135" t="str">
        <f>IFERROR(INDEX(Elig_ID,MATCH(21,Elig_MatchCount,0)),0)</f>
        <v>NQN0061</v>
      </c>
      <c r="BH4" s="105"/>
      <c r="BI4" s="105"/>
      <c r="BJ4" s="105"/>
      <c r="BK4" s="105"/>
      <c r="BL4" s="105"/>
      <c r="BM4" s="105"/>
      <c r="BN4" s="105"/>
      <c r="BO4" s="105" t="str">
        <f>IF(Result_Msg2_LLPA_State&lt;&gt;"","Ineligible State","")</f>
        <v/>
      </c>
      <c r="BP4" s="105"/>
      <c r="BQ4" s="105"/>
      <c r="BR4" s="105"/>
      <c r="BS4" s="105"/>
      <c r="BT4" s="105"/>
      <c r="BU4" s="105"/>
      <c r="BV4" s="105"/>
      <c r="BX4" s="105" t="str" cm="1">
        <f t="array" ref="BX4">MIN(IF(BW6:BW783=0,"",BW6:BW783))&amp;"-"&amp;MAX(IF(BX6:BX783=0,"",BX6:BX783))</f>
        <v>0-0</v>
      </c>
      <c r="BZ4" s="105" t="str" cm="1">
        <f t="array" ref="BZ4">MIN(IF(BY6:BY783=0,"",BY6:BY783))&amp;"-"&amp;MAX(IF(BZ6:BZ783=0,"",BZ6:BZ783))</f>
        <v>0-0</v>
      </c>
      <c r="CB4" s="105" t="str" cm="1">
        <f t="array" ref="CB4">MIN(IF(CA6:CA783=0,"",CA6:CA783))&amp;"-"&amp;MAX(IF(CB6:CB783=0,"",CB6:CB783))</f>
        <v>0-0</v>
      </c>
      <c r="CD4" s="105" t="str" cm="1">
        <f t="array" ref="CD4">MIN(IF(CC6:CC783=0,"",CC6:CC783))&amp;"-"&amp;MAX(IF(CD6:CD783=0,"",CD6:CD783))</f>
        <v>0-0</v>
      </c>
      <c r="CF4" s="105" t="str" cm="1">
        <f t="array" ref="CF4">MIN(IF(CE6:CE783=0,"",CE6:CE783))&amp;"-"&amp;MAX(IF(CF6:CF783=0,"",CF6:CF783))</f>
        <v>0-0</v>
      </c>
      <c r="CH4" s="105" t="str" cm="1">
        <f t="array" ref="CH4">MIN(IF(CG6:CG783=0,"",CG6:CG783))&amp;"-"&amp;MAX(IF(CH6:CH783=0,"",CH6:CH783))</f>
        <v>0-0</v>
      </c>
      <c r="CJ4" s="105" t="str" cm="1">
        <f t="array" ref="CJ4">MIN(IF(CI6:CI783=0,"",CI6:CI783))&amp;"-"&amp;MAX(IF(CJ6:CJ783=0,"",CJ6:CJ783))</f>
        <v>0-0</v>
      </c>
    </row>
    <row r="5" spans="1:89" ht="10.15" customHeight="1" x14ac:dyDescent="0.25">
      <c r="A5" s="1922" t="str">
        <f>IF(IFERROR(INDEX(Elig_Msg,MATCH(22,Elig_MatchCount,0)),0)=0,"",IFERROR(INDEX(Elig_Msg,MATCH(22,Elig_MatchCount,0)),0))</f>
        <v xml:space="preserve"> </v>
      </c>
      <c r="B5" s="199" t="s">
        <v>2474</v>
      </c>
      <c r="C5" s="2232" t="s">
        <v>260</v>
      </c>
      <c r="D5" s="2233"/>
      <c r="E5" s="2233"/>
      <c r="F5" s="2233"/>
      <c r="G5" s="2233"/>
      <c r="H5" s="2233"/>
      <c r="I5" s="2234"/>
      <c r="J5" s="23"/>
      <c r="K5" s="23"/>
      <c r="L5" s="23"/>
      <c r="M5" s="23"/>
      <c r="N5" s="23"/>
      <c r="O5" s="23"/>
      <c r="P5" s="23"/>
      <c r="Q5" s="23"/>
      <c r="R5" s="2235" t="s">
        <v>261</v>
      </c>
      <c r="S5" s="2236"/>
      <c r="T5" s="2236"/>
      <c r="U5" s="2236"/>
      <c r="V5" s="2236"/>
      <c r="W5" s="2236"/>
      <c r="X5" s="2236"/>
      <c r="Y5" s="2236"/>
      <c r="Z5" s="2236"/>
      <c r="AA5" s="2236"/>
      <c r="AB5" s="2236"/>
      <c r="AC5" s="2236"/>
      <c r="AD5" s="2236"/>
      <c r="AE5" s="2237"/>
      <c r="AF5" s="2238" t="s">
        <v>288</v>
      </c>
      <c r="AG5" s="2239"/>
      <c r="AH5" s="2239"/>
      <c r="AI5" s="2239"/>
      <c r="AJ5" s="2239"/>
      <c r="AK5" s="2239"/>
      <c r="AL5" s="2239"/>
      <c r="AM5" s="2239"/>
      <c r="AN5" s="2239"/>
      <c r="AO5" s="2239"/>
      <c r="AP5" s="2239"/>
      <c r="AQ5" s="2239"/>
      <c r="AR5" s="2239"/>
      <c r="AS5" s="2239"/>
      <c r="AT5" s="2239"/>
      <c r="AU5" s="2239"/>
      <c r="AV5" s="2239"/>
      <c r="AW5" s="2239"/>
      <c r="AX5" s="2239"/>
      <c r="AY5" s="2239"/>
      <c r="AZ5" s="2239"/>
      <c r="BA5" s="2240"/>
      <c r="BB5" s="136">
        <f>IFERROR(MATCH(22,Elig_MatchCount,0),0)</f>
        <v>725</v>
      </c>
      <c r="BC5" s="137">
        <f>IFERROR(MATCH(21,Elig_MatchCountLTV,0),0)</f>
        <v>725</v>
      </c>
      <c r="BD5" s="136">
        <f>IFERROR(MATCH(21,Elig_MatchCountMult,0),0)</f>
        <v>283</v>
      </c>
      <c r="BH5" s="105" t="str">
        <f t="shared" ref="BH5:BV5" si="0">IFERROR(INDEX(BH$7:BH$783,MATCH("*",BH$7:BH$783,0),1),"")</f>
        <v/>
      </c>
      <c r="BI5" s="105" t="str">
        <f t="shared" si="0"/>
        <v/>
      </c>
      <c r="BJ5" s="105" t="str">
        <f t="shared" si="0"/>
        <v/>
      </c>
      <c r="BK5" s="105" t="str">
        <f t="shared" si="0"/>
        <v/>
      </c>
      <c r="BL5" s="105" t="str">
        <f t="shared" si="0"/>
        <v/>
      </c>
      <c r="BM5" s="105" t="str">
        <f t="shared" si="0"/>
        <v/>
      </c>
      <c r="BN5" s="105" t="str">
        <f t="shared" si="0"/>
        <v/>
      </c>
      <c r="BO5" s="105" t="str">
        <f t="shared" si="0"/>
        <v/>
      </c>
      <c r="BP5" s="105" t="str">
        <f t="shared" si="0"/>
        <v/>
      </c>
      <c r="BQ5" s="105" t="str">
        <f t="shared" si="0"/>
        <v/>
      </c>
      <c r="BR5" s="105" t="str">
        <f t="shared" si="0"/>
        <v/>
      </c>
      <c r="BS5" s="105" t="str">
        <f t="shared" si="0"/>
        <v/>
      </c>
      <c r="BT5" s="105" t="str">
        <f t="shared" si="0"/>
        <v/>
      </c>
      <c r="BU5" s="105" t="str">
        <f t="shared" si="0"/>
        <v/>
      </c>
      <c r="BV5" s="105" t="str">
        <f t="shared" si="0"/>
        <v/>
      </c>
      <c r="BW5" s="105">
        <f>IF(BX5="0-0","",BX5)</f>
        <v>0</v>
      </c>
      <c r="BX5" s="105" cm="1">
        <f t="array" ref="BX5">MAX(IF(BX7:BX783=0,"",BX7:BX783))</f>
        <v>0</v>
      </c>
      <c r="BY5" s="152">
        <f>IF(BZ5="0-0","",BZ5)</f>
        <v>0</v>
      </c>
      <c r="BZ5" s="105" cm="1">
        <f t="array" ref="BZ5">MAX(IF(BZ7:BZ783=0,"",BZ7:BZ783))</f>
        <v>0</v>
      </c>
      <c r="CA5" s="152">
        <f>IF(CB5="0-0","",CB5)</f>
        <v>0</v>
      </c>
      <c r="CB5" s="105" cm="1">
        <f t="array" ref="CB5">MAX(IF(CB7:CB783=0,"",CB7:CB783))</f>
        <v>0</v>
      </c>
      <c r="CC5" s="152">
        <f>IF(CD5="0-0","",CD5)</f>
        <v>0</v>
      </c>
      <c r="CD5" s="105" cm="1">
        <f t="array" ref="CD5">MIN(IF(CC7:CC783=0,"",CC7:CC783))</f>
        <v>0</v>
      </c>
      <c r="CE5" s="152">
        <f>IF(CF5="0-0","",CF5)</f>
        <v>0</v>
      </c>
      <c r="CF5" s="105" cm="1">
        <f t="array" ref="CF5">MIN(IF(CE7:CE783=0,"",CE7:CE783))</f>
        <v>0</v>
      </c>
      <c r="CG5" s="152">
        <f>IF(CH5="0-0","",CH5)</f>
        <v>0</v>
      </c>
      <c r="CH5" s="105" cm="1">
        <f t="array" ref="CH5">MIN(IF(CG7:CG783=0,"",CG7:CG783))</f>
        <v>0</v>
      </c>
      <c r="CI5" s="152">
        <f>IF(CJ5="0-0","",CJ5)</f>
        <v>0</v>
      </c>
      <c r="CJ5" s="105" cm="1">
        <f t="array" ref="CJ5">MAX(IF(CJ7:CJ783=0,"",CJ7:CJ783))</f>
        <v>0</v>
      </c>
    </row>
    <row r="6" spans="1:89" ht="24.6" customHeight="1" x14ac:dyDescent="0.25">
      <c r="A6" s="159" t="s">
        <v>2473</v>
      </c>
      <c r="B6" s="159" t="s">
        <v>113</v>
      </c>
      <c r="C6" s="159" t="s">
        <v>258</v>
      </c>
      <c r="D6" s="160" t="s">
        <v>42</v>
      </c>
      <c r="E6" s="161" t="s">
        <v>167</v>
      </c>
      <c r="F6" s="162" t="s">
        <v>259</v>
      </c>
      <c r="G6" s="162" t="s">
        <v>72</v>
      </c>
      <c r="H6" s="162" t="s">
        <v>81</v>
      </c>
      <c r="I6" s="162" t="s">
        <v>33</v>
      </c>
      <c r="J6" s="162" t="s">
        <v>40</v>
      </c>
      <c r="K6" s="162" t="s">
        <v>347</v>
      </c>
      <c r="L6" s="162" t="s">
        <v>44</v>
      </c>
      <c r="M6" s="158" t="s">
        <v>224</v>
      </c>
      <c r="N6" s="158" t="s">
        <v>65</v>
      </c>
      <c r="O6" s="158" t="s">
        <v>46</v>
      </c>
      <c r="P6" s="158" t="s">
        <v>297</v>
      </c>
      <c r="Q6" s="158" t="s">
        <v>48</v>
      </c>
      <c r="R6" s="158" t="s">
        <v>263</v>
      </c>
      <c r="S6" s="158" t="s">
        <v>264</v>
      </c>
      <c r="T6" s="158" t="s">
        <v>294</v>
      </c>
      <c r="U6" s="158" t="s">
        <v>295</v>
      </c>
      <c r="V6" s="158" t="s">
        <v>265</v>
      </c>
      <c r="W6" s="158" t="s">
        <v>266</v>
      </c>
      <c r="X6" s="158" t="s">
        <v>279</v>
      </c>
      <c r="Y6" s="158" t="s">
        <v>280</v>
      </c>
      <c r="Z6" s="158" t="s">
        <v>267</v>
      </c>
      <c r="AA6" s="158" t="s">
        <v>268</v>
      </c>
      <c r="AB6" s="158" t="s">
        <v>271</v>
      </c>
      <c r="AC6" s="163" t="s">
        <v>272</v>
      </c>
      <c r="AD6" s="158" t="s">
        <v>269</v>
      </c>
      <c r="AE6" s="158" t="s">
        <v>270</v>
      </c>
      <c r="AF6" s="31" t="s">
        <v>258</v>
      </c>
      <c r="AG6" s="32" t="s">
        <v>42</v>
      </c>
      <c r="AH6" s="32" t="s">
        <v>167</v>
      </c>
      <c r="AI6" s="33" t="s">
        <v>259</v>
      </c>
      <c r="AJ6" s="33" t="s">
        <v>72</v>
      </c>
      <c r="AK6" s="33" t="s">
        <v>445</v>
      </c>
      <c r="AL6" s="33" t="s">
        <v>33</v>
      </c>
      <c r="AM6" s="33" t="s">
        <v>40</v>
      </c>
      <c r="AN6" s="33" t="s">
        <v>347</v>
      </c>
      <c r="AO6" s="34" t="s">
        <v>291</v>
      </c>
      <c r="AP6" s="33" t="s">
        <v>224</v>
      </c>
      <c r="AQ6" s="33" t="s">
        <v>65</v>
      </c>
      <c r="AR6" s="33" t="s">
        <v>46</v>
      </c>
      <c r="AS6" s="33" t="s">
        <v>292</v>
      </c>
      <c r="AT6" s="34" t="s">
        <v>48</v>
      </c>
      <c r="AU6" s="35" t="s">
        <v>274</v>
      </c>
      <c r="AV6" s="35" t="s">
        <v>296</v>
      </c>
      <c r="AW6" s="35" t="s">
        <v>14</v>
      </c>
      <c r="AX6" s="36" t="s">
        <v>62</v>
      </c>
      <c r="AY6" s="35" t="s">
        <v>275</v>
      </c>
      <c r="AZ6" s="37" t="s">
        <v>276</v>
      </c>
      <c r="BA6" s="38" t="s">
        <v>24</v>
      </c>
      <c r="BB6" s="138">
        <f>MAX(Elig_MatchCount)</f>
        <v>22</v>
      </c>
      <c r="BC6" s="139">
        <f>MAX(Elig_MatchCountLTV)</f>
        <v>21</v>
      </c>
      <c r="BD6" s="140">
        <f>MAX(Elig_MatchCountMult)</f>
        <v>21</v>
      </c>
      <c r="BE6" s="165" t="str">
        <f>""</f>
        <v/>
      </c>
      <c r="BH6" s="158" t="s">
        <v>258</v>
      </c>
      <c r="BI6" s="158" t="s">
        <v>42</v>
      </c>
      <c r="BJ6" s="158" t="s">
        <v>167</v>
      </c>
      <c r="BK6" s="158" t="s">
        <v>259</v>
      </c>
      <c r="BL6" s="158" t="s">
        <v>72</v>
      </c>
      <c r="BM6" s="158" t="s">
        <v>81</v>
      </c>
      <c r="BN6" s="158" t="s">
        <v>33</v>
      </c>
      <c r="BO6" s="158" t="s">
        <v>40</v>
      </c>
      <c r="BP6" s="158" t="s">
        <v>347</v>
      </c>
      <c r="BQ6" s="158" t="s">
        <v>44</v>
      </c>
      <c r="BR6" s="158" t="s">
        <v>224</v>
      </c>
      <c r="BS6" s="158" t="s">
        <v>65</v>
      </c>
      <c r="BT6" s="158" t="s">
        <v>46</v>
      </c>
      <c r="BU6" s="158" t="s">
        <v>297</v>
      </c>
      <c r="BV6" s="158" t="s">
        <v>48</v>
      </c>
      <c r="BW6" s="2228" t="str">
        <f>R6</f>
        <v>Loan Amt Min</v>
      </c>
      <c r="BX6" s="2229"/>
      <c r="BY6" s="2228" t="str">
        <f>T6</f>
        <v>Cashout Amt Min</v>
      </c>
      <c r="BZ6" s="2229"/>
      <c r="CA6" s="2228" t="str">
        <f>V6</f>
        <v>DTI Min</v>
      </c>
      <c r="CB6" s="2229"/>
      <c r="CC6" s="2228" t="str">
        <f>X6</f>
        <v>DSCR Min</v>
      </c>
      <c r="CD6" s="2229"/>
      <c r="CE6" s="2228" t="str">
        <f>Z6</f>
        <v>CS Min</v>
      </c>
      <c r="CF6" s="2229"/>
      <c r="CG6" s="2228" t="str">
        <f>AB6</f>
        <v>Reserves Min</v>
      </c>
      <c r="CH6" s="2229"/>
      <c r="CI6" s="2228" t="str">
        <f>AD6</f>
        <v>LTV Min</v>
      </c>
      <c r="CJ6" s="2229"/>
    </row>
    <row r="7" spans="1:89" ht="10.15" customHeight="1" x14ac:dyDescent="0.25">
      <c r="A7" s="1418" t="s">
        <v>76</v>
      </c>
      <c r="B7" s="1418" t="s">
        <v>714</v>
      </c>
      <c r="C7" s="112" t="str">
        <f t="shared" ref="C7:C76" si="1">Input_Name_Product1</f>
        <v>NonQM OO</v>
      </c>
      <c r="D7" s="113" t="s">
        <v>1995</v>
      </c>
      <c r="E7" s="113" t="s">
        <v>166</v>
      </c>
      <c r="F7" s="113" t="s">
        <v>330</v>
      </c>
      <c r="G7" s="113" t="s">
        <v>302</v>
      </c>
      <c r="H7" s="113" t="s">
        <v>135</v>
      </c>
      <c r="I7" s="114" t="s">
        <v>273</v>
      </c>
      <c r="J7" s="114" t="s">
        <v>1130</v>
      </c>
      <c r="K7" s="114" t="s">
        <v>1398</v>
      </c>
      <c r="L7" s="113" t="s">
        <v>2025</v>
      </c>
      <c r="M7" s="113" t="s">
        <v>2289</v>
      </c>
      <c r="N7" s="113" t="s">
        <v>82</v>
      </c>
      <c r="O7" s="113" t="s">
        <v>309</v>
      </c>
      <c r="P7" s="113" t="s">
        <v>2433</v>
      </c>
      <c r="Q7" s="113" t="s">
        <v>293</v>
      </c>
      <c r="R7" s="114">
        <v>100000</v>
      </c>
      <c r="S7" s="114">
        <v>1000000</v>
      </c>
      <c r="T7" s="114">
        <v>0</v>
      </c>
      <c r="U7" s="114">
        <v>0</v>
      </c>
      <c r="V7" s="114">
        <v>0</v>
      </c>
      <c r="W7" s="114">
        <v>55</v>
      </c>
      <c r="X7" s="114">
        <v>0</v>
      </c>
      <c r="Y7" s="114">
        <v>999</v>
      </c>
      <c r="Z7" s="115">
        <v>720</v>
      </c>
      <c r="AA7" s="115">
        <v>999</v>
      </c>
      <c r="AB7" s="1876">
        <v>0</v>
      </c>
      <c r="AC7" s="115">
        <v>999999</v>
      </c>
      <c r="AD7" s="114">
        <v>0</v>
      </c>
      <c r="AE7" s="114">
        <v>90</v>
      </c>
      <c r="AF7" s="141" cm="1">
        <f t="array" ref="AF7:AF783">IF(Input_Product=Elig_Product,1,0)</f>
        <v>0</v>
      </c>
      <c r="AG7" s="142" cm="1">
        <f t="array" ref="AG7:AG783">IF(IFERROR(FIND(Input_AmortTerm,Elig_AmortTerm),0)&gt;0,1,0)</f>
        <v>1</v>
      </c>
      <c r="AH7" s="142" cm="1">
        <f t="array" ref="AH7:AH783">IF(IFERROR(FIND(Input_AmortType,Elig_AmortType),0)&gt;0,1,0)</f>
        <v>1</v>
      </c>
      <c r="AI7" s="142" cm="1">
        <f t="array" ref="AI7:AI783">IF(IFERROR(FIND(INDEX(List_OccupancyAll,MATCH(Input_Occupancy,List_Occupancy,0),2),Elig_Occupancy),0)&gt;0,1,0)</f>
        <v>0</v>
      </c>
      <c r="AJ7" s="142" cm="1">
        <f t="array" ref="AJ7:AJ783">IF(IFERROR(FIND(Input_DocTypeCode,Elig_DocType),0)&gt;0,1,0)</f>
        <v>0</v>
      </c>
      <c r="AK7" s="142" cm="1">
        <f t="array" ref="AK7:AK783">IF(IFERROR(FIND(Input_BankStmt,Elig_BankStmt),0)&gt;0,1,0)</f>
        <v>1</v>
      </c>
      <c r="AL7" s="142" cm="1">
        <f t="array" ref="AL7:AL783">IF(IFERROR(FIND(Input_Purpose,Elig_Purpose),0)&gt;0,1,0)</f>
        <v>1</v>
      </c>
      <c r="AM7" s="142" cm="1">
        <f t="array" ref="AM7:AM783">IF(IFERROR(FIND(Input_State,Elig_State),0)&gt;0,1,0)</f>
        <v>1</v>
      </c>
      <c r="AN7" s="142" cm="1">
        <f t="array" ref="AN7:AN783">IF(IFERROR(FIND(Lookup_Property,Elig_PropType),0)&gt;0,1,0)</f>
        <v>1</v>
      </c>
      <c r="AO7" s="142" cm="1">
        <f t="array" ref="AO7:AO783">IF(IFERROR(FIND(Input_HousingHistory,Elig_HousingHistory),0)&gt;0,1,0)</f>
        <v>1</v>
      </c>
      <c r="AP7" s="142" cm="1">
        <f t="array" ref="AP7:AP783">IF(IFERROR(FIND(Input_CreditHistory,Elig_CreditHistory),0)&gt;0,1,0)</f>
        <v>1</v>
      </c>
      <c r="AQ7" s="142" cm="1">
        <f t="array" ref="AQ7:AQ783">IF(IFERROR(FIND(Input_PrepayPenalty,Elig_PrepayPenalty),0)&gt;0,1,0)</f>
        <v>0</v>
      </c>
      <c r="AR7" s="142" cm="1">
        <f t="array" ref="AR7:AR783">IF(IFERROR(FIND(Input_Citizenship,Elig_Citizenship),0)&gt;0,1,0)</f>
        <v>1</v>
      </c>
      <c r="AS7" s="142" cm="1">
        <f t="array" ref="AS7:AS783">IF(IFERROR(FIND(Input_FirstTimeHomeBuyer,Elig_FirstTimeHomeBuyer),0)&gt;0,1,0)</f>
        <v>1</v>
      </c>
      <c r="AT7" s="142" cm="1">
        <f t="array" ref="AT7:AT783">IF(IFERROR(FIND(Input_Servicing,Elig_Servicing),0)&gt;0,1,0)</f>
        <v>1</v>
      </c>
      <c r="AU7" s="142">
        <f t="shared" ref="AU7:AU60" si="2">IF(AND(Input_LoanAmt&gt;=Elig_LoanAmt_Min,Input_LoanAmt&lt;=Elig_LoanAmt_Max),1,0)</f>
        <v>1</v>
      </c>
      <c r="AV7" s="142">
        <f t="shared" ref="AV7:AV60" si="3">IF(AND(Input_CashoutAmt&gt;=Elig_CashoutAmt_Min,Input_CashoutAmt&lt;=Elig_CashoutAmt_Max),1,0)</f>
        <v>1</v>
      </c>
      <c r="AW7" s="142">
        <f t="shared" ref="AW7:AW60" si="4">IF(AND(Input_DTI&gt;=Elig_DTI_Min,Input_DTI&lt;=Elig_DTI_Max),1,0)</f>
        <v>1</v>
      </c>
      <c r="AX7" s="142">
        <f t="shared" ref="AX7:AX82" si="5">IF(AND(Input_DSCR&gt;=Elig_DSCR_Min,Input_DSCR&lt;=Elig_DSCR_Max),1,0)</f>
        <v>1</v>
      </c>
      <c r="AY7" s="142">
        <f t="shared" ref="AY7:AY60" si="6">IF(AND(Input_CreditScore&gt;=Elig_CreditScore_Min,Input_CreditScore&lt;=Elig_CreditScore_Max),1,0)</f>
        <v>1</v>
      </c>
      <c r="AZ7" s="142">
        <f t="shared" ref="AZ7:AZ60" si="7">IF(AND(Input_ReservesMonths&gt;=Elig_Reserves_Min,Input_ReservesMonths&lt;=Elig_Reserves_Max),1,0)</f>
        <v>1</v>
      </c>
      <c r="BA7" s="143">
        <f t="shared" ref="BA7:BA60" si="8">IF(AND(Input_LTV&gt;=Elig_LTV_Min,Input_LTV&lt;=Elig_LTV_Max),1,0)</f>
        <v>1</v>
      </c>
      <c r="BB7" s="147">
        <f t="shared" ref="BB7:BB62" si="9">SUM(AF7:BA7)</f>
        <v>18</v>
      </c>
      <c r="BC7" s="148">
        <f t="shared" ref="BC7:BC62" si="10">SUM(AF7:AZ7)</f>
        <v>17</v>
      </c>
      <c r="BD7" s="148">
        <f t="shared" ref="BD7:BD62" si="11">SUM(AG7:BA7)</f>
        <v>18</v>
      </c>
      <c r="BE7" s="210" t="str">
        <f t="shared" ref="BE7:BE62" si="12">IF(BD7=21,C7,"")</f>
        <v/>
      </c>
      <c r="BH7" s="166">
        <f>IF(AND(Input_Product=Elig!$C7,Elig_MatchAll_Ct&lt;22,$BC7=(Elig_MatchAll_Ct-1),AF7=0),C7,0)</f>
        <v>0</v>
      </c>
      <c r="BI7" s="167">
        <f>IF(AND(Input_Product=Elig!$C7,Elig_MatchAll_Ct&lt;22,$BC7=(Elig_MatchAll_Ct-1),AG7=0),D7,0)</f>
        <v>0</v>
      </c>
      <c r="BJ7" s="167">
        <f>IF(AND(Input_Product=Elig!$C7,Elig_MatchAll_Ct&lt;22,$BC7=(Elig_MatchAll_Ct-1),AH7=0),E7,0)</f>
        <v>0</v>
      </c>
      <c r="BK7" s="167">
        <f>IF(AND(Input_Product=Elig!$C7,Elig_MatchAll_Ct&lt;22,$BC7=(Elig_MatchAll_Ct-1),AI7=0),F7,0)</f>
        <v>0</v>
      </c>
      <c r="BL7" s="167">
        <f>IF(AND(Input_Product=Elig!$C7,Elig_MatchAll_Ct&lt;22,$BC7=(Elig_MatchAll_Ct-1),AJ7=0),G7,0)</f>
        <v>0</v>
      </c>
      <c r="BM7" s="167">
        <f>IF(AND(Input_Product=Elig!$C7,Elig_MatchAll_Ct&lt;22,$BC7=(Elig_MatchAll_Ct-1),AK7=0),H7,0)</f>
        <v>0</v>
      </c>
      <c r="BN7" s="167">
        <f>IF(AND(Input_Product=Elig!$C7,Elig_MatchAll_Ct&lt;22,$BC7=(Elig_MatchAll_Ct-1),AL7=0),I7,0)</f>
        <v>0</v>
      </c>
      <c r="BO7" s="167">
        <f>IF(AND(Input_Product=Elig!$C7,Elig_MatchAll_Ct&lt;22,$BC7=(Elig_MatchAll_Ct-1),AM7=0),J7,0)</f>
        <v>0</v>
      </c>
      <c r="BP7" s="167">
        <f>IF(AND(Input_Product=Elig!$C7,Elig_MatchAll_Ct&lt;22,$BC7=(Elig_MatchAll_Ct-1),AN7=0),K7,0)</f>
        <v>0</v>
      </c>
      <c r="BQ7" s="167">
        <f>IF(AND(Input_Product=Elig!$C7,Elig_MatchAll_Ct&lt;22,$BC7=(Elig_MatchAll_Ct-1),AP7=0),L7,0)</f>
        <v>0</v>
      </c>
      <c r="BR7" s="167">
        <f>IF(AND(Input_Product=Elig!$C7,Elig_MatchAll_Ct&lt;22,$BC7=(Elig_MatchAll_Ct-1),AO7=0),M7,0)</f>
        <v>0</v>
      </c>
      <c r="BS7" s="167">
        <f>IF(AND(Input_Product=Elig!$C7,Elig_MatchAll_Ct&lt;22,$BC7=(Elig_MatchAll_Ct-1),AQ7=0),N7,0)</f>
        <v>0</v>
      </c>
      <c r="BT7" s="167">
        <f>IF(AND(Input_Product=Elig!$C7,Elig_MatchAll_Ct&lt;22,$BC7=(Elig_MatchAll_Ct-1),AR7=0),O7,0)</f>
        <v>0</v>
      </c>
      <c r="BU7" s="167">
        <f>IF(AND(Input_Product=Elig!$C7,Elig_MatchAll_Ct&lt;22,$BC7=(Elig_MatchAll_Ct-1),AS7=0),P7,0)</f>
        <v>0</v>
      </c>
      <c r="BV7" s="168">
        <f>IF(AND(Input_Product=Elig!$C7,Elig_MatchAll_Ct&lt;22,$BC7=(Elig_MatchAll_Ct-1),AT7=0),Q7,0)</f>
        <v>0</v>
      </c>
      <c r="BW7" s="169">
        <f>IF(AND(Input_Product=Elig!$C7,Elig_MatchAll_Ct&lt;22,$BC7=(Elig_MatchAll_Ct-1),AU7=0),R7,0)</f>
        <v>0</v>
      </c>
      <c r="BX7" s="170">
        <f>IF(AND(Input_Product=Elig!$C7,Elig_MatchAll_Ct&lt;22,$BC7=(Elig_MatchAll_Ct-1),AU7=0),S7,0)</f>
        <v>0</v>
      </c>
      <c r="BY7" s="169">
        <f>IF(AND(Input_Product=Elig!$C7,Elig_MatchAll_Ct&lt;22,$BC7=(Elig_MatchAll_Ct-1),AV7=0),T7,0)</f>
        <v>0</v>
      </c>
      <c r="BZ7" s="170">
        <f>IF(AND(Input_Product=Elig!$C7,Elig_MatchAll_Ct&lt;22,$BC7=(Elig_MatchAll_Ct-1),AV7=0),U7,0)</f>
        <v>0</v>
      </c>
      <c r="CA7" s="169">
        <f>IF(AND(Input_Product=Elig!$C7,Elig_MatchAll_Ct&lt;22,$BC7=(Elig_MatchAll_Ct-1),AW7=0),V7,0)</f>
        <v>0</v>
      </c>
      <c r="CB7" s="170">
        <f>IF(AND(Input_Product=Elig!$C7,Elig_MatchAll_Ct&lt;22,$BC7=(Elig_MatchAll_Ct-1),AW7=0),W7,0)</f>
        <v>0</v>
      </c>
      <c r="CC7" s="169">
        <f>IF(AND(Input_Product=Elig!$C7,Elig_MatchAll_Ct&lt;22,$BC7=(Elig_MatchAll_Ct-1),AX7=0),X7,0)</f>
        <v>0</v>
      </c>
      <c r="CD7" s="170">
        <f>IF(AND(Input_Product=Elig!$C7,Elig_MatchAll_Ct&lt;22,$BC7=(Elig_MatchAll_Ct-1),AX7=0),Y7,0)</f>
        <v>0</v>
      </c>
      <c r="CE7" s="169">
        <f>IF(AND(Input_LTV&lt;=AE7,Input_Product=Elig!$C7,Elig_MatchAll_Ct&lt;22,$BC7=(Elig_MatchAll_Ct-1),AY7=0),Z7,0)</f>
        <v>0</v>
      </c>
      <c r="CF7" s="170">
        <f>IF(AND(Input_LTV&lt;=AE7,Input_Product=Elig!$C7,Elig_MatchAll_Ct&lt;22,$BC7=(Elig_MatchAll_Ct-1),AY7=0),AA7,0)</f>
        <v>0</v>
      </c>
      <c r="CG7" s="169">
        <f>IF(AND(Input_Product=Elig!$C7,Elig_MatchAll_Ct&lt;22,$BC7=(Elig_MatchAll_Ct-1),AZ7=0),AB7,0)</f>
        <v>0</v>
      </c>
      <c r="CH7" s="170">
        <f>IF(AND(Input_Product=Elig!$C7,Elig_MatchAll_Ct&lt;22,$BC7=(Elig_MatchAll_Ct-1),AZ7=0),AC7,0)</f>
        <v>0</v>
      </c>
      <c r="CI7" s="169">
        <f>IF(AND(Input_Product=Elig!$C7,Elig_MatchAll_Ct&lt;22,$BC7=(Elig_MatchAll_Ct-1),BA7=0),AD7,0)</f>
        <v>0</v>
      </c>
      <c r="CJ7" s="171">
        <f>IF(AND(Input_Product=Elig!$C7,Elig_MatchAll_Ct&lt;22,$BC7=(Elig_MatchAll_Ct-1),BA7=0),AE7,0)</f>
        <v>0</v>
      </c>
    </row>
    <row r="8" spans="1:89" ht="10.15" customHeight="1" x14ac:dyDescent="0.25">
      <c r="A8" s="1419" t="s">
        <v>76</v>
      </c>
      <c r="B8" s="1419" t="s">
        <v>715</v>
      </c>
      <c r="C8" s="116" t="str">
        <f t="shared" si="1"/>
        <v>NonQM OO</v>
      </c>
      <c r="D8" s="117" t="s">
        <v>1995</v>
      </c>
      <c r="E8" s="117" t="s">
        <v>166</v>
      </c>
      <c r="F8" s="117" t="s">
        <v>330</v>
      </c>
      <c r="G8" s="117" t="s">
        <v>302</v>
      </c>
      <c r="H8" s="117" t="s">
        <v>135</v>
      </c>
      <c r="I8" s="118" t="s">
        <v>273</v>
      </c>
      <c r="J8" s="118" t="s">
        <v>1130</v>
      </c>
      <c r="K8" s="118" t="s">
        <v>1398</v>
      </c>
      <c r="L8" s="117" t="s">
        <v>2025</v>
      </c>
      <c r="M8" s="117" t="s">
        <v>2289</v>
      </c>
      <c r="N8" s="117" t="s">
        <v>82</v>
      </c>
      <c r="O8" s="117" t="s">
        <v>309</v>
      </c>
      <c r="P8" s="117" t="s">
        <v>2433</v>
      </c>
      <c r="Q8" s="117" t="s">
        <v>293</v>
      </c>
      <c r="R8" s="117">
        <v>100000</v>
      </c>
      <c r="S8" s="117">
        <v>1000000</v>
      </c>
      <c r="T8" s="117">
        <v>0</v>
      </c>
      <c r="U8" s="117">
        <v>0</v>
      </c>
      <c r="V8" s="117">
        <v>0</v>
      </c>
      <c r="W8" s="117">
        <v>55</v>
      </c>
      <c r="X8" s="117">
        <v>0</v>
      </c>
      <c r="Y8" s="117">
        <v>999</v>
      </c>
      <c r="Z8" s="119">
        <v>700</v>
      </c>
      <c r="AA8" s="119">
        <v>719</v>
      </c>
      <c r="AB8" s="1877">
        <v>0</v>
      </c>
      <c r="AC8" s="119">
        <v>999999</v>
      </c>
      <c r="AD8" s="117">
        <v>0</v>
      </c>
      <c r="AE8" s="117">
        <v>90</v>
      </c>
      <c r="AF8" s="144">
        <v>0</v>
      </c>
      <c r="AG8" s="145">
        <v>1</v>
      </c>
      <c r="AH8" s="145">
        <v>1</v>
      </c>
      <c r="AI8" s="145">
        <v>0</v>
      </c>
      <c r="AJ8" s="145">
        <v>0</v>
      </c>
      <c r="AK8" s="145">
        <v>1</v>
      </c>
      <c r="AL8" s="145">
        <v>1</v>
      </c>
      <c r="AM8" s="145">
        <v>1</v>
      </c>
      <c r="AN8" s="145">
        <v>1</v>
      </c>
      <c r="AO8" s="145">
        <v>1</v>
      </c>
      <c r="AP8" s="145">
        <v>1</v>
      </c>
      <c r="AQ8" s="145">
        <v>0</v>
      </c>
      <c r="AR8" s="145">
        <v>1</v>
      </c>
      <c r="AS8" s="145">
        <v>1</v>
      </c>
      <c r="AT8" s="145">
        <v>1</v>
      </c>
      <c r="AU8" s="145">
        <f t="shared" si="2"/>
        <v>1</v>
      </c>
      <c r="AV8" s="145">
        <f t="shared" si="3"/>
        <v>1</v>
      </c>
      <c r="AW8" s="145">
        <f t="shared" si="4"/>
        <v>1</v>
      </c>
      <c r="AX8" s="145">
        <f t="shared" si="5"/>
        <v>1</v>
      </c>
      <c r="AY8" s="145">
        <f t="shared" si="6"/>
        <v>0</v>
      </c>
      <c r="AZ8" s="145">
        <f t="shared" si="7"/>
        <v>1</v>
      </c>
      <c r="BA8" s="146">
        <f t="shared" si="8"/>
        <v>1</v>
      </c>
      <c r="BB8" s="149">
        <f t="shared" si="9"/>
        <v>17</v>
      </c>
      <c r="BC8" s="150">
        <f t="shared" si="10"/>
        <v>16</v>
      </c>
      <c r="BD8" s="150">
        <f t="shared" si="11"/>
        <v>17</v>
      </c>
      <c r="BE8" s="211" t="str">
        <f t="shared" si="12"/>
        <v/>
      </c>
      <c r="BH8" s="172">
        <f>IF(AND(Input_Product=Elig!$C8,Elig_MatchAll_Ct&lt;22,$BC8=(Elig_MatchAll_Ct-1),AF8=0),C8,0)</f>
        <v>0</v>
      </c>
      <c r="BI8" s="173">
        <f>IF(AND(Input_Product=Elig!$C8,Elig_MatchAll_Ct&lt;22,$BC8=(Elig_MatchAll_Ct-1),AG8=0),D8,0)</f>
        <v>0</v>
      </c>
      <c r="BJ8" s="173">
        <f>IF(AND(Input_Product=Elig!$C8,Elig_MatchAll_Ct&lt;22,$BC8=(Elig_MatchAll_Ct-1),AH8=0),E8,0)</f>
        <v>0</v>
      </c>
      <c r="BK8" s="173">
        <f>IF(AND(Input_Product=Elig!$C8,Elig_MatchAll_Ct&lt;22,$BC8=(Elig_MatchAll_Ct-1),AI8=0),F8,0)</f>
        <v>0</v>
      </c>
      <c r="BL8" s="173">
        <f>IF(AND(Input_Product=Elig!$C8,Elig_MatchAll_Ct&lt;22,$BC8=(Elig_MatchAll_Ct-1),AJ8=0),G8,0)</f>
        <v>0</v>
      </c>
      <c r="BM8" s="173">
        <f>IF(AND(Input_Product=Elig!$C8,Elig_MatchAll_Ct&lt;22,$BC8=(Elig_MatchAll_Ct-1),AK8=0),H8,0)</f>
        <v>0</v>
      </c>
      <c r="BN8" s="173">
        <f>IF(AND(Input_Product=Elig!$C8,Elig_MatchAll_Ct&lt;22,$BC8=(Elig_MatchAll_Ct-1),AL8=0),I8,0)</f>
        <v>0</v>
      </c>
      <c r="BO8" s="173">
        <f>IF(AND(Input_Product=Elig!$C8,Elig_MatchAll_Ct&lt;22,$BC8=(Elig_MatchAll_Ct-1),AM8=0),J8,0)</f>
        <v>0</v>
      </c>
      <c r="BP8" s="173">
        <f>IF(AND(Input_Product=Elig!$C8,Elig_MatchAll_Ct&lt;22,$BC8=(Elig_MatchAll_Ct-1),AN8=0),K8,0)</f>
        <v>0</v>
      </c>
      <c r="BQ8" s="173">
        <f>IF(AND(Input_Product=Elig!$C8,Elig_MatchAll_Ct&lt;22,$BC8=(Elig_MatchAll_Ct-1),AP8=0),L8,0)</f>
        <v>0</v>
      </c>
      <c r="BR8" s="173">
        <f>IF(AND(Input_Product=Elig!$C8,Elig_MatchAll_Ct&lt;22,$BC8=(Elig_MatchAll_Ct-1),AO8=0),M8,0)</f>
        <v>0</v>
      </c>
      <c r="BS8" s="173">
        <f>IF(AND(Input_Product=Elig!$C8,Elig_MatchAll_Ct&lt;22,$BC8=(Elig_MatchAll_Ct-1),AQ8=0),N8,0)</f>
        <v>0</v>
      </c>
      <c r="BT8" s="173">
        <f>IF(AND(Input_Product=Elig!$C8,Elig_MatchAll_Ct&lt;22,$BC8=(Elig_MatchAll_Ct-1),AR8=0),O8,0)</f>
        <v>0</v>
      </c>
      <c r="BU8" s="173">
        <f>IF(AND(Input_Product=Elig!$C8,Elig_MatchAll_Ct&lt;22,$BC8=(Elig_MatchAll_Ct-1),AS8=0),P8,0)</f>
        <v>0</v>
      </c>
      <c r="BV8" s="174">
        <f>IF(AND(Input_Product=Elig!$C8,Elig_MatchAll_Ct&lt;22,$BC8=(Elig_MatchAll_Ct-1),AT8=0),Q8,0)</f>
        <v>0</v>
      </c>
      <c r="BW8" s="175">
        <f>IF(AND(Input_Product=Elig!$C8,Elig_MatchAll_Ct&lt;22,$BC8=(Elig_MatchAll_Ct-1),AU8=0),R8,0)</f>
        <v>0</v>
      </c>
      <c r="BX8" s="176">
        <f>IF(AND(Input_Product=Elig!$C8,Elig_MatchAll_Ct&lt;22,$BC8=(Elig_MatchAll_Ct-1),AU8=0),S8,0)</f>
        <v>0</v>
      </c>
      <c r="BY8" s="175">
        <f>IF(AND(Input_Product=Elig!$C8,Elig_MatchAll_Ct&lt;22,$BC8=(Elig_MatchAll_Ct-1),AV8=0),T8,0)</f>
        <v>0</v>
      </c>
      <c r="BZ8" s="176">
        <f>IF(AND(Input_Product=Elig!$C8,Elig_MatchAll_Ct&lt;22,$BC8=(Elig_MatchAll_Ct-1),AV8=0),U8,0)</f>
        <v>0</v>
      </c>
      <c r="CA8" s="175">
        <f>IF(AND(Input_Product=Elig!$C8,Elig_MatchAll_Ct&lt;22,$BC8=(Elig_MatchAll_Ct-1),AW8=0),V8,0)</f>
        <v>0</v>
      </c>
      <c r="CB8" s="176">
        <f>IF(AND(Input_Product=Elig!$C8,Elig_MatchAll_Ct&lt;22,$BC8=(Elig_MatchAll_Ct-1),AW8=0),W8,0)</f>
        <v>0</v>
      </c>
      <c r="CC8" s="175">
        <f>IF(AND(Input_Product=Elig!$C8,Elig_MatchAll_Ct&lt;22,$BC8=(Elig_MatchAll_Ct-1),AX8=0),X8,0)</f>
        <v>0</v>
      </c>
      <c r="CD8" s="176">
        <f>IF(AND(Input_Product=Elig!$C8,Elig_MatchAll_Ct&lt;22,$BC8=(Elig_MatchAll_Ct-1),AX8=0),Y8,0)</f>
        <v>0</v>
      </c>
      <c r="CE8" s="175">
        <f>IF(AND(Input_LTV&lt;=AE8,Input_Product=Elig!$C8,Elig_MatchAll_Ct&lt;22,$BC8=(Elig_MatchAll_Ct-1),AY8=0),Z8,0)</f>
        <v>0</v>
      </c>
      <c r="CF8" s="176">
        <f>IF(AND(Input_LTV&lt;=AE8,Input_Product=Elig!$C8,Elig_MatchAll_Ct&lt;22,$BC8=(Elig_MatchAll_Ct-1),AY8=0),AA8,0)</f>
        <v>0</v>
      </c>
      <c r="CG8" s="175">
        <f>IF(AND(Input_Product=Elig!$C8,Elig_MatchAll_Ct&lt;22,$BC8=(Elig_MatchAll_Ct-1),AZ8=0),AB8,0)</f>
        <v>0</v>
      </c>
      <c r="CH8" s="176">
        <f>IF(AND(Input_Product=Elig!$C8,Elig_MatchAll_Ct&lt;22,$BC8=(Elig_MatchAll_Ct-1),AZ8=0),AC8,0)</f>
        <v>0</v>
      </c>
      <c r="CI8" s="175">
        <f>IF(AND(Input_Product=Elig!$C8,Elig_MatchAll_Ct&lt;22,$BC8=(Elig_MatchAll_Ct-1),BA8=0),AD8,0)</f>
        <v>0</v>
      </c>
      <c r="CJ8" s="177">
        <f>IF(AND(Input_Product=Elig!$C8,Elig_MatchAll_Ct&lt;22,$BC8=(Elig_MatchAll_Ct-1),BA8=0),AE8,0)</f>
        <v>0</v>
      </c>
    </row>
    <row r="9" spans="1:89" ht="10.15" customHeight="1" x14ac:dyDescent="0.25">
      <c r="A9" s="1419" t="s">
        <v>76</v>
      </c>
      <c r="B9" s="1419" t="s">
        <v>716</v>
      </c>
      <c r="C9" s="116" t="str">
        <f t="shared" si="1"/>
        <v>NonQM OO</v>
      </c>
      <c r="D9" s="117" t="s">
        <v>1995</v>
      </c>
      <c r="E9" s="117" t="s">
        <v>166</v>
      </c>
      <c r="F9" s="117" t="s">
        <v>330</v>
      </c>
      <c r="G9" s="117" t="s">
        <v>302</v>
      </c>
      <c r="H9" s="117" t="s">
        <v>135</v>
      </c>
      <c r="I9" s="118" t="s">
        <v>273</v>
      </c>
      <c r="J9" s="118" t="s">
        <v>1130</v>
      </c>
      <c r="K9" s="118" t="s">
        <v>1398</v>
      </c>
      <c r="L9" s="117" t="s">
        <v>2025</v>
      </c>
      <c r="M9" s="117" t="s">
        <v>2289</v>
      </c>
      <c r="N9" s="117" t="s">
        <v>82</v>
      </c>
      <c r="O9" s="117" t="s">
        <v>309</v>
      </c>
      <c r="P9" s="117" t="s">
        <v>2433</v>
      </c>
      <c r="Q9" s="117" t="s">
        <v>293</v>
      </c>
      <c r="R9" s="117">
        <v>100000</v>
      </c>
      <c r="S9" s="117">
        <v>1000000</v>
      </c>
      <c r="T9" s="117">
        <v>0</v>
      </c>
      <c r="U9" s="117">
        <v>0</v>
      </c>
      <c r="V9" s="117">
        <v>0</v>
      </c>
      <c r="W9" s="117">
        <v>55</v>
      </c>
      <c r="X9" s="117">
        <v>0</v>
      </c>
      <c r="Y9" s="117">
        <v>999</v>
      </c>
      <c r="Z9" s="119">
        <v>680</v>
      </c>
      <c r="AA9" s="119">
        <v>699</v>
      </c>
      <c r="AB9" s="1877">
        <v>0</v>
      </c>
      <c r="AC9" s="119">
        <v>999999</v>
      </c>
      <c r="AD9" s="117">
        <v>0</v>
      </c>
      <c r="AE9" s="117">
        <v>90</v>
      </c>
      <c r="AF9" s="144">
        <v>0</v>
      </c>
      <c r="AG9" s="145">
        <v>1</v>
      </c>
      <c r="AH9" s="145">
        <v>1</v>
      </c>
      <c r="AI9" s="145">
        <v>0</v>
      </c>
      <c r="AJ9" s="145">
        <v>0</v>
      </c>
      <c r="AK9" s="145">
        <v>1</v>
      </c>
      <c r="AL9" s="145">
        <v>1</v>
      </c>
      <c r="AM9" s="145">
        <v>1</v>
      </c>
      <c r="AN9" s="145">
        <v>1</v>
      </c>
      <c r="AO9" s="145">
        <v>1</v>
      </c>
      <c r="AP9" s="145">
        <v>1</v>
      </c>
      <c r="AQ9" s="145">
        <v>0</v>
      </c>
      <c r="AR9" s="145">
        <v>1</v>
      </c>
      <c r="AS9" s="145">
        <v>1</v>
      </c>
      <c r="AT9" s="145">
        <v>1</v>
      </c>
      <c r="AU9" s="145">
        <f t="shared" si="2"/>
        <v>1</v>
      </c>
      <c r="AV9" s="145">
        <f t="shared" si="3"/>
        <v>1</v>
      </c>
      <c r="AW9" s="145">
        <f t="shared" si="4"/>
        <v>1</v>
      </c>
      <c r="AX9" s="145">
        <f t="shared" si="5"/>
        <v>1</v>
      </c>
      <c r="AY9" s="145">
        <f t="shared" si="6"/>
        <v>0</v>
      </c>
      <c r="AZ9" s="145">
        <f t="shared" si="7"/>
        <v>1</v>
      </c>
      <c r="BA9" s="146">
        <f t="shared" si="8"/>
        <v>1</v>
      </c>
      <c r="BB9" s="149">
        <f t="shared" si="9"/>
        <v>17</v>
      </c>
      <c r="BC9" s="150">
        <f t="shared" si="10"/>
        <v>16</v>
      </c>
      <c r="BD9" s="150">
        <f t="shared" si="11"/>
        <v>17</v>
      </c>
      <c r="BE9" s="211" t="str">
        <f t="shared" si="12"/>
        <v/>
      </c>
      <c r="BH9" s="172">
        <f>IF(AND(Input_Product=Elig!$C9,Elig_MatchAll_Ct&lt;22,$BC9=(Elig_MatchAll_Ct-1),AF9=0),C9,0)</f>
        <v>0</v>
      </c>
      <c r="BI9" s="173">
        <f>IF(AND(Input_Product=Elig!$C9,Elig_MatchAll_Ct&lt;22,$BC9=(Elig_MatchAll_Ct-1),AG9=0),D9,0)</f>
        <v>0</v>
      </c>
      <c r="BJ9" s="173">
        <f>IF(AND(Input_Product=Elig!$C9,Elig_MatchAll_Ct&lt;22,$BC9=(Elig_MatchAll_Ct-1),AH9=0),E9,0)</f>
        <v>0</v>
      </c>
      <c r="BK9" s="173">
        <f>IF(AND(Input_Product=Elig!$C9,Elig_MatchAll_Ct&lt;22,$BC9=(Elig_MatchAll_Ct-1),AI9=0),F9,0)</f>
        <v>0</v>
      </c>
      <c r="BL9" s="173">
        <f>IF(AND(Input_Product=Elig!$C9,Elig_MatchAll_Ct&lt;22,$BC9=(Elig_MatchAll_Ct-1),AJ9=0),G9,0)</f>
        <v>0</v>
      </c>
      <c r="BM9" s="173">
        <f>IF(AND(Input_Product=Elig!$C9,Elig_MatchAll_Ct&lt;22,$BC9=(Elig_MatchAll_Ct-1),AK9=0),H9,0)</f>
        <v>0</v>
      </c>
      <c r="BN9" s="173">
        <f>IF(AND(Input_Product=Elig!$C9,Elig_MatchAll_Ct&lt;22,$BC9=(Elig_MatchAll_Ct-1),AL9=0),I9,0)</f>
        <v>0</v>
      </c>
      <c r="BO9" s="173">
        <f>IF(AND(Input_Product=Elig!$C9,Elig_MatchAll_Ct&lt;22,$BC9=(Elig_MatchAll_Ct-1),AM9=0),J9,0)</f>
        <v>0</v>
      </c>
      <c r="BP9" s="173">
        <f>IF(AND(Input_Product=Elig!$C9,Elig_MatchAll_Ct&lt;22,$BC9=(Elig_MatchAll_Ct-1),AN9=0),K9,0)</f>
        <v>0</v>
      </c>
      <c r="BQ9" s="173">
        <f>IF(AND(Input_Product=Elig!$C9,Elig_MatchAll_Ct&lt;22,$BC9=(Elig_MatchAll_Ct-1),AP9=0),L9,0)</f>
        <v>0</v>
      </c>
      <c r="BR9" s="173">
        <f>IF(AND(Input_Product=Elig!$C9,Elig_MatchAll_Ct&lt;22,$BC9=(Elig_MatchAll_Ct-1),AO9=0),M9,0)</f>
        <v>0</v>
      </c>
      <c r="BS9" s="173">
        <f>IF(AND(Input_Product=Elig!$C9,Elig_MatchAll_Ct&lt;22,$BC9=(Elig_MatchAll_Ct-1),AQ9=0),N9,0)</f>
        <v>0</v>
      </c>
      <c r="BT9" s="173">
        <f>IF(AND(Input_Product=Elig!$C9,Elig_MatchAll_Ct&lt;22,$BC9=(Elig_MatchAll_Ct-1),AR9=0),O9,0)</f>
        <v>0</v>
      </c>
      <c r="BU9" s="173">
        <f>IF(AND(Input_Product=Elig!$C9,Elig_MatchAll_Ct&lt;22,$BC9=(Elig_MatchAll_Ct-1),AS9=0),P9,0)</f>
        <v>0</v>
      </c>
      <c r="BV9" s="174">
        <f>IF(AND(Input_Product=Elig!$C9,Elig_MatchAll_Ct&lt;22,$BC9=(Elig_MatchAll_Ct-1),AT9=0),Q9,0)</f>
        <v>0</v>
      </c>
      <c r="BW9" s="175">
        <f>IF(AND(Input_Product=Elig!$C9,Elig_MatchAll_Ct&lt;22,$BC9=(Elig_MatchAll_Ct-1),AU9=0),R9,0)</f>
        <v>0</v>
      </c>
      <c r="BX9" s="176">
        <f>IF(AND(Input_Product=Elig!$C9,Elig_MatchAll_Ct&lt;22,$BC9=(Elig_MatchAll_Ct-1),AU9=0),S9,0)</f>
        <v>0</v>
      </c>
      <c r="BY9" s="175">
        <f>IF(AND(Input_Product=Elig!$C9,Elig_MatchAll_Ct&lt;22,$BC9=(Elig_MatchAll_Ct-1),AV9=0),T9,0)</f>
        <v>0</v>
      </c>
      <c r="BZ9" s="176">
        <f>IF(AND(Input_Product=Elig!$C9,Elig_MatchAll_Ct&lt;22,$BC9=(Elig_MatchAll_Ct-1),AV9=0),U9,0)</f>
        <v>0</v>
      </c>
      <c r="CA9" s="175">
        <f>IF(AND(Input_Product=Elig!$C9,Elig_MatchAll_Ct&lt;22,$BC9=(Elig_MatchAll_Ct-1),AW9=0),V9,0)</f>
        <v>0</v>
      </c>
      <c r="CB9" s="176">
        <f>IF(AND(Input_Product=Elig!$C9,Elig_MatchAll_Ct&lt;22,$BC9=(Elig_MatchAll_Ct-1),AW9=0),W9,0)</f>
        <v>0</v>
      </c>
      <c r="CC9" s="175">
        <f>IF(AND(Input_Product=Elig!$C9,Elig_MatchAll_Ct&lt;22,$BC9=(Elig_MatchAll_Ct-1),AX9=0),X9,0)</f>
        <v>0</v>
      </c>
      <c r="CD9" s="176">
        <f>IF(AND(Input_Product=Elig!$C9,Elig_MatchAll_Ct&lt;22,$BC9=(Elig_MatchAll_Ct-1),AX9=0),Y9,0)</f>
        <v>0</v>
      </c>
      <c r="CE9" s="175">
        <f>IF(AND(Input_LTV&lt;=AE9,Input_Product=Elig!$C9,Elig_MatchAll_Ct&lt;22,$BC9=(Elig_MatchAll_Ct-1),AY9=0),Z9,0)</f>
        <v>0</v>
      </c>
      <c r="CF9" s="176">
        <f>IF(AND(Input_LTV&lt;=AE9,Input_Product=Elig!$C9,Elig_MatchAll_Ct&lt;22,$BC9=(Elig_MatchAll_Ct-1),AY9=0),AA9,0)</f>
        <v>0</v>
      </c>
      <c r="CG9" s="175">
        <f>IF(AND(Input_Product=Elig!$C9,Elig_MatchAll_Ct&lt;22,$BC9=(Elig_MatchAll_Ct-1),AZ9=0),AB9,0)</f>
        <v>0</v>
      </c>
      <c r="CH9" s="176">
        <f>IF(AND(Input_Product=Elig!$C9,Elig_MatchAll_Ct&lt;22,$BC9=(Elig_MatchAll_Ct-1),AZ9=0),AC9,0)</f>
        <v>0</v>
      </c>
      <c r="CI9" s="175">
        <f>IF(AND(Input_Product=Elig!$C9,Elig_MatchAll_Ct&lt;22,$BC9=(Elig_MatchAll_Ct-1),BA9=0),AD9,0)</f>
        <v>0</v>
      </c>
      <c r="CJ9" s="177">
        <f>IF(AND(Input_Product=Elig!$C9,Elig_MatchAll_Ct&lt;22,$BC9=(Elig_MatchAll_Ct-1),BA9=0),AE9,0)</f>
        <v>0</v>
      </c>
    </row>
    <row r="10" spans="1:89" ht="10.15" customHeight="1" x14ac:dyDescent="0.25">
      <c r="A10" s="1419" t="s">
        <v>76</v>
      </c>
      <c r="B10" s="1419" t="s">
        <v>717</v>
      </c>
      <c r="C10" s="116" t="str">
        <f t="shared" si="1"/>
        <v>NonQM OO</v>
      </c>
      <c r="D10" s="117" t="s">
        <v>1995</v>
      </c>
      <c r="E10" s="117" t="s">
        <v>166</v>
      </c>
      <c r="F10" s="117" t="s">
        <v>330</v>
      </c>
      <c r="G10" s="117" t="s">
        <v>302</v>
      </c>
      <c r="H10" s="117" t="s">
        <v>135</v>
      </c>
      <c r="I10" s="117" t="s">
        <v>273</v>
      </c>
      <c r="J10" s="117" t="s">
        <v>1130</v>
      </c>
      <c r="K10" s="117" t="s">
        <v>1398</v>
      </c>
      <c r="L10" s="117" t="s">
        <v>2025</v>
      </c>
      <c r="M10" s="117" t="s">
        <v>2289</v>
      </c>
      <c r="N10" s="117" t="s">
        <v>82</v>
      </c>
      <c r="O10" s="117" t="s">
        <v>309</v>
      </c>
      <c r="P10" s="117" t="s">
        <v>2433</v>
      </c>
      <c r="Q10" s="117" t="s">
        <v>293</v>
      </c>
      <c r="R10" s="117">
        <v>100000</v>
      </c>
      <c r="S10" s="117">
        <v>1000000</v>
      </c>
      <c r="T10" s="117">
        <v>0</v>
      </c>
      <c r="U10" s="117">
        <v>0</v>
      </c>
      <c r="V10" s="117">
        <v>0</v>
      </c>
      <c r="W10" s="117">
        <v>55</v>
      </c>
      <c r="X10" s="117">
        <v>0</v>
      </c>
      <c r="Y10" s="117">
        <v>999</v>
      </c>
      <c r="Z10" s="119">
        <v>660</v>
      </c>
      <c r="AA10" s="119">
        <v>679</v>
      </c>
      <c r="AB10" s="1877">
        <v>0</v>
      </c>
      <c r="AC10" s="119">
        <v>999999</v>
      </c>
      <c r="AD10" s="117">
        <v>0</v>
      </c>
      <c r="AE10" s="117">
        <v>80</v>
      </c>
      <c r="AF10" s="144">
        <v>0</v>
      </c>
      <c r="AG10" s="145">
        <v>1</v>
      </c>
      <c r="AH10" s="145">
        <v>1</v>
      </c>
      <c r="AI10" s="145">
        <v>0</v>
      </c>
      <c r="AJ10" s="145">
        <v>0</v>
      </c>
      <c r="AK10" s="145">
        <v>1</v>
      </c>
      <c r="AL10" s="145">
        <v>1</v>
      </c>
      <c r="AM10" s="145">
        <v>1</v>
      </c>
      <c r="AN10" s="145">
        <v>1</v>
      </c>
      <c r="AO10" s="145">
        <v>1</v>
      </c>
      <c r="AP10" s="145">
        <v>1</v>
      </c>
      <c r="AQ10" s="145">
        <v>0</v>
      </c>
      <c r="AR10" s="145">
        <v>1</v>
      </c>
      <c r="AS10" s="145">
        <v>1</v>
      </c>
      <c r="AT10" s="145">
        <v>1</v>
      </c>
      <c r="AU10" s="145">
        <f t="shared" si="2"/>
        <v>1</v>
      </c>
      <c r="AV10" s="145">
        <f t="shared" si="3"/>
        <v>1</v>
      </c>
      <c r="AW10" s="145">
        <f t="shared" si="4"/>
        <v>1</v>
      </c>
      <c r="AX10" s="145">
        <f t="shared" si="5"/>
        <v>1</v>
      </c>
      <c r="AY10" s="145">
        <f t="shared" si="6"/>
        <v>0</v>
      </c>
      <c r="AZ10" s="145">
        <f t="shared" si="7"/>
        <v>1</v>
      </c>
      <c r="BA10" s="146">
        <f t="shared" si="8"/>
        <v>1</v>
      </c>
      <c r="BB10" s="149">
        <f t="shared" si="9"/>
        <v>17</v>
      </c>
      <c r="BC10" s="150">
        <f t="shared" si="10"/>
        <v>16</v>
      </c>
      <c r="BD10" s="150">
        <f t="shared" si="11"/>
        <v>17</v>
      </c>
      <c r="BE10" s="211" t="str">
        <f t="shared" si="12"/>
        <v/>
      </c>
      <c r="BH10" s="172">
        <f>IF(AND(Input_Product=Elig!$C10,Elig_MatchAll_Ct&lt;22,$BC10=(Elig_MatchAll_Ct-1),AF10=0),C10,0)</f>
        <v>0</v>
      </c>
      <c r="BI10" s="173">
        <f>IF(AND(Input_Product=Elig!$C10,Elig_MatchAll_Ct&lt;22,$BC10=(Elig_MatchAll_Ct-1),AG10=0),D10,0)</f>
        <v>0</v>
      </c>
      <c r="BJ10" s="173">
        <f>IF(AND(Input_Product=Elig!$C10,Elig_MatchAll_Ct&lt;22,$BC10=(Elig_MatchAll_Ct-1),AH10=0),E10,0)</f>
        <v>0</v>
      </c>
      <c r="BK10" s="173">
        <f>IF(AND(Input_Product=Elig!$C10,Elig_MatchAll_Ct&lt;22,$BC10=(Elig_MatchAll_Ct-1),AI10=0),F10,0)</f>
        <v>0</v>
      </c>
      <c r="BL10" s="173">
        <f>IF(AND(Input_Product=Elig!$C10,Elig_MatchAll_Ct&lt;22,$BC10=(Elig_MatchAll_Ct-1),AJ10=0),G10,0)</f>
        <v>0</v>
      </c>
      <c r="BM10" s="173">
        <f>IF(AND(Input_Product=Elig!$C10,Elig_MatchAll_Ct&lt;22,$BC10=(Elig_MatchAll_Ct-1),AK10=0),H10,0)</f>
        <v>0</v>
      </c>
      <c r="BN10" s="173">
        <f>IF(AND(Input_Product=Elig!$C10,Elig_MatchAll_Ct&lt;22,$BC10=(Elig_MatchAll_Ct-1),AL10=0),I10,0)</f>
        <v>0</v>
      </c>
      <c r="BO10" s="173">
        <f>IF(AND(Input_Product=Elig!$C10,Elig_MatchAll_Ct&lt;22,$BC10=(Elig_MatchAll_Ct-1),AM10=0),J10,0)</f>
        <v>0</v>
      </c>
      <c r="BP10" s="173">
        <f>IF(AND(Input_Product=Elig!$C10,Elig_MatchAll_Ct&lt;22,$BC10=(Elig_MatchAll_Ct-1),AN10=0),K10,0)</f>
        <v>0</v>
      </c>
      <c r="BQ10" s="173">
        <f>IF(AND(Input_Product=Elig!$C10,Elig_MatchAll_Ct&lt;22,$BC10=(Elig_MatchAll_Ct-1),AP10=0),L10,0)</f>
        <v>0</v>
      </c>
      <c r="BR10" s="173">
        <f>IF(AND(Input_Product=Elig!$C10,Elig_MatchAll_Ct&lt;22,$BC10=(Elig_MatchAll_Ct-1),AO10=0),M10,0)</f>
        <v>0</v>
      </c>
      <c r="BS10" s="173">
        <f>IF(AND(Input_Product=Elig!$C10,Elig_MatchAll_Ct&lt;22,$BC10=(Elig_MatchAll_Ct-1),AQ10=0),N10,0)</f>
        <v>0</v>
      </c>
      <c r="BT10" s="173">
        <f>IF(AND(Input_Product=Elig!$C10,Elig_MatchAll_Ct&lt;22,$BC10=(Elig_MatchAll_Ct-1),AR10=0),O10,0)</f>
        <v>0</v>
      </c>
      <c r="BU10" s="173">
        <f>IF(AND(Input_Product=Elig!$C10,Elig_MatchAll_Ct&lt;22,$BC10=(Elig_MatchAll_Ct-1),AS10=0),P10,0)</f>
        <v>0</v>
      </c>
      <c r="BV10" s="174">
        <f>IF(AND(Input_Product=Elig!$C10,Elig_MatchAll_Ct&lt;22,$BC10=(Elig_MatchAll_Ct-1),AT10=0),Q10,0)</f>
        <v>0</v>
      </c>
      <c r="BW10" s="175">
        <f>IF(AND(Input_Product=Elig!$C10,Elig_MatchAll_Ct&lt;22,$BC10=(Elig_MatchAll_Ct-1),AU10=0),R10,0)</f>
        <v>0</v>
      </c>
      <c r="BX10" s="176">
        <f>IF(AND(Input_Product=Elig!$C10,Elig_MatchAll_Ct&lt;22,$BC10=(Elig_MatchAll_Ct-1),AU10=0),S10,0)</f>
        <v>0</v>
      </c>
      <c r="BY10" s="175">
        <f>IF(AND(Input_Product=Elig!$C10,Elig_MatchAll_Ct&lt;22,$BC10=(Elig_MatchAll_Ct-1),AV10=0),T10,0)</f>
        <v>0</v>
      </c>
      <c r="BZ10" s="176">
        <f>IF(AND(Input_Product=Elig!$C10,Elig_MatchAll_Ct&lt;22,$BC10=(Elig_MatchAll_Ct-1),AV10=0),U10,0)</f>
        <v>0</v>
      </c>
      <c r="CA10" s="175">
        <f>IF(AND(Input_Product=Elig!$C10,Elig_MatchAll_Ct&lt;22,$BC10=(Elig_MatchAll_Ct-1),AW10=0),V10,0)</f>
        <v>0</v>
      </c>
      <c r="CB10" s="176">
        <f>IF(AND(Input_Product=Elig!$C10,Elig_MatchAll_Ct&lt;22,$BC10=(Elig_MatchAll_Ct-1),AW10=0),W10,0)</f>
        <v>0</v>
      </c>
      <c r="CC10" s="175">
        <f>IF(AND(Input_Product=Elig!$C10,Elig_MatchAll_Ct&lt;22,$BC10=(Elig_MatchAll_Ct-1),AX10=0),X10,0)</f>
        <v>0</v>
      </c>
      <c r="CD10" s="176">
        <f>IF(AND(Input_Product=Elig!$C10,Elig_MatchAll_Ct&lt;22,$BC10=(Elig_MatchAll_Ct-1),AX10=0),Y10,0)</f>
        <v>0</v>
      </c>
      <c r="CE10" s="175">
        <f>IF(AND(Input_LTV&lt;=AE10,Input_Product=Elig!$C10,Elig_MatchAll_Ct&lt;22,$BC10=(Elig_MatchAll_Ct-1),AY10=0),Z10,0)</f>
        <v>0</v>
      </c>
      <c r="CF10" s="176">
        <f>IF(AND(Input_LTV&lt;=AE10,Input_Product=Elig!$C10,Elig_MatchAll_Ct&lt;22,$BC10=(Elig_MatchAll_Ct-1),AY10=0),AA10,0)</f>
        <v>0</v>
      </c>
      <c r="CG10" s="175">
        <f>IF(AND(Input_Product=Elig!$C10,Elig_MatchAll_Ct&lt;22,$BC10=(Elig_MatchAll_Ct-1),AZ10=0),AB10,0)</f>
        <v>0</v>
      </c>
      <c r="CH10" s="176">
        <f>IF(AND(Input_Product=Elig!$C10,Elig_MatchAll_Ct&lt;22,$BC10=(Elig_MatchAll_Ct-1),AZ10=0),AC10,0)</f>
        <v>0</v>
      </c>
      <c r="CI10" s="175">
        <f>IF(AND(Input_Product=Elig!$C10,Elig_MatchAll_Ct&lt;22,$BC10=(Elig_MatchAll_Ct-1),BA10=0),AD10,0)</f>
        <v>0</v>
      </c>
      <c r="CJ10" s="177">
        <f>IF(AND(Input_Product=Elig!$C10,Elig_MatchAll_Ct&lt;22,$BC10=(Elig_MatchAll_Ct-1),BA10=0),AE10,0)</f>
        <v>0</v>
      </c>
    </row>
    <row r="11" spans="1:89" ht="10.15" customHeight="1" x14ac:dyDescent="0.25">
      <c r="A11" s="1419" t="s">
        <v>76</v>
      </c>
      <c r="B11" s="1419" t="s">
        <v>718</v>
      </c>
      <c r="C11" s="116" t="str">
        <f t="shared" si="1"/>
        <v>NonQM OO</v>
      </c>
      <c r="D11" s="117" t="s">
        <v>1995</v>
      </c>
      <c r="E11" s="117" t="s">
        <v>166</v>
      </c>
      <c r="F11" s="117" t="s">
        <v>330</v>
      </c>
      <c r="G11" s="117" t="s">
        <v>302</v>
      </c>
      <c r="H11" s="117" t="s">
        <v>135</v>
      </c>
      <c r="I11" s="117" t="s">
        <v>273</v>
      </c>
      <c r="J11" s="117" t="s">
        <v>1130</v>
      </c>
      <c r="K11" s="117" t="s">
        <v>1398</v>
      </c>
      <c r="L11" s="117" t="s">
        <v>2025</v>
      </c>
      <c r="M11" s="117" t="s">
        <v>2289</v>
      </c>
      <c r="N11" s="117" t="s">
        <v>82</v>
      </c>
      <c r="O11" s="117" t="s">
        <v>309</v>
      </c>
      <c r="P11" s="117" t="s">
        <v>2433</v>
      </c>
      <c r="Q11" s="117" t="s">
        <v>293</v>
      </c>
      <c r="R11" s="117">
        <v>100000</v>
      </c>
      <c r="S11" s="117">
        <v>1000000</v>
      </c>
      <c r="T11" s="117">
        <v>0</v>
      </c>
      <c r="U11" s="117">
        <v>0</v>
      </c>
      <c r="V11" s="117">
        <v>0</v>
      </c>
      <c r="W11" s="117">
        <v>55</v>
      </c>
      <c r="X11" s="117">
        <v>0</v>
      </c>
      <c r="Y11" s="117">
        <v>999</v>
      </c>
      <c r="Z11" s="119">
        <v>640</v>
      </c>
      <c r="AA11" s="119">
        <v>659</v>
      </c>
      <c r="AB11" s="1877">
        <v>0</v>
      </c>
      <c r="AC11" s="119">
        <v>999999</v>
      </c>
      <c r="AD11" s="117">
        <v>0</v>
      </c>
      <c r="AE11" s="117">
        <v>80</v>
      </c>
      <c r="AF11" s="144">
        <v>0</v>
      </c>
      <c r="AG11" s="145">
        <v>1</v>
      </c>
      <c r="AH11" s="145">
        <v>1</v>
      </c>
      <c r="AI11" s="145">
        <v>0</v>
      </c>
      <c r="AJ11" s="145">
        <v>0</v>
      </c>
      <c r="AK11" s="145">
        <v>1</v>
      </c>
      <c r="AL11" s="145">
        <v>1</v>
      </c>
      <c r="AM11" s="145">
        <v>1</v>
      </c>
      <c r="AN11" s="145">
        <v>1</v>
      </c>
      <c r="AO11" s="145">
        <v>1</v>
      </c>
      <c r="AP11" s="145">
        <v>1</v>
      </c>
      <c r="AQ11" s="145">
        <v>0</v>
      </c>
      <c r="AR11" s="145">
        <v>1</v>
      </c>
      <c r="AS11" s="145">
        <v>1</v>
      </c>
      <c r="AT11" s="145">
        <v>1</v>
      </c>
      <c r="AU11" s="145">
        <f t="shared" si="2"/>
        <v>1</v>
      </c>
      <c r="AV11" s="145">
        <f t="shared" si="3"/>
        <v>1</v>
      </c>
      <c r="AW11" s="145">
        <f t="shared" si="4"/>
        <v>1</v>
      </c>
      <c r="AX11" s="145">
        <f t="shared" si="5"/>
        <v>1</v>
      </c>
      <c r="AY11" s="145">
        <f t="shared" si="6"/>
        <v>0</v>
      </c>
      <c r="AZ11" s="145">
        <f t="shared" si="7"/>
        <v>1</v>
      </c>
      <c r="BA11" s="146">
        <f t="shared" si="8"/>
        <v>1</v>
      </c>
      <c r="BB11" s="149">
        <f t="shared" si="9"/>
        <v>17</v>
      </c>
      <c r="BC11" s="150">
        <f t="shared" si="10"/>
        <v>16</v>
      </c>
      <c r="BD11" s="150">
        <f t="shared" si="11"/>
        <v>17</v>
      </c>
      <c r="BE11" s="211" t="str">
        <f t="shared" si="12"/>
        <v/>
      </c>
      <c r="BH11" s="172">
        <f>IF(AND(Input_Product=Elig!$C11,Elig_MatchAll_Ct&lt;22,$BC11=(Elig_MatchAll_Ct-1),AF11=0),C11,0)</f>
        <v>0</v>
      </c>
      <c r="BI11" s="173">
        <f>IF(AND(Input_Product=Elig!$C11,Elig_MatchAll_Ct&lt;22,$BC11=(Elig_MatchAll_Ct-1),AG11=0),D11,0)</f>
        <v>0</v>
      </c>
      <c r="BJ11" s="173">
        <f>IF(AND(Input_Product=Elig!$C11,Elig_MatchAll_Ct&lt;22,$BC11=(Elig_MatchAll_Ct-1),AH11=0),E11,0)</f>
        <v>0</v>
      </c>
      <c r="BK11" s="173">
        <f>IF(AND(Input_Product=Elig!$C11,Elig_MatchAll_Ct&lt;22,$BC11=(Elig_MatchAll_Ct-1),AI11=0),F11,0)</f>
        <v>0</v>
      </c>
      <c r="BL11" s="173">
        <f>IF(AND(Input_Product=Elig!$C11,Elig_MatchAll_Ct&lt;22,$BC11=(Elig_MatchAll_Ct-1),AJ11=0),G11,0)</f>
        <v>0</v>
      </c>
      <c r="BM11" s="173">
        <f>IF(AND(Input_Product=Elig!$C11,Elig_MatchAll_Ct&lt;22,$BC11=(Elig_MatchAll_Ct-1),AK11=0),H11,0)</f>
        <v>0</v>
      </c>
      <c r="BN11" s="173">
        <f>IF(AND(Input_Product=Elig!$C11,Elig_MatchAll_Ct&lt;22,$BC11=(Elig_MatchAll_Ct-1),AL11=0),I11,0)</f>
        <v>0</v>
      </c>
      <c r="BO11" s="173">
        <f>IF(AND(Input_Product=Elig!$C11,Elig_MatchAll_Ct&lt;22,$BC11=(Elig_MatchAll_Ct-1),AM11=0),J11,0)</f>
        <v>0</v>
      </c>
      <c r="BP11" s="173">
        <f>IF(AND(Input_Product=Elig!$C11,Elig_MatchAll_Ct&lt;22,$BC11=(Elig_MatchAll_Ct-1),AN11=0),K11,0)</f>
        <v>0</v>
      </c>
      <c r="BQ11" s="173">
        <f>IF(AND(Input_Product=Elig!$C11,Elig_MatchAll_Ct&lt;22,$BC11=(Elig_MatchAll_Ct-1),AP11=0),L11,0)</f>
        <v>0</v>
      </c>
      <c r="BR11" s="173">
        <f>IF(AND(Input_Product=Elig!$C11,Elig_MatchAll_Ct&lt;22,$BC11=(Elig_MatchAll_Ct-1),AO11=0),M11,0)</f>
        <v>0</v>
      </c>
      <c r="BS11" s="173">
        <f>IF(AND(Input_Product=Elig!$C11,Elig_MatchAll_Ct&lt;22,$BC11=(Elig_MatchAll_Ct-1),AQ11=0),N11,0)</f>
        <v>0</v>
      </c>
      <c r="BT11" s="173">
        <f>IF(AND(Input_Product=Elig!$C11,Elig_MatchAll_Ct&lt;22,$BC11=(Elig_MatchAll_Ct-1),AR11=0),O11,0)</f>
        <v>0</v>
      </c>
      <c r="BU11" s="173">
        <f>IF(AND(Input_Product=Elig!$C11,Elig_MatchAll_Ct&lt;22,$BC11=(Elig_MatchAll_Ct-1),AS11=0),P11,0)</f>
        <v>0</v>
      </c>
      <c r="BV11" s="174">
        <f>IF(AND(Input_Product=Elig!$C11,Elig_MatchAll_Ct&lt;22,$BC11=(Elig_MatchAll_Ct-1),AT11=0),Q11,0)</f>
        <v>0</v>
      </c>
      <c r="BW11" s="175">
        <f>IF(AND(Input_Product=Elig!$C11,Elig_MatchAll_Ct&lt;22,$BC11=(Elig_MatchAll_Ct-1),AU11=0),R11,0)</f>
        <v>0</v>
      </c>
      <c r="BX11" s="176">
        <f>IF(AND(Input_Product=Elig!$C11,Elig_MatchAll_Ct&lt;22,$BC11=(Elig_MatchAll_Ct-1),AU11=0),S11,0)</f>
        <v>0</v>
      </c>
      <c r="BY11" s="175">
        <f>IF(AND(Input_Product=Elig!$C11,Elig_MatchAll_Ct&lt;22,$BC11=(Elig_MatchAll_Ct-1),AV11=0),T11,0)</f>
        <v>0</v>
      </c>
      <c r="BZ11" s="176">
        <f>IF(AND(Input_Product=Elig!$C11,Elig_MatchAll_Ct&lt;22,$BC11=(Elig_MatchAll_Ct-1),AV11=0),U11,0)</f>
        <v>0</v>
      </c>
      <c r="CA11" s="175">
        <f>IF(AND(Input_Product=Elig!$C11,Elig_MatchAll_Ct&lt;22,$BC11=(Elig_MatchAll_Ct-1),AW11=0),V11,0)</f>
        <v>0</v>
      </c>
      <c r="CB11" s="176">
        <f>IF(AND(Input_Product=Elig!$C11,Elig_MatchAll_Ct&lt;22,$BC11=(Elig_MatchAll_Ct-1),AW11=0),W11,0)</f>
        <v>0</v>
      </c>
      <c r="CC11" s="175">
        <f>IF(AND(Input_Product=Elig!$C11,Elig_MatchAll_Ct&lt;22,$BC11=(Elig_MatchAll_Ct-1),AX11=0),X11,0)</f>
        <v>0</v>
      </c>
      <c r="CD11" s="176">
        <f>IF(AND(Input_Product=Elig!$C11,Elig_MatchAll_Ct&lt;22,$BC11=(Elig_MatchAll_Ct-1),AX11=0),Y11,0)</f>
        <v>0</v>
      </c>
      <c r="CE11" s="175">
        <f>IF(AND(Input_LTV&lt;=AE11,Input_Product=Elig!$C11,Elig_MatchAll_Ct&lt;22,$BC11=(Elig_MatchAll_Ct-1),AY11=0),Z11,0)</f>
        <v>0</v>
      </c>
      <c r="CF11" s="176">
        <f>IF(AND(Input_LTV&lt;=AE11,Input_Product=Elig!$C11,Elig_MatchAll_Ct&lt;22,$BC11=(Elig_MatchAll_Ct-1),AY11=0),AA11,0)</f>
        <v>0</v>
      </c>
      <c r="CG11" s="175">
        <f>IF(AND(Input_Product=Elig!$C11,Elig_MatchAll_Ct&lt;22,$BC11=(Elig_MatchAll_Ct-1),AZ11=0),AB11,0)</f>
        <v>0</v>
      </c>
      <c r="CH11" s="176">
        <f>IF(AND(Input_Product=Elig!$C11,Elig_MatchAll_Ct&lt;22,$BC11=(Elig_MatchAll_Ct-1),AZ11=0),AC11,0)</f>
        <v>0</v>
      </c>
      <c r="CI11" s="175">
        <f>IF(AND(Input_Product=Elig!$C11,Elig_MatchAll_Ct&lt;22,$BC11=(Elig_MatchAll_Ct-1),BA11=0),AD11,0)</f>
        <v>0</v>
      </c>
      <c r="CJ11" s="177">
        <f>IF(AND(Input_Product=Elig!$C11,Elig_MatchAll_Ct&lt;22,$BC11=(Elig_MatchAll_Ct-1),BA11=0),AE11,0)</f>
        <v>0</v>
      </c>
    </row>
    <row r="12" spans="1:89" ht="10.15" customHeight="1" x14ac:dyDescent="0.25">
      <c r="A12" s="1419" t="s">
        <v>76</v>
      </c>
      <c r="B12" s="1419" t="s">
        <v>719</v>
      </c>
      <c r="C12" s="120" t="str">
        <f t="shared" si="1"/>
        <v>NonQM OO</v>
      </c>
      <c r="D12" s="121" t="s">
        <v>1995</v>
      </c>
      <c r="E12" s="121" t="s">
        <v>166</v>
      </c>
      <c r="F12" s="121" t="s">
        <v>330</v>
      </c>
      <c r="G12" s="121" t="s">
        <v>302</v>
      </c>
      <c r="H12" s="121" t="s">
        <v>135</v>
      </c>
      <c r="I12" s="121" t="s">
        <v>273</v>
      </c>
      <c r="J12" s="121" t="s">
        <v>1130</v>
      </c>
      <c r="K12" s="121" t="s">
        <v>1398</v>
      </c>
      <c r="L12" s="121" t="s">
        <v>2025</v>
      </c>
      <c r="M12" s="121" t="s">
        <v>2289</v>
      </c>
      <c r="N12" s="121" t="s">
        <v>82</v>
      </c>
      <c r="O12" s="121" t="s">
        <v>309</v>
      </c>
      <c r="P12" s="121" t="s">
        <v>2433</v>
      </c>
      <c r="Q12" s="121" t="s">
        <v>293</v>
      </c>
      <c r="R12" s="121">
        <v>100000</v>
      </c>
      <c r="S12" s="121">
        <v>1000000</v>
      </c>
      <c r="T12" s="121">
        <v>0</v>
      </c>
      <c r="U12" s="121">
        <v>0</v>
      </c>
      <c r="V12" s="121">
        <v>0</v>
      </c>
      <c r="W12" s="121">
        <v>55</v>
      </c>
      <c r="X12" s="121">
        <v>0</v>
      </c>
      <c r="Y12" s="121">
        <v>999</v>
      </c>
      <c r="Z12" s="122">
        <v>620</v>
      </c>
      <c r="AA12" s="122">
        <v>639</v>
      </c>
      <c r="AB12" s="1878">
        <v>0</v>
      </c>
      <c r="AC12" s="122">
        <v>999999</v>
      </c>
      <c r="AD12" s="121">
        <v>0</v>
      </c>
      <c r="AE12" s="121">
        <v>80</v>
      </c>
      <c r="AF12" s="144">
        <v>0</v>
      </c>
      <c r="AG12" s="145">
        <v>1</v>
      </c>
      <c r="AH12" s="145">
        <v>1</v>
      </c>
      <c r="AI12" s="145">
        <v>0</v>
      </c>
      <c r="AJ12" s="145">
        <v>0</v>
      </c>
      <c r="AK12" s="145">
        <v>1</v>
      </c>
      <c r="AL12" s="145">
        <v>1</v>
      </c>
      <c r="AM12" s="145">
        <v>1</v>
      </c>
      <c r="AN12" s="145">
        <v>1</v>
      </c>
      <c r="AO12" s="145">
        <v>1</v>
      </c>
      <c r="AP12" s="145">
        <v>1</v>
      </c>
      <c r="AQ12" s="145">
        <v>0</v>
      </c>
      <c r="AR12" s="145">
        <v>1</v>
      </c>
      <c r="AS12" s="145">
        <v>1</v>
      </c>
      <c r="AT12" s="145">
        <v>1</v>
      </c>
      <c r="AU12" s="145">
        <f t="shared" si="2"/>
        <v>1</v>
      </c>
      <c r="AV12" s="145">
        <f t="shared" si="3"/>
        <v>1</v>
      </c>
      <c r="AW12" s="145">
        <f t="shared" si="4"/>
        <v>1</v>
      </c>
      <c r="AX12" s="145">
        <f t="shared" si="5"/>
        <v>1</v>
      </c>
      <c r="AY12" s="145">
        <f t="shared" si="6"/>
        <v>0</v>
      </c>
      <c r="AZ12" s="145">
        <f t="shared" si="7"/>
        <v>1</v>
      </c>
      <c r="BA12" s="146">
        <f t="shared" si="8"/>
        <v>1</v>
      </c>
      <c r="BB12" s="149">
        <f t="shared" si="9"/>
        <v>17</v>
      </c>
      <c r="BC12" s="150">
        <f t="shared" si="10"/>
        <v>16</v>
      </c>
      <c r="BD12" s="150">
        <f t="shared" si="11"/>
        <v>17</v>
      </c>
      <c r="BE12" s="211" t="str">
        <f t="shared" si="12"/>
        <v/>
      </c>
      <c r="BH12" s="178">
        <f>IF(AND(Input_Product=Elig!$C12,Elig_MatchAll_Ct&lt;22,$BC12=(Elig_MatchAll_Ct-1),AF12=0),C12,0)</f>
        <v>0</v>
      </c>
      <c r="BI12" s="179">
        <f>IF(AND(Input_Product=Elig!$C12,Elig_MatchAll_Ct&lt;22,$BC12=(Elig_MatchAll_Ct-1),AG12=0),D12,0)</f>
        <v>0</v>
      </c>
      <c r="BJ12" s="179">
        <f>IF(AND(Input_Product=Elig!$C12,Elig_MatchAll_Ct&lt;22,$BC12=(Elig_MatchAll_Ct-1),AH12=0),E12,0)</f>
        <v>0</v>
      </c>
      <c r="BK12" s="179">
        <f>IF(AND(Input_Product=Elig!$C12,Elig_MatchAll_Ct&lt;22,$BC12=(Elig_MatchAll_Ct-1),AI12=0),F12,0)</f>
        <v>0</v>
      </c>
      <c r="BL12" s="179">
        <f>IF(AND(Input_Product=Elig!$C12,Elig_MatchAll_Ct&lt;22,$BC12=(Elig_MatchAll_Ct-1),AJ12=0),G12,0)</f>
        <v>0</v>
      </c>
      <c r="BM12" s="179">
        <f>IF(AND(Input_Product=Elig!$C12,Elig_MatchAll_Ct&lt;22,$BC12=(Elig_MatchAll_Ct-1),AK12=0),H12,0)</f>
        <v>0</v>
      </c>
      <c r="BN12" s="179">
        <f>IF(AND(Input_Product=Elig!$C12,Elig_MatchAll_Ct&lt;22,$BC12=(Elig_MatchAll_Ct-1),AL12=0),I12,0)</f>
        <v>0</v>
      </c>
      <c r="BO12" s="179">
        <f>IF(AND(Input_Product=Elig!$C12,Elig_MatchAll_Ct&lt;22,$BC12=(Elig_MatchAll_Ct-1),AM12=0),J12,0)</f>
        <v>0</v>
      </c>
      <c r="BP12" s="179">
        <f>IF(AND(Input_Product=Elig!$C12,Elig_MatchAll_Ct&lt;22,$BC12=(Elig_MatchAll_Ct-1),AN12=0),K12,0)</f>
        <v>0</v>
      </c>
      <c r="BQ12" s="179">
        <f>IF(AND(Input_Product=Elig!$C12,Elig_MatchAll_Ct&lt;22,$BC12=(Elig_MatchAll_Ct-1),AP12=0),L12,0)</f>
        <v>0</v>
      </c>
      <c r="BR12" s="179">
        <f>IF(AND(Input_Product=Elig!$C12,Elig_MatchAll_Ct&lt;22,$BC12=(Elig_MatchAll_Ct-1),AO12=0),M12,0)</f>
        <v>0</v>
      </c>
      <c r="BS12" s="179">
        <f>IF(AND(Input_Product=Elig!$C12,Elig_MatchAll_Ct&lt;22,$BC12=(Elig_MatchAll_Ct-1),AQ12=0),N12,0)</f>
        <v>0</v>
      </c>
      <c r="BT12" s="179">
        <f>IF(AND(Input_Product=Elig!$C12,Elig_MatchAll_Ct&lt;22,$BC12=(Elig_MatchAll_Ct-1),AR12=0),O12,0)</f>
        <v>0</v>
      </c>
      <c r="BU12" s="179">
        <f>IF(AND(Input_Product=Elig!$C12,Elig_MatchAll_Ct&lt;22,$BC12=(Elig_MatchAll_Ct-1),AS12=0),P12,0)</f>
        <v>0</v>
      </c>
      <c r="BV12" s="180">
        <f>IF(AND(Input_Product=Elig!$C12,Elig_MatchAll_Ct&lt;22,$BC12=(Elig_MatchAll_Ct-1),AT12=0),Q12,0)</f>
        <v>0</v>
      </c>
      <c r="BW12" s="181">
        <f>IF(AND(Input_Product=Elig!$C12,Elig_MatchAll_Ct&lt;22,$BC12=(Elig_MatchAll_Ct-1),AU12=0),R12,0)</f>
        <v>0</v>
      </c>
      <c r="BX12" s="182">
        <f>IF(AND(Input_Product=Elig!$C12,Elig_MatchAll_Ct&lt;22,$BC12=(Elig_MatchAll_Ct-1),AU12=0),S12,0)</f>
        <v>0</v>
      </c>
      <c r="BY12" s="181">
        <f>IF(AND(Input_Product=Elig!$C12,Elig_MatchAll_Ct&lt;22,$BC12=(Elig_MatchAll_Ct-1),AV12=0),T12,0)</f>
        <v>0</v>
      </c>
      <c r="BZ12" s="182">
        <f>IF(AND(Input_Product=Elig!$C12,Elig_MatchAll_Ct&lt;22,$BC12=(Elig_MatchAll_Ct-1),AV12=0),U12,0)</f>
        <v>0</v>
      </c>
      <c r="CA12" s="181">
        <f>IF(AND(Input_Product=Elig!$C12,Elig_MatchAll_Ct&lt;22,$BC12=(Elig_MatchAll_Ct-1),AW12=0),V12,0)</f>
        <v>0</v>
      </c>
      <c r="CB12" s="182">
        <f>IF(AND(Input_Product=Elig!$C12,Elig_MatchAll_Ct&lt;22,$BC12=(Elig_MatchAll_Ct-1),AW12=0),W12,0)</f>
        <v>0</v>
      </c>
      <c r="CC12" s="181">
        <f>IF(AND(Input_Product=Elig!$C12,Elig_MatchAll_Ct&lt;22,$BC12=(Elig_MatchAll_Ct-1),AX12=0),X12,0)</f>
        <v>0</v>
      </c>
      <c r="CD12" s="182">
        <f>IF(AND(Input_Product=Elig!$C12,Elig_MatchAll_Ct&lt;22,$BC12=(Elig_MatchAll_Ct-1),AX12=0),Y12,0)</f>
        <v>0</v>
      </c>
      <c r="CE12" s="181">
        <f>IF(AND(Input_LTV&lt;=AE12,Input_Product=Elig!$C12,Elig_MatchAll_Ct&lt;22,$BC12=(Elig_MatchAll_Ct-1),AY12=0),Z12,0)</f>
        <v>0</v>
      </c>
      <c r="CF12" s="182">
        <f>IF(AND(Input_LTV&lt;=AE12,Input_Product=Elig!$C12,Elig_MatchAll_Ct&lt;22,$BC12=(Elig_MatchAll_Ct-1),AY12=0),AA12,0)</f>
        <v>0</v>
      </c>
      <c r="CG12" s="181">
        <f>IF(AND(Input_Product=Elig!$C12,Elig_MatchAll_Ct&lt;22,$BC12=(Elig_MatchAll_Ct-1),AZ12=0),AB12,0)</f>
        <v>0</v>
      </c>
      <c r="CH12" s="182">
        <f>IF(AND(Input_Product=Elig!$C12,Elig_MatchAll_Ct&lt;22,$BC12=(Elig_MatchAll_Ct-1),AZ12=0),AC12,0)</f>
        <v>0</v>
      </c>
      <c r="CI12" s="181">
        <f>IF(AND(Input_Product=Elig!$C12,Elig_MatchAll_Ct&lt;22,$BC12=(Elig_MatchAll_Ct-1),BA12=0),AD12,0)</f>
        <v>0</v>
      </c>
      <c r="CJ12" s="183">
        <f>IF(AND(Input_Product=Elig!$C12,Elig_MatchAll_Ct&lt;22,$BC12=(Elig_MatchAll_Ct-1),BA12=0),AE12,0)</f>
        <v>0</v>
      </c>
    </row>
    <row r="13" spans="1:89" ht="10.15" customHeight="1" x14ac:dyDescent="0.25">
      <c r="A13" s="1419" t="s">
        <v>76</v>
      </c>
      <c r="B13" s="1419" t="s">
        <v>720</v>
      </c>
      <c r="C13" s="123" t="str">
        <f t="shared" si="1"/>
        <v>NonQM OO</v>
      </c>
      <c r="D13" s="124" t="s">
        <v>1995</v>
      </c>
      <c r="E13" s="125" t="s">
        <v>166</v>
      </c>
      <c r="F13" s="125" t="s">
        <v>330</v>
      </c>
      <c r="G13" s="125" t="s">
        <v>302</v>
      </c>
      <c r="H13" s="125" t="s">
        <v>135</v>
      </c>
      <c r="I13" s="124" t="s">
        <v>16</v>
      </c>
      <c r="J13" s="124" t="s">
        <v>1130</v>
      </c>
      <c r="K13" s="124" t="s">
        <v>1398</v>
      </c>
      <c r="L13" s="125" t="s">
        <v>2025</v>
      </c>
      <c r="M13" s="125" t="s">
        <v>2289</v>
      </c>
      <c r="N13" s="125" t="s">
        <v>82</v>
      </c>
      <c r="O13" s="125" t="s">
        <v>309</v>
      </c>
      <c r="P13" s="125" t="s">
        <v>2433</v>
      </c>
      <c r="Q13" s="125" t="s">
        <v>293</v>
      </c>
      <c r="R13" s="124">
        <v>100000</v>
      </c>
      <c r="S13" s="124">
        <v>1000000</v>
      </c>
      <c r="T13" s="124">
        <v>0</v>
      </c>
      <c r="U13" s="124">
        <f>S13</f>
        <v>1000000</v>
      </c>
      <c r="V13" s="124">
        <v>0</v>
      </c>
      <c r="W13" s="124">
        <v>55</v>
      </c>
      <c r="X13" s="124">
        <v>0</v>
      </c>
      <c r="Y13" s="124">
        <v>999</v>
      </c>
      <c r="Z13" s="126">
        <v>720</v>
      </c>
      <c r="AA13" s="126">
        <v>999</v>
      </c>
      <c r="AB13" s="1879">
        <v>0</v>
      </c>
      <c r="AC13" s="126">
        <v>999999</v>
      </c>
      <c r="AD13" s="124">
        <v>0</v>
      </c>
      <c r="AE13" s="124">
        <v>80</v>
      </c>
      <c r="AF13" s="144">
        <v>0</v>
      </c>
      <c r="AG13" s="145">
        <v>1</v>
      </c>
      <c r="AH13" s="145">
        <v>1</v>
      </c>
      <c r="AI13" s="145">
        <v>0</v>
      </c>
      <c r="AJ13" s="145">
        <v>0</v>
      </c>
      <c r="AK13" s="145">
        <v>1</v>
      </c>
      <c r="AL13" s="145">
        <v>0</v>
      </c>
      <c r="AM13" s="145">
        <v>1</v>
      </c>
      <c r="AN13" s="145">
        <v>1</v>
      </c>
      <c r="AO13" s="145">
        <v>1</v>
      </c>
      <c r="AP13" s="145">
        <v>1</v>
      </c>
      <c r="AQ13" s="145">
        <v>0</v>
      </c>
      <c r="AR13" s="145">
        <v>1</v>
      </c>
      <c r="AS13" s="145">
        <v>1</v>
      </c>
      <c r="AT13" s="145">
        <v>1</v>
      </c>
      <c r="AU13" s="145">
        <f t="shared" si="2"/>
        <v>1</v>
      </c>
      <c r="AV13" s="145">
        <f t="shared" si="3"/>
        <v>1</v>
      </c>
      <c r="AW13" s="145">
        <f t="shared" si="4"/>
        <v>1</v>
      </c>
      <c r="AX13" s="145">
        <f t="shared" si="5"/>
        <v>1</v>
      </c>
      <c r="AY13" s="145">
        <f t="shared" si="6"/>
        <v>1</v>
      </c>
      <c r="AZ13" s="145">
        <f t="shared" si="7"/>
        <v>1</v>
      </c>
      <c r="BA13" s="146">
        <f t="shared" si="8"/>
        <v>1</v>
      </c>
      <c r="BB13" s="149">
        <f t="shared" si="9"/>
        <v>17</v>
      </c>
      <c r="BC13" s="150">
        <f t="shared" si="10"/>
        <v>16</v>
      </c>
      <c r="BD13" s="150">
        <f t="shared" si="11"/>
        <v>17</v>
      </c>
      <c r="BE13" s="211" t="str">
        <f t="shared" si="12"/>
        <v/>
      </c>
      <c r="BH13" s="166">
        <f>IF(AND(Input_Product=Elig!$C13,Elig_MatchAll_Ct&lt;22,$BC13=(Elig_MatchAll_Ct-1),AF13=0),C13,0)</f>
        <v>0</v>
      </c>
      <c r="BI13" s="167">
        <f>IF(AND(Input_Product=Elig!$C13,Elig_MatchAll_Ct&lt;22,$BC13=(Elig_MatchAll_Ct-1),AG13=0),D13,0)</f>
        <v>0</v>
      </c>
      <c r="BJ13" s="167">
        <f>IF(AND(Input_Product=Elig!$C13,Elig_MatchAll_Ct&lt;22,$BC13=(Elig_MatchAll_Ct-1),AH13=0),E13,0)</f>
        <v>0</v>
      </c>
      <c r="BK13" s="167">
        <f>IF(AND(Input_Product=Elig!$C13,Elig_MatchAll_Ct&lt;22,$BC13=(Elig_MatchAll_Ct-1),AI13=0),F13,0)</f>
        <v>0</v>
      </c>
      <c r="BL13" s="167">
        <f>IF(AND(Input_Product=Elig!$C13,Elig_MatchAll_Ct&lt;22,$BC13=(Elig_MatchAll_Ct-1),AJ13=0),G13,0)</f>
        <v>0</v>
      </c>
      <c r="BM13" s="167">
        <f>IF(AND(Input_Product=Elig!$C13,Elig_MatchAll_Ct&lt;22,$BC13=(Elig_MatchAll_Ct-1),AK13=0),H13,0)</f>
        <v>0</v>
      </c>
      <c r="BN13" s="167">
        <f>IF(AND(Input_Product=Elig!$C13,Elig_MatchAll_Ct&lt;22,$BC13=(Elig_MatchAll_Ct-1),AL13=0),I13,0)</f>
        <v>0</v>
      </c>
      <c r="BO13" s="167">
        <f>IF(AND(Input_Product=Elig!$C13,Elig_MatchAll_Ct&lt;22,$BC13=(Elig_MatchAll_Ct-1),AM13=0),J13,0)</f>
        <v>0</v>
      </c>
      <c r="BP13" s="167">
        <f>IF(AND(Input_Product=Elig!$C13,Elig_MatchAll_Ct&lt;22,$BC13=(Elig_MatchAll_Ct-1),AN13=0),K13,0)</f>
        <v>0</v>
      </c>
      <c r="BQ13" s="167">
        <f>IF(AND(Input_Product=Elig!$C13,Elig_MatchAll_Ct&lt;22,$BC13=(Elig_MatchAll_Ct-1),AP13=0),L13,0)</f>
        <v>0</v>
      </c>
      <c r="BR13" s="167">
        <f>IF(AND(Input_Product=Elig!$C13,Elig_MatchAll_Ct&lt;22,$BC13=(Elig_MatchAll_Ct-1),AO13=0),M13,0)</f>
        <v>0</v>
      </c>
      <c r="BS13" s="167">
        <f>IF(AND(Input_Product=Elig!$C13,Elig_MatchAll_Ct&lt;22,$BC13=(Elig_MatchAll_Ct-1),AQ13=0),N13,0)</f>
        <v>0</v>
      </c>
      <c r="BT13" s="167">
        <f>IF(AND(Input_Product=Elig!$C13,Elig_MatchAll_Ct&lt;22,$BC13=(Elig_MatchAll_Ct-1),AR13=0),O13,0)</f>
        <v>0</v>
      </c>
      <c r="BU13" s="167">
        <f>IF(AND(Input_Product=Elig!$C13,Elig_MatchAll_Ct&lt;22,$BC13=(Elig_MatchAll_Ct-1),AS13=0),P13,0)</f>
        <v>0</v>
      </c>
      <c r="BV13" s="168">
        <f>IF(AND(Input_Product=Elig!$C13,Elig_MatchAll_Ct&lt;22,$BC13=(Elig_MatchAll_Ct-1),AT13=0),Q13,0)</f>
        <v>0</v>
      </c>
      <c r="BW13" s="169">
        <f>IF(AND(Input_Product=Elig!$C13,Elig_MatchAll_Ct&lt;22,$BC13=(Elig_MatchAll_Ct-1),AU13=0),R13,0)</f>
        <v>0</v>
      </c>
      <c r="BX13" s="170">
        <f>IF(AND(Input_Product=Elig!$C13,Elig_MatchAll_Ct&lt;22,$BC13=(Elig_MatchAll_Ct-1),AU13=0),S13,0)</f>
        <v>0</v>
      </c>
      <c r="BY13" s="169">
        <f>IF(AND(Input_Product=Elig!$C13,Elig_MatchAll_Ct&lt;22,$BC13=(Elig_MatchAll_Ct-1),AV13=0),T13,0)</f>
        <v>0</v>
      </c>
      <c r="BZ13" s="170">
        <f>IF(AND(Input_Product=Elig!$C13,Elig_MatchAll_Ct&lt;22,$BC13=(Elig_MatchAll_Ct-1),AV13=0),U13,0)</f>
        <v>0</v>
      </c>
      <c r="CA13" s="169">
        <f>IF(AND(Input_Product=Elig!$C13,Elig_MatchAll_Ct&lt;22,$BC13=(Elig_MatchAll_Ct-1),AW13=0),V13,0)</f>
        <v>0</v>
      </c>
      <c r="CB13" s="170">
        <f>IF(AND(Input_Product=Elig!$C13,Elig_MatchAll_Ct&lt;22,$BC13=(Elig_MatchAll_Ct-1),AW13=0),W13,0)</f>
        <v>0</v>
      </c>
      <c r="CC13" s="169">
        <f>IF(AND(Input_Product=Elig!$C13,Elig_MatchAll_Ct&lt;22,$BC13=(Elig_MatchAll_Ct-1),AX13=0),X13,0)</f>
        <v>0</v>
      </c>
      <c r="CD13" s="170">
        <f>IF(AND(Input_Product=Elig!$C13,Elig_MatchAll_Ct&lt;22,$BC13=(Elig_MatchAll_Ct-1),AX13=0),Y13,0)</f>
        <v>0</v>
      </c>
      <c r="CE13" s="169">
        <f>IF(AND(Input_LTV&lt;=AE13,Input_Product=Elig!$C13,Elig_MatchAll_Ct&lt;22,$BC13=(Elig_MatchAll_Ct-1),AY13=0),Z13,0)</f>
        <v>0</v>
      </c>
      <c r="CF13" s="170">
        <f>IF(AND(Input_LTV&lt;=AE13,Input_Product=Elig!$C13,Elig_MatchAll_Ct&lt;22,$BC13=(Elig_MatchAll_Ct-1),AY13=0),AA13,0)</f>
        <v>0</v>
      </c>
      <c r="CG13" s="169">
        <f>IF(AND(Input_Product=Elig!$C13,Elig_MatchAll_Ct&lt;22,$BC13=(Elig_MatchAll_Ct-1),AZ13=0),AB13,0)</f>
        <v>0</v>
      </c>
      <c r="CH13" s="170">
        <f>IF(AND(Input_Product=Elig!$C13,Elig_MatchAll_Ct&lt;22,$BC13=(Elig_MatchAll_Ct-1),AZ13=0),AC13,0)</f>
        <v>0</v>
      </c>
      <c r="CI13" s="169">
        <f>IF(AND(Input_Product=Elig!$C13,Elig_MatchAll_Ct&lt;22,$BC13=(Elig_MatchAll_Ct-1),BA13=0),AD13,0)</f>
        <v>0</v>
      </c>
      <c r="CJ13" s="171">
        <f>IF(AND(Input_Product=Elig!$C13,Elig_MatchAll_Ct&lt;22,$BC13=(Elig_MatchAll_Ct-1),BA13=0),AE13,0)</f>
        <v>0</v>
      </c>
    </row>
    <row r="14" spans="1:89" ht="10.15" customHeight="1" x14ac:dyDescent="0.25">
      <c r="A14" s="1419" t="s">
        <v>76</v>
      </c>
      <c r="B14" s="1419" t="s">
        <v>721</v>
      </c>
      <c r="C14" s="116" t="str">
        <f t="shared" si="1"/>
        <v>NonQM OO</v>
      </c>
      <c r="D14" s="117" t="s">
        <v>1995</v>
      </c>
      <c r="E14" s="117" t="s">
        <v>166</v>
      </c>
      <c r="F14" s="117" t="s">
        <v>330</v>
      </c>
      <c r="G14" s="117" t="s">
        <v>302</v>
      </c>
      <c r="H14" s="117" t="s">
        <v>135</v>
      </c>
      <c r="I14" s="118" t="s">
        <v>16</v>
      </c>
      <c r="J14" s="118" t="s">
        <v>1130</v>
      </c>
      <c r="K14" s="118" t="s">
        <v>1398</v>
      </c>
      <c r="L14" s="117" t="s">
        <v>2025</v>
      </c>
      <c r="M14" s="117" t="s">
        <v>2289</v>
      </c>
      <c r="N14" s="117" t="s">
        <v>82</v>
      </c>
      <c r="O14" s="117" t="s">
        <v>309</v>
      </c>
      <c r="P14" s="117" t="s">
        <v>2433</v>
      </c>
      <c r="Q14" s="117" t="s">
        <v>293</v>
      </c>
      <c r="R14" s="117">
        <v>100000</v>
      </c>
      <c r="S14" s="117">
        <v>1000000</v>
      </c>
      <c r="T14" s="117">
        <v>0</v>
      </c>
      <c r="U14" s="117">
        <f t="shared" ref="U14:U18" si="13">S14</f>
        <v>1000000</v>
      </c>
      <c r="V14" s="117">
        <v>0</v>
      </c>
      <c r="W14" s="117">
        <v>55</v>
      </c>
      <c r="X14" s="117">
        <v>0</v>
      </c>
      <c r="Y14" s="117">
        <v>999</v>
      </c>
      <c r="Z14" s="119">
        <v>700</v>
      </c>
      <c r="AA14" s="119">
        <v>719</v>
      </c>
      <c r="AB14" s="1877">
        <v>0</v>
      </c>
      <c r="AC14" s="119">
        <v>999999</v>
      </c>
      <c r="AD14" s="117">
        <v>0</v>
      </c>
      <c r="AE14" s="117">
        <v>80</v>
      </c>
      <c r="AF14" s="144">
        <v>0</v>
      </c>
      <c r="AG14" s="145">
        <v>1</v>
      </c>
      <c r="AH14" s="145">
        <v>1</v>
      </c>
      <c r="AI14" s="145">
        <v>0</v>
      </c>
      <c r="AJ14" s="145">
        <v>0</v>
      </c>
      <c r="AK14" s="145">
        <v>1</v>
      </c>
      <c r="AL14" s="145">
        <v>0</v>
      </c>
      <c r="AM14" s="145">
        <v>1</v>
      </c>
      <c r="AN14" s="145">
        <v>1</v>
      </c>
      <c r="AO14" s="145">
        <v>1</v>
      </c>
      <c r="AP14" s="145">
        <v>1</v>
      </c>
      <c r="AQ14" s="145">
        <v>0</v>
      </c>
      <c r="AR14" s="145">
        <v>1</v>
      </c>
      <c r="AS14" s="145">
        <v>1</v>
      </c>
      <c r="AT14" s="145">
        <v>1</v>
      </c>
      <c r="AU14" s="145">
        <f t="shared" si="2"/>
        <v>1</v>
      </c>
      <c r="AV14" s="145">
        <f t="shared" si="3"/>
        <v>1</v>
      </c>
      <c r="AW14" s="145">
        <f t="shared" si="4"/>
        <v>1</v>
      </c>
      <c r="AX14" s="145">
        <f t="shared" si="5"/>
        <v>1</v>
      </c>
      <c r="AY14" s="145">
        <f t="shared" si="6"/>
        <v>0</v>
      </c>
      <c r="AZ14" s="145">
        <f t="shared" si="7"/>
        <v>1</v>
      </c>
      <c r="BA14" s="146">
        <f t="shared" si="8"/>
        <v>1</v>
      </c>
      <c r="BB14" s="149">
        <f t="shared" si="9"/>
        <v>16</v>
      </c>
      <c r="BC14" s="150">
        <f t="shared" si="10"/>
        <v>15</v>
      </c>
      <c r="BD14" s="150">
        <f t="shared" si="11"/>
        <v>16</v>
      </c>
      <c r="BE14" s="211" t="str">
        <f t="shared" si="12"/>
        <v/>
      </c>
      <c r="BH14" s="172">
        <f>IF(AND(Input_Product=Elig!$C14,Elig_MatchAll_Ct&lt;22,$BC14=(Elig_MatchAll_Ct-1),AF14=0),C14,0)</f>
        <v>0</v>
      </c>
      <c r="BI14" s="173">
        <f>IF(AND(Input_Product=Elig!$C14,Elig_MatchAll_Ct&lt;22,$BC14=(Elig_MatchAll_Ct-1),AG14=0),D14,0)</f>
        <v>0</v>
      </c>
      <c r="BJ14" s="173">
        <f>IF(AND(Input_Product=Elig!$C14,Elig_MatchAll_Ct&lt;22,$BC14=(Elig_MatchAll_Ct-1),AH14=0),E14,0)</f>
        <v>0</v>
      </c>
      <c r="BK14" s="173">
        <f>IF(AND(Input_Product=Elig!$C14,Elig_MatchAll_Ct&lt;22,$BC14=(Elig_MatchAll_Ct-1),AI14=0),F14,0)</f>
        <v>0</v>
      </c>
      <c r="BL14" s="173">
        <f>IF(AND(Input_Product=Elig!$C14,Elig_MatchAll_Ct&lt;22,$BC14=(Elig_MatchAll_Ct-1),AJ14=0),G14,0)</f>
        <v>0</v>
      </c>
      <c r="BM14" s="173">
        <f>IF(AND(Input_Product=Elig!$C14,Elig_MatchAll_Ct&lt;22,$BC14=(Elig_MatchAll_Ct-1),AK14=0),H14,0)</f>
        <v>0</v>
      </c>
      <c r="BN14" s="173">
        <f>IF(AND(Input_Product=Elig!$C14,Elig_MatchAll_Ct&lt;22,$BC14=(Elig_MatchAll_Ct-1),AL14=0),I14,0)</f>
        <v>0</v>
      </c>
      <c r="BO14" s="173">
        <f>IF(AND(Input_Product=Elig!$C14,Elig_MatchAll_Ct&lt;22,$BC14=(Elig_MatchAll_Ct-1),AM14=0),J14,0)</f>
        <v>0</v>
      </c>
      <c r="BP14" s="173">
        <f>IF(AND(Input_Product=Elig!$C14,Elig_MatchAll_Ct&lt;22,$BC14=(Elig_MatchAll_Ct-1),AN14=0),K14,0)</f>
        <v>0</v>
      </c>
      <c r="BQ14" s="173">
        <f>IF(AND(Input_Product=Elig!$C14,Elig_MatchAll_Ct&lt;22,$BC14=(Elig_MatchAll_Ct-1),AP14=0),L14,0)</f>
        <v>0</v>
      </c>
      <c r="BR14" s="173">
        <f>IF(AND(Input_Product=Elig!$C14,Elig_MatchAll_Ct&lt;22,$BC14=(Elig_MatchAll_Ct-1),AO14=0),M14,0)</f>
        <v>0</v>
      </c>
      <c r="BS14" s="173">
        <f>IF(AND(Input_Product=Elig!$C14,Elig_MatchAll_Ct&lt;22,$BC14=(Elig_MatchAll_Ct-1),AQ14=0),N14,0)</f>
        <v>0</v>
      </c>
      <c r="BT14" s="173">
        <f>IF(AND(Input_Product=Elig!$C14,Elig_MatchAll_Ct&lt;22,$BC14=(Elig_MatchAll_Ct-1),AR14=0),O14,0)</f>
        <v>0</v>
      </c>
      <c r="BU14" s="173">
        <f>IF(AND(Input_Product=Elig!$C14,Elig_MatchAll_Ct&lt;22,$BC14=(Elig_MatchAll_Ct-1),AS14=0),P14,0)</f>
        <v>0</v>
      </c>
      <c r="BV14" s="174">
        <f>IF(AND(Input_Product=Elig!$C14,Elig_MatchAll_Ct&lt;22,$BC14=(Elig_MatchAll_Ct-1),AT14=0),Q14,0)</f>
        <v>0</v>
      </c>
      <c r="BW14" s="175">
        <f>IF(AND(Input_Product=Elig!$C14,Elig_MatchAll_Ct&lt;22,$BC14=(Elig_MatchAll_Ct-1),AU14=0),R14,0)</f>
        <v>0</v>
      </c>
      <c r="BX14" s="176">
        <f>IF(AND(Input_Product=Elig!$C14,Elig_MatchAll_Ct&lt;22,$BC14=(Elig_MatchAll_Ct-1),AU14=0),S14,0)</f>
        <v>0</v>
      </c>
      <c r="BY14" s="175">
        <f>IF(AND(Input_Product=Elig!$C14,Elig_MatchAll_Ct&lt;22,$BC14=(Elig_MatchAll_Ct-1),AV14=0),T14,0)</f>
        <v>0</v>
      </c>
      <c r="BZ14" s="176">
        <f>IF(AND(Input_Product=Elig!$C14,Elig_MatchAll_Ct&lt;22,$BC14=(Elig_MatchAll_Ct-1),AV14=0),U14,0)</f>
        <v>0</v>
      </c>
      <c r="CA14" s="175">
        <f>IF(AND(Input_Product=Elig!$C14,Elig_MatchAll_Ct&lt;22,$BC14=(Elig_MatchAll_Ct-1),AW14=0),V14,0)</f>
        <v>0</v>
      </c>
      <c r="CB14" s="176">
        <f>IF(AND(Input_Product=Elig!$C14,Elig_MatchAll_Ct&lt;22,$BC14=(Elig_MatchAll_Ct-1),AW14=0),W14,0)</f>
        <v>0</v>
      </c>
      <c r="CC14" s="175">
        <f>IF(AND(Input_Product=Elig!$C14,Elig_MatchAll_Ct&lt;22,$BC14=(Elig_MatchAll_Ct-1),AX14=0),X14,0)</f>
        <v>0</v>
      </c>
      <c r="CD14" s="176">
        <f>IF(AND(Input_Product=Elig!$C14,Elig_MatchAll_Ct&lt;22,$BC14=(Elig_MatchAll_Ct-1),AX14=0),Y14,0)</f>
        <v>0</v>
      </c>
      <c r="CE14" s="175">
        <f>IF(AND(Input_LTV&lt;=AE14,Input_Product=Elig!$C14,Elig_MatchAll_Ct&lt;22,$BC14=(Elig_MatchAll_Ct-1),AY14=0),Z14,0)</f>
        <v>0</v>
      </c>
      <c r="CF14" s="176">
        <f>IF(AND(Input_LTV&lt;=AE14,Input_Product=Elig!$C14,Elig_MatchAll_Ct&lt;22,$BC14=(Elig_MatchAll_Ct-1),AY14=0),AA14,0)</f>
        <v>0</v>
      </c>
      <c r="CG14" s="175">
        <f>IF(AND(Input_Product=Elig!$C14,Elig_MatchAll_Ct&lt;22,$BC14=(Elig_MatchAll_Ct-1),AZ14=0),AB14,0)</f>
        <v>0</v>
      </c>
      <c r="CH14" s="176">
        <f>IF(AND(Input_Product=Elig!$C14,Elig_MatchAll_Ct&lt;22,$BC14=(Elig_MatchAll_Ct-1),AZ14=0),AC14,0)</f>
        <v>0</v>
      </c>
      <c r="CI14" s="175">
        <f>IF(AND(Input_Product=Elig!$C14,Elig_MatchAll_Ct&lt;22,$BC14=(Elig_MatchAll_Ct-1),BA14=0),AD14,0)</f>
        <v>0</v>
      </c>
      <c r="CJ14" s="177">
        <f>IF(AND(Input_Product=Elig!$C14,Elig_MatchAll_Ct&lt;22,$BC14=(Elig_MatchAll_Ct-1),BA14=0),AE14,0)</f>
        <v>0</v>
      </c>
    </row>
    <row r="15" spans="1:89" ht="10.15" customHeight="1" x14ac:dyDescent="0.25">
      <c r="A15" s="1419" t="s">
        <v>76</v>
      </c>
      <c r="B15" s="1419" t="s">
        <v>722</v>
      </c>
      <c r="C15" s="116" t="str">
        <f t="shared" si="1"/>
        <v>NonQM OO</v>
      </c>
      <c r="D15" s="117" t="s">
        <v>1995</v>
      </c>
      <c r="E15" s="117" t="s">
        <v>166</v>
      </c>
      <c r="F15" s="117" t="s">
        <v>330</v>
      </c>
      <c r="G15" s="117" t="s">
        <v>302</v>
      </c>
      <c r="H15" s="117" t="s">
        <v>135</v>
      </c>
      <c r="I15" s="118" t="s">
        <v>16</v>
      </c>
      <c r="J15" s="118" t="s">
        <v>1130</v>
      </c>
      <c r="K15" s="118" t="s">
        <v>1398</v>
      </c>
      <c r="L15" s="117" t="s">
        <v>2025</v>
      </c>
      <c r="M15" s="117" t="s">
        <v>2289</v>
      </c>
      <c r="N15" s="117" t="s">
        <v>82</v>
      </c>
      <c r="O15" s="117" t="s">
        <v>309</v>
      </c>
      <c r="P15" s="117" t="s">
        <v>2433</v>
      </c>
      <c r="Q15" s="117" t="s">
        <v>293</v>
      </c>
      <c r="R15" s="117">
        <v>100000</v>
      </c>
      <c r="S15" s="117">
        <v>1000000</v>
      </c>
      <c r="T15" s="117">
        <v>0</v>
      </c>
      <c r="U15" s="117">
        <f t="shared" si="13"/>
        <v>1000000</v>
      </c>
      <c r="V15" s="117">
        <v>0</v>
      </c>
      <c r="W15" s="117">
        <v>55</v>
      </c>
      <c r="X15" s="117">
        <v>0</v>
      </c>
      <c r="Y15" s="117">
        <v>999</v>
      </c>
      <c r="Z15" s="119">
        <v>680</v>
      </c>
      <c r="AA15" s="119">
        <v>699</v>
      </c>
      <c r="AB15" s="1877">
        <v>0</v>
      </c>
      <c r="AC15" s="119">
        <v>999999</v>
      </c>
      <c r="AD15" s="117">
        <v>0</v>
      </c>
      <c r="AE15" s="117">
        <v>80</v>
      </c>
      <c r="AF15" s="144">
        <v>0</v>
      </c>
      <c r="AG15" s="145">
        <v>1</v>
      </c>
      <c r="AH15" s="145">
        <v>1</v>
      </c>
      <c r="AI15" s="145">
        <v>0</v>
      </c>
      <c r="AJ15" s="145">
        <v>0</v>
      </c>
      <c r="AK15" s="145">
        <v>1</v>
      </c>
      <c r="AL15" s="145">
        <v>0</v>
      </c>
      <c r="AM15" s="145">
        <v>1</v>
      </c>
      <c r="AN15" s="145">
        <v>1</v>
      </c>
      <c r="AO15" s="145">
        <v>1</v>
      </c>
      <c r="AP15" s="145">
        <v>1</v>
      </c>
      <c r="AQ15" s="145">
        <v>0</v>
      </c>
      <c r="AR15" s="145">
        <v>1</v>
      </c>
      <c r="AS15" s="145">
        <v>1</v>
      </c>
      <c r="AT15" s="145">
        <v>1</v>
      </c>
      <c r="AU15" s="145">
        <f t="shared" si="2"/>
        <v>1</v>
      </c>
      <c r="AV15" s="145">
        <f t="shared" si="3"/>
        <v>1</v>
      </c>
      <c r="AW15" s="145">
        <f t="shared" si="4"/>
        <v>1</v>
      </c>
      <c r="AX15" s="145">
        <f t="shared" si="5"/>
        <v>1</v>
      </c>
      <c r="AY15" s="145">
        <f t="shared" si="6"/>
        <v>0</v>
      </c>
      <c r="AZ15" s="145">
        <f t="shared" si="7"/>
        <v>1</v>
      </c>
      <c r="BA15" s="146">
        <f t="shared" si="8"/>
        <v>1</v>
      </c>
      <c r="BB15" s="149">
        <f t="shared" si="9"/>
        <v>16</v>
      </c>
      <c r="BC15" s="150">
        <f t="shared" si="10"/>
        <v>15</v>
      </c>
      <c r="BD15" s="150">
        <f t="shared" si="11"/>
        <v>16</v>
      </c>
      <c r="BE15" s="211" t="str">
        <f t="shared" si="12"/>
        <v/>
      </c>
      <c r="BH15" s="172">
        <f>IF(AND(Input_Product=Elig!$C15,Elig_MatchAll_Ct&lt;22,$BC15=(Elig_MatchAll_Ct-1),AF15=0),C15,0)</f>
        <v>0</v>
      </c>
      <c r="BI15" s="173">
        <f>IF(AND(Input_Product=Elig!$C15,Elig_MatchAll_Ct&lt;22,$BC15=(Elig_MatchAll_Ct-1),AG15=0),D15,0)</f>
        <v>0</v>
      </c>
      <c r="BJ15" s="173">
        <f>IF(AND(Input_Product=Elig!$C15,Elig_MatchAll_Ct&lt;22,$BC15=(Elig_MatchAll_Ct-1),AH15=0),E15,0)</f>
        <v>0</v>
      </c>
      <c r="BK15" s="173">
        <f>IF(AND(Input_Product=Elig!$C15,Elig_MatchAll_Ct&lt;22,$BC15=(Elig_MatchAll_Ct-1),AI15=0),F15,0)</f>
        <v>0</v>
      </c>
      <c r="BL15" s="173">
        <f>IF(AND(Input_Product=Elig!$C15,Elig_MatchAll_Ct&lt;22,$BC15=(Elig_MatchAll_Ct-1),AJ15=0),G15,0)</f>
        <v>0</v>
      </c>
      <c r="BM15" s="173">
        <f>IF(AND(Input_Product=Elig!$C15,Elig_MatchAll_Ct&lt;22,$BC15=(Elig_MatchAll_Ct-1),AK15=0),H15,0)</f>
        <v>0</v>
      </c>
      <c r="BN15" s="173">
        <f>IF(AND(Input_Product=Elig!$C15,Elig_MatchAll_Ct&lt;22,$BC15=(Elig_MatchAll_Ct-1),AL15=0),I15,0)</f>
        <v>0</v>
      </c>
      <c r="BO15" s="173">
        <f>IF(AND(Input_Product=Elig!$C15,Elig_MatchAll_Ct&lt;22,$BC15=(Elig_MatchAll_Ct-1),AM15=0),J15,0)</f>
        <v>0</v>
      </c>
      <c r="BP15" s="173">
        <f>IF(AND(Input_Product=Elig!$C15,Elig_MatchAll_Ct&lt;22,$BC15=(Elig_MatchAll_Ct-1),AN15=0),K15,0)</f>
        <v>0</v>
      </c>
      <c r="BQ15" s="173">
        <f>IF(AND(Input_Product=Elig!$C15,Elig_MatchAll_Ct&lt;22,$BC15=(Elig_MatchAll_Ct-1),AP15=0),L15,0)</f>
        <v>0</v>
      </c>
      <c r="BR15" s="173">
        <f>IF(AND(Input_Product=Elig!$C15,Elig_MatchAll_Ct&lt;22,$BC15=(Elig_MatchAll_Ct-1),AO15=0),M15,0)</f>
        <v>0</v>
      </c>
      <c r="BS15" s="173">
        <f>IF(AND(Input_Product=Elig!$C15,Elig_MatchAll_Ct&lt;22,$BC15=(Elig_MatchAll_Ct-1),AQ15=0),N15,0)</f>
        <v>0</v>
      </c>
      <c r="BT15" s="173">
        <f>IF(AND(Input_Product=Elig!$C15,Elig_MatchAll_Ct&lt;22,$BC15=(Elig_MatchAll_Ct-1),AR15=0),O15,0)</f>
        <v>0</v>
      </c>
      <c r="BU15" s="173">
        <f>IF(AND(Input_Product=Elig!$C15,Elig_MatchAll_Ct&lt;22,$BC15=(Elig_MatchAll_Ct-1),AS15=0),P15,0)</f>
        <v>0</v>
      </c>
      <c r="BV15" s="174">
        <f>IF(AND(Input_Product=Elig!$C15,Elig_MatchAll_Ct&lt;22,$BC15=(Elig_MatchAll_Ct-1),AT15=0),Q15,0)</f>
        <v>0</v>
      </c>
      <c r="BW15" s="175">
        <f>IF(AND(Input_Product=Elig!$C15,Elig_MatchAll_Ct&lt;22,$BC15=(Elig_MatchAll_Ct-1),AU15=0),R15,0)</f>
        <v>0</v>
      </c>
      <c r="BX15" s="176">
        <f>IF(AND(Input_Product=Elig!$C15,Elig_MatchAll_Ct&lt;22,$BC15=(Elig_MatchAll_Ct-1),AU15=0),S15,0)</f>
        <v>0</v>
      </c>
      <c r="BY15" s="175">
        <f>IF(AND(Input_Product=Elig!$C15,Elig_MatchAll_Ct&lt;22,$BC15=(Elig_MatchAll_Ct-1),AV15=0),T15,0)</f>
        <v>0</v>
      </c>
      <c r="BZ15" s="176">
        <f>IF(AND(Input_Product=Elig!$C15,Elig_MatchAll_Ct&lt;22,$BC15=(Elig_MatchAll_Ct-1),AV15=0),U15,0)</f>
        <v>0</v>
      </c>
      <c r="CA15" s="175">
        <f>IF(AND(Input_Product=Elig!$C15,Elig_MatchAll_Ct&lt;22,$BC15=(Elig_MatchAll_Ct-1),AW15=0),V15,0)</f>
        <v>0</v>
      </c>
      <c r="CB15" s="176">
        <f>IF(AND(Input_Product=Elig!$C15,Elig_MatchAll_Ct&lt;22,$BC15=(Elig_MatchAll_Ct-1),AW15=0),W15,0)</f>
        <v>0</v>
      </c>
      <c r="CC15" s="175">
        <f>IF(AND(Input_Product=Elig!$C15,Elig_MatchAll_Ct&lt;22,$BC15=(Elig_MatchAll_Ct-1),AX15=0),X15,0)</f>
        <v>0</v>
      </c>
      <c r="CD15" s="176">
        <f>IF(AND(Input_Product=Elig!$C15,Elig_MatchAll_Ct&lt;22,$BC15=(Elig_MatchAll_Ct-1),AX15=0),Y15,0)</f>
        <v>0</v>
      </c>
      <c r="CE15" s="175">
        <f>IF(AND(Input_LTV&lt;=AE15,Input_Product=Elig!$C15,Elig_MatchAll_Ct&lt;22,$BC15=(Elig_MatchAll_Ct-1),AY15=0),Z15,0)</f>
        <v>0</v>
      </c>
      <c r="CF15" s="176">
        <f>IF(AND(Input_LTV&lt;=AE15,Input_Product=Elig!$C15,Elig_MatchAll_Ct&lt;22,$BC15=(Elig_MatchAll_Ct-1),AY15=0),AA15,0)</f>
        <v>0</v>
      </c>
      <c r="CG15" s="175">
        <f>IF(AND(Input_Product=Elig!$C15,Elig_MatchAll_Ct&lt;22,$BC15=(Elig_MatchAll_Ct-1),AZ15=0),AB15,0)</f>
        <v>0</v>
      </c>
      <c r="CH15" s="176">
        <f>IF(AND(Input_Product=Elig!$C15,Elig_MatchAll_Ct&lt;22,$BC15=(Elig_MatchAll_Ct-1),AZ15=0),AC15,0)</f>
        <v>0</v>
      </c>
      <c r="CI15" s="175">
        <f>IF(AND(Input_Product=Elig!$C15,Elig_MatchAll_Ct&lt;22,$BC15=(Elig_MatchAll_Ct-1),BA15=0),AD15,0)</f>
        <v>0</v>
      </c>
      <c r="CJ15" s="177">
        <f>IF(AND(Input_Product=Elig!$C15,Elig_MatchAll_Ct&lt;22,$BC15=(Elig_MatchAll_Ct-1),BA15=0),AE15,0)</f>
        <v>0</v>
      </c>
    </row>
    <row r="16" spans="1:89" ht="10.15" customHeight="1" x14ac:dyDescent="0.25">
      <c r="A16" s="1419" t="s">
        <v>76</v>
      </c>
      <c r="B16" s="1419" t="s">
        <v>723</v>
      </c>
      <c r="C16" s="116" t="str">
        <f t="shared" si="1"/>
        <v>NonQM OO</v>
      </c>
      <c r="D16" s="117" t="s">
        <v>1995</v>
      </c>
      <c r="E16" s="117" t="s">
        <v>166</v>
      </c>
      <c r="F16" s="117" t="s">
        <v>330</v>
      </c>
      <c r="G16" s="117" t="s">
        <v>302</v>
      </c>
      <c r="H16" s="117" t="s">
        <v>135</v>
      </c>
      <c r="I16" s="117" t="s">
        <v>16</v>
      </c>
      <c r="J16" s="117" t="s">
        <v>1130</v>
      </c>
      <c r="K16" s="117" t="s">
        <v>1398</v>
      </c>
      <c r="L16" s="117" t="s">
        <v>2025</v>
      </c>
      <c r="M16" s="117" t="s">
        <v>2289</v>
      </c>
      <c r="N16" s="117" t="s">
        <v>82</v>
      </c>
      <c r="O16" s="117" t="s">
        <v>309</v>
      </c>
      <c r="P16" s="117" t="s">
        <v>2433</v>
      </c>
      <c r="Q16" s="117" t="s">
        <v>293</v>
      </c>
      <c r="R16" s="117">
        <v>100000</v>
      </c>
      <c r="S16" s="117">
        <v>1000000</v>
      </c>
      <c r="T16" s="117">
        <v>0</v>
      </c>
      <c r="U16" s="117">
        <f t="shared" si="13"/>
        <v>1000000</v>
      </c>
      <c r="V16" s="117">
        <v>0</v>
      </c>
      <c r="W16" s="117">
        <v>55</v>
      </c>
      <c r="X16" s="117">
        <v>0</v>
      </c>
      <c r="Y16" s="117">
        <v>999</v>
      </c>
      <c r="Z16" s="119">
        <v>660</v>
      </c>
      <c r="AA16" s="119">
        <v>679</v>
      </c>
      <c r="AB16" s="1877">
        <v>0</v>
      </c>
      <c r="AC16" s="119">
        <v>999999</v>
      </c>
      <c r="AD16" s="117">
        <v>0</v>
      </c>
      <c r="AE16" s="117">
        <v>75</v>
      </c>
      <c r="AF16" s="144">
        <v>0</v>
      </c>
      <c r="AG16" s="145">
        <v>1</v>
      </c>
      <c r="AH16" s="145">
        <v>1</v>
      </c>
      <c r="AI16" s="145">
        <v>0</v>
      </c>
      <c r="AJ16" s="145">
        <v>0</v>
      </c>
      <c r="AK16" s="145">
        <v>1</v>
      </c>
      <c r="AL16" s="145">
        <v>0</v>
      </c>
      <c r="AM16" s="145">
        <v>1</v>
      </c>
      <c r="AN16" s="145">
        <v>1</v>
      </c>
      <c r="AO16" s="145">
        <v>1</v>
      </c>
      <c r="AP16" s="145">
        <v>1</v>
      </c>
      <c r="AQ16" s="145">
        <v>0</v>
      </c>
      <c r="AR16" s="145">
        <v>1</v>
      </c>
      <c r="AS16" s="145">
        <v>1</v>
      </c>
      <c r="AT16" s="145">
        <v>1</v>
      </c>
      <c r="AU16" s="145">
        <f t="shared" si="2"/>
        <v>1</v>
      </c>
      <c r="AV16" s="145">
        <f t="shared" si="3"/>
        <v>1</v>
      </c>
      <c r="AW16" s="145">
        <f t="shared" si="4"/>
        <v>1</v>
      </c>
      <c r="AX16" s="145">
        <f t="shared" si="5"/>
        <v>1</v>
      </c>
      <c r="AY16" s="145">
        <f t="shared" si="6"/>
        <v>0</v>
      </c>
      <c r="AZ16" s="145">
        <f t="shared" si="7"/>
        <v>1</v>
      </c>
      <c r="BA16" s="146">
        <f t="shared" si="8"/>
        <v>1</v>
      </c>
      <c r="BB16" s="149">
        <f t="shared" si="9"/>
        <v>16</v>
      </c>
      <c r="BC16" s="150">
        <f t="shared" si="10"/>
        <v>15</v>
      </c>
      <c r="BD16" s="150">
        <f t="shared" si="11"/>
        <v>16</v>
      </c>
      <c r="BE16" s="211" t="str">
        <f t="shared" si="12"/>
        <v/>
      </c>
      <c r="BH16" s="172">
        <f>IF(AND(Input_Product=Elig!$C16,Elig_MatchAll_Ct&lt;22,$BC16=(Elig_MatchAll_Ct-1),AF16=0),C16,0)</f>
        <v>0</v>
      </c>
      <c r="BI16" s="173">
        <f>IF(AND(Input_Product=Elig!$C16,Elig_MatchAll_Ct&lt;22,$BC16=(Elig_MatchAll_Ct-1),AG16=0),D16,0)</f>
        <v>0</v>
      </c>
      <c r="BJ16" s="173">
        <f>IF(AND(Input_Product=Elig!$C16,Elig_MatchAll_Ct&lt;22,$BC16=(Elig_MatchAll_Ct-1),AH16=0),E16,0)</f>
        <v>0</v>
      </c>
      <c r="BK16" s="173">
        <f>IF(AND(Input_Product=Elig!$C16,Elig_MatchAll_Ct&lt;22,$BC16=(Elig_MatchAll_Ct-1),AI16=0),F16,0)</f>
        <v>0</v>
      </c>
      <c r="BL16" s="173">
        <f>IF(AND(Input_Product=Elig!$C16,Elig_MatchAll_Ct&lt;22,$BC16=(Elig_MatchAll_Ct-1),AJ16=0),G16,0)</f>
        <v>0</v>
      </c>
      <c r="BM16" s="173">
        <f>IF(AND(Input_Product=Elig!$C16,Elig_MatchAll_Ct&lt;22,$BC16=(Elig_MatchAll_Ct-1),AK16=0),H16,0)</f>
        <v>0</v>
      </c>
      <c r="BN16" s="173">
        <f>IF(AND(Input_Product=Elig!$C16,Elig_MatchAll_Ct&lt;22,$BC16=(Elig_MatchAll_Ct-1),AL16=0),I16,0)</f>
        <v>0</v>
      </c>
      <c r="BO16" s="173">
        <f>IF(AND(Input_Product=Elig!$C16,Elig_MatchAll_Ct&lt;22,$BC16=(Elig_MatchAll_Ct-1),AM16=0),J16,0)</f>
        <v>0</v>
      </c>
      <c r="BP16" s="173">
        <f>IF(AND(Input_Product=Elig!$C16,Elig_MatchAll_Ct&lt;22,$BC16=(Elig_MatchAll_Ct-1),AN16=0),K16,0)</f>
        <v>0</v>
      </c>
      <c r="BQ16" s="173">
        <f>IF(AND(Input_Product=Elig!$C16,Elig_MatchAll_Ct&lt;22,$BC16=(Elig_MatchAll_Ct-1),AP16=0),L16,0)</f>
        <v>0</v>
      </c>
      <c r="BR16" s="173">
        <f>IF(AND(Input_Product=Elig!$C16,Elig_MatchAll_Ct&lt;22,$BC16=(Elig_MatchAll_Ct-1),AO16=0),M16,0)</f>
        <v>0</v>
      </c>
      <c r="BS16" s="173">
        <f>IF(AND(Input_Product=Elig!$C16,Elig_MatchAll_Ct&lt;22,$BC16=(Elig_MatchAll_Ct-1),AQ16=0),N16,0)</f>
        <v>0</v>
      </c>
      <c r="BT16" s="173">
        <f>IF(AND(Input_Product=Elig!$C16,Elig_MatchAll_Ct&lt;22,$BC16=(Elig_MatchAll_Ct-1),AR16=0),O16,0)</f>
        <v>0</v>
      </c>
      <c r="BU16" s="173">
        <f>IF(AND(Input_Product=Elig!$C16,Elig_MatchAll_Ct&lt;22,$BC16=(Elig_MatchAll_Ct-1),AS16=0),P16,0)</f>
        <v>0</v>
      </c>
      <c r="BV16" s="174">
        <f>IF(AND(Input_Product=Elig!$C16,Elig_MatchAll_Ct&lt;22,$BC16=(Elig_MatchAll_Ct-1),AT16=0),Q16,0)</f>
        <v>0</v>
      </c>
      <c r="BW16" s="175">
        <f>IF(AND(Input_Product=Elig!$C16,Elig_MatchAll_Ct&lt;22,$BC16=(Elig_MatchAll_Ct-1),AU16=0),R16,0)</f>
        <v>0</v>
      </c>
      <c r="BX16" s="176">
        <f>IF(AND(Input_Product=Elig!$C16,Elig_MatchAll_Ct&lt;22,$BC16=(Elig_MatchAll_Ct-1),AU16=0),S16,0)</f>
        <v>0</v>
      </c>
      <c r="BY16" s="175">
        <f>IF(AND(Input_Product=Elig!$C16,Elig_MatchAll_Ct&lt;22,$BC16=(Elig_MatchAll_Ct-1),AV16=0),T16,0)</f>
        <v>0</v>
      </c>
      <c r="BZ16" s="176">
        <f>IF(AND(Input_Product=Elig!$C16,Elig_MatchAll_Ct&lt;22,$BC16=(Elig_MatchAll_Ct-1),AV16=0),U16,0)</f>
        <v>0</v>
      </c>
      <c r="CA16" s="175">
        <f>IF(AND(Input_Product=Elig!$C16,Elig_MatchAll_Ct&lt;22,$BC16=(Elig_MatchAll_Ct-1),AW16=0),V16,0)</f>
        <v>0</v>
      </c>
      <c r="CB16" s="176">
        <f>IF(AND(Input_Product=Elig!$C16,Elig_MatchAll_Ct&lt;22,$BC16=(Elig_MatchAll_Ct-1),AW16=0),W16,0)</f>
        <v>0</v>
      </c>
      <c r="CC16" s="175">
        <f>IF(AND(Input_Product=Elig!$C16,Elig_MatchAll_Ct&lt;22,$BC16=(Elig_MatchAll_Ct-1),AX16=0),X16,0)</f>
        <v>0</v>
      </c>
      <c r="CD16" s="176">
        <f>IF(AND(Input_Product=Elig!$C16,Elig_MatchAll_Ct&lt;22,$BC16=(Elig_MatchAll_Ct-1),AX16=0),Y16,0)</f>
        <v>0</v>
      </c>
      <c r="CE16" s="175">
        <f>IF(AND(Input_LTV&lt;=AE16,Input_Product=Elig!$C16,Elig_MatchAll_Ct&lt;22,$BC16=(Elig_MatchAll_Ct-1),AY16=0),Z16,0)</f>
        <v>0</v>
      </c>
      <c r="CF16" s="176">
        <f>IF(AND(Input_LTV&lt;=AE16,Input_Product=Elig!$C16,Elig_MatchAll_Ct&lt;22,$BC16=(Elig_MatchAll_Ct-1),AY16=0),AA16,0)</f>
        <v>0</v>
      </c>
      <c r="CG16" s="175">
        <f>IF(AND(Input_Product=Elig!$C16,Elig_MatchAll_Ct&lt;22,$BC16=(Elig_MatchAll_Ct-1),AZ16=0),AB16,0)</f>
        <v>0</v>
      </c>
      <c r="CH16" s="176">
        <f>IF(AND(Input_Product=Elig!$C16,Elig_MatchAll_Ct&lt;22,$BC16=(Elig_MatchAll_Ct-1),AZ16=0),AC16,0)</f>
        <v>0</v>
      </c>
      <c r="CI16" s="175">
        <f>IF(AND(Input_Product=Elig!$C16,Elig_MatchAll_Ct&lt;22,$BC16=(Elig_MatchAll_Ct-1),BA16=0),AD16,0)</f>
        <v>0</v>
      </c>
      <c r="CJ16" s="177">
        <f>IF(AND(Input_Product=Elig!$C16,Elig_MatchAll_Ct&lt;22,$BC16=(Elig_MatchAll_Ct-1),BA16=0),AE16,0)</f>
        <v>0</v>
      </c>
    </row>
    <row r="17" spans="1:88" ht="10.15" customHeight="1" x14ac:dyDescent="0.25">
      <c r="A17" s="1419" t="s">
        <v>76</v>
      </c>
      <c r="B17" s="1419" t="s">
        <v>724</v>
      </c>
      <c r="C17" s="116" t="str">
        <f t="shared" si="1"/>
        <v>NonQM OO</v>
      </c>
      <c r="D17" s="117" t="s">
        <v>1995</v>
      </c>
      <c r="E17" s="117" t="s">
        <v>166</v>
      </c>
      <c r="F17" s="117" t="s">
        <v>330</v>
      </c>
      <c r="G17" s="117" t="s">
        <v>302</v>
      </c>
      <c r="H17" s="117" t="s">
        <v>135</v>
      </c>
      <c r="I17" s="117" t="s">
        <v>16</v>
      </c>
      <c r="J17" s="117" t="s">
        <v>1130</v>
      </c>
      <c r="K17" s="117" t="s">
        <v>1398</v>
      </c>
      <c r="L17" s="117" t="s">
        <v>2025</v>
      </c>
      <c r="M17" s="117" t="s">
        <v>2289</v>
      </c>
      <c r="N17" s="117" t="s">
        <v>82</v>
      </c>
      <c r="O17" s="117" t="s">
        <v>309</v>
      </c>
      <c r="P17" s="117" t="s">
        <v>2433</v>
      </c>
      <c r="Q17" s="117" t="s">
        <v>293</v>
      </c>
      <c r="R17" s="117">
        <v>100000</v>
      </c>
      <c r="S17" s="117">
        <v>1000000</v>
      </c>
      <c r="T17" s="117">
        <v>0</v>
      </c>
      <c r="U17" s="117">
        <f t="shared" si="13"/>
        <v>1000000</v>
      </c>
      <c r="V17" s="117">
        <v>0</v>
      </c>
      <c r="W17" s="117">
        <v>55</v>
      </c>
      <c r="X17" s="117">
        <v>0</v>
      </c>
      <c r="Y17" s="117">
        <v>999</v>
      </c>
      <c r="Z17" s="119">
        <v>640</v>
      </c>
      <c r="AA17" s="119">
        <v>659</v>
      </c>
      <c r="AB17" s="1877">
        <v>0</v>
      </c>
      <c r="AC17" s="119">
        <v>999999</v>
      </c>
      <c r="AD17" s="117">
        <v>0</v>
      </c>
      <c r="AE17" s="117">
        <v>70</v>
      </c>
      <c r="AF17" s="144">
        <v>0</v>
      </c>
      <c r="AG17" s="145">
        <v>1</v>
      </c>
      <c r="AH17" s="145">
        <v>1</v>
      </c>
      <c r="AI17" s="145">
        <v>0</v>
      </c>
      <c r="AJ17" s="145">
        <v>0</v>
      </c>
      <c r="AK17" s="145">
        <v>1</v>
      </c>
      <c r="AL17" s="145">
        <v>0</v>
      </c>
      <c r="AM17" s="145">
        <v>1</v>
      </c>
      <c r="AN17" s="145">
        <v>1</v>
      </c>
      <c r="AO17" s="145">
        <v>1</v>
      </c>
      <c r="AP17" s="145">
        <v>1</v>
      </c>
      <c r="AQ17" s="145">
        <v>0</v>
      </c>
      <c r="AR17" s="145">
        <v>1</v>
      </c>
      <c r="AS17" s="145">
        <v>1</v>
      </c>
      <c r="AT17" s="145">
        <v>1</v>
      </c>
      <c r="AU17" s="145">
        <f t="shared" si="2"/>
        <v>1</v>
      </c>
      <c r="AV17" s="145">
        <f t="shared" si="3"/>
        <v>1</v>
      </c>
      <c r="AW17" s="145">
        <f t="shared" si="4"/>
        <v>1</v>
      </c>
      <c r="AX17" s="145">
        <f t="shared" si="5"/>
        <v>1</v>
      </c>
      <c r="AY17" s="145">
        <f t="shared" si="6"/>
        <v>0</v>
      </c>
      <c r="AZ17" s="145">
        <f t="shared" si="7"/>
        <v>1</v>
      </c>
      <c r="BA17" s="146">
        <f t="shared" si="8"/>
        <v>1</v>
      </c>
      <c r="BB17" s="149">
        <f t="shared" si="9"/>
        <v>16</v>
      </c>
      <c r="BC17" s="150">
        <f t="shared" si="10"/>
        <v>15</v>
      </c>
      <c r="BD17" s="150">
        <f t="shared" si="11"/>
        <v>16</v>
      </c>
      <c r="BE17" s="211" t="str">
        <f t="shared" si="12"/>
        <v/>
      </c>
      <c r="BH17" s="172">
        <f>IF(AND(Input_Product=Elig!$C17,Elig_MatchAll_Ct&lt;22,$BC17=(Elig_MatchAll_Ct-1),AF17=0),C17,0)</f>
        <v>0</v>
      </c>
      <c r="BI17" s="173">
        <f>IF(AND(Input_Product=Elig!$C17,Elig_MatchAll_Ct&lt;22,$BC17=(Elig_MatchAll_Ct-1),AG17=0),D17,0)</f>
        <v>0</v>
      </c>
      <c r="BJ17" s="173">
        <f>IF(AND(Input_Product=Elig!$C17,Elig_MatchAll_Ct&lt;22,$BC17=(Elig_MatchAll_Ct-1),AH17=0),E17,0)</f>
        <v>0</v>
      </c>
      <c r="BK17" s="173">
        <f>IF(AND(Input_Product=Elig!$C17,Elig_MatchAll_Ct&lt;22,$BC17=(Elig_MatchAll_Ct-1),AI17=0),F17,0)</f>
        <v>0</v>
      </c>
      <c r="BL17" s="173">
        <f>IF(AND(Input_Product=Elig!$C17,Elig_MatchAll_Ct&lt;22,$BC17=(Elig_MatchAll_Ct-1),AJ17=0),G17,0)</f>
        <v>0</v>
      </c>
      <c r="BM17" s="173">
        <f>IF(AND(Input_Product=Elig!$C17,Elig_MatchAll_Ct&lt;22,$BC17=(Elig_MatchAll_Ct-1),AK17=0),H17,0)</f>
        <v>0</v>
      </c>
      <c r="BN17" s="173">
        <f>IF(AND(Input_Product=Elig!$C17,Elig_MatchAll_Ct&lt;22,$BC17=(Elig_MatchAll_Ct-1),AL17=0),I17,0)</f>
        <v>0</v>
      </c>
      <c r="BO17" s="173">
        <f>IF(AND(Input_Product=Elig!$C17,Elig_MatchAll_Ct&lt;22,$BC17=(Elig_MatchAll_Ct-1),AM17=0),J17,0)</f>
        <v>0</v>
      </c>
      <c r="BP17" s="173">
        <f>IF(AND(Input_Product=Elig!$C17,Elig_MatchAll_Ct&lt;22,$BC17=(Elig_MatchAll_Ct-1),AN17=0),K17,0)</f>
        <v>0</v>
      </c>
      <c r="BQ17" s="173">
        <f>IF(AND(Input_Product=Elig!$C17,Elig_MatchAll_Ct&lt;22,$BC17=(Elig_MatchAll_Ct-1),AP17=0),L17,0)</f>
        <v>0</v>
      </c>
      <c r="BR17" s="173">
        <f>IF(AND(Input_Product=Elig!$C17,Elig_MatchAll_Ct&lt;22,$BC17=(Elig_MatchAll_Ct-1),AO17=0),M17,0)</f>
        <v>0</v>
      </c>
      <c r="BS17" s="173">
        <f>IF(AND(Input_Product=Elig!$C17,Elig_MatchAll_Ct&lt;22,$BC17=(Elig_MatchAll_Ct-1),AQ17=0),N17,0)</f>
        <v>0</v>
      </c>
      <c r="BT17" s="173">
        <f>IF(AND(Input_Product=Elig!$C17,Elig_MatchAll_Ct&lt;22,$BC17=(Elig_MatchAll_Ct-1),AR17=0),O17,0)</f>
        <v>0</v>
      </c>
      <c r="BU17" s="173">
        <f>IF(AND(Input_Product=Elig!$C17,Elig_MatchAll_Ct&lt;22,$BC17=(Elig_MatchAll_Ct-1),AS17=0),P17,0)</f>
        <v>0</v>
      </c>
      <c r="BV17" s="174">
        <f>IF(AND(Input_Product=Elig!$C17,Elig_MatchAll_Ct&lt;22,$BC17=(Elig_MatchAll_Ct-1),AT17=0),Q17,0)</f>
        <v>0</v>
      </c>
      <c r="BW17" s="175">
        <f>IF(AND(Input_Product=Elig!$C17,Elig_MatchAll_Ct&lt;22,$BC17=(Elig_MatchAll_Ct-1),AU17=0),R17,0)</f>
        <v>0</v>
      </c>
      <c r="BX17" s="176">
        <f>IF(AND(Input_Product=Elig!$C17,Elig_MatchAll_Ct&lt;22,$BC17=(Elig_MatchAll_Ct-1),AU17=0),S17,0)</f>
        <v>0</v>
      </c>
      <c r="BY17" s="175">
        <f>IF(AND(Input_Product=Elig!$C17,Elig_MatchAll_Ct&lt;22,$BC17=(Elig_MatchAll_Ct-1),AV17=0),T17,0)</f>
        <v>0</v>
      </c>
      <c r="BZ17" s="176">
        <f>IF(AND(Input_Product=Elig!$C17,Elig_MatchAll_Ct&lt;22,$BC17=(Elig_MatchAll_Ct-1),AV17=0),U17,0)</f>
        <v>0</v>
      </c>
      <c r="CA17" s="175">
        <f>IF(AND(Input_Product=Elig!$C17,Elig_MatchAll_Ct&lt;22,$BC17=(Elig_MatchAll_Ct-1),AW17=0),V17,0)</f>
        <v>0</v>
      </c>
      <c r="CB17" s="176">
        <f>IF(AND(Input_Product=Elig!$C17,Elig_MatchAll_Ct&lt;22,$BC17=(Elig_MatchAll_Ct-1),AW17=0),W17,0)</f>
        <v>0</v>
      </c>
      <c r="CC17" s="175">
        <f>IF(AND(Input_Product=Elig!$C17,Elig_MatchAll_Ct&lt;22,$BC17=(Elig_MatchAll_Ct-1),AX17=0),X17,0)</f>
        <v>0</v>
      </c>
      <c r="CD17" s="176">
        <f>IF(AND(Input_Product=Elig!$C17,Elig_MatchAll_Ct&lt;22,$BC17=(Elig_MatchAll_Ct-1),AX17=0),Y17,0)</f>
        <v>0</v>
      </c>
      <c r="CE17" s="175">
        <f>IF(AND(Input_LTV&lt;=AE17,Input_Product=Elig!$C17,Elig_MatchAll_Ct&lt;22,$BC17=(Elig_MatchAll_Ct-1),AY17=0),Z17,0)</f>
        <v>0</v>
      </c>
      <c r="CF17" s="176">
        <f>IF(AND(Input_LTV&lt;=AE17,Input_Product=Elig!$C17,Elig_MatchAll_Ct&lt;22,$BC17=(Elig_MatchAll_Ct-1),AY17=0),AA17,0)</f>
        <v>0</v>
      </c>
      <c r="CG17" s="175">
        <f>IF(AND(Input_Product=Elig!$C17,Elig_MatchAll_Ct&lt;22,$BC17=(Elig_MatchAll_Ct-1),AZ17=0),AB17,0)</f>
        <v>0</v>
      </c>
      <c r="CH17" s="176">
        <f>IF(AND(Input_Product=Elig!$C17,Elig_MatchAll_Ct&lt;22,$BC17=(Elig_MatchAll_Ct-1),AZ17=0),AC17,0)</f>
        <v>0</v>
      </c>
      <c r="CI17" s="175">
        <f>IF(AND(Input_Product=Elig!$C17,Elig_MatchAll_Ct&lt;22,$BC17=(Elig_MatchAll_Ct-1),BA17=0),AD17,0)</f>
        <v>0</v>
      </c>
      <c r="CJ17" s="177">
        <f>IF(AND(Input_Product=Elig!$C17,Elig_MatchAll_Ct&lt;22,$BC17=(Elig_MatchAll_Ct-1),BA17=0),AE17,0)</f>
        <v>0</v>
      </c>
    </row>
    <row r="18" spans="1:88" ht="10.15" customHeight="1" x14ac:dyDescent="0.25">
      <c r="A18" s="1419" t="s">
        <v>76</v>
      </c>
      <c r="B18" s="1419" t="s">
        <v>725</v>
      </c>
      <c r="C18" s="120" t="str">
        <f t="shared" si="1"/>
        <v>NonQM OO</v>
      </c>
      <c r="D18" s="121" t="s">
        <v>1995</v>
      </c>
      <c r="E18" s="121" t="s">
        <v>166</v>
      </c>
      <c r="F18" s="121" t="s">
        <v>330</v>
      </c>
      <c r="G18" s="121" t="s">
        <v>302</v>
      </c>
      <c r="H18" s="121" t="s">
        <v>135</v>
      </c>
      <c r="I18" s="121" t="s">
        <v>16</v>
      </c>
      <c r="J18" s="121" t="s">
        <v>1130</v>
      </c>
      <c r="K18" s="121" t="s">
        <v>1398</v>
      </c>
      <c r="L18" s="121" t="s">
        <v>2025</v>
      </c>
      <c r="M18" s="121" t="s">
        <v>2289</v>
      </c>
      <c r="N18" s="121" t="s">
        <v>82</v>
      </c>
      <c r="O18" s="121" t="s">
        <v>309</v>
      </c>
      <c r="P18" s="121" t="s">
        <v>2433</v>
      </c>
      <c r="Q18" s="121" t="s">
        <v>293</v>
      </c>
      <c r="R18" s="121">
        <v>100000</v>
      </c>
      <c r="S18" s="121">
        <v>1000000</v>
      </c>
      <c r="T18" s="121">
        <v>0</v>
      </c>
      <c r="U18" s="121">
        <f t="shared" si="13"/>
        <v>1000000</v>
      </c>
      <c r="V18" s="121">
        <v>0</v>
      </c>
      <c r="W18" s="121">
        <v>55</v>
      </c>
      <c r="X18" s="121">
        <v>0</v>
      </c>
      <c r="Y18" s="121">
        <v>999</v>
      </c>
      <c r="Z18" s="122">
        <v>620</v>
      </c>
      <c r="AA18" s="122">
        <v>639</v>
      </c>
      <c r="AB18" s="1878">
        <v>0</v>
      </c>
      <c r="AC18" s="122">
        <v>999999</v>
      </c>
      <c r="AD18" s="121">
        <v>0</v>
      </c>
      <c r="AE18" s="121">
        <v>70</v>
      </c>
      <c r="AF18" s="144">
        <v>0</v>
      </c>
      <c r="AG18" s="145">
        <v>1</v>
      </c>
      <c r="AH18" s="145">
        <v>1</v>
      </c>
      <c r="AI18" s="145">
        <v>0</v>
      </c>
      <c r="AJ18" s="145">
        <v>0</v>
      </c>
      <c r="AK18" s="145">
        <v>1</v>
      </c>
      <c r="AL18" s="145">
        <v>0</v>
      </c>
      <c r="AM18" s="145">
        <v>1</v>
      </c>
      <c r="AN18" s="145">
        <v>1</v>
      </c>
      <c r="AO18" s="145">
        <v>1</v>
      </c>
      <c r="AP18" s="145">
        <v>1</v>
      </c>
      <c r="AQ18" s="145">
        <v>0</v>
      </c>
      <c r="AR18" s="145">
        <v>1</v>
      </c>
      <c r="AS18" s="145">
        <v>1</v>
      </c>
      <c r="AT18" s="145">
        <v>1</v>
      </c>
      <c r="AU18" s="145">
        <f t="shared" si="2"/>
        <v>1</v>
      </c>
      <c r="AV18" s="145">
        <f t="shared" si="3"/>
        <v>1</v>
      </c>
      <c r="AW18" s="145">
        <f t="shared" si="4"/>
        <v>1</v>
      </c>
      <c r="AX18" s="145">
        <f t="shared" si="5"/>
        <v>1</v>
      </c>
      <c r="AY18" s="145">
        <f t="shared" si="6"/>
        <v>0</v>
      </c>
      <c r="AZ18" s="145">
        <f t="shared" si="7"/>
        <v>1</v>
      </c>
      <c r="BA18" s="146">
        <f t="shared" si="8"/>
        <v>1</v>
      </c>
      <c r="BB18" s="149">
        <f t="shared" si="9"/>
        <v>16</v>
      </c>
      <c r="BC18" s="150">
        <f t="shared" si="10"/>
        <v>15</v>
      </c>
      <c r="BD18" s="150">
        <f t="shared" si="11"/>
        <v>16</v>
      </c>
      <c r="BE18" s="211" t="str">
        <f t="shared" si="12"/>
        <v/>
      </c>
      <c r="BH18" s="178">
        <f>IF(AND(Input_Product=Elig!$C18,Elig_MatchAll_Ct&lt;22,$BC18=(Elig_MatchAll_Ct-1),AF18=0),C18,0)</f>
        <v>0</v>
      </c>
      <c r="BI18" s="179">
        <f>IF(AND(Input_Product=Elig!$C18,Elig_MatchAll_Ct&lt;22,$BC18=(Elig_MatchAll_Ct-1),AG18=0),D18,0)</f>
        <v>0</v>
      </c>
      <c r="BJ18" s="179">
        <f>IF(AND(Input_Product=Elig!$C18,Elig_MatchAll_Ct&lt;22,$BC18=(Elig_MatchAll_Ct-1),AH18=0),E18,0)</f>
        <v>0</v>
      </c>
      <c r="BK18" s="179">
        <f>IF(AND(Input_Product=Elig!$C18,Elig_MatchAll_Ct&lt;22,$BC18=(Elig_MatchAll_Ct-1),AI18=0),F18,0)</f>
        <v>0</v>
      </c>
      <c r="BL18" s="179">
        <f>IF(AND(Input_Product=Elig!$C18,Elig_MatchAll_Ct&lt;22,$BC18=(Elig_MatchAll_Ct-1),AJ18=0),G18,0)</f>
        <v>0</v>
      </c>
      <c r="BM18" s="179">
        <f>IF(AND(Input_Product=Elig!$C18,Elig_MatchAll_Ct&lt;22,$BC18=(Elig_MatchAll_Ct-1),AK18=0),H18,0)</f>
        <v>0</v>
      </c>
      <c r="BN18" s="179">
        <f>IF(AND(Input_Product=Elig!$C18,Elig_MatchAll_Ct&lt;22,$BC18=(Elig_MatchAll_Ct-1),AL18=0),I18,0)</f>
        <v>0</v>
      </c>
      <c r="BO18" s="179">
        <f>IF(AND(Input_Product=Elig!$C18,Elig_MatchAll_Ct&lt;22,$BC18=(Elig_MatchAll_Ct-1),AM18=0),J18,0)</f>
        <v>0</v>
      </c>
      <c r="BP18" s="179">
        <f>IF(AND(Input_Product=Elig!$C18,Elig_MatchAll_Ct&lt;22,$BC18=(Elig_MatchAll_Ct-1),AN18=0),K18,0)</f>
        <v>0</v>
      </c>
      <c r="BQ18" s="179">
        <f>IF(AND(Input_Product=Elig!$C18,Elig_MatchAll_Ct&lt;22,$BC18=(Elig_MatchAll_Ct-1),AP18=0),L18,0)</f>
        <v>0</v>
      </c>
      <c r="BR18" s="179">
        <f>IF(AND(Input_Product=Elig!$C18,Elig_MatchAll_Ct&lt;22,$BC18=(Elig_MatchAll_Ct-1),AO18=0),M18,0)</f>
        <v>0</v>
      </c>
      <c r="BS18" s="179">
        <f>IF(AND(Input_Product=Elig!$C18,Elig_MatchAll_Ct&lt;22,$BC18=(Elig_MatchAll_Ct-1),AQ18=0),N18,0)</f>
        <v>0</v>
      </c>
      <c r="BT18" s="179">
        <f>IF(AND(Input_Product=Elig!$C18,Elig_MatchAll_Ct&lt;22,$BC18=(Elig_MatchAll_Ct-1),AR18=0),O18,0)</f>
        <v>0</v>
      </c>
      <c r="BU18" s="179">
        <f>IF(AND(Input_Product=Elig!$C18,Elig_MatchAll_Ct&lt;22,$BC18=(Elig_MatchAll_Ct-1),AS18=0),P18,0)</f>
        <v>0</v>
      </c>
      <c r="BV18" s="180">
        <f>IF(AND(Input_Product=Elig!$C18,Elig_MatchAll_Ct&lt;22,$BC18=(Elig_MatchAll_Ct-1),AT18=0),Q18,0)</f>
        <v>0</v>
      </c>
      <c r="BW18" s="181">
        <f>IF(AND(Input_Product=Elig!$C18,Elig_MatchAll_Ct&lt;22,$BC18=(Elig_MatchAll_Ct-1),AU18=0),R18,0)</f>
        <v>0</v>
      </c>
      <c r="BX18" s="182">
        <f>IF(AND(Input_Product=Elig!$C18,Elig_MatchAll_Ct&lt;22,$BC18=(Elig_MatchAll_Ct-1),AU18=0),S18,0)</f>
        <v>0</v>
      </c>
      <c r="BY18" s="181">
        <f>IF(AND(Input_Product=Elig!$C18,Elig_MatchAll_Ct&lt;22,$BC18=(Elig_MatchAll_Ct-1),AV18=0),T18,0)</f>
        <v>0</v>
      </c>
      <c r="BZ18" s="182">
        <f>IF(AND(Input_Product=Elig!$C18,Elig_MatchAll_Ct&lt;22,$BC18=(Elig_MatchAll_Ct-1),AV18=0),U18,0)</f>
        <v>0</v>
      </c>
      <c r="CA18" s="181">
        <f>IF(AND(Input_Product=Elig!$C18,Elig_MatchAll_Ct&lt;22,$BC18=(Elig_MatchAll_Ct-1),AW18=0),V18,0)</f>
        <v>0</v>
      </c>
      <c r="CB18" s="182">
        <f>IF(AND(Input_Product=Elig!$C18,Elig_MatchAll_Ct&lt;22,$BC18=(Elig_MatchAll_Ct-1),AW18=0),W18,0)</f>
        <v>0</v>
      </c>
      <c r="CC18" s="181">
        <f>IF(AND(Input_Product=Elig!$C18,Elig_MatchAll_Ct&lt;22,$BC18=(Elig_MatchAll_Ct-1),AX18=0),X18,0)</f>
        <v>0</v>
      </c>
      <c r="CD18" s="182">
        <f>IF(AND(Input_Product=Elig!$C18,Elig_MatchAll_Ct&lt;22,$BC18=(Elig_MatchAll_Ct-1),AX18=0),Y18,0)</f>
        <v>0</v>
      </c>
      <c r="CE18" s="181">
        <f>IF(AND(Input_LTV&lt;=AE18,Input_Product=Elig!$C18,Elig_MatchAll_Ct&lt;22,$BC18=(Elig_MatchAll_Ct-1),AY18=0),Z18,0)</f>
        <v>0</v>
      </c>
      <c r="CF18" s="182">
        <f>IF(AND(Input_LTV&lt;=AE18,Input_Product=Elig!$C18,Elig_MatchAll_Ct&lt;22,$BC18=(Elig_MatchAll_Ct-1),AY18=0),AA18,0)</f>
        <v>0</v>
      </c>
      <c r="CG18" s="181">
        <f>IF(AND(Input_Product=Elig!$C18,Elig_MatchAll_Ct&lt;22,$BC18=(Elig_MatchAll_Ct-1),AZ18=0),AB18,0)</f>
        <v>0</v>
      </c>
      <c r="CH18" s="182">
        <f>IF(AND(Input_Product=Elig!$C18,Elig_MatchAll_Ct&lt;22,$BC18=(Elig_MatchAll_Ct-1),AZ18=0),AC18,0)</f>
        <v>0</v>
      </c>
      <c r="CI18" s="181">
        <f>IF(AND(Input_Product=Elig!$C18,Elig_MatchAll_Ct&lt;22,$BC18=(Elig_MatchAll_Ct-1),BA18=0),AD18,0)</f>
        <v>0</v>
      </c>
      <c r="CJ18" s="183">
        <f>IF(AND(Input_Product=Elig!$C18,Elig_MatchAll_Ct&lt;22,$BC18=(Elig_MatchAll_Ct-1),BA18=0),AE18,0)</f>
        <v>0</v>
      </c>
    </row>
    <row r="19" spans="1:88" ht="10.15" customHeight="1" x14ac:dyDescent="0.25">
      <c r="A19" s="1419" t="s">
        <v>76</v>
      </c>
      <c r="B19" s="1419" t="s">
        <v>726</v>
      </c>
      <c r="C19" s="123" t="str">
        <f t="shared" si="1"/>
        <v>NonQM OO</v>
      </c>
      <c r="D19" s="124" t="s">
        <v>1995</v>
      </c>
      <c r="E19" s="125" t="s">
        <v>166</v>
      </c>
      <c r="F19" s="125" t="s">
        <v>330</v>
      </c>
      <c r="G19" s="125" t="s">
        <v>303</v>
      </c>
      <c r="H19" s="125" t="s">
        <v>444</v>
      </c>
      <c r="I19" s="124" t="s">
        <v>273</v>
      </c>
      <c r="J19" s="124" t="s">
        <v>1130</v>
      </c>
      <c r="K19" s="124" t="s">
        <v>1398</v>
      </c>
      <c r="L19" s="125" t="s">
        <v>2025</v>
      </c>
      <c r="M19" s="125" t="s">
        <v>2289</v>
      </c>
      <c r="N19" s="125" t="s">
        <v>82</v>
      </c>
      <c r="O19" s="125" t="s">
        <v>309</v>
      </c>
      <c r="P19" s="125" t="s">
        <v>2433</v>
      </c>
      <c r="Q19" s="125" t="s">
        <v>293</v>
      </c>
      <c r="R19" s="124">
        <v>100000</v>
      </c>
      <c r="S19" s="124">
        <v>1000000</v>
      </c>
      <c r="T19" s="124">
        <v>0</v>
      </c>
      <c r="U19" s="124">
        <v>0</v>
      </c>
      <c r="V19" s="124">
        <v>0</v>
      </c>
      <c r="W19" s="124">
        <v>55</v>
      </c>
      <c r="X19" s="124">
        <v>0</v>
      </c>
      <c r="Y19" s="124">
        <v>999</v>
      </c>
      <c r="Z19" s="126">
        <v>720</v>
      </c>
      <c r="AA19" s="126">
        <v>999</v>
      </c>
      <c r="AB19" s="1879">
        <v>0</v>
      </c>
      <c r="AC19" s="126">
        <v>999999</v>
      </c>
      <c r="AD19" s="124">
        <v>0</v>
      </c>
      <c r="AE19" s="124">
        <v>90</v>
      </c>
      <c r="AF19" s="144">
        <v>0</v>
      </c>
      <c r="AG19" s="145">
        <v>1</v>
      </c>
      <c r="AH19" s="145">
        <v>1</v>
      </c>
      <c r="AI19" s="145">
        <v>0</v>
      </c>
      <c r="AJ19" s="145">
        <v>0</v>
      </c>
      <c r="AK19" s="145">
        <v>0</v>
      </c>
      <c r="AL19" s="145">
        <v>1</v>
      </c>
      <c r="AM19" s="145">
        <v>1</v>
      </c>
      <c r="AN19" s="145">
        <v>1</v>
      </c>
      <c r="AO19" s="145">
        <v>1</v>
      </c>
      <c r="AP19" s="145">
        <v>1</v>
      </c>
      <c r="AQ19" s="145">
        <v>0</v>
      </c>
      <c r="AR19" s="145">
        <v>1</v>
      </c>
      <c r="AS19" s="145">
        <v>1</v>
      </c>
      <c r="AT19" s="145">
        <v>1</v>
      </c>
      <c r="AU19" s="145">
        <f t="shared" si="2"/>
        <v>1</v>
      </c>
      <c r="AV19" s="145">
        <f t="shared" si="3"/>
        <v>1</v>
      </c>
      <c r="AW19" s="145">
        <f t="shared" si="4"/>
        <v>1</v>
      </c>
      <c r="AX19" s="145">
        <f t="shared" si="5"/>
        <v>1</v>
      </c>
      <c r="AY19" s="145">
        <f t="shared" si="6"/>
        <v>1</v>
      </c>
      <c r="AZ19" s="145">
        <f t="shared" si="7"/>
        <v>1</v>
      </c>
      <c r="BA19" s="146">
        <f t="shared" si="8"/>
        <v>1</v>
      </c>
      <c r="BB19" s="149">
        <f t="shared" si="9"/>
        <v>17</v>
      </c>
      <c r="BC19" s="150">
        <f t="shared" si="10"/>
        <v>16</v>
      </c>
      <c r="BD19" s="150">
        <f t="shared" si="11"/>
        <v>17</v>
      </c>
      <c r="BE19" s="211" t="str">
        <f t="shared" si="12"/>
        <v/>
      </c>
      <c r="BH19" s="166">
        <f>IF(AND(Input_Product=Elig!$C19,Elig_MatchAll_Ct&lt;22,$BC19=(Elig_MatchAll_Ct-1),AF19=0),C19,0)</f>
        <v>0</v>
      </c>
      <c r="BI19" s="167">
        <f>IF(AND(Input_Product=Elig!$C19,Elig_MatchAll_Ct&lt;22,$BC19=(Elig_MatchAll_Ct-1),AG19=0),D19,0)</f>
        <v>0</v>
      </c>
      <c r="BJ19" s="167">
        <f>IF(AND(Input_Product=Elig!$C19,Elig_MatchAll_Ct&lt;22,$BC19=(Elig_MatchAll_Ct-1),AH19=0),E19,0)</f>
        <v>0</v>
      </c>
      <c r="BK19" s="167">
        <f>IF(AND(Input_Product=Elig!$C19,Elig_MatchAll_Ct&lt;22,$BC19=(Elig_MatchAll_Ct-1),AI19=0),F19,0)</f>
        <v>0</v>
      </c>
      <c r="BL19" s="167">
        <f>IF(AND(Input_Product=Elig!$C19,Elig_MatchAll_Ct&lt;22,$BC19=(Elig_MatchAll_Ct-1),AJ19=0),G19,0)</f>
        <v>0</v>
      </c>
      <c r="BM19" s="167">
        <f>IF(AND(Input_Product=Elig!$C19,Elig_MatchAll_Ct&lt;22,$BC19=(Elig_MatchAll_Ct-1),AK19=0),H19,0)</f>
        <v>0</v>
      </c>
      <c r="BN19" s="167">
        <f>IF(AND(Input_Product=Elig!$C19,Elig_MatchAll_Ct&lt;22,$BC19=(Elig_MatchAll_Ct-1),AL19=0),I19,0)</f>
        <v>0</v>
      </c>
      <c r="BO19" s="167">
        <f>IF(AND(Input_Product=Elig!$C19,Elig_MatchAll_Ct&lt;22,$BC19=(Elig_MatchAll_Ct-1),AM19=0),J19,0)</f>
        <v>0</v>
      </c>
      <c r="BP19" s="167">
        <f>IF(AND(Input_Product=Elig!$C19,Elig_MatchAll_Ct&lt;22,$BC19=(Elig_MatchAll_Ct-1),AN19=0),K19,0)</f>
        <v>0</v>
      </c>
      <c r="BQ19" s="167">
        <f>IF(AND(Input_Product=Elig!$C19,Elig_MatchAll_Ct&lt;22,$BC19=(Elig_MatchAll_Ct-1),AP19=0),L19,0)</f>
        <v>0</v>
      </c>
      <c r="BR19" s="167">
        <f>IF(AND(Input_Product=Elig!$C19,Elig_MatchAll_Ct&lt;22,$BC19=(Elig_MatchAll_Ct-1),AO19=0),M19,0)</f>
        <v>0</v>
      </c>
      <c r="BS19" s="167">
        <f>IF(AND(Input_Product=Elig!$C19,Elig_MatchAll_Ct&lt;22,$BC19=(Elig_MatchAll_Ct-1),AQ19=0),N19,0)</f>
        <v>0</v>
      </c>
      <c r="BT19" s="167">
        <f>IF(AND(Input_Product=Elig!$C19,Elig_MatchAll_Ct&lt;22,$BC19=(Elig_MatchAll_Ct-1),AR19=0),O19,0)</f>
        <v>0</v>
      </c>
      <c r="BU19" s="167">
        <f>IF(AND(Input_Product=Elig!$C19,Elig_MatchAll_Ct&lt;22,$BC19=(Elig_MatchAll_Ct-1),AS19=0),P19,0)</f>
        <v>0</v>
      </c>
      <c r="BV19" s="168">
        <f>IF(AND(Input_Product=Elig!$C19,Elig_MatchAll_Ct&lt;22,$BC19=(Elig_MatchAll_Ct-1),AT19=0),Q19,0)</f>
        <v>0</v>
      </c>
      <c r="BW19" s="169">
        <f>IF(AND(Input_Product=Elig!$C19,Elig_MatchAll_Ct&lt;22,$BC19=(Elig_MatchAll_Ct-1),AU19=0),R19,0)</f>
        <v>0</v>
      </c>
      <c r="BX19" s="170">
        <f>IF(AND(Input_Product=Elig!$C19,Elig_MatchAll_Ct&lt;22,$BC19=(Elig_MatchAll_Ct-1),AU19=0),S19,0)</f>
        <v>0</v>
      </c>
      <c r="BY19" s="169">
        <f>IF(AND(Input_Product=Elig!$C19,Elig_MatchAll_Ct&lt;22,$BC19=(Elig_MatchAll_Ct-1),AV19=0),T19,0)</f>
        <v>0</v>
      </c>
      <c r="BZ19" s="170">
        <f>IF(AND(Input_Product=Elig!$C19,Elig_MatchAll_Ct&lt;22,$BC19=(Elig_MatchAll_Ct-1),AV19=0),U19,0)</f>
        <v>0</v>
      </c>
      <c r="CA19" s="169">
        <f>IF(AND(Input_Product=Elig!$C19,Elig_MatchAll_Ct&lt;22,$BC19=(Elig_MatchAll_Ct-1),AW19=0),V19,0)</f>
        <v>0</v>
      </c>
      <c r="CB19" s="170">
        <f>IF(AND(Input_Product=Elig!$C19,Elig_MatchAll_Ct&lt;22,$BC19=(Elig_MatchAll_Ct-1),AW19=0),W19,0)</f>
        <v>0</v>
      </c>
      <c r="CC19" s="169">
        <f>IF(AND(Input_Product=Elig!$C19,Elig_MatchAll_Ct&lt;22,$BC19=(Elig_MatchAll_Ct-1),AX19=0),X19,0)</f>
        <v>0</v>
      </c>
      <c r="CD19" s="170">
        <f>IF(AND(Input_Product=Elig!$C19,Elig_MatchAll_Ct&lt;22,$BC19=(Elig_MatchAll_Ct-1),AX19=0),Y19,0)</f>
        <v>0</v>
      </c>
      <c r="CE19" s="169">
        <f>IF(AND(Input_LTV&lt;=AE19,Input_Product=Elig!$C19,Elig_MatchAll_Ct&lt;22,$BC19=(Elig_MatchAll_Ct-1),AY19=0),Z19,0)</f>
        <v>0</v>
      </c>
      <c r="CF19" s="170">
        <f>IF(AND(Input_LTV&lt;=AE19,Input_Product=Elig!$C19,Elig_MatchAll_Ct&lt;22,$BC19=(Elig_MatchAll_Ct-1),AY19=0),AA19,0)</f>
        <v>0</v>
      </c>
      <c r="CG19" s="169">
        <f>IF(AND(Input_Product=Elig!$C19,Elig_MatchAll_Ct&lt;22,$BC19=(Elig_MatchAll_Ct-1),AZ19=0),AB19,0)</f>
        <v>0</v>
      </c>
      <c r="CH19" s="170">
        <f>IF(AND(Input_Product=Elig!$C19,Elig_MatchAll_Ct&lt;22,$BC19=(Elig_MatchAll_Ct-1),AZ19=0),AC19,0)</f>
        <v>0</v>
      </c>
      <c r="CI19" s="169">
        <f>IF(AND(Input_Product=Elig!$C19,Elig_MatchAll_Ct&lt;22,$BC19=(Elig_MatchAll_Ct-1),BA19=0),AD19,0)</f>
        <v>0</v>
      </c>
      <c r="CJ19" s="171">
        <f>IF(AND(Input_Product=Elig!$C19,Elig_MatchAll_Ct&lt;22,$BC19=(Elig_MatchAll_Ct-1),BA19=0),AE19,0)</f>
        <v>0</v>
      </c>
    </row>
    <row r="20" spans="1:88" ht="10.15" customHeight="1" x14ac:dyDescent="0.25">
      <c r="A20" s="1419" t="s">
        <v>76</v>
      </c>
      <c r="B20" s="1419" t="s">
        <v>727</v>
      </c>
      <c r="C20" s="116" t="str">
        <f t="shared" si="1"/>
        <v>NonQM OO</v>
      </c>
      <c r="D20" s="117" t="s">
        <v>1995</v>
      </c>
      <c r="E20" s="117" t="s">
        <v>166</v>
      </c>
      <c r="F20" s="117" t="s">
        <v>330</v>
      </c>
      <c r="G20" s="117" t="s">
        <v>303</v>
      </c>
      <c r="H20" s="117" t="s">
        <v>444</v>
      </c>
      <c r="I20" s="118" t="s">
        <v>273</v>
      </c>
      <c r="J20" s="118" t="s">
        <v>1130</v>
      </c>
      <c r="K20" s="118" t="s">
        <v>1398</v>
      </c>
      <c r="L20" s="117" t="s">
        <v>2025</v>
      </c>
      <c r="M20" s="117" t="s">
        <v>2289</v>
      </c>
      <c r="N20" s="117" t="s">
        <v>82</v>
      </c>
      <c r="O20" s="117" t="s">
        <v>309</v>
      </c>
      <c r="P20" s="117" t="s">
        <v>2433</v>
      </c>
      <c r="Q20" s="117" t="s">
        <v>293</v>
      </c>
      <c r="R20" s="117">
        <v>100000</v>
      </c>
      <c r="S20" s="117">
        <v>1000000</v>
      </c>
      <c r="T20" s="117">
        <v>0</v>
      </c>
      <c r="U20" s="117">
        <v>0</v>
      </c>
      <c r="V20" s="117">
        <v>0</v>
      </c>
      <c r="W20" s="117">
        <v>55</v>
      </c>
      <c r="X20" s="117">
        <v>0</v>
      </c>
      <c r="Y20" s="117">
        <v>999</v>
      </c>
      <c r="Z20" s="119">
        <v>700</v>
      </c>
      <c r="AA20" s="119">
        <v>719</v>
      </c>
      <c r="AB20" s="1877">
        <v>0</v>
      </c>
      <c r="AC20" s="119">
        <v>999999</v>
      </c>
      <c r="AD20" s="117">
        <v>0</v>
      </c>
      <c r="AE20" s="117">
        <v>90</v>
      </c>
      <c r="AF20" s="144">
        <v>0</v>
      </c>
      <c r="AG20" s="145">
        <v>1</v>
      </c>
      <c r="AH20" s="145">
        <v>1</v>
      </c>
      <c r="AI20" s="145">
        <v>0</v>
      </c>
      <c r="AJ20" s="145">
        <v>0</v>
      </c>
      <c r="AK20" s="145">
        <v>0</v>
      </c>
      <c r="AL20" s="145">
        <v>1</v>
      </c>
      <c r="AM20" s="145">
        <v>1</v>
      </c>
      <c r="AN20" s="145">
        <v>1</v>
      </c>
      <c r="AO20" s="145">
        <v>1</v>
      </c>
      <c r="AP20" s="145">
        <v>1</v>
      </c>
      <c r="AQ20" s="145">
        <v>0</v>
      </c>
      <c r="AR20" s="145">
        <v>1</v>
      </c>
      <c r="AS20" s="145">
        <v>1</v>
      </c>
      <c r="AT20" s="145">
        <v>1</v>
      </c>
      <c r="AU20" s="145">
        <f t="shared" si="2"/>
        <v>1</v>
      </c>
      <c r="AV20" s="145">
        <f t="shared" si="3"/>
        <v>1</v>
      </c>
      <c r="AW20" s="145">
        <f t="shared" si="4"/>
        <v>1</v>
      </c>
      <c r="AX20" s="145">
        <f t="shared" si="5"/>
        <v>1</v>
      </c>
      <c r="AY20" s="145">
        <f t="shared" si="6"/>
        <v>0</v>
      </c>
      <c r="AZ20" s="145">
        <f t="shared" si="7"/>
        <v>1</v>
      </c>
      <c r="BA20" s="146">
        <f t="shared" si="8"/>
        <v>1</v>
      </c>
      <c r="BB20" s="149">
        <f t="shared" si="9"/>
        <v>16</v>
      </c>
      <c r="BC20" s="150">
        <f t="shared" si="10"/>
        <v>15</v>
      </c>
      <c r="BD20" s="150">
        <f t="shared" si="11"/>
        <v>16</v>
      </c>
      <c r="BE20" s="211" t="str">
        <f t="shared" si="12"/>
        <v/>
      </c>
      <c r="BH20" s="172">
        <f>IF(AND(Input_Product=Elig!$C20,Elig_MatchAll_Ct&lt;22,$BC20=(Elig_MatchAll_Ct-1),AF20=0),C20,0)</f>
        <v>0</v>
      </c>
      <c r="BI20" s="173">
        <f>IF(AND(Input_Product=Elig!$C20,Elig_MatchAll_Ct&lt;22,$BC20=(Elig_MatchAll_Ct-1),AG20=0),D20,0)</f>
        <v>0</v>
      </c>
      <c r="BJ20" s="173">
        <f>IF(AND(Input_Product=Elig!$C20,Elig_MatchAll_Ct&lt;22,$BC20=(Elig_MatchAll_Ct-1),AH20=0),E20,0)</f>
        <v>0</v>
      </c>
      <c r="BK20" s="173">
        <f>IF(AND(Input_Product=Elig!$C20,Elig_MatchAll_Ct&lt;22,$BC20=(Elig_MatchAll_Ct-1),AI20=0),F20,0)</f>
        <v>0</v>
      </c>
      <c r="BL20" s="173">
        <f>IF(AND(Input_Product=Elig!$C20,Elig_MatchAll_Ct&lt;22,$BC20=(Elig_MatchAll_Ct-1),AJ20=0),G20,0)</f>
        <v>0</v>
      </c>
      <c r="BM20" s="173">
        <f>IF(AND(Input_Product=Elig!$C20,Elig_MatchAll_Ct&lt;22,$BC20=(Elig_MatchAll_Ct-1),AK20=0),H20,0)</f>
        <v>0</v>
      </c>
      <c r="BN20" s="173">
        <f>IF(AND(Input_Product=Elig!$C20,Elig_MatchAll_Ct&lt;22,$BC20=(Elig_MatchAll_Ct-1),AL20=0),I20,0)</f>
        <v>0</v>
      </c>
      <c r="BO20" s="173">
        <f>IF(AND(Input_Product=Elig!$C20,Elig_MatchAll_Ct&lt;22,$BC20=(Elig_MatchAll_Ct-1),AM20=0),J20,0)</f>
        <v>0</v>
      </c>
      <c r="BP20" s="173">
        <f>IF(AND(Input_Product=Elig!$C20,Elig_MatchAll_Ct&lt;22,$BC20=(Elig_MatchAll_Ct-1),AN20=0),K20,0)</f>
        <v>0</v>
      </c>
      <c r="BQ20" s="173">
        <f>IF(AND(Input_Product=Elig!$C20,Elig_MatchAll_Ct&lt;22,$BC20=(Elig_MatchAll_Ct-1),AP20=0),L20,0)</f>
        <v>0</v>
      </c>
      <c r="BR20" s="173">
        <f>IF(AND(Input_Product=Elig!$C20,Elig_MatchAll_Ct&lt;22,$BC20=(Elig_MatchAll_Ct-1),AO20=0),M20,0)</f>
        <v>0</v>
      </c>
      <c r="BS20" s="173">
        <f>IF(AND(Input_Product=Elig!$C20,Elig_MatchAll_Ct&lt;22,$BC20=(Elig_MatchAll_Ct-1),AQ20=0),N20,0)</f>
        <v>0</v>
      </c>
      <c r="BT20" s="173">
        <f>IF(AND(Input_Product=Elig!$C20,Elig_MatchAll_Ct&lt;22,$BC20=(Elig_MatchAll_Ct-1),AR20=0),O20,0)</f>
        <v>0</v>
      </c>
      <c r="BU20" s="173">
        <f>IF(AND(Input_Product=Elig!$C20,Elig_MatchAll_Ct&lt;22,$BC20=(Elig_MatchAll_Ct-1),AS20=0),P20,0)</f>
        <v>0</v>
      </c>
      <c r="BV20" s="174">
        <f>IF(AND(Input_Product=Elig!$C20,Elig_MatchAll_Ct&lt;22,$BC20=(Elig_MatchAll_Ct-1),AT20=0),Q20,0)</f>
        <v>0</v>
      </c>
      <c r="BW20" s="175">
        <f>IF(AND(Input_Product=Elig!$C20,Elig_MatchAll_Ct&lt;22,$BC20=(Elig_MatchAll_Ct-1),AU20=0),R20,0)</f>
        <v>0</v>
      </c>
      <c r="BX20" s="176">
        <f>IF(AND(Input_Product=Elig!$C20,Elig_MatchAll_Ct&lt;22,$BC20=(Elig_MatchAll_Ct-1),AU20=0),S20,0)</f>
        <v>0</v>
      </c>
      <c r="BY20" s="175">
        <f>IF(AND(Input_Product=Elig!$C20,Elig_MatchAll_Ct&lt;22,$BC20=(Elig_MatchAll_Ct-1),AV20=0),T20,0)</f>
        <v>0</v>
      </c>
      <c r="BZ20" s="176">
        <f>IF(AND(Input_Product=Elig!$C20,Elig_MatchAll_Ct&lt;22,$BC20=(Elig_MatchAll_Ct-1),AV20=0),U20,0)</f>
        <v>0</v>
      </c>
      <c r="CA20" s="175">
        <f>IF(AND(Input_Product=Elig!$C20,Elig_MatchAll_Ct&lt;22,$BC20=(Elig_MatchAll_Ct-1),AW20=0),V20,0)</f>
        <v>0</v>
      </c>
      <c r="CB20" s="176">
        <f>IF(AND(Input_Product=Elig!$C20,Elig_MatchAll_Ct&lt;22,$BC20=(Elig_MatchAll_Ct-1),AW20=0),W20,0)</f>
        <v>0</v>
      </c>
      <c r="CC20" s="175">
        <f>IF(AND(Input_Product=Elig!$C20,Elig_MatchAll_Ct&lt;22,$BC20=(Elig_MatchAll_Ct-1),AX20=0),X20,0)</f>
        <v>0</v>
      </c>
      <c r="CD20" s="176">
        <f>IF(AND(Input_Product=Elig!$C20,Elig_MatchAll_Ct&lt;22,$BC20=(Elig_MatchAll_Ct-1),AX20=0),Y20,0)</f>
        <v>0</v>
      </c>
      <c r="CE20" s="175">
        <f>IF(AND(Input_LTV&lt;=AE20,Input_Product=Elig!$C20,Elig_MatchAll_Ct&lt;22,$BC20=(Elig_MatchAll_Ct-1),AY20=0),Z20,0)</f>
        <v>0</v>
      </c>
      <c r="CF20" s="176">
        <f>IF(AND(Input_LTV&lt;=AE20,Input_Product=Elig!$C20,Elig_MatchAll_Ct&lt;22,$BC20=(Elig_MatchAll_Ct-1),AY20=0),AA20,0)</f>
        <v>0</v>
      </c>
      <c r="CG20" s="175">
        <f>IF(AND(Input_Product=Elig!$C20,Elig_MatchAll_Ct&lt;22,$BC20=(Elig_MatchAll_Ct-1),AZ20=0),AB20,0)</f>
        <v>0</v>
      </c>
      <c r="CH20" s="176">
        <f>IF(AND(Input_Product=Elig!$C20,Elig_MatchAll_Ct&lt;22,$BC20=(Elig_MatchAll_Ct-1),AZ20=0),AC20,0)</f>
        <v>0</v>
      </c>
      <c r="CI20" s="175">
        <f>IF(AND(Input_Product=Elig!$C20,Elig_MatchAll_Ct&lt;22,$BC20=(Elig_MatchAll_Ct-1),BA20=0),AD20,0)</f>
        <v>0</v>
      </c>
      <c r="CJ20" s="177">
        <f>IF(AND(Input_Product=Elig!$C20,Elig_MatchAll_Ct&lt;22,$BC20=(Elig_MatchAll_Ct-1),BA20=0),AE20,0)</f>
        <v>0</v>
      </c>
    </row>
    <row r="21" spans="1:88" ht="10.15" customHeight="1" x14ac:dyDescent="0.25">
      <c r="A21" s="1419" t="s">
        <v>76</v>
      </c>
      <c r="B21" s="1419" t="s">
        <v>728</v>
      </c>
      <c r="C21" s="116" t="str">
        <f t="shared" si="1"/>
        <v>NonQM OO</v>
      </c>
      <c r="D21" s="117" t="s">
        <v>1995</v>
      </c>
      <c r="E21" s="117" t="s">
        <v>166</v>
      </c>
      <c r="F21" s="117" t="s">
        <v>330</v>
      </c>
      <c r="G21" s="117" t="s">
        <v>303</v>
      </c>
      <c r="H21" s="117" t="s">
        <v>444</v>
      </c>
      <c r="I21" s="118" t="s">
        <v>273</v>
      </c>
      <c r="J21" s="118" t="s">
        <v>1130</v>
      </c>
      <c r="K21" s="118" t="s">
        <v>1398</v>
      </c>
      <c r="L21" s="117" t="s">
        <v>2025</v>
      </c>
      <c r="M21" s="117" t="s">
        <v>2289</v>
      </c>
      <c r="N21" s="117" t="s">
        <v>82</v>
      </c>
      <c r="O21" s="117" t="s">
        <v>309</v>
      </c>
      <c r="P21" s="117" t="s">
        <v>2433</v>
      </c>
      <c r="Q21" s="117" t="s">
        <v>293</v>
      </c>
      <c r="R21" s="117">
        <v>100000</v>
      </c>
      <c r="S21" s="117">
        <v>1000000</v>
      </c>
      <c r="T21" s="117">
        <v>0</v>
      </c>
      <c r="U21" s="117">
        <v>0</v>
      </c>
      <c r="V21" s="117">
        <v>0</v>
      </c>
      <c r="W21" s="117">
        <v>55</v>
      </c>
      <c r="X21" s="117">
        <v>0</v>
      </c>
      <c r="Y21" s="117">
        <v>999</v>
      </c>
      <c r="Z21" s="119">
        <v>680</v>
      </c>
      <c r="AA21" s="119">
        <v>699</v>
      </c>
      <c r="AB21" s="1877">
        <v>0</v>
      </c>
      <c r="AC21" s="119">
        <v>999999</v>
      </c>
      <c r="AD21" s="117">
        <v>0</v>
      </c>
      <c r="AE21" s="117">
        <v>90</v>
      </c>
      <c r="AF21" s="144">
        <v>0</v>
      </c>
      <c r="AG21" s="145">
        <v>1</v>
      </c>
      <c r="AH21" s="145">
        <v>1</v>
      </c>
      <c r="AI21" s="145">
        <v>0</v>
      </c>
      <c r="AJ21" s="145">
        <v>0</v>
      </c>
      <c r="AK21" s="145">
        <v>0</v>
      </c>
      <c r="AL21" s="145">
        <v>1</v>
      </c>
      <c r="AM21" s="145">
        <v>1</v>
      </c>
      <c r="AN21" s="145">
        <v>1</v>
      </c>
      <c r="AO21" s="145">
        <v>1</v>
      </c>
      <c r="AP21" s="145">
        <v>1</v>
      </c>
      <c r="AQ21" s="145">
        <v>0</v>
      </c>
      <c r="AR21" s="145">
        <v>1</v>
      </c>
      <c r="AS21" s="145">
        <v>1</v>
      </c>
      <c r="AT21" s="145">
        <v>1</v>
      </c>
      <c r="AU21" s="145">
        <f t="shared" si="2"/>
        <v>1</v>
      </c>
      <c r="AV21" s="145">
        <f t="shared" si="3"/>
        <v>1</v>
      </c>
      <c r="AW21" s="145">
        <f t="shared" si="4"/>
        <v>1</v>
      </c>
      <c r="AX21" s="145">
        <f t="shared" si="5"/>
        <v>1</v>
      </c>
      <c r="AY21" s="145">
        <f t="shared" si="6"/>
        <v>0</v>
      </c>
      <c r="AZ21" s="145">
        <f t="shared" si="7"/>
        <v>1</v>
      </c>
      <c r="BA21" s="146">
        <f t="shared" si="8"/>
        <v>1</v>
      </c>
      <c r="BB21" s="149">
        <f t="shared" si="9"/>
        <v>16</v>
      </c>
      <c r="BC21" s="150">
        <f t="shared" si="10"/>
        <v>15</v>
      </c>
      <c r="BD21" s="150">
        <f t="shared" si="11"/>
        <v>16</v>
      </c>
      <c r="BE21" s="211" t="str">
        <f t="shared" si="12"/>
        <v/>
      </c>
      <c r="BH21" s="172">
        <f>IF(AND(Input_Product=Elig!$C21,Elig_MatchAll_Ct&lt;22,$BC21=(Elig_MatchAll_Ct-1),AF21=0),C21,0)</f>
        <v>0</v>
      </c>
      <c r="BI21" s="173">
        <f>IF(AND(Input_Product=Elig!$C21,Elig_MatchAll_Ct&lt;22,$BC21=(Elig_MatchAll_Ct-1),AG21=0),D21,0)</f>
        <v>0</v>
      </c>
      <c r="BJ21" s="173">
        <f>IF(AND(Input_Product=Elig!$C21,Elig_MatchAll_Ct&lt;22,$BC21=(Elig_MatchAll_Ct-1),AH21=0),E21,0)</f>
        <v>0</v>
      </c>
      <c r="BK21" s="173">
        <f>IF(AND(Input_Product=Elig!$C21,Elig_MatchAll_Ct&lt;22,$BC21=(Elig_MatchAll_Ct-1),AI21=0),F21,0)</f>
        <v>0</v>
      </c>
      <c r="BL21" s="173">
        <f>IF(AND(Input_Product=Elig!$C21,Elig_MatchAll_Ct&lt;22,$BC21=(Elig_MatchAll_Ct-1),AJ21=0),G21,0)</f>
        <v>0</v>
      </c>
      <c r="BM21" s="173">
        <f>IF(AND(Input_Product=Elig!$C21,Elig_MatchAll_Ct&lt;22,$BC21=(Elig_MatchAll_Ct-1),AK21=0),H21,0)</f>
        <v>0</v>
      </c>
      <c r="BN21" s="173">
        <f>IF(AND(Input_Product=Elig!$C21,Elig_MatchAll_Ct&lt;22,$BC21=(Elig_MatchAll_Ct-1),AL21=0),I21,0)</f>
        <v>0</v>
      </c>
      <c r="BO21" s="173">
        <f>IF(AND(Input_Product=Elig!$C21,Elig_MatchAll_Ct&lt;22,$BC21=(Elig_MatchAll_Ct-1),AM21=0),J21,0)</f>
        <v>0</v>
      </c>
      <c r="BP21" s="173">
        <f>IF(AND(Input_Product=Elig!$C21,Elig_MatchAll_Ct&lt;22,$BC21=(Elig_MatchAll_Ct-1),AN21=0),K21,0)</f>
        <v>0</v>
      </c>
      <c r="BQ21" s="173">
        <f>IF(AND(Input_Product=Elig!$C21,Elig_MatchAll_Ct&lt;22,$BC21=(Elig_MatchAll_Ct-1),AP21=0),L21,0)</f>
        <v>0</v>
      </c>
      <c r="BR21" s="173">
        <f>IF(AND(Input_Product=Elig!$C21,Elig_MatchAll_Ct&lt;22,$BC21=(Elig_MatchAll_Ct-1),AO21=0),M21,0)</f>
        <v>0</v>
      </c>
      <c r="BS21" s="173">
        <f>IF(AND(Input_Product=Elig!$C21,Elig_MatchAll_Ct&lt;22,$BC21=(Elig_MatchAll_Ct-1),AQ21=0),N21,0)</f>
        <v>0</v>
      </c>
      <c r="BT21" s="173">
        <f>IF(AND(Input_Product=Elig!$C21,Elig_MatchAll_Ct&lt;22,$BC21=(Elig_MatchAll_Ct-1),AR21=0),O21,0)</f>
        <v>0</v>
      </c>
      <c r="BU21" s="173">
        <f>IF(AND(Input_Product=Elig!$C21,Elig_MatchAll_Ct&lt;22,$BC21=(Elig_MatchAll_Ct-1),AS21=0),P21,0)</f>
        <v>0</v>
      </c>
      <c r="BV21" s="174">
        <f>IF(AND(Input_Product=Elig!$C21,Elig_MatchAll_Ct&lt;22,$BC21=(Elig_MatchAll_Ct-1),AT21=0),Q21,0)</f>
        <v>0</v>
      </c>
      <c r="BW21" s="175">
        <f>IF(AND(Input_Product=Elig!$C21,Elig_MatchAll_Ct&lt;22,$BC21=(Elig_MatchAll_Ct-1),AU21=0),R21,0)</f>
        <v>0</v>
      </c>
      <c r="BX21" s="176">
        <f>IF(AND(Input_Product=Elig!$C21,Elig_MatchAll_Ct&lt;22,$BC21=(Elig_MatchAll_Ct-1),AU21=0),S21,0)</f>
        <v>0</v>
      </c>
      <c r="BY21" s="175">
        <f>IF(AND(Input_Product=Elig!$C21,Elig_MatchAll_Ct&lt;22,$BC21=(Elig_MatchAll_Ct-1),AV21=0),T21,0)</f>
        <v>0</v>
      </c>
      <c r="BZ21" s="176">
        <f>IF(AND(Input_Product=Elig!$C21,Elig_MatchAll_Ct&lt;22,$BC21=(Elig_MatchAll_Ct-1),AV21=0),U21,0)</f>
        <v>0</v>
      </c>
      <c r="CA21" s="175">
        <f>IF(AND(Input_Product=Elig!$C21,Elig_MatchAll_Ct&lt;22,$BC21=(Elig_MatchAll_Ct-1),AW21=0),V21,0)</f>
        <v>0</v>
      </c>
      <c r="CB21" s="176">
        <f>IF(AND(Input_Product=Elig!$C21,Elig_MatchAll_Ct&lt;22,$BC21=(Elig_MatchAll_Ct-1),AW21=0),W21,0)</f>
        <v>0</v>
      </c>
      <c r="CC21" s="175">
        <f>IF(AND(Input_Product=Elig!$C21,Elig_MatchAll_Ct&lt;22,$BC21=(Elig_MatchAll_Ct-1),AX21=0),X21,0)</f>
        <v>0</v>
      </c>
      <c r="CD21" s="176">
        <f>IF(AND(Input_Product=Elig!$C21,Elig_MatchAll_Ct&lt;22,$BC21=(Elig_MatchAll_Ct-1),AX21=0),Y21,0)</f>
        <v>0</v>
      </c>
      <c r="CE21" s="175">
        <f>IF(AND(Input_LTV&lt;=AE21,Input_Product=Elig!$C21,Elig_MatchAll_Ct&lt;22,$BC21=(Elig_MatchAll_Ct-1),AY21=0),Z21,0)</f>
        <v>0</v>
      </c>
      <c r="CF21" s="176">
        <f>IF(AND(Input_LTV&lt;=AE21,Input_Product=Elig!$C21,Elig_MatchAll_Ct&lt;22,$BC21=(Elig_MatchAll_Ct-1),AY21=0),AA21,0)</f>
        <v>0</v>
      </c>
      <c r="CG21" s="175">
        <f>IF(AND(Input_Product=Elig!$C21,Elig_MatchAll_Ct&lt;22,$BC21=(Elig_MatchAll_Ct-1),AZ21=0),AB21,0)</f>
        <v>0</v>
      </c>
      <c r="CH21" s="176">
        <f>IF(AND(Input_Product=Elig!$C21,Elig_MatchAll_Ct&lt;22,$BC21=(Elig_MatchAll_Ct-1),AZ21=0),AC21,0)</f>
        <v>0</v>
      </c>
      <c r="CI21" s="175">
        <f>IF(AND(Input_Product=Elig!$C21,Elig_MatchAll_Ct&lt;22,$BC21=(Elig_MatchAll_Ct-1),BA21=0),AD21,0)</f>
        <v>0</v>
      </c>
      <c r="CJ21" s="177">
        <f>IF(AND(Input_Product=Elig!$C21,Elig_MatchAll_Ct&lt;22,$BC21=(Elig_MatchAll_Ct-1),BA21=0),AE21,0)</f>
        <v>0</v>
      </c>
    </row>
    <row r="22" spans="1:88" ht="10.15" customHeight="1" x14ac:dyDescent="0.25">
      <c r="A22" s="1419" t="s">
        <v>76</v>
      </c>
      <c r="B22" s="1419" t="s">
        <v>729</v>
      </c>
      <c r="C22" s="116" t="str">
        <f t="shared" si="1"/>
        <v>NonQM OO</v>
      </c>
      <c r="D22" s="117" t="s">
        <v>1995</v>
      </c>
      <c r="E22" s="117" t="s">
        <v>166</v>
      </c>
      <c r="F22" s="117" t="s">
        <v>330</v>
      </c>
      <c r="G22" s="117" t="s">
        <v>303</v>
      </c>
      <c r="H22" s="117" t="s">
        <v>444</v>
      </c>
      <c r="I22" s="117" t="s">
        <v>273</v>
      </c>
      <c r="J22" s="117" t="s">
        <v>1130</v>
      </c>
      <c r="K22" s="117" t="s">
        <v>1398</v>
      </c>
      <c r="L22" s="117" t="s">
        <v>2025</v>
      </c>
      <c r="M22" s="117" t="s">
        <v>2289</v>
      </c>
      <c r="N22" s="117" t="s">
        <v>82</v>
      </c>
      <c r="O22" s="117" t="s">
        <v>309</v>
      </c>
      <c r="P22" s="117" t="s">
        <v>2433</v>
      </c>
      <c r="Q22" s="117" t="s">
        <v>293</v>
      </c>
      <c r="R22" s="117">
        <v>100000</v>
      </c>
      <c r="S22" s="117">
        <v>1000000</v>
      </c>
      <c r="T22" s="117">
        <v>0</v>
      </c>
      <c r="U22" s="117">
        <v>0</v>
      </c>
      <c r="V22" s="117">
        <v>0</v>
      </c>
      <c r="W22" s="117">
        <v>55</v>
      </c>
      <c r="X22" s="117">
        <v>0</v>
      </c>
      <c r="Y22" s="117">
        <v>999</v>
      </c>
      <c r="Z22" s="119">
        <v>660</v>
      </c>
      <c r="AA22" s="119">
        <v>679</v>
      </c>
      <c r="AB22" s="1877">
        <v>0</v>
      </c>
      <c r="AC22" s="119">
        <v>999999</v>
      </c>
      <c r="AD22" s="117">
        <v>0</v>
      </c>
      <c r="AE22" s="117">
        <v>80</v>
      </c>
      <c r="AF22" s="144">
        <v>0</v>
      </c>
      <c r="AG22" s="145">
        <v>1</v>
      </c>
      <c r="AH22" s="145">
        <v>1</v>
      </c>
      <c r="AI22" s="145">
        <v>0</v>
      </c>
      <c r="AJ22" s="145">
        <v>0</v>
      </c>
      <c r="AK22" s="145">
        <v>0</v>
      </c>
      <c r="AL22" s="145">
        <v>1</v>
      </c>
      <c r="AM22" s="145">
        <v>1</v>
      </c>
      <c r="AN22" s="145">
        <v>1</v>
      </c>
      <c r="AO22" s="145">
        <v>1</v>
      </c>
      <c r="AP22" s="145">
        <v>1</v>
      </c>
      <c r="AQ22" s="145">
        <v>0</v>
      </c>
      <c r="AR22" s="145">
        <v>1</v>
      </c>
      <c r="AS22" s="145">
        <v>1</v>
      </c>
      <c r="AT22" s="145">
        <v>1</v>
      </c>
      <c r="AU22" s="145">
        <f t="shared" si="2"/>
        <v>1</v>
      </c>
      <c r="AV22" s="145">
        <f t="shared" si="3"/>
        <v>1</v>
      </c>
      <c r="AW22" s="145">
        <f t="shared" si="4"/>
        <v>1</v>
      </c>
      <c r="AX22" s="145">
        <f t="shared" si="5"/>
        <v>1</v>
      </c>
      <c r="AY22" s="145">
        <f t="shared" si="6"/>
        <v>0</v>
      </c>
      <c r="AZ22" s="145">
        <f t="shared" si="7"/>
        <v>1</v>
      </c>
      <c r="BA22" s="146">
        <f t="shared" si="8"/>
        <v>1</v>
      </c>
      <c r="BB22" s="149">
        <f t="shared" si="9"/>
        <v>16</v>
      </c>
      <c r="BC22" s="150">
        <f t="shared" si="10"/>
        <v>15</v>
      </c>
      <c r="BD22" s="150">
        <f t="shared" si="11"/>
        <v>16</v>
      </c>
      <c r="BE22" s="211" t="str">
        <f t="shared" si="12"/>
        <v/>
      </c>
      <c r="BH22" s="172">
        <f>IF(AND(Input_Product=Elig!$C22,Elig_MatchAll_Ct&lt;22,$BC22=(Elig_MatchAll_Ct-1),AF22=0),C22,0)</f>
        <v>0</v>
      </c>
      <c r="BI22" s="173">
        <f>IF(AND(Input_Product=Elig!$C22,Elig_MatchAll_Ct&lt;22,$BC22=(Elig_MatchAll_Ct-1),AG22=0),D22,0)</f>
        <v>0</v>
      </c>
      <c r="BJ22" s="173">
        <f>IF(AND(Input_Product=Elig!$C22,Elig_MatchAll_Ct&lt;22,$BC22=(Elig_MatchAll_Ct-1),AH22=0),E22,0)</f>
        <v>0</v>
      </c>
      <c r="BK22" s="173">
        <f>IF(AND(Input_Product=Elig!$C22,Elig_MatchAll_Ct&lt;22,$BC22=(Elig_MatchAll_Ct-1),AI22=0),F22,0)</f>
        <v>0</v>
      </c>
      <c r="BL22" s="173">
        <f>IF(AND(Input_Product=Elig!$C22,Elig_MatchAll_Ct&lt;22,$BC22=(Elig_MatchAll_Ct-1),AJ22=0),G22,0)</f>
        <v>0</v>
      </c>
      <c r="BM22" s="173">
        <f>IF(AND(Input_Product=Elig!$C22,Elig_MatchAll_Ct&lt;22,$BC22=(Elig_MatchAll_Ct-1),AK22=0),H22,0)</f>
        <v>0</v>
      </c>
      <c r="BN22" s="173">
        <f>IF(AND(Input_Product=Elig!$C22,Elig_MatchAll_Ct&lt;22,$BC22=(Elig_MatchAll_Ct-1),AL22=0),I22,0)</f>
        <v>0</v>
      </c>
      <c r="BO22" s="173">
        <f>IF(AND(Input_Product=Elig!$C22,Elig_MatchAll_Ct&lt;22,$BC22=(Elig_MatchAll_Ct-1),AM22=0),J22,0)</f>
        <v>0</v>
      </c>
      <c r="BP22" s="173">
        <f>IF(AND(Input_Product=Elig!$C22,Elig_MatchAll_Ct&lt;22,$BC22=(Elig_MatchAll_Ct-1),AN22=0),K22,0)</f>
        <v>0</v>
      </c>
      <c r="BQ22" s="173">
        <f>IF(AND(Input_Product=Elig!$C22,Elig_MatchAll_Ct&lt;22,$BC22=(Elig_MatchAll_Ct-1),AP22=0),L22,0)</f>
        <v>0</v>
      </c>
      <c r="BR22" s="173">
        <f>IF(AND(Input_Product=Elig!$C22,Elig_MatchAll_Ct&lt;22,$BC22=(Elig_MatchAll_Ct-1),AO22=0),M22,0)</f>
        <v>0</v>
      </c>
      <c r="BS22" s="173">
        <f>IF(AND(Input_Product=Elig!$C22,Elig_MatchAll_Ct&lt;22,$BC22=(Elig_MatchAll_Ct-1),AQ22=0),N22,0)</f>
        <v>0</v>
      </c>
      <c r="BT22" s="173">
        <f>IF(AND(Input_Product=Elig!$C22,Elig_MatchAll_Ct&lt;22,$BC22=(Elig_MatchAll_Ct-1),AR22=0),O22,0)</f>
        <v>0</v>
      </c>
      <c r="BU22" s="173">
        <f>IF(AND(Input_Product=Elig!$C22,Elig_MatchAll_Ct&lt;22,$BC22=(Elig_MatchAll_Ct-1),AS22=0),P22,0)</f>
        <v>0</v>
      </c>
      <c r="BV22" s="174">
        <f>IF(AND(Input_Product=Elig!$C22,Elig_MatchAll_Ct&lt;22,$BC22=(Elig_MatchAll_Ct-1),AT22=0),Q22,0)</f>
        <v>0</v>
      </c>
      <c r="BW22" s="175">
        <f>IF(AND(Input_Product=Elig!$C22,Elig_MatchAll_Ct&lt;22,$BC22=(Elig_MatchAll_Ct-1),AU22=0),R22,0)</f>
        <v>0</v>
      </c>
      <c r="BX22" s="176">
        <f>IF(AND(Input_Product=Elig!$C22,Elig_MatchAll_Ct&lt;22,$BC22=(Elig_MatchAll_Ct-1),AU22=0),S22,0)</f>
        <v>0</v>
      </c>
      <c r="BY22" s="175">
        <f>IF(AND(Input_Product=Elig!$C22,Elig_MatchAll_Ct&lt;22,$BC22=(Elig_MatchAll_Ct-1),AV22=0),T22,0)</f>
        <v>0</v>
      </c>
      <c r="BZ22" s="176">
        <f>IF(AND(Input_Product=Elig!$C22,Elig_MatchAll_Ct&lt;22,$BC22=(Elig_MatchAll_Ct-1),AV22=0),U22,0)</f>
        <v>0</v>
      </c>
      <c r="CA22" s="175">
        <f>IF(AND(Input_Product=Elig!$C22,Elig_MatchAll_Ct&lt;22,$BC22=(Elig_MatchAll_Ct-1),AW22=0),V22,0)</f>
        <v>0</v>
      </c>
      <c r="CB22" s="176">
        <f>IF(AND(Input_Product=Elig!$C22,Elig_MatchAll_Ct&lt;22,$BC22=(Elig_MatchAll_Ct-1),AW22=0),W22,0)</f>
        <v>0</v>
      </c>
      <c r="CC22" s="175">
        <f>IF(AND(Input_Product=Elig!$C22,Elig_MatchAll_Ct&lt;22,$BC22=(Elig_MatchAll_Ct-1),AX22=0),X22,0)</f>
        <v>0</v>
      </c>
      <c r="CD22" s="176">
        <f>IF(AND(Input_Product=Elig!$C22,Elig_MatchAll_Ct&lt;22,$BC22=(Elig_MatchAll_Ct-1),AX22=0),Y22,0)</f>
        <v>0</v>
      </c>
      <c r="CE22" s="175">
        <f>IF(AND(Input_LTV&lt;=AE22,Input_Product=Elig!$C22,Elig_MatchAll_Ct&lt;22,$BC22=(Elig_MatchAll_Ct-1),AY22=0),Z22,0)</f>
        <v>0</v>
      </c>
      <c r="CF22" s="176">
        <f>IF(AND(Input_LTV&lt;=AE22,Input_Product=Elig!$C22,Elig_MatchAll_Ct&lt;22,$BC22=(Elig_MatchAll_Ct-1),AY22=0),AA22,0)</f>
        <v>0</v>
      </c>
      <c r="CG22" s="175">
        <f>IF(AND(Input_Product=Elig!$C22,Elig_MatchAll_Ct&lt;22,$BC22=(Elig_MatchAll_Ct-1),AZ22=0),AB22,0)</f>
        <v>0</v>
      </c>
      <c r="CH22" s="176">
        <f>IF(AND(Input_Product=Elig!$C22,Elig_MatchAll_Ct&lt;22,$BC22=(Elig_MatchAll_Ct-1),AZ22=0),AC22,0)</f>
        <v>0</v>
      </c>
      <c r="CI22" s="175">
        <f>IF(AND(Input_Product=Elig!$C22,Elig_MatchAll_Ct&lt;22,$BC22=(Elig_MatchAll_Ct-1),BA22=0),AD22,0)</f>
        <v>0</v>
      </c>
      <c r="CJ22" s="177">
        <f>IF(AND(Input_Product=Elig!$C22,Elig_MatchAll_Ct&lt;22,$BC22=(Elig_MatchAll_Ct-1),BA22=0),AE22,0)</f>
        <v>0</v>
      </c>
    </row>
    <row r="23" spans="1:88" ht="10.15" customHeight="1" x14ac:dyDescent="0.25">
      <c r="A23" s="1419" t="s">
        <v>76</v>
      </c>
      <c r="B23" s="1419" t="s">
        <v>730</v>
      </c>
      <c r="C23" s="116" t="str">
        <f t="shared" si="1"/>
        <v>NonQM OO</v>
      </c>
      <c r="D23" s="117" t="s">
        <v>1995</v>
      </c>
      <c r="E23" s="117" t="s">
        <v>166</v>
      </c>
      <c r="F23" s="117" t="s">
        <v>330</v>
      </c>
      <c r="G23" s="117" t="s">
        <v>303</v>
      </c>
      <c r="H23" s="117" t="s">
        <v>444</v>
      </c>
      <c r="I23" s="117" t="s">
        <v>273</v>
      </c>
      <c r="J23" s="117" t="s">
        <v>1130</v>
      </c>
      <c r="K23" s="117" t="s">
        <v>1398</v>
      </c>
      <c r="L23" s="117" t="s">
        <v>2025</v>
      </c>
      <c r="M23" s="117" t="s">
        <v>2289</v>
      </c>
      <c r="N23" s="117" t="s">
        <v>82</v>
      </c>
      <c r="O23" s="117" t="s">
        <v>309</v>
      </c>
      <c r="P23" s="117" t="s">
        <v>2433</v>
      </c>
      <c r="Q23" s="117" t="s">
        <v>293</v>
      </c>
      <c r="R23" s="117">
        <v>100000</v>
      </c>
      <c r="S23" s="117">
        <v>1000000</v>
      </c>
      <c r="T23" s="117">
        <v>0</v>
      </c>
      <c r="U23" s="117">
        <v>0</v>
      </c>
      <c r="V23" s="117">
        <v>0</v>
      </c>
      <c r="W23" s="117">
        <v>55</v>
      </c>
      <c r="X23" s="117">
        <v>0</v>
      </c>
      <c r="Y23" s="117">
        <v>999</v>
      </c>
      <c r="Z23" s="119">
        <v>640</v>
      </c>
      <c r="AA23" s="119">
        <v>659</v>
      </c>
      <c r="AB23" s="1877">
        <v>0</v>
      </c>
      <c r="AC23" s="119">
        <v>999999</v>
      </c>
      <c r="AD23" s="117">
        <v>0</v>
      </c>
      <c r="AE23" s="117">
        <v>80</v>
      </c>
      <c r="AF23" s="144">
        <v>0</v>
      </c>
      <c r="AG23" s="145">
        <v>1</v>
      </c>
      <c r="AH23" s="145">
        <v>1</v>
      </c>
      <c r="AI23" s="145">
        <v>0</v>
      </c>
      <c r="AJ23" s="145">
        <v>0</v>
      </c>
      <c r="AK23" s="145">
        <v>0</v>
      </c>
      <c r="AL23" s="145">
        <v>1</v>
      </c>
      <c r="AM23" s="145">
        <v>1</v>
      </c>
      <c r="AN23" s="145">
        <v>1</v>
      </c>
      <c r="AO23" s="145">
        <v>1</v>
      </c>
      <c r="AP23" s="145">
        <v>1</v>
      </c>
      <c r="AQ23" s="145">
        <v>0</v>
      </c>
      <c r="AR23" s="145">
        <v>1</v>
      </c>
      <c r="AS23" s="145">
        <v>1</v>
      </c>
      <c r="AT23" s="145">
        <v>1</v>
      </c>
      <c r="AU23" s="145">
        <f t="shared" si="2"/>
        <v>1</v>
      </c>
      <c r="AV23" s="145">
        <f t="shared" si="3"/>
        <v>1</v>
      </c>
      <c r="AW23" s="145">
        <f t="shared" si="4"/>
        <v>1</v>
      </c>
      <c r="AX23" s="145">
        <f t="shared" si="5"/>
        <v>1</v>
      </c>
      <c r="AY23" s="145">
        <f t="shared" si="6"/>
        <v>0</v>
      </c>
      <c r="AZ23" s="145">
        <f t="shared" si="7"/>
        <v>1</v>
      </c>
      <c r="BA23" s="146">
        <f t="shared" si="8"/>
        <v>1</v>
      </c>
      <c r="BB23" s="149">
        <f t="shared" si="9"/>
        <v>16</v>
      </c>
      <c r="BC23" s="150">
        <f t="shared" si="10"/>
        <v>15</v>
      </c>
      <c r="BD23" s="150">
        <f t="shared" si="11"/>
        <v>16</v>
      </c>
      <c r="BE23" s="211" t="str">
        <f t="shared" si="12"/>
        <v/>
      </c>
      <c r="BH23" s="172">
        <f>IF(AND(Input_Product=Elig!$C23,Elig_MatchAll_Ct&lt;22,$BC23=(Elig_MatchAll_Ct-1),AF23=0),C23,0)</f>
        <v>0</v>
      </c>
      <c r="BI23" s="173">
        <f>IF(AND(Input_Product=Elig!$C23,Elig_MatchAll_Ct&lt;22,$BC23=(Elig_MatchAll_Ct-1),AG23=0),D23,0)</f>
        <v>0</v>
      </c>
      <c r="BJ23" s="173">
        <f>IF(AND(Input_Product=Elig!$C23,Elig_MatchAll_Ct&lt;22,$BC23=(Elig_MatchAll_Ct-1),AH23=0),E23,0)</f>
        <v>0</v>
      </c>
      <c r="BK23" s="173">
        <f>IF(AND(Input_Product=Elig!$C23,Elig_MatchAll_Ct&lt;22,$BC23=(Elig_MatchAll_Ct-1),AI23=0),F23,0)</f>
        <v>0</v>
      </c>
      <c r="BL23" s="173">
        <f>IF(AND(Input_Product=Elig!$C23,Elig_MatchAll_Ct&lt;22,$BC23=(Elig_MatchAll_Ct-1),AJ23=0),G23,0)</f>
        <v>0</v>
      </c>
      <c r="BM23" s="173">
        <f>IF(AND(Input_Product=Elig!$C23,Elig_MatchAll_Ct&lt;22,$BC23=(Elig_MatchAll_Ct-1),AK23=0),H23,0)</f>
        <v>0</v>
      </c>
      <c r="BN23" s="173">
        <f>IF(AND(Input_Product=Elig!$C23,Elig_MatchAll_Ct&lt;22,$BC23=(Elig_MatchAll_Ct-1),AL23=0),I23,0)</f>
        <v>0</v>
      </c>
      <c r="BO23" s="173">
        <f>IF(AND(Input_Product=Elig!$C23,Elig_MatchAll_Ct&lt;22,$BC23=(Elig_MatchAll_Ct-1),AM23=0),J23,0)</f>
        <v>0</v>
      </c>
      <c r="BP23" s="173">
        <f>IF(AND(Input_Product=Elig!$C23,Elig_MatchAll_Ct&lt;22,$BC23=(Elig_MatchAll_Ct-1),AN23=0),K23,0)</f>
        <v>0</v>
      </c>
      <c r="BQ23" s="173">
        <f>IF(AND(Input_Product=Elig!$C23,Elig_MatchAll_Ct&lt;22,$BC23=(Elig_MatchAll_Ct-1),AP23=0),L23,0)</f>
        <v>0</v>
      </c>
      <c r="BR23" s="173">
        <f>IF(AND(Input_Product=Elig!$C23,Elig_MatchAll_Ct&lt;22,$BC23=(Elig_MatchAll_Ct-1),AO23=0),M23,0)</f>
        <v>0</v>
      </c>
      <c r="BS23" s="173">
        <f>IF(AND(Input_Product=Elig!$C23,Elig_MatchAll_Ct&lt;22,$BC23=(Elig_MatchAll_Ct-1),AQ23=0),N23,0)</f>
        <v>0</v>
      </c>
      <c r="BT23" s="173">
        <f>IF(AND(Input_Product=Elig!$C23,Elig_MatchAll_Ct&lt;22,$BC23=(Elig_MatchAll_Ct-1),AR23=0),O23,0)</f>
        <v>0</v>
      </c>
      <c r="BU23" s="173">
        <f>IF(AND(Input_Product=Elig!$C23,Elig_MatchAll_Ct&lt;22,$BC23=(Elig_MatchAll_Ct-1),AS23=0),P23,0)</f>
        <v>0</v>
      </c>
      <c r="BV23" s="174">
        <f>IF(AND(Input_Product=Elig!$C23,Elig_MatchAll_Ct&lt;22,$BC23=(Elig_MatchAll_Ct-1),AT23=0),Q23,0)</f>
        <v>0</v>
      </c>
      <c r="BW23" s="175">
        <f>IF(AND(Input_Product=Elig!$C23,Elig_MatchAll_Ct&lt;22,$BC23=(Elig_MatchAll_Ct-1),AU23=0),R23,0)</f>
        <v>0</v>
      </c>
      <c r="BX23" s="176">
        <f>IF(AND(Input_Product=Elig!$C23,Elig_MatchAll_Ct&lt;22,$BC23=(Elig_MatchAll_Ct-1),AU23=0),S23,0)</f>
        <v>0</v>
      </c>
      <c r="BY23" s="175">
        <f>IF(AND(Input_Product=Elig!$C23,Elig_MatchAll_Ct&lt;22,$BC23=(Elig_MatchAll_Ct-1),AV23=0),T23,0)</f>
        <v>0</v>
      </c>
      <c r="BZ23" s="176">
        <f>IF(AND(Input_Product=Elig!$C23,Elig_MatchAll_Ct&lt;22,$BC23=(Elig_MatchAll_Ct-1),AV23=0),U23,0)</f>
        <v>0</v>
      </c>
      <c r="CA23" s="175">
        <f>IF(AND(Input_Product=Elig!$C23,Elig_MatchAll_Ct&lt;22,$BC23=(Elig_MatchAll_Ct-1),AW23=0),V23,0)</f>
        <v>0</v>
      </c>
      <c r="CB23" s="176">
        <f>IF(AND(Input_Product=Elig!$C23,Elig_MatchAll_Ct&lt;22,$BC23=(Elig_MatchAll_Ct-1),AW23=0),W23,0)</f>
        <v>0</v>
      </c>
      <c r="CC23" s="175">
        <f>IF(AND(Input_Product=Elig!$C23,Elig_MatchAll_Ct&lt;22,$BC23=(Elig_MatchAll_Ct-1),AX23=0),X23,0)</f>
        <v>0</v>
      </c>
      <c r="CD23" s="176">
        <f>IF(AND(Input_Product=Elig!$C23,Elig_MatchAll_Ct&lt;22,$BC23=(Elig_MatchAll_Ct-1),AX23=0),Y23,0)</f>
        <v>0</v>
      </c>
      <c r="CE23" s="175">
        <f>IF(AND(Input_LTV&lt;=AE23,Input_Product=Elig!$C23,Elig_MatchAll_Ct&lt;22,$BC23=(Elig_MatchAll_Ct-1),AY23=0),Z23,0)</f>
        <v>0</v>
      </c>
      <c r="CF23" s="176">
        <f>IF(AND(Input_LTV&lt;=AE23,Input_Product=Elig!$C23,Elig_MatchAll_Ct&lt;22,$BC23=(Elig_MatchAll_Ct-1),AY23=0),AA23,0)</f>
        <v>0</v>
      </c>
      <c r="CG23" s="175">
        <f>IF(AND(Input_Product=Elig!$C23,Elig_MatchAll_Ct&lt;22,$BC23=(Elig_MatchAll_Ct-1),AZ23=0),AB23,0)</f>
        <v>0</v>
      </c>
      <c r="CH23" s="176">
        <f>IF(AND(Input_Product=Elig!$C23,Elig_MatchAll_Ct&lt;22,$BC23=(Elig_MatchAll_Ct-1),AZ23=0),AC23,0)</f>
        <v>0</v>
      </c>
      <c r="CI23" s="175">
        <f>IF(AND(Input_Product=Elig!$C23,Elig_MatchAll_Ct&lt;22,$BC23=(Elig_MatchAll_Ct-1),BA23=0),AD23,0)</f>
        <v>0</v>
      </c>
      <c r="CJ23" s="177">
        <f>IF(AND(Input_Product=Elig!$C23,Elig_MatchAll_Ct&lt;22,$BC23=(Elig_MatchAll_Ct-1),BA23=0),AE23,0)</f>
        <v>0</v>
      </c>
    </row>
    <row r="24" spans="1:88" ht="10.15" customHeight="1" x14ac:dyDescent="0.25">
      <c r="A24" s="1419" t="s">
        <v>76</v>
      </c>
      <c r="B24" s="1419" t="s">
        <v>731</v>
      </c>
      <c r="C24" s="120" t="str">
        <f t="shared" si="1"/>
        <v>NonQM OO</v>
      </c>
      <c r="D24" s="121" t="s">
        <v>1995</v>
      </c>
      <c r="E24" s="121" t="s">
        <v>166</v>
      </c>
      <c r="F24" s="121" t="s">
        <v>330</v>
      </c>
      <c r="G24" s="121" t="s">
        <v>303</v>
      </c>
      <c r="H24" s="121" t="s">
        <v>444</v>
      </c>
      <c r="I24" s="121" t="s">
        <v>273</v>
      </c>
      <c r="J24" s="121" t="s">
        <v>1130</v>
      </c>
      <c r="K24" s="121" t="s">
        <v>1398</v>
      </c>
      <c r="L24" s="121" t="s">
        <v>2025</v>
      </c>
      <c r="M24" s="121" t="s">
        <v>2289</v>
      </c>
      <c r="N24" s="121" t="s">
        <v>82</v>
      </c>
      <c r="O24" s="121" t="s">
        <v>309</v>
      </c>
      <c r="P24" s="121" t="s">
        <v>2433</v>
      </c>
      <c r="Q24" s="121" t="s">
        <v>293</v>
      </c>
      <c r="R24" s="121">
        <v>100000</v>
      </c>
      <c r="S24" s="121">
        <v>1000000</v>
      </c>
      <c r="T24" s="121">
        <v>0</v>
      </c>
      <c r="U24" s="121">
        <v>0</v>
      </c>
      <c r="V24" s="121">
        <v>0</v>
      </c>
      <c r="W24" s="121">
        <v>55</v>
      </c>
      <c r="X24" s="121">
        <v>0</v>
      </c>
      <c r="Y24" s="121">
        <v>999</v>
      </c>
      <c r="Z24" s="122">
        <v>620</v>
      </c>
      <c r="AA24" s="122">
        <v>639</v>
      </c>
      <c r="AB24" s="1878">
        <v>0</v>
      </c>
      <c r="AC24" s="122">
        <v>999999</v>
      </c>
      <c r="AD24" s="121">
        <v>0</v>
      </c>
      <c r="AE24" s="121">
        <v>80</v>
      </c>
      <c r="AF24" s="144">
        <v>0</v>
      </c>
      <c r="AG24" s="145">
        <v>1</v>
      </c>
      <c r="AH24" s="145">
        <v>1</v>
      </c>
      <c r="AI24" s="145">
        <v>0</v>
      </c>
      <c r="AJ24" s="145">
        <v>0</v>
      </c>
      <c r="AK24" s="145">
        <v>0</v>
      </c>
      <c r="AL24" s="145">
        <v>1</v>
      </c>
      <c r="AM24" s="145">
        <v>1</v>
      </c>
      <c r="AN24" s="145">
        <v>1</v>
      </c>
      <c r="AO24" s="145">
        <v>1</v>
      </c>
      <c r="AP24" s="145">
        <v>1</v>
      </c>
      <c r="AQ24" s="145">
        <v>0</v>
      </c>
      <c r="AR24" s="145">
        <v>1</v>
      </c>
      <c r="AS24" s="145">
        <v>1</v>
      </c>
      <c r="AT24" s="145">
        <v>1</v>
      </c>
      <c r="AU24" s="145">
        <f t="shared" si="2"/>
        <v>1</v>
      </c>
      <c r="AV24" s="145">
        <f t="shared" si="3"/>
        <v>1</v>
      </c>
      <c r="AW24" s="145">
        <f t="shared" si="4"/>
        <v>1</v>
      </c>
      <c r="AX24" s="145">
        <f t="shared" si="5"/>
        <v>1</v>
      </c>
      <c r="AY24" s="145">
        <f t="shared" si="6"/>
        <v>0</v>
      </c>
      <c r="AZ24" s="145">
        <f t="shared" si="7"/>
        <v>1</v>
      </c>
      <c r="BA24" s="146">
        <f t="shared" si="8"/>
        <v>1</v>
      </c>
      <c r="BB24" s="149">
        <f t="shared" si="9"/>
        <v>16</v>
      </c>
      <c r="BC24" s="150">
        <f t="shared" si="10"/>
        <v>15</v>
      </c>
      <c r="BD24" s="150">
        <f t="shared" si="11"/>
        <v>16</v>
      </c>
      <c r="BE24" s="211" t="str">
        <f t="shared" si="12"/>
        <v/>
      </c>
      <c r="BH24" s="178">
        <f>IF(AND(Input_Product=Elig!$C24,Elig_MatchAll_Ct&lt;22,$BC24=(Elig_MatchAll_Ct-1),AF24=0),C24,0)</f>
        <v>0</v>
      </c>
      <c r="BI24" s="179">
        <f>IF(AND(Input_Product=Elig!$C24,Elig_MatchAll_Ct&lt;22,$BC24=(Elig_MatchAll_Ct-1),AG24=0),D24,0)</f>
        <v>0</v>
      </c>
      <c r="BJ24" s="179">
        <f>IF(AND(Input_Product=Elig!$C24,Elig_MatchAll_Ct&lt;22,$BC24=(Elig_MatchAll_Ct-1),AH24=0),E24,0)</f>
        <v>0</v>
      </c>
      <c r="BK24" s="179">
        <f>IF(AND(Input_Product=Elig!$C24,Elig_MatchAll_Ct&lt;22,$BC24=(Elig_MatchAll_Ct-1),AI24=0),F24,0)</f>
        <v>0</v>
      </c>
      <c r="BL24" s="179">
        <f>IF(AND(Input_Product=Elig!$C24,Elig_MatchAll_Ct&lt;22,$BC24=(Elig_MatchAll_Ct-1),AJ24=0),G24,0)</f>
        <v>0</v>
      </c>
      <c r="BM24" s="179">
        <f>IF(AND(Input_Product=Elig!$C24,Elig_MatchAll_Ct&lt;22,$BC24=(Elig_MatchAll_Ct-1),AK24=0),H24,0)</f>
        <v>0</v>
      </c>
      <c r="BN24" s="179">
        <f>IF(AND(Input_Product=Elig!$C24,Elig_MatchAll_Ct&lt;22,$BC24=(Elig_MatchAll_Ct-1),AL24=0),I24,0)</f>
        <v>0</v>
      </c>
      <c r="BO24" s="179">
        <f>IF(AND(Input_Product=Elig!$C24,Elig_MatchAll_Ct&lt;22,$BC24=(Elig_MatchAll_Ct-1),AM24=0),J24,0)</f>
        <v>0</v>
      </c>
      <c r="BP24" s="179">
        <f>IF(AND(Input_Product=Elig!$C24,Elig_MatchAll_Ct&lt;22,$BC24=(Elig_MatchAll_Ct-1),AN24=0),K24,0)</f>
        <v>0</v>
      </c>
      <c r="BQ24" s="179">
        <f>IF(AND(Input_Product=Elig!$C24,Elig_MatchAll_Ct&lt;22,$BC24=(Elig_MatchAll_Ct-1),AP24=0),L24,0)</f>
        <v>0</v>
      </c>
      <c r="BR24" s="179">
        <f>IF(AND(Input_Product=Elig!$C24,Elig_MatchAll_Ct&lt;22,$BC24=(Elig_MatchAll_Ct-1),AO24=0),M24,0)</f>
        <v>0</v>
      </c>
      <c r="BS24" s="179">
        <f>IF(AND(Input_Product=Elig!$C24,Elig_MatchAll_Ct&lt;22,$BC24=(Elig_MatchAll_Ct-1),AQ24=0),N24,0)</f>
        <v>0</v>
      </c>
      <c r="BT24" s="179">
        <f>IF(AND(Input_Product=Elig!$C24,Elig_MatchAll_Ct&lt;22,$BC24=(Elig_MatchAll_Ct-1),AR24=0),O24,0)</f>
        <v>0</v>
      </c>
      <c r="BU24" s="179">
        <f>IF(AND(Input_Product=Elig!$C24,Elig_MatchAll_Ct&lt;22,$BC24=(Elig_MatchAll_Ct-1),AS24=0),P24,0)</f>
        <v>0</v>
      </c>
      <c r="BV24" s="180">
        <f>IF(AND(Input_Product=Elig!$C24,Elig_MatchAll_Ct&lt;22,$BC24=(Elig_MatchAll_Ct-1),AT24=0),Q24,0)</f>
        <v>0</v>
      </c>
      <c r="BW24" s="181">
        <f>IF(AND(Input_Product=Elig!$C24,Elig_MatchAll_Ct&lt;22,$BC24=(Elig_MatchAll_Ct-1),AU24=0),R24,0)</f>
        <v>0</v>
      </c>
      <c r="BX24" s="182">
        <f>IF(AND(Input_Product=Elig!$C24,Elig_MatchAll_Ct&lt;22,$BC24=(Elig_MatchAll_Ct-1),AU24=0),S24,0)</f>
        <v>0</v>
      </c>
      <c r="BY24" s="181">
        <f>IF(AND(Input_Product=Elig!$C24,Elig_MatchAll_Ct&lt;22,$BC24=(Elig_MatchAll_Ct-1),AV24=0),T24,0)</f>
        <v>0</v>
      </c>
      <c r="BZ24" s="182">
        <f>IF(AND(Input_Product=Elig!$C24,Elig_MatchAll_Ct&lt;22,$BC24=(Elig_MatchAll_Ct-1),AV24=0),U24,0)</f>
        <v>0</v>
      </c>
      <c r="CA24" s="181">
        <f>IF(AND(Input_Product=Elig!$C24,Elig_MatchAll_Ct&lt;22,$BC24=(Elig_MatchAll_Ct-1),AW24=0),V24,0)</f>
        <v>0</v>
      </c>
      <c r="CB24" s="182">
        <f>IF(AND(Input_Product=Elig!$C24,Elig_MatchAll_Ct&lt;22,$BC24=(Elig_MatchAll_Ct-1),AW24=0),W24,0)</f>
        <v>0</v>
      </c>
      <c r="CC24" s="181">
        <f>IF(AND(Input_Product=Elig!$C24,Elig_MatchAll_Ct&lt;22,$BC24=(Elig_MatchAll_Ct-1),AX24=0),X24,0)</f>
        <v>0</v>
      </c>
      <c r="CD24" s="182">
        <f>IF(AND(Input_Product=Elig!$C24,Elig_MatchAll_Ct&lt;22,$BC24=(Elig_MatchAll_Ct-1),AX24=0),Y24,0)</f>
        <v>0</v>
      </c>
      <c r="CE24" s="181">
        <f>IF(AND(Input_LTV&lt;=AE24,Input_Product=Elig!$C24,Elig_MatchAll_Ct&lt;22,$BC24=(Elig_MatchAll_Ct-1),AY24=0),Z24,0)</f>
        <v>0</v>
      </c>
      <c r="CF24" s="182">
        <f>IF(AND(Input_LTV&lt;=AE24,Input_Product=Elig!$C24,Elig_MatchAll_Ct&lt;22,$BC24=(Elig_MatchAll_Ct-1),AY24=0),AA24,0)</f>
        <v>0</v>
      </c>
      <c r="CG24" s="181">
        <f>IF(AND(Input_Product=Elig!$C24,Elig_MatchAll_Ct&lt;22,$BC24=(Elig_MatchAll_Ct-1),AZ24=0),AB24,0)</f>
        <v>0</v>
      </c>
      <c r="CH24" s="182">
        <f>IF(AND(Input_Product=Elig!$C24,Elig_MatchAll_Ct&lt;22,$BC24=(Elig_MatchAll_Ct-1),AZ24=0),AC24,0)</f>
        <v>0</v>
      </c>
      <c r="CI24" s="181">
        <f>IF(AND(Input_Product=Elig!$C24,Elig_MatchAll_Ct&lt;22,$BC24=(Elig_MatchAll_Ct-1),BA24=0),AD24,0)</f>
        <v>0</v>
      </c>
      <c r="CJ24" s="183">
        <f>IF(AND(Input_Product=Elig!$C24,Elig_MatchAll_Ct&lt;22,$BC24=(Elig_MatchAll_Ct-1),BA24=0),AE24,0)</f>
        <v>0</v>
      </c>
    </row>
    <row r="25" spans="1:88" ht="10.15" customHeight="1" x14ac:dyDescent="0.25">
      <c r="A25" s="1419" t="s">
        <v>76</v>
      </c>
      <c r="B25" s="1419" t="s">
        <v>732</v>
      </c>
      <c r="C25" s="123" t="str">
        <f t="shared" si="1"/>
        <v>NonQM OO</v>
      </c>
      <c r="D25" s="124" t="s">
        <v>1995</v>
      </c>
      <c r="E25" s="125" t="s">
        <v>166</v>
      </c>
      <c r="F25" s="125" t="s">
        <v>330</v>
      </c>
      <c r="G25" s="125" t="s">
        <v>303</v>
      </c>
      <c r="H25" s="125" t="s">
        <v>444</v>
      </c>
      <c r="I25" s="124" t="s">
        <v>16</v>
      </c>
      <c r="J25" s="124" t="s">
        <v>1130</v>
      </c>
      <c r="K25" s="124" t="s">
        <v>1398</v>
      </c>
      <c r="L25" s="125" t="s">
        <v>2025</v>
      </c>
      <c r="M25" s="125" t="s">
        <v>2289</v>
      </c>
      <c r="N25" s="125" t="s">
        <v>82</v>
      </c>
      <c r="O25" s="125" t="s">
        <v>309</v>
      </c>
      <c r="P25" s="125" t="s">
        <v>2433</v>
      </c>
      <c r="Q25" s="125" t="s">
        <v>293</v>
      </c>
      <c r="R25" s="124">
        <v>100000</v>
      </c>
      <c r="S25" s="124">
        <v>1000000</v>
      </c>
      <c r="T25" s="124">
        <v>0</v>
      </c>
      <c r="U25" s="124">
        <f t="shared" ref="U25:U30" si="14">S25</f>
        <v>1000000</v>
      </c>
      <c r="V25" s="124">
        <v>0</v>
      </c>
      <c r="W25" s="124">
        <v>55</v>
      </c>
      <c r="X25" s="124">
        <v>0</v>
      </c>
      <c r="Y25" s="124">
        <v>999</v>
      </c>
      <c r="Z25" s="126">
        <v>720</v>
      </c>
      <c r="AA25" s="126">
        <v>999</v>
      </c>
      <c r="AB25" s="1879">
        <v>0</v>
      </c>
      <c r="AC25" s="126">
        <v>999999</v>
      </c>
      <c r="AD25" s="124">
        <v>0</v>
      </c>
      <c r="AE25" s="124">
        <v>80</v>
      </c>
      <c r="AF25" s="144">
        <v>0</v>
      </c>
      <c r="AG25" s="145">
        <v>1</v>
      </c>
      <c r="AH25" s="145">
        <v>1</v>
      </c>
      <c r="AI25" s="145">
        <v>0</v>
      </c>
      <c r="AJ25" s="145">
        <v>0</v>
      </c>
      <c r="AK25" s="145">
        <v>0</v>
      </c>
      <c r="AL25" s="145">
        <v>0</v>
      </c>
      <c r="AM25" s="145">
        <v>1</v>
      </c>
      <c r="AN25" s="145">
        <v>1</v>
      </c>
      <c r="AO25" s="145">
        <v>1</v>
      </c>
      <c r="AP25" s="145">
        <v>1</v>
      </c>
      <c r="AQ25" s="145">
        <v>0</v>
      </c>
      <c r="AR25" s="145">
        <v>1</v>
      </c>
      <c r="AS25" s="145">
        <v>1</v>
      </c>
      <c r="AT25" s="145">
        <v>1</v>
      </c>
      <c r="AU25" s="145">
        <f t="shared" si="2"/>
        <v>1</v>
      </c>
      <c r="AV25" s="145">
        <f t="shared" si="3"/>
        <v>1</v>
      </c>
      <c r="AW25" s="145">
        <f t="shared" si="4"/>
        <v>1</v>
      </c>
      <c r="AX25" s="145">
        <f t="shared" si="5"/>
        <v>1</v>
      </c>
      <c r="AY25" s="145">
        <f t="shared" si="6"/>
        <v>1</v>
      </c>
      <c r="AZ25" s="145">
        <f t="shared" si="7"/>
        <v>1</v>
      </c>
      <c r="BA25" s="146">
        <f t="shared" si="8"/>
        <v>1</v>
      </c>
      <c r="BB25" s="149">
        <f t="shared" si="9"/>
        <v>16</v>
      </c>
      <c r="BC25" s="150">
        <f t="shared" si="10"/>
        <v>15</v>
      </c>
      <c r="BD25" s="150">
        <f t="shared" si="11"/>
        <v>16</v>
      </c>
      <c r="BE25" s="211" t="str">
        <f t="shared" si="12"/>
        <v/>
      </c>
      <c r="BH25" s="166">
        <f>IF(AND(Input_Product=Elig!$C25,Elig_MatchAll_Ct&lt;22,$BC25=(Elig_MatchAll_Ct-1),AF25=0),C25,0)</f>
        <v>0</v>
      </c>
      <c r="BI25" s="167">
        <f>IF(AND(Input_Product=Elig!$C25,Elig_MatchAll_Ct&lt;22,$BC25=(Elig_MatchAll_Ct-1),AG25=0),D25,0)</f>
        <v>0</v>
      </c>
      <c r="BJ25" s="167">
        <f>IF(AND(Input_Product=Elig!$C25,Elig_MatchAll_Ct&lt;22,$BC25=(Elig_MatchAll_Ct-1),AH25=0),E25,0)</f>
        <v>0</v>
      </c>
      <c r="BK25" s="167">
        <f>IF(AND(Input_Product=Elig!$C25,Elig_MatchAll_Ct&lt;22,$BC25=(Elig_MatchAll_Ct-1),AI25=0),F25,0)</f>
        <v>0</v>
      </c>
      <c r="BL25" s="167">
        <f>IF(AND(Input_Product=Elig!$C25,Elig_MatchAll_Ct&lt;22,$BC25=(Elig_MatchAll_Ct-1),AJ25=0),G25,0)</f>
        <v>0</v>
      </c>
      <c r="BM25" s="167">
        <f>IF(AND(Input_Product=Elig!$C25,Elig_MatchAll_Ct&lt;22,$BC25=(Elig_MatchAll_Ct-1),AK25=0),H25,0)</f>
        <v>0</v>
      </c>
      <c r="BN25" s="167">
        <f>IF(AND(Input_Product=Elig!$C25,Elig_MatchAll_Ct&lt;22,$BC25=(Elig_MatchAll_Ct-1),AL25=0),I25,0)</f>
        <v>0</v>
      </c>
      <c r="BO25" s="167">
        <f>IF(AND(Input_Product=Elig!$C25,Elig_MatchAll_Ct&lt;22,$BC25=(Elig_MatchAll_Ct-1),AM25=0),J25,0)</f>
        <v>0</v>
      </c>
      <c r="BP25" s="167">
        <f>IF(AND(Input_Product=Elig!$C25,Elig_MatchAll_Ct&lt;22,$BC25=(Elig_MatchAll_Ct-1),AN25=0),K25,0)</f>
        <v>0</v>
      </c>
      <c r="BQ25" s="167">
        <f>IF(AND(Input_Product=Elig!$C25,Elig_MatchAll_Ct&lt;22,$BC25=(Elig_MatchAll_Ct-1),AP25=0),L25,0)</f>
        <v>0</v>
      </c>
      <c r="BR25" s="167">
        <f>IF(AND(Input_Product=Elig!$C25,Elig_MatchAll_Ct&lt;22,$BC25=(Elig_MatchAll_Ct-1),AO25=0),M25,0)</f>
        <v>0</v>
      </c>
      <c r="BS25" s="167">
        <f>IF(AND(Input_Product=Elig!$C25,Elig_MatchAll_Ct&lt;22,$BC25=(Elig_MatchAll_Ct-1),AQ25=0),N25,0)</f>
        <v>0</v>
      </c>
      <c r="BT25" s="167">
        <f>IF(AND(Input_Product=Elig!$C25,Elig_MatchAll_Ct&lt;22,$BC25=(Elig_MatchAll_Ct-1),AR25=0),O25,0)</f>
        <v>0</v>
      </c>
      <c r="BU25" s="167">
        <f>IF(AND(Input_Product=Elig!$C25,Elig_MatchAll_Ct&lt;22,$BC25=(Elig_MatchAll_Ct-1),AS25=0),P25,0)</f>
        <v>0</v>
      </c>
      <c r="BV25" s="168">
        <f>IF(AND(Input_Product=Elig!$C25,Elig_MatchAll_Ct&lt;22,$BC25=(Elig_MatchAll_Ct-1),AT25=0),Q25,0)</f>
        <v>0</v>
      </c>
      <c r="BW25" s="169">
        <f>IF(AND(Input_Product=Elig!$C25,Elig_MatchAll_Ct&lt;22,$BC25=(Elig_MatchAll_Ct-1),AU25=0),R25,0)</f>
        <v>0</v>
      </c>
      <c r="BX25" s="170">
        <f>IF(AND(Input_Product=Elig!$C25,Elig_MatchAll_Ct&lt;22,$BC25=(Elig_MatchAll_Ct-1),AU25=0),S25,0)</f>
        <v>0</v>
      </c>
      <c r="BY25" s="169">
        <f>IF(AND(Input_Product=Elig!$C25,Elig_MatchAll_Ct&lt;22,$BC25=(Elig_MatchAll_Ct-1),AV25=0),T25,0)</f>
        <v>0</v>
      </c>
      <c r="BZ25" s="170">
        <f>IF(AND(Input_Product=Elig!$C25,Elig_MatchAll_Ct&lt;22,$BC25=(Elig_MatchAll_Ct-1),AV25=0),U25,0)</f>
        <v>0</v>
      </c>
      <c r="CA25" s="169">
        <f>IF(AND(Input_Product=Elig!$C25,Elig_MatchAll_Ct&lt;22,$BC25=(Elig_MatchAll_Ct-1),AW25=0),V25,0)</f>
        <v>0</v>
      </c>
      <c r="CB25" s="170">
        <f>IF(AND(Input_Product=Elig!$C25,Elig_MatchAll_Ct&lt;22,$BC25=(Elig_MatchAll_Ct-1),AW25=0),W25,0)</f>
        <v>0</v>
      </c>
      <c r="CC25" s="169">
        <f>IF(AND(Input_Product=Elig!$C25,Elig_MatchAll_Ct&lt;22,$BC25=(Elig_MatchAll_Ct-1),AX25=0),X25,0)</f>
        <v>0</v>
      </c>
      <c r="CD25" s="170">
        <f>IF(AND(Input_Product=Elig!$C25,Elig_MatchAll_Ct&lt;22,$BC25=(Elig_MatchAll_Ct-1),AX25=0),Y25,0)</f>
        <v>0</v>
      </c>
      <c r="CE25" s="169">
        <f>IF(AND(Input_LTV&lt;=AE25,Input_Product=Elig!$C25,Elig_MatchAll_Ct&lt;22,$BC25=(Elig_MatchAll_Ct-1),AY25=0),Z25,0)</f>
        <v>0</v>
      </c>
      <c r="CF25" s="170">
        <f>IF(AND(Input_LTV&lt;=AE25,Input_Product=Elig!$C25,Elig_MatchAll_Ct&lt;22,$BC25=(Elig_MatchAll_Ct-1),AY25=0),AA25,0)</f>
        <v>0</v>
      </c>
      <c r="CG25" s="169">
        <f>IF(AND(Input_Product=Elig!$C25,Elig_MatchAll_Ct&lt;22,$BC25=(Elig_MatchAll_Ct-1),AZ25=0),AB25,0)</f>
        <v>0</v>
      </c>
      <c r="CH25" s="170">
        <f>IF(AND(Input_Product=Elig!$C25,Elig_MatchAll_Ct&lt;22,$BC25=(Elig_MatchAll_Ct-1),AZ25=0),AC25,0)</f>
        <v>0</v>
      </c>
      <c r="CI25" s="169">
        <f>IF(AND(Input_Product=Elig!$C25,Elig_MatchAll_Ct&lt;22,$BC25=(Elig_MatchAll_Ct-1),BA25=0),AD25,0)</f>
        <v>0</v>
      </c>
      <c r="CJ25" s="171">
        <f>IF(AND(Input_Product=Elig!$C25,Elig_MatchAll_Ct&lt;22,$BC25=(Elig_MatchAll_Ct-1),BA25=0),AE25,0)</f>
        <v>0</v>
      </c>
    </row>
    <row r="26" spans="1:88" ht="10.15" customHeight="1" x14ac:dyDescent="0.25">
      <c r="A26" s="1419" t="s">
        <v>76</v>
      </c>
      <c r="B26" s="1419" t="s">
        <v>733</v>
      </c>
      <c r="C26" s="116" t="str">
        <f t="shared" si="1"/>
        <v>NonQM OO</v>
      </c>
      <c r="D26" s="117" t="s">
        <v>1995</v>
      </c>
      <c r="E26" s="117" t="s">
        <v>166</v>
      </c>
      <c r="F26" s="117" t="s">
        <v>330</v>
      </c>
      <c r="G26" s="117" t="s">
        <v>303</v>
      </c>
      <c r="H26" s="117" t="s">
        <v>444</v>
      </c>
      <c r="I26" s="118" t="s">
        <v>16</v>
      </c>
      <c r="J26" s="118" t="s">
        <v>1130</v>
      </c>
      <c r="K26" s="118" t="s">
        <v>1398</v>
      </c>
      <c r="L26" s="117" t="s">
        <v>2025</v>
      </c>
      <c r="M26" s="117" t="s">
        <v>2289</v>
      </c>
      <c r="N26" s="117" t="s">
        <v>82</v>
      </c>
      <c r="O26" s="117" t="s">
        <v>309</v>
      </c>
      <c r="P26" s="117" t="s">
        <v>2433</v>
      </c>
      <c r="Q26" s="117" t="s">
        <v>293</v>
      </c>
      <c r="R26" s="117">
        <v>100000</v>
      </c>
      <c r="S26" s="117">
        <v>1000000</v>
      </c>
      <c r="T26" s="117">
        <v>0</v>
      </c>
      <c r="U26" s="117">
        <f t="shared" si="14"/>
        <v>1000000</v>
      </c>
      <c r="V26" s="117">
        <v>0</v>
      </c>
      <c r="W26" s="117">
        <v>55</v>
      </c>
      <c r="X26" s="117">
        <v>0</v>
      </c>
      <c r="Y26" s="117">
        <v>999</v>
      </c>
      <c r="Z26" s="119">
        <v>700</v>
      </c>
      <c r="AA26" s="119">
        <v>719</v>
      </c>
      <c r="AB26" s="1877">
        <v>0</v>
      </c>
      <c r="AC26" s="119">
        <v>999999</v>
      </c>
      <c r="AD26" s="117">
        <v>0</v>
      </c>
      <c r="AE26" s="117">
        <v>80</v>
      </c>
      <c r="AF26" s="144">
        <v>0</v>
      </c>
      <c r="AG26" s="145">
        <v>1</v>
      </c>
      <c r="AH26" s="145">
        <v>1</v>
      </c>
      <c r="AI26" s="145">
        <v>0</v>
      </c>
      <c r="AJ26" s="145">
        <v>0</v>
      </c>
      <c r="AK26" s="145">
        <v>0</v>
      </c>
      <c r="AL26" s="145">
        <v>0</v>
      </c>
      <c r="AM26" s="145">
        <v>1</v>
      </c>
      <c r="AN26" s="145">
        <v>1</v>
      </c>
      <c r="AO26" s="145">
        <v>1</v>
      </c>
      <c r="AP26" s="145">
        <v>1</v>
      </c>
      <c r="AQ26" s="145">
        <v>0</v>
      </c>
      <c r="AR26" s="145">
        <v>1</v>
      </c>
      <c r="AS26" s="145">
        <v>1</v>
      </c>
      <c r="AT26" s="145">
        <v>1</v>
      </c>
      <c r="AU26" s="145">
        <f t="shared" si="2"/>
        <v>1</v>
      </c>
      <c r="AV26" s="145">
        <f t="shared" si="3"/>
        <v>1</v>
      </c>
      <c r="AW26" s="145">
        <f t="shared" si="4"/>
        <v>1</v>
      </c>
      <c r="AX26" s="145">
        <f t="shared" si="5"/>
        <v>1</v>
      </c>
      <c r="AY26" s="145">
        <f t="shared" si="6"/>
        <v>0</v>
      </c>
      <c r="AZ26" s="145">
        <f t="shared" si="7"/>
        <v>1</v>
      </c>
      <c r="BA26" s="146">
        <f t="shared" si="8"/>
        <v>1</v>
      </c>
      <c r="BB26" s="149">
        <f t="shared" si="9"/>
        <v>15</v>
      </c>
      <c r="BC26" s="150">
        <f t="shared" si="10"/>
        <v>14</v>
      </c>
      <c r="BD26" s="150">
        <f t="shared" si="11"/>
        <v>15</v>
      </c>
      <c r="BE26" s="211" t="str">
        <f t="shared" si="12"/>
        <v/>
      </c>
      <c r="BH26" s="172">
        <f>IF(AND(Input_Product=Elig!$C26,Elig_MatchAll_Ct&lt;22,$BC26=(Elig_MatchAll_Ct-1),AF26=0),C26,0)</f>
        <v>0</v>
      </c>
      <c r="BI26" s="173">
        <f>IF(AND(Input_Product=Elig!$C26,Elig_MatchAll_Ct&lt;22,$BC26=(Elig_MatchAll_Ct-1),AG26=0),D26,0)</f>
        <v>0</v>
      </c>
      <c r="BJ26" s="173">
        <f>IF(AND(Input_Product=Elig!$C26,Elig_MatchAll_Ct&lt;22,$BC26=(Elig_MatchAll_Ct-1),AH26=0),E26,0)</f>
        <v>0</v>
      </c>
      <c r="BK26" s="173">
        <f>IF(AND(Input_Product=Elig!$C26,Elig_MatchAll_Ct&lt;22,$BC26=(Elig_MatchAll_Ct-1),AI26=0),F26,0)</f>
        <v>0</v>
      </c>
      <c r="BL26" s="173">
        <f>IF(AND(Input_Product=Elig!$C26,Elig_MatchAll_Ct&lt;22,$BC26=(Elig_MatchAll_Ct-1),AJ26=0),G26,0)</f>
        <v>0</v>
      </c>
      <c r="BM26" s="173">
        <f>IF(AND(Input_Product=Elig!$C26,Elig_MatchAll_Ct&lt;22,$BC26=(Elig_MatchAll_Ct-1),AK26=0),H26,0)</f>
        <v>0</v>
      </c>
      <c r="BN26" s="173">
        <f>IF(AND(Input_Product=Elig!$C26,Elig_MatchAll_Ct&lt;22,$BC26=(Elig_MatchAll_Ct-1),AL26=0),I26,0)</f>
        <v>0</v>
      </c>
      <c r="BO26" s="173">
        <f>IF(AND(Input_Product=Elig!$C26,Elig_MatchAll_Ct&lt;22,$BC26=(Elig_MatchAll_Ct-1),AM26=0),J26,0)</f>
        <v>0</v>
      </c>
      <c r="BP26" s="173">
        <f>IF(AND(Input_Product=Elig!$C26,Elig_MatchAll_Ct&lt;22,$BC26=(Elig_MatchAll_Ct-1),AN26=0),K26,0)</f>
        <v>0</v>
      </c>
      <c r="BQ26" s="173">
        <f>IF(AND(Input_Product=Elig!$C26,Elig_MatchAll_Ct&lt;22,$BC26=(Elig_MatchAll_Ct-1),AP26=0),L26,0)</f>
        <v>0</v>
      </c>
      <c r="BR26" s="173">
        <f>IF(AND(Input_Product=Elig!$C26,Elig_MatchAll_Ct&lt;22,$BC26=(Elig_MatchAll_Ct-1),AO26=0),M26,0)</f>
        <v>0</v>
      </c>
      <c r="BS26" s="173">
        <f>IF(AND(Input_Product=Elig!$C26,Elig_MatchAll_Ct&lt;22,$BC26=(Elig_MatchAll_Ct-1),AQ26=0),N26,0)</f>
        <v>0</v>
      </c>
      <c r="BT26" s="173">
        <f>IF(AND(Input_Product=Elig!$C26,Elig_MatchAll_Ct&lt;22,$BC26=(Elig_MatchAll_Ct-1),AR26=0),O26,0)</f>
        <v>0</v>
      </c>
      <c r="BU26" s="173">
        <f>IF(AND(Input_Product=Elig!$C26,Elig_MatchAll_Ct&lt;22,$BC26=(Elig_MatchAll_Ct-1),AS26=0),P26,0)</f>
        <v>0</v>
      </c>
      <c r="BV26" s="174">
        <f>IF(AND(Input_Product=Elig!$C26,Elig_MatchAll_Ct&lt;22,$BC26=(Elig_MatchAll_Ct-1),AT26=0),Q26,0)</f>
        <v>0</v>
      </c>
      <c r="BW26" s="175">
        <f>IF(AND(Input_Product=Elig!$C26,Elig_MatchAll_Ct&lt;22,$BC26=(Elig_MatchAll_Ct-1),AU26=0),R26,0)</f>
        <v>0</v>
      </c>
      <c r="BX26" s="176">
        <f>IF(AND(Input_Product=Elig!$C26,Elig_MatchAll_Ct&lt;22,$BC26=(Elig_MatchAll_Ct-1),AU26=0),S26,0)</f>
        <v>0</v>
      </c>
      <c r="BY26" s="175">
        <f>IF(AND(Input_Product=Elig!$C26,Elig_MatchAll_Ct&lt;22,$BC26=(Elig_MatchAll_Ct-1),AV26=0),T26,0)</f>
        <v>0</v>
      </c>
      <c r="BZ26" s="176">
        <f>IF(AND(Input_Product=Elig!$C26,Elig_MatchAll_Ct&lt;22,$BC26=(Elig_MatchAll_Ct-1),AV26=0),U26,0)</f>
        <v>0</v>
      </c>
      <c r="CA26" s="175">
        <f>IF(AND(Input_Product=Elig!$C26,Elig_MatchAll_Ct&lt;22,$BC26=(Elig_MatchAll_Ct-1),AW26=0),V26,0)</f>
        <v>0</v>
      </c>
      <c r="CB26" s="176">
        <f>IF(AND(Input_Product=Elig!$C26,Elig_MatchAll_Ct&lt;22,$BC26=(Elig_MatchAll_Ct-1),AW26=0),W26,0)</f>
        <v>0</v>
      </c>
      <c r="CC26" s="175">
        <f>IF(AND(Input_Product=Elig!$C26,Elig_MatchAll_Ct&lt;22,$BC26=(Elig_MatchAll_Ct-1),AX26=0),X26,0)</f>
        <v>0</v>
      </c>
      <c r="CD26" s="176">
        <f>IF(AND(Input_Product=Elig!$C26,Elig_MatchAll_Ct&lt;22,$BC26=(Elig_MatchAll_Ct-1),AX26=0),Y26,0)</f>
        <v>0</v>
      </c>
      <c r="CE26" s="175">
        <f>IF(AND(Input_LTV&lt;=AE26,Input_Product=Elig!$C26,Elig_MatchAll_Ct&lt;22,$BC26=(Elig_MatchAll_Ct-1),AY26=0),Z26,0)</f>
        <v>0</v>
      </c>
      <c r="CF26" s="176">
        <f>IF(AND(Input_LTV&lt;=AE26,Input_Product=Elig!$C26,Elig_MatchAll_Ct&lt;22,$BC26=(Elig_MatchAll_Ct-1),AY26=0),AA26,0)</f>
        <v>0</v>
      </c>
      <c r="CG26" s="175">
        <f>IF(AND(Input_Product=Elig!$C26,Elig_MatchAll_Ct&lt;22,$BC26=(Elig_MatchAll_Ct-1),AZ26=0),AB26,0)</f>
        <v>0</v>
      </c>
      <c r="CH26" s="176">
        <f>IF(AND(Input_Product=Elig!$C26,Elig_MatchAll_Ct&lt;22,$BC26=(Elig_MatchAll_Ct-1),AZ26=0),AC26,0)</f>
        <v>0</v>
      </c>
      <c r="CI26" s="175">
        <f>IF(AND(Input_Product=Elig!$C26,Elig_MatchAll_Ct&lt;22,$BC26=(Elig_MatchAll_Ct-1),BA26=0),AD26,0)</f>
        <v>0</v>
      </c>
      <c r="CJ26" s="177">
        <f>IF(AND(Input_Product=Elig!$C26,Elig_MatchAll_Ct&lt;22,$BC26=(Elig_MatchAll_Ct-1),BA26=0),AE26,0)</f>
        <v>0</v>
      </c>
    </row>
    <row r="27" spans="1:88" ht="10.15" customHeight="1" x14ac:dyDescent="0.25">
      <c r="A27" s="1419" t="s">
        <v>76</v>
      </c>
      <c r="B27" s="1419" t="s">
        <v>734</v>
      </c>
      <c r="C27" s="116" t="str">
        <f t="shared" si="1"/>
        <v>NonQM OO</v>
      </c>
      <c r="D27" s="117" t="s">
        <v>1995</v>
      </c>
      <c r="E27" s="117" t="s">
        <v>166</v>
      </c>
      <c r="F27" s="117" t="s">
        <v>330</v>
      </c>
      <c r="G27" s="117" t="s">
        <v>303</v>
      </c>
      <c r="H27" s="117" t="s">
        <v>444</v>
      </c>
      <c r="I27" s="118" t="s">
        <v>16</v>
      </c>
      <c r="J27" s="118" t="s">
        <v>1130</v>
      </c>
      <c r="K27" s="118" t="s">
        <v>1398</v>
      </c>
      <c r="L27" s="117" t="s">
        <v>2025</v>
      </c>
      <c r="M27" s="117" t="s">
        <v>2289</v>
      </c>
      <c r="N27" s="117" t="s">
        <v>82</v>
      </c>
      <c r="O27" s="117" t="s">
        <v>309</v>
      </c>
      <c r="P27" s="117" t="s">
        <v>2433</v>
      </c>
      <c r="Q27" s="117" t="s">
        <v>293</v>
      </c>
      <c r="R27" s="117">
        <v>100000</v>
      </c>
      <c r="S27" s="117">
        <v>1000000</v>
      </c>
      <c r="T27" s="117">
        <v>0</v>
      </c>
      <c r="U27" s="117">
        <f t="shared" si="14"/>
        <v>1000000</v>
      </c>
      <c r="V27" s="117">
        <v>0</v>
      </c>
      <c r="W27" s="117">
        <v>55</v>
      </c>
      <c r="X27" s="117">
        <v>0</v>
      </c>
      <c r="Y27" s="117">
        <v>999</v>
      </c>
      <c r="Z27" s="119">
        <v>680</v>
      </c>
      <c r="AA27" s="119">
        <v>699</v>
      </c>
      <c r="AB27" s="1877">
        <v>0</v>
      </c>
      <c r="AC27" s="119">
        <v>999999</v>
      </c>
      <c r="AD27" s="117">
        <v>0</v>
      </c>
      <c r="AE27" s="117">
        <v>80</v>
      </c>
      <c r="AF27" s="144">
        <v>0</v>
      </c>
      <c r="AG27" s="145">
        <v>1</v>
      </c>
      <c r="AH27" s="145">
        <v>1</v>
      </c>
      <c r="AI27" s="145">
        <v>0</v>
      </c>
      <c r="AJ27" s="145">
        <v>0</v>
      </c>
      <c r="AK27" s="145">
        <v>0</v>
      </c>
      <c r="AL27" s="145">
        <v>0</v>
      </c>
      <c r="AM27" s="145">
        <v>1</v>
      </c>
      <c r="AN27" s="145">
        <v>1</v>
      </c>
      <c r="AO27" s="145">
        <v>1</v>
      </c>
      <c r="AP27" s="145">
        <v>1</v>
      </c>
      <c r="AQ27" s="145">
        <v>0</v>
      </c>
      <c r="AR27" s="145">
        <v>1</v>
      </c>
      <c r="AS27" s="145">
        <v>1</v>
      </c>
      <c r="AT27" s="145">
        <v>1</v>
      </c>
      <c r="AU27" s="145">
        <f t="shared" si="2"/>
        <v>1</v>
      </c>
      <c r="AV27" s="145">
        <f t="shared" si="3"/>
        <v>1</v>
      </c>
      <c r="AW27" s="145">
        <f t="shared" si="4"/>
        <v>1</v>
      </c>
      <c r="AX27" s="145">
        <f t="shared" si="5"/>
        <v>1</v>
      </c>
      <c r="AY27" s="145">
        <f t="shared" si="6"/>
        <v>0</v>
      </c>
      <c r="AZ27" s="145">
        <f t="shared" si="7"/>
        <v>1</v>
      </c>
      <c r="BA27" s="146">
        <f t="shared" si="8"/>
        <v>1</v>
      </c>
      <c r="BB27" s="149">
        <f t="shared" si="9"/>
        <v>15</v>
      </c>
      <c r="BC27" s="150">
        <f t="shared" si="10"/>
        <v>14</v>
      </c>
      <c r="BD27" s="150">
        <f t="shared" si="11"/>
        <v>15</v>
      </c>
      <c r="BE27" s="211" t="str">
        <f t="shared" si="12"/>
        <v/>
      </c>
      <c r="BH27" s="172">
        <f>IF(AND(Input_Product=Elig!$C27,Elig_MatchAll_Ct&lt;22,$BC27=(Elig_MatchAll_Ct-1),AF27=0),C27,0)</f>
        <v>0</v>
      </c>
      <c r="BI27" s="173">
        <f>IF(AND(Input_Product=Elig!$C27,Elig_MatchAll_Ct&lt;22,$BC27=(Elig_MatchAll_Ct-1),AG27=0),D27,0)</f>
        <v>0</v>
      </c>
      <c r="BJ27" s="173">
        <f>IF(AND(Input_Product=Elig!$C27,Elig_MatchAll_Ct&lt;22,$BC27=(Elig_MatchAll_Ct-1),AH27=0),E27,0)</f>
        <v>0</v>
      </c>
      <c r="BK27" s="173">
        <f>IF(AND(Input_Product=Elig!$C27,Elig_MatchAll_Ct&lt;22,$BC27=(Elig_MatchAll_Ct-1),AI27=0),F27,0)</f>
        <v>0</v>
      </c>
      <c r="BL27" s="173">
        <f>IF(AND(Input_Product=Elig!$C27,Elig_MatchAll_Ct&lt;22,$BC27=(Elig_MatchAll_Ct-1),AJ27=0),G27,0)</f>
        <v>0</v>
      </c>
      <c r="BM27" s="173">
        <f>IF(AND(Input_Product=Elig!$C27,Elig_MatchAll_Ct&lt;22,$BC27=(Elig_MatchAll_Ct-1),AK27=0),H27,0)</f>
        <v>0</v>
      </c>
      <c r="BN27" s="173">
        <f>IF(AND(Input_Product=Elig!$C27,Elig_MatchAll_Ct&lt;22,$BC27=(Elig_MatchAll_Ct-1),AL27=0),I27,0)</f>
        <v>0</v>
      </c>
      <c r="BO27" s="173">
        <f>IF(AND(Input_Product=Elig!$C27,Elig_MatchAll_Ct&lt;22,$BC27=(Elig_MatchAll_Ct-1),AM27=0),J27,0)</f>
        <v>0</v>
      </c>
      <c r="BP27" s="173">
        <f>IF(AND(Input_Product=Elig!$C27,Elig_MatchAll_Ct&lt;22,$BC27=(Elig_MatchAll_Ct-1),AN27=0),K27,0)</f>
        <v>0</v>
      </c>
      <c r="BQ27" s="173">
        <f>IF(AND(Input_Product=Elig!$C27,Elig_MatchAll_Ct&lt;22,$BC27=(Elig_MatchAll_Ct-1),AP27=0),L27,0)</f>
        <v>0</v>
      </c>
      <c r="BR27" s="173">
        <f>IF(AND(Input_Product=Elig!$C27,Elig_MatchAll_Ct&lt;22,$BC27=(Elig_MatchAll_Ct-1),AO27=0),M27,0)</f>
        <v>0</v>
      </c>
      <c r="BS27" s="173">
        <f>IF(AND(Input_Product=Elig!$C27,Elig_MatchAll_Ct&lt;22,$BC27=(Elig_MatchAll_Ct-1),AQ27=0),N27,0)</f>
        <v>0</v>
      </c>
      <c r="BT27" s="173">
        <f>IF(AND(Input_Product=Elig!$C27,Elig_MatchAll_Ct&lt;22,$BC27=(Elig_MatchAll_Ct-1),AR27=0),O27,0)</f>
        <v>0</v>
      </c>
      <c r="BU27" s="173">
        <f>IF(AND(Input_Product=Elig!$C27,Elig_MatchAll_Ct&lt;22,$BC27=(Elig_MatchAll_Ct-1),AS27=0),P27,0)</f>
        <v>0</v>
      </c>
      <c r="BV27" s="174">
        <f>IF(AND(Input_Product=Elig!$C27,Elig_MatchAll_Ct&lt;22,$BC27=(Elig_MatchAll_Ct-1),AT27=0),Q27,0)</f>
        <v>0</v>
      </c>
      <c r="BW27" s="175">
        <f>IF(AND(Input_Product=Elig!$C27,Elig_MatchAll_Ct&lt;22,$BC27=(Elig_MatchAll_Ct-1),AU27=0),R27,0)</f>
        <v>0</v>
      </c>
      <c r="BX27" s="176">
        <f>IF(AND(Input_Product=Elig!$C27,Elig_MatchAll_Ct&lt;22,$BC27=(Elig_MatchAll_Ct-1),AU27=0),S27,0)</f>
        <v>0</v>
      </c>
      <c r="BY27" s="175">
        <f>IF(AND(Input_Product=Elig!$C27,Elig_MatchAll_Ct&lt;22,$BC27=(Elig_MatchAll_Ct-1),AV27=0),T27,0)</f>
        <v>0</v>
      </c>
      <c r="BZ27" s="176">
        <f>IF(AND(Input_Product=Elig!$C27,Elig_MatchAll_Ct&lt;22,$BC27=(Elig_MatchAll_Ct-1),AV27=0),U27,0)</f>
        <v>0</v>
      </c>
      <c r="CA27" s="175">
        <f>IF(AND(Input_Product=Elig!$C27,Elig_MatchAll_Ct&lt;22,$BC27=(Elig_MatchAll_Ct-1),AW27=0),V27,0)</f>
        <v>0</v>
      </c>
      <c r="CB27" s="176">
        <f>IF(AND(Input_Product=Elig!$C27,Elig_MatchAll_Ct&lt;22,$BC27=(Elig_MatchAll_Ct-1),AW27=0),W27,0)</f>
        <v>0</v>
      </c>
      <c r="CC27" s="175">
        <f>IF(AND(Input_Product=Elig!$C27,Elig_MatchAll_Ct&lt;22,$BC27=(Elig_MatchAll_Ct-1),AX27=0),X27,0)</f>
        <v>0</v>
      </c>
      <c r="CD27" s="176">
        <f>IF(AND(Input_Product=Elig!$C27,Elig_MatchAll_Ct&lt;22,$BC27=(Elig_MatchAll_Ct-1),AX27=0),Y27,0)</f>
        <v>0</v>
      </c>
      <c r="CE27" s="175">
        <f>IF(AND(Input_LTV&lt;=AE27,Input_Product=Elig!$C27,Elig_MatchAll_Ct&lt;22,$BC27=(Elig_MatchAll_Ct-1),AY27=0),Z27,0)</f>
        <v>0</v>
      </c>
      <c r="CF27" s="176">
        <f>IF(AND(Input_LTV&lt;=AE27,Input_Product=Elig!$C27,Elig_MatchAll_Ct&lt;22,$BC27=(Elig_MatchAll_Ct-1),AY27=0),AA27,0)</f>
        <v>0</v>
      </c>
      <c r="CG27" s="175">
        <f>IF(AND(Input_Product=Elig!$C27,Elig_MatchAll_Ct&lt;22,$BC27=(Elig_MatchAll_Ct-1),AZ27=0),AB27,0)</f>
        <v>0</v>
      </c>
      <c r="CH27" s="176">
        <f>IF(AND(Input_Product=Elig!$C27,Elig_MatchAll_Ct&lt;22,$BC27=(Elig_MatchAll_Ct-1),AZ27=0),AC27,0)</f>
        <v>0</v>
      </c>
      <c r="CI27" s="175">
        <f>IF(AND(Input_Product=Elig!$C27,Elig_MatchAll_Ct&lt;22,$BC27=(Elig_MatchAll_Ct-1),BA27=0),AD27,0)</f>
        <v>0</v>
      </c>
      <c r="CJ27" s="177">
        <f>IF(AND(Input_Product=Elig!$C27,Elig_MatchAll_Ct&lt;22,$BC27=(Elig_MatchAll_Ct-1),BA27=0),AE27,0)</f>
        <v>0</v>
      </c>
    </row>
    <row r="28" spans="1:88" ht="10.15" customHeight="1" x14ac:dyDescent="0.25">
      <c r="A28" s="1419" t="s">
        <v>76</v>
      </c>
      <c r="B28" s="1419" t="s">
        <v>735</v>
      </c>
      <c r="C28" s="116" t="str">
        <f t="shared" si="1"/>
        <v>NonQM OO</v>
      </c>
      <c r="D28" s="117" t="s">
        <v>1995</v>
      </c>
      <c r="E28" s="117" t="s">
        <v>166</v>
      </c>
      <c r="F28" s="117" t="s">
        <v>330</v>
      </c>
      <c r="G28" s="117" t="s">
        <v>303</v>
      </c>
      <c r="H28" s="117" t="s">
        <v>444</v>
      </c>
      <c r="I28" s="117" t="s">
        <v>16</v>
      </c>
      <c r="J28" s="117" t="s">
        <v>1130</v>
      </c>
      <c r="K28" s="117" t="s">
        <v>1398</v>
      </c>
      <c r="L28" s="117" t="s">
        <v>2025</v>
      </c>
      <c r="M28" s="117" t="s">
        <v>2289</v>
      </c>
      <c r="N28" s="117" t="s">
        <v>82</v>
      </c>
      <c r="O28" s="117" t="s">
        <v>309</v>
      </c>
      <c r="P28" s="117" t="s">
        <v>2433</v>
      </c>
      <c r="Q28" s="117" t="s">
        <v>293</v>
      </c>
      <c r="R28" s="117">
        <v>100000</v>
      </c>
      <c r="S28" s="117">
        <v>1000000</v>
      </c>
      <c r="T28" s="117">
        <v>0</v>
      </c>
      <c r="U28" s="117">
        <f t="shared" si="14"/>
        <v>1000000</v>
      </c>
      <c r="V28" s="117">
        <v>0</v>
      </c>
      <c r="W28" s="117">
        <v>55</v>
      </c>
      <c r="X28" s="117">
        <v>0</v>
      </c>
      <c r="Y28" s="117">
        <v>999</v>
      </c>
      <c r="Z28" s="119">
        <v>660</v>
      </c>
      <c r="AA28" s="119">
        <v>679</v>
      </c>
      <c r="AB28" s="1877">
        <v>0</v>
      </c>
      <c r="AC28" s="119">
        <v>999999</v>
      </c>
      <c r="AD28" s="117">
        <v>0</v>
      </c>
      <c r="AE28" s="117">
        <v>75</v>
      </c>
      <c r="AF28" s="144">
        <v>0</v>
      </c>
      <c r="AG28" s="145">
        <v>1</v>
      </c>
      <c r="AH28" s="145">
        <v>1</v>
      </c>
      <c r="AI28" s="145">
        <v>0</v>
      </c>
      <c r="AJ28" s="145">
        <v>0</v>
      </c>
      <c r="AK28" s="145">
        <v>0</v>
      </c>
      <c r="AL28" s="145">
        <v>0</v>
      </c>
      <c r="AM28" s="145">
        <v>1</v>
      </c>
      <c r="AN28" s="145">
        <v>1</v>
      </c>
      <c r="AO28" s="145">
        <v>1</v>
      </c>
      <c r="AP28" s="145">
        <v>1</v>
      </c>
      <c r="AQ28" s="145">
        <v>0</v>
      </c>
      <c r="AR28" s="145">
        <v>1</v>
      </c>
      <c r="AS28" s="145">
        <v>1</v>
      </c>
      <c r="AT28" s="145">
        <v>1</v>
      </c>
      <c r="AU28" s="145">
        <f t="shared" si="2"/>
        <v>1</v>
      </c>
      <c r="AV28" s="145">
        <f t="shared" si="3"/>
        <v>1</v>
      </c>
      <c r="AW28" s="145">
        <f t="shared" si="4"/>
        <v>1</v>
      </c>
      <c r="AX28" s="145">
        <f t="shared" si="5"/>
        <v>1</v>
      </c>
      <c r="AY28" s="145">
        <f t="shared" si="6"/>
        <v>0</v>
      </c>
      <c r="AZ28" s="145">
        <f t="shared" si="7"/>
        <v>1</v>
      </c>
      <c r="BA28" s="146">
        <f t="shared" si="8"/>
        <v>1</v>
      </c>
      <c r="BB28" s="149">
        <f t="shared" si="9"/>
        <v>15</v>
      </c>
      <c r="BC28" s="150">
        <f t="shared" si="10"/>
        <v>14</v>
      </c>
      <c r="BD28" s="150">
        <f t="shared" si="11"/>
        <v>15</v>
      </c>
      <c r="BE28" s="211" t="str">
        <f t="shared" si="12"/>
        <v/>
      </c>
      <c r="BH28" s="172">
        <f>IF(AND(Input_Product=Elig!$C28,Elig_MatchAll_Ct&lt;22,$BC28=(Elig_MatchAll_Ct-1),AF28=0),C28,0)</f>
        <v>0</v>
      </c>
      <c r="BI28" s="173">
        <f>IF(AND(Input_Product=Elig!$C28,Elig_MatchAll_Ct&lt;22,$BC28=(Elig_MatchAll_Ct-1),AG28=0),D28,0)</f>
        <v>0</v>
      </c>
      <c r="BJ28" s="173">
        <f>IF(AND(Input_Product=Elig!$C28,Elig_MatchAll_Ct&lt;22,$BC28=(Elig_MatchAll_Ct-1),AH28=0),E28,0)</f>
        <v>0</v>
      </c>
      <c r="BK28" s="173">
        <f>IF(AND(Input_Product=Elig!$C28,Elig_MatchAll_Ct&lt;22,$BC28=(Elig_MatchAll_Ct-1),AI28=0),F28,0)</f>
        <v>0</v>
      </c>
      <c r="BL28" s="173">
        <f>IF(AND(Input_Product=Elig!$C28,Elig_MatchAll_Ct&lt;22,$BC28=(Elig_MatchAll_Ct-1),AJ28=0),G28,0)</f>
        <v>0</v>
      </c>
      <c r="BM28" s="173">
        <f>IF(AND(Input_Product=Elig!$C28,Elig_MatchAll_Ct&lt;22,$BC28=(Elig_MatchAll_Ct-1),AK28=0),H28,0)</f>
        <v>0</v>
      </c>
      <c r="BN28" s="173">
        <f>IF(AND(Input_Product=Elig!$C28,Elig_MatchAll_Ct&lt;22,$BC28=(Elig_MatchAll_Ct-1),AL28=0),I28,0)</f>
        <v>0</v>
      </c>
      <c r="BO28" s="173">
        <f>IF(AND(Input_Product=Elig!$C28,Elig_MatchAll_Ct&lt;22,$BC28=(Elig_MatchAll_Ct-1),AM28=0),J28,0)</f>
        <v>0</v>
      </c>
      <c r="BP28" s="173">
        <f>IF(AND(Input_Product=Elig!$C28,Elig_MatchAll_Ct&lt;22,$BC28=(Elig_MatchAll_Ct-1),AN28=0),K28,0)</f>
        <v>0</v>
      </c>
      <c r="BQ28" s="173">
        <f>IF(AND(Input_Product=Elig!$C28,Elig_MatchAll_Ct&lt;22,$BC28=(Elig_MatchAll_Ct-1),AP28=0),L28,0)</f>
        <v>0</v>
      </c>
      <c r="BR28" s="173">
        <f>IF(AND(Input_Product=Elig!$C28,Elig_MatchAll_Ct&lt;22,$BC28=(Elig_MatchAll_Ct-1),AO28=0),M28,0)</f>
        <v>0</v>
      </c>
      <c r="BS28" s="173">
        <f>IF(AND(Input_Product=Elig!$C28,Elig_MatchAll_Ct&lt;22,$BC28=(Elig_MatchAll_Ct-1),AQ28=0),N28,0)</f>
        <v>0</v>
      </c>
      <c r="BT28" s="173">
        <f>IF(AND(Input_Product=Elig!$C28,Elig_MatchAll_Ct&lt;22,$BC28=(Elig_MatchAll_Ct-1),AR28=0),O28,0)</f>
        <v>0</v>
      </c>
      <c r="BU28" s="173">
        <f>IF(AND(Input_Product=Elig!$C28,Elig_MatchAll_Ct&lt;22,$BC28=(Elig_MatchAll_Ct-1),AS28=0),P28,0)</f>
        <v>0</v>
      </c>
      <c r="BV28" s="174">
        <f>IF(AND(Input_Product=Elig!$C28,Elig_MatchAll_Ct&lt;22,$BC28=(Elig_MatchAll_Ct-1),AT28=0),Q28,0)</f>
        <v>0</v>
      </c>
      <c r="BW28" s="175">
        <f>IF(AND(Input_Product=Elig!$C28,Elig_MatchAll_Ct&lt;22,$BC28=(Elig_MatchAll_Ct-1),AU28=0),R28,0)</f>
        <v>0</v>
      </c>
      <c r="BX28" s="176">
        <f>IF(AND(Input_Product=Elig!$C28,Elig_MatchAll_Ct&lt;22,$BC28=(Elig_MatchAll_Ct-1),AU28=0),S28,0)</f>
        <v>0</v>
      </c>
      <c r="BY28" s="175">
        <f>IF(AND(Input_Product=Elig!$C28,Elig_MatchAll_Ct&lt;22,$BC28=(Elig_MatchAll_Ct-1),AV28=0),T28,0)</f>
        <v>0</v>
      </c>
      <c r="BZ28" s="176">
        <f>IF(AND(Input_Product=Elig!$C28,Elig_MatchAll_Ct&lt;22,$BC28=(Elig_MatchAll_Ct-1),AV28=0),U28,0)</f>
        <v>0</v>
      </c>
      <c r="CA28" s="175">
        <f>IF(AND(Input_Product=Elig!$C28,Elig_MatchAll_Ct&lt;22,$BC28=(Elig_MatchAll_Ct-1),AW28=0),V28,0)</f>
        <v>0</v>
      </c>
      <c r="CB28" s="176">
        <f>IF(AND(Input_Product=Elig!$C28,Elig_MatchAll_Ct&lt;22,$BC28=(Elig_MatchAll_Ct-1),AW28=0),W28,0)</f>
        <v>0</v>
      </c>
      <c r="CC28" s="175">
        <f>IF(AND(Input_Product=Elig!$C28,Elig_MatchAll_Ct&lt;22,$BC28=(Elig_MatchAll_Ct-1),AX28=0),X28,0)</f>
        <v>0</v>
      </c>
      <c r="CD28" s="176">
        <f>IF(AND(Input_Product=Elig!$C28,Elig_MatchAll_Ct&lt;22,$BC28=(Elig_MatchAll_Ct-1),AX28=0),Y28,0)</f>
        <v>0</v>
      </c>
      <c r="CE28" s="175">
        <f>IF(AND(Input_LTV&lt;=AE28,Input_Product=Elig!$C28,Elig_MatchAll_Ct&lt;22,$BC28=(Elig_MatchAll_Ct-1),AY28=0),Z28,0)</f>
        <v>0</v>
      </c>
      <c r="CF28" s="176">
        <f>IF(AND(Input_LTV&lt;=AE28,Input_Product=Elig!$C28,Elig_MatchAll_Ct&lt;22,$BC28=(Elig_MatchAll_Ct-1),AY28=0),AA28,0)</f>
        <v>0</v>
      </c>
      <c r="CG28" s="175">
        <f>IF(AND(Input_Product=Elig!$C28,Elig_MatchAll_Ct&lt;22,$BC28=(Elig_MatchAll_Ct-1),AZ28=0),AB28,0)</f>
        <v>0</v>
      </c>
      <c r="CH28" s="176">
        <f>IF(AND(Input_Product=Elig!$C28,Elig_MatchAll_Ct&lt;22,$BC28=(Elig_MatchAll_Ct-1),AZ28=0),AC28,0)</f>
        <v>0</v>
      </c>
      <c r="CI28" s="175">
        <f>IF(AND(Input_Product=Elig!$C28,Elig_MatchAll_Ct&lt;22,$BC28=(Elig_MatchAll_Ct-1),BA28=0),AD28,0)</f>
        <v>0</v>
      </c>
      <c r="CJ28" s="177">
        <f>IF(AND(Input_Product=Elig!$C28,Elig_MatchAll_Ct&lt;22,$BC28=(Elig_MatchAll_Ct-1),BA28=0),AE28,0)</f>
        <v>0</v>
      </c>
    </row>
    <row r="29" spans="1:88" ht="10.15" customHeight="1" x14ac:dyDescent="0.25">
      <c r="A29" s="1419" t="s">
        <v>76</v>
      </c>
      <c r="B29" s="1419" t="s">
        <v>736</v>
      </c>
      <c r="C29" s="116" t="str">
        <f t="shared" si="1"/>
        <v>NonQM OO</v>
      </c>
      <c r="D29" s="117" t="s">
        <v>1995</v>
      </c>
      <c r="E29" s="117" t="s">
        <v>166</v>
      </c>
      <c r="F29" s="117" t="s">
        <v>330</v>
      </c>
      <c r="G29" s="117" t="s">
        <v>303</v>
      </c>
      <c r="H29" s="117" t="s">
        <v>444</v>
      </c>
      <c r="I29" s="117" t="s">
        <v>16</v>
      </c>
      <c r="J29" s="117" t="s">
        <v>1130</v>
      </c>
      <c r="K29" s="117" t="s">
        <v>1398</v>
      </c>
      <c r="L29" s="117" t="s">
        <v>2025</v>
      </c>
      <c r="M29" s="117" t="s">
        <v>2289</v>
      </c>
      <c r="N29" s="117" t="s">
        <v>82</v>
      </c>
      <c r="O29" s="117" t="s">
        <v>309</v>
      </c>
      <c r="P29" s="117" t="s">
        <v>2433</v>
      </c>
      <c r="Q29" s="117" t="s">
        <v>293</v>
      </c>
      <c r="R29" s="117">
        <v>100000</v>
      </c>
      <c r="S29" s="117">
        <v>1000000</v>
      </c>
      <c r="T29" s="117">
        <v>0</v>
      </c>
      <c r="U29" s="117">
        <f t="shared" si="14"/>
        <v>1000000</v>
      </c>
      <c r="V29" s="117">
        <v>0</v>
      </c>
      <c r="W29" s="117">
        <v>55</v>
      </c>
      <c r="X29" s="117">
        <v>0</v>
      </c>
      <c r="Y29" s="117">
        <v>999</v>
      </c>
      <c r="Z29" s="119">
        <v>640</v>
      </c>
      <c r="AA29" s="119">
        <v>659</v>
      </c>
      <c r="AB29" s="1877">
        <v>0</v>
      </c>
      <c r="AC29" s="119">
        <v>999999</v>
      </c>
      <c r="AD29" s="117">
        <v>0</v>
      </c>
      <c r="AE29" s="117">
        <v>70</v>
      </c>
      <c r="AF29" s="144">
        <v>0</v>
      </c>
      <c r="AG29" s="145">
        <v>1</v>
      </c>
      <c r="AH29" s="145">
        <v>1</v>
      </c>
      <c r="AI29" s="145">
        <v>0</v>
      </c>
      <c r="AJ29" s="145">
        <v>0</v>
      </c>
      <c r="AK29" s="145">
        <v>0</v>
      </c>
      <c r="AL29" s="145">
        <v>0</v>
      </c>
      <c r="AM29" s="145">
        <v>1</v>
      </c>
      <c r="AN29" s="145">
        <v>1</v>
      </c>
      <c r="AO29" s="145">
        <v>1</v>
      </c>
      <c r="AP29" s="145">
        <v>1</v>
      </c>
      <c r="AQ29" s="145">
        <v>0</v>
      </c>
      <c r="AR29" s="145">
        <v>1</v>
      </c>
      <c r="AS29" s="145">
        <v>1</v>
      </c>
      <c r="AT29" s="145">
        <v>1</v>
      </c>
      <c r="AU29" s="145">
        <f t="shared" si="2"/>
        <v>1</v>
      </c>
      <c r="AV29" s="145">
        <f t="shared" si="3"/>
        <v>1</v>
      </c>
      <c r="AW29" s="145">
        <f t="shared" si="4"/>
        <v>1</v>
      </c>
      <c r="AX29" s="145">
        <f t="shared" si="5"/>
        <v>1</v>
      </c>
      <c r="AY29" s="145">
        <f t="shared" si="6"/>
        <v>0</v>
      </c>
      <c r="AZ29" s="145">
        <f t="shared" si="7"/>
        <v>1</v>
      </c>
      <c r="BA29" s="146">
        <f t="shared" si="8"/>
        <v>1</v>
      </c>
      <c r="BB29" s="149">
        <f t="shared" si="9"/>
        <v>15</v>
      </c>
      <c r="BC29" s="150">
        <f t="shared" si="10"/>
        <v>14</v>
      </c>
      <c r="BD29" s="150">
        <f t="shared" si="11"/>
        <v>15</v>
      </c>
      <c r="BE29" s="211" t="str">
        <f t="shared" si="12"/>
        <v/>
      </c>
      <c r="BH29" s="172">
        <f>IF(AND(Input_Product=Elig!$C29,Elig_MatchAll_Ct&lt;22,$BC29=(Elig_MatchAll_Ct-1),AF29=0),C29,0)</f>
        <v>0</v>
      </c>
      <c r="BI29" s="173">
        <f>IF(AND(Input_Product=Elig!$C29,Elig_MatchAll_Ct&lt;22,$BC29=(Elig_MatchAll_Ct-1),AG29=0),D29,0)</f>
        <v>0</v>
      </c>
      <c r="BJ29" s="173">
        <f>IF(AND(Input_Product=Elig!$C29,Elig_MatchAll_Ct&lt;22,$BC29=(Elig_MatchAll_Ct-1),AH29=0),E29,0)</f>
        <v>0</v>
      </c>
      <c r="BK29" s="173">
        <f>IF(AND(Input_Product=Elig!$C29,Elig_MatchAll_Ct&lt;22,$BC29=(Elig_MatchAll_Ct-1),AI29=0),F29,0)</f>
        <v>0</v>
      </c>
      <c r="BL29" s="173">
        <f>IF(AND(Input_Product=Elig!$C29,Elig_MatchAll_Ct&lt;22,$BC29=(Elig_MatchAll_Ct-1),AJ29=0),G29,0)</f>
        <v>0</v>
      </c>
      <c r="BM29" s="173">
        <f>IF(AND(Input_Product=Elig!$C29,Elig_MatchAll_Ct&lt;22,$BC29=(Elig_MatchAll_Ct-1),AK29=0),H29,0)</f>
        <v>0</v>
      </c>
      <c r="BN29" s="173">
        <f>IF(AND(Input_Product=Elig!$C29,Elig_MatchAll_Ct&lt;22,$BC29=(Elig_MatchAll_Ct-1),AL29=0),I29,0)</f>
        <v>0</v>
      </c>
      <c r="BO29" s="173">
        <f>IF(AND(Input_Product=Elig!$C29,Elig_MatchAll_Ct&lt;22,$BC29=(Elig_MatchAll_Ct-1),AM29=0),J29,0)</f>
        <v>0</v>
      </c>
      <c r="BP29" s="173">
        <f>IF(AND(Input_Product=Elig!$C29,Elig_MatchAll_Ct&lt;22,$BC29=(Elig_MatchAll_Ct-1),AN29=0),K29,0)</f>
        <v>0</v>
      </c>
      <c r="BQ29" s="173">
        <f>IF(AND(Input_Product=Elig!$C29,Elig_MatchAll_Ct&lt;22,$BC29=(Elig_MatchAll_Ct-1),AP29=0),L29,0)</f>
        <v>0</v>
      </c>
      <c r="BR29" s="173">
        <f>IF(AND(Input_Product=Elig!$C29,Elig_MatchAll_Ct&lt;22,$BC29=(Elig_MatchAll_Ct-1),AO29=0),M29,0)</f>
        <v>0</v>
      </c>
      <c r="BS29" s="173">
        <f>IF(AND(Input_Product=Elig!$C29,Elig_MatchAll_Ct&lt;22,$BC29=(Elig_MatchAll_Ct-1),AQ29=0),N29,0)</f>
        <v>0</v>
      </c>
      <c r="BT29" s="173">
        <f>IF(AND(Input_Product=Elig!$C29,Elig_MatchAll_Ct&lt;22,$BC29=(Elig_MatchAll_Ct-1),AR29=0),O29,0)</f>
        <v>0</v>
      </c>
      <c r="BU29" s="173">
        <f>IF(AND(Input_Product=Elig!$C29,Elig_MatchAll_Ct&lt;22,$BC29=(Elig_MatchAll_Ct-1),AS29=0),P29,0)</f>
        <v>0</v>
      </c>
      <c r="BV29" s="174">
        <f>IF(AND(Input_Product=Elig!$C29,Elig_MatchAll_Ct&lt;22,$BC29=(Elig_MatchAll_Ct-1),AT29=0),Q29,0)</f>
        <v>0</v>
      </c>
      <c r="BW29" s="175">
        <f>IF(AND(Input_Product=Elig!$C29,Elig_MatchAll_Ct&lt;22,$BC29=(Elig_MatchAll_Ct-1),AU29=0),R29,0)</f>
        <v>0</v>
      </c>
      <c r="BX29" s="176">
        <f>IF(AND(Input_Product=Elig!$C29,Elig_MatchAll_Ct&lt;22,$BC29=(Elig_MatchAll_Ct-1),AU29=0),S29,0)</f>
        <v>0</v>
      </c>
      <c r="BY29" s="175">
        <f>IF(AND(Input_Product=Elig!$C29,Elig_MatchAll_Ct&lt;22,$BC29=(Elig_MatchAll_Ct-1),AV29=0),T29,0)</f>
        <v>0</v>
      </c>
      <c r="BZ29" s="176">
        <f>IF(AND(Input_Product=Elig!$C29,Elig_MatchAll_Ct&lt;22,$BC29=(Elig_MatchAll_Ct-1),AV29=0),U29,0)</f>
        <v>0</v>
      </c>
      <c r="CA29" s="175">
        <f>IF(AND(Input_Product=Elig!$C29,Elig_MatchAll_Ct&lt;22,$BC29=(Elig_MatchAll_Ct-1),AW29=0),V29,0)</f>
        <v>0</v>
      </c>
      <c r="CB29" s="176">
        <f>IF(AND(Input_Product=Elig!$C29,Elig_MatchAll_Ct&lt;22,$BC29=(Elig_MatchAll_Ct-1),AW29=0),W29,0)</f>
        <v>0</v>
      </c>
      <c r="CC29" s="175">
        <f>IF(AND(Input_Product=Elig!$C29,Elig_MatchAll_Ct&lt;22,$BC29=(Elig_MatchAll_Ct-1),AX29=0),X29,0)</f>
        <v>0</v>
      </c>
      <c r="CD29" s="176">
        <f>IF(AND(Input_Product=Elig!$C29,Elig_MatchAll_Ct&lt;22,$BC29=(Elig_MatchAll_Ct-1),AX29=0),Y29,0)</f>
        <v>0</v>
      </c>
      <c r="CE29" s="175">
        <f>IF(AND(Input_LTV&lt;=AE29,Input_Product=Elig!$C29,Elig_MatchAll_Ct&lt;22,$BC29=(Elig_MatchAll_Ct-1),AY29=0),Z29,0)</f>
        <v>0</v>
      </c>
      <c r="CF29" s="176">
        <f>IF(AND(Input_LTV&lt;=AE29,Input_Product=Elig!$C29,Elig_MatchAll_Ct&lt;22,$BC29=(Elig_MatchAll_Ct-1),AY29=0),AA29,0)</f>
        <v>0</v>
      </c>
      <c r="CG29" s="175">
        <f>IF(AND(Input_Product=Elig!$C29,Elig_MatchAll_Ct&lt;22,$BC29=(Elig_MatchAll_Ct-1),AZ29=0),AB29,0)</f>
        <v>0</v>
      </c>
      <c r="CH29" s="176">
        <f>IF(AND(Input_Product=Elig!$C29,Elig_MatchAll_Ct&lt;22,$BC29=(Elig_MatchAll_Ct-1),AZ29=0),AC29,0)</f>
        <v>0</v>
      </c>
      <c r="CI29" s="175">
        <f>IF(AND(Input_Product=Elig!$C29,Elig_MatchAll_Ct&lt;22,$BC29=(Elig_MatchAll_Ct-1),BA29=0),AD29,0)</f>
        <v>0</v>
      </c>
      <c r="CJ29" s="177">
        <f>IF(AND(Input_Product=Elig!$C29,Elig_MatchAll_Ct&lt;22,$BC29=(Elig_MatchAll_Ct-1),BA29=0),AE29,0)</f>
        <v>0</v>
      </c>
    </row>
    <row r="30" spans="1:88" ht="10.15" customHeight="1" x14ac:dyDescent="0.25">
      <c r="A30" s="1419" t="s">
        <v>76</v>
      </c>
      <c r="B30" s="1419" t="s">
        <v>737</v>
      </c>
      <c r="C30" s="120" t="str">
        <f t="shared" si="1"/>
        <v>NonQM OO</v>
      </c>
      <c r="D30" s="121" t="s">
        <v>1995</v>
      </c>
      <c r="E30" s="121" t="s">
        <v>166</v>
      </c>
      <c r="F30" s="121" t="s">
        <v>330</v>
      </c>
      <c r="G30" s="121" t="s">
        <v>303</v>
      </c>
      <c r="H30" s="121" t="s">
        <v>444</v>
      </c>
      <c r="I30" s="121" t="s">
        <v>16</v>
      </c>
      <c r="J30" s="121" t="s">
        <v>1130</v>
      </c>
      <c r="K30" s="121" t="s">
        <v>1398</v>
      </c>
      <c r="L30" s="121" t="s">
        <v>2025</v>
      </c>
      <c r="M30" s="121" t="s">
        <v>2289</v>
      </c>
      <c r="N30" s="121" t="s">
        <v>82</v>
      </c>
      <c r="O30" s="121" t="s">
        <v>309</v>
      </c>
      <c r="P30" s="121" t="s">
        <v>2433</v>
      </c>
      <c r="Q30" s="121" t="s">
        <v>293</v>
      </c>
      <c r="R30" s="121">
        <v>100000</v>
      </c>
      <c r="S30" s="121">
        <v>1000000</v>
      </c>
      <c r="T30" s="121">
        <v>0</v>
      </c>
      <c r="U30" s="121">
        <f t="shared" si="14"/>
        <v>1000000</v>
      </c>
      <c r="V30" s="121">
        <v>0</v>
      </c>
      <c r="W30" s="121">
        <v>55</v>
      </c>
      <c r="X30" s="121">
        <v>0</v>
      </c>
      <c r="Y30" s="121">
        <v>999</v>
      </c>
      <c r="Z30" s="122">
        <v>620</v>
      </c>
      <c r="AA30" s="122">
        <v>639</v>
      </c>
      <c r="AB30" s="1878">
        <v>0</v>
      </c>
      <c r="AC30" s="122">
        <v>999999</v>
      </c>
      <c r="AD30" s="121">
        <v>0</v>
      </c>
      <c r="AE30" s="121">
        <v>70</v>
      </c>
      <c r="AF30" s="144">
        <v>0</v>
      </c>
      <c r="AG30" s="145">
        <v>1</v>
      </c>
      <c r="AH30" s="145">
        <v>1</v>
      </c>
      <c r="AI30" s="145">
        <v>0</v>
      </c>
      <c r="AJ30" s="145">
        <v>0</v>
      </c>
      <c r="AK30" s="145">
        <v>0</v>
      </c>
      <c r="AL30" s="145">
        <v>0</v>
      </c>
      <c r="AM30" s="145">
        <v>1</v>
      </c>
      <c r="AN30" s="145">
        <v>1</v>
      </c>
      <c r="AO30" s="145">
        <v>1</v>
      </c>
      <c r="AP30" s="145">
        <v>1</v>
      </c>
      <c r="AQ30" s="145">
        <v>0</v>
      </c>
      <c r="AR30" s="145">
        <v>1</v>
      </c>
      <c r="AS30" s="145">
        <v>1</v>
      </c>
      <c r="AT30" s="145">
        <v>1</v>
      </c>
      <c r="AU30" s="145">
        <f t="shared" si="2"/>
        <v>1</v>
      </c>
      <c r="AV30" s="145">
        <f t="shared" si="3"/>
        <v>1</v>
      </c>
      <c r="AW30" s="145">
        <f t="shared" si="4"/>
        <v>1</v>
      </c>
      <c r="AX30" s="145">
        <f t="shared" si="5"/>
        <v>1</v>
      </c>
      <c r="AY30" s="145">
        <f t="shared" si="6"/>
        <v>0</v>
      </c>
      <c r="AZ30" s="145">
        <f t="shared" si="7"/>
        <v>1</v>
      </c>
      <c r="BA30" s="146">
        <f t="shared" si="8"/>
        <v>1</v>
      </c>
      <c r="BB30" s="149">
        <f t="shared" si="9"/>
        <v>15</v>
      </c>
      <c r="BC30" s="150">
        <f t="shared" si="10"/>
        <v>14</v>
      </c>
      <c r="BD30" s="150">
        <f t="shared" si="11"/>
        <v>15</v>
      </c>
      <c r="BE30" s="211" t="str">
        <f t="shared" si="12"/>
        <v/>
      </c>
      <c r="BH30" s="178">
        <f>IF(AND(Input_Product=Elig!$C30,Elig_MatchAll_Ct&lt;22,$BC30=(Elig_MatchAll_Ct-1),AF30=0),C30,0)</f>
        <v>0</v>
      </c>
      <c r="BI30" s="179">
        <f>IF(AND(Input_Product=Elig!$C30,Elig_MatchAll_Ct&lt;22,$BC30=(Elig_MatchAll_Ct-1),AG30=0),D30,0)</f>
        <v>0</v>
      </c>
      <c r="BJ30" s="179">
        <f>IF(AND(Input_Product=Elig!$C30,Elig_MatchAll_Ct&lt;22,$BC30=(Elig_MatchAll_Ct-1),AH30=0),E30,0)</f>
        <v>0</v>
      </c>
      <c r="BK30" s="179">
        <f>IF(AND(Input_Product=Elig!$C30,Elig_MatchAll_Ct&lt;22,$BC30=(Elig_MatchAll_Ct-1),AI30=0),F30,0)</f>
        <v>0</v>
      </c>
      <c r="BL30" s="179">
        <f>IF(AND(Input_Product=Elig!$C30,Elig_MatchAll_Ct&lt;22,$BC30=(Elig_MatchAll_Ct-1),AJ30=0),G30,0)</f>
        <v>0</v>
      </c>
      <c r="BM30" s="179">
        <f>IF(AND(Input_Product=Elig!$C30,Elig_MatchAll_Ct&lt;22,$BC30=(Elig_MatchAll_Ct-1),AK30=0),H30,0)</f>
        <v>0</v>
      </c>
      <c r="BN30" s="179">
        <f>IF(AND(Input_Product=Elig!$C30,Elig_MatchAll_Ct&lt;22,$BC30=(Elig_MatchAll_Ct-1),AL30=0),I30,0)</f>
        <v>0</v>
      </c>
      <c r="BO30" s="179">
        <f>IF(AND(Input_Product=Elig!$C30,Elig_MatchAll_Ct&lt;22,$BC30=(Elig_MatchAll_Ct-1),AM30=0),J30,0)</f>
        <v>0</v>
      </c>
      <c r="BP30" s="179">
        <f>IF(AND(Input_Product=Elig!$C30,Elig_MatchAll_Ct&lt;22,$BC30=(Elig_MatchAll_Ct-1),AN30=0),K30,0)</f>
        <v>0</v>
      </c>
      <c r="BQ30" s="179">
        <f>IF(AND(Input_Product=Elig!$C30,Elig_MatchAll_Ct&lt;22,$BC30=(Elig_MatchAll_Ct-1),AP30=0),L30,0)</f>
        <v>0</v>
      </c>
      <c r="BR30" s="179">
        <f>IF(AND(Input_Product=Elig!$C30,Elig_MatchAll_Ct&lt;22,$BC30=(Elig_MatchAll_Ct-1),AO30=0),M30,0)</f>
        <v>0</v>
      </c>
      <c r="BS30" s="179">
        <f>IF(AND(Input_Product=Elig!$C30,Elig_MatchAll_Ct&lt;22,$BC30=(Elig_MatchAll_Ct-1),AQ30=0),N30,0)</f>
        <v>0</v>
      </c>
      <c r="BT30" s="179">
        <f>IF(AND(Input_Product=Elig!$C30,Elig_MatchAll_Ct&lt;22,$BC30=(Elig_MatchAll_Ct-1),AR30=0),O30,0)</f>
        <v>0</v>
      </c>
      <c r="BU30" s="179">
        <f>IF(AND(Input_Product=Elig!$C30,Elig_MatchAll_Ct&lt;22,$BC30=(Elig_MatchAll_Ct-1),AS30=0),P30,0)</f>
        <v>0</v>
      </c>
      <c r="BV30" s="180">
        <f>IF(AND(Input_Product=Elig!$C30,Elig_MatchAll_Ct&lt;22,$BC30=(Elig_MatchAll_Ct-1),AT30=0),Q30,0)</f>
        <v>0</v>
      </c>
      <c r="BW30" s="181">
        <f>IF(AND(Input_Product=Elig!$C30,Elig_MatchAll_Ct&lt;22,$BC30=(Elig_MatchAll_Ct-1),AU30=0),R30,0)</f>
        <v>0</v>
      </c>
      <c r="BX30" s="182">
        <f>IF(AND(Input_Product=Elig!$C30,Elig_MatchAll_Ct&lt;22,$BC30=(Elig_MatchAll_Ct-1),AU30=0),S30,0)</f>
        <v>0</v>
      </c>
      <c r="BY30" s="181">
        <f>IF(AND(Input_Product=Elig!$C30,Elig_MatchAll_Ct&lt;22,$BC30=(Elig_MatchAll_Ct-1),AV30=0),T30,0)</f>
        <v>0</v>
      </c>
      <c r="BZ30" s="182">
        <f>IF(AND(Input_Product=Elig!$C30,Elig_MatchAll_Ct&lt;22,$BC30=(Elig_MatchAll_Ct-1),AV30=0),U30,0)</f>
        <v>0</v>
      </c>
      <c r="CA30" s="181">
        <f>IF(AND(Input_Product=Elig!$C30,Elig_MatchAll_Ct&lt;22,$BC30=(Elig_MatchAll_Ct-1),AW30=0),V30,0)</f>
        <v>0</v>
      </c>
      <c r="CB30" s="182">
        <f>IF(AND(Input_Product=Elig!$C30,Elig_MatchAll_Ct&lt;22,$BC30=(Elig_MatchAll_Ct-1),AW30=0),W30,0)</f>
        <v>0</v>
      </c>
      <c r="CC30" s="181">
        <f>IF(AND(Input_Product=Elig!$C30,Elig_MatchAll_Ct&lt;22,$BC30=(Elig_MatchAll_Ct-1),AX30=0),X30,0)</f>
        <v>0</v>
      </c>
      <c r="CD30" s="182">
        <f>IF(AND(Input_Product=Elig!$C30,Elig_MatchAll_Ct&lt;22,$BC30=(Elig_MatchAll_Ct-1),AX30=0),Y30,0)</f>
        <v>0</v>
      </c>
      <c r="CE30" s="181">
        <f>IF(AND(Input_LTV&lt;=AE30,Input_Product=Elig!$C30,Elig_MatchAll_Ct&lt;22,$BC30=(Elig_MatchAll_Ct-1),AY30=0),Z30,0)</f>
        <v>0</v>
      </c>
      <c r="CF30" s="182">
        <f>IF(AND(Input_LTV&lt;=AE30,Input_Product=Elig!$C30,Elig_MatchAll_Ct&lt;22,$BC30=(Elig_MatchAll_Ct-1),AY30=0),AA30,0)</f>
        <v>0</v>
      </c>
      <c r="CG30" s="181">
        <f>IF(AND(Input_Product=Elig!$C30,Elig_MatchAll_Ct&lt;22,$BC30=(Elig_MatchAll_Ct-1),AZ30=0),AB30,0)</f>
        <v>0</v>
      </c>
      <c r="CH30" s="182">
        <f>IF(AND(Input_Product=Elig!$C30,Elig_MatchAll_Ct&lt;22,$BC30=(Elig_MatchAll_Ct-1),AZ30=0),AC30,0)</f>
        <v>0</v>
      </c>
      <c r="CI30" s="181">
        <f>IF(AND(Input_Product=Elig!$C30,Elig_MatchAll_Ct&lt;22,$BC30=(Elig_MatchAll_Ct-1),BA30=0),AD30,0)</f>
        <v>0</v>
      </c>
      <c r="CJ30" s="183">
        <f>IF(AND(Input_Product=Elig!$C30,Elig_MatchAll_Ct&lt;22,$BC30=(Elig_MatchAll_Ct-1),BA30=0),AE30,0)</f>
        <v>0</v>
      </c>
    </row>
    <row r="31" spans="1:88" ht="10.15" customHeight="1" x14ac:dyDescent="0.25">
      <c r="A31" s="1419" t="s">
        <v>76</v>
      </c>
      <c r="B31" s="1419" t="s">
        <v>738</v>
      </c>
      <c r="C31" s="123" t="str">
        <f t="shared" si="1"/>
        <v>NonQM OO</v>
      </c>
      <c r="D31" s="124" t="s">
        <v>1995</v>
      </c>
      <c r="E31" s="125" t="s">
        <v>166</v>
      </c>
      <c r="F31" s="125" t="s">
        <v>330</v>
      </c>
      <c r="G31" s="125" t="s">
        <v>465</v>
      </c>
      <c r="H31" s="125" t="s">
        <v>135</v>
      </c>
      <c r="I31" s="124" t="s">
        <v>273</v>
      </c>
      <c r="J31" s="124" t="s">
        <v>1130</v>
      </c>
      <c r="K31" s="124" t="s">
        <v>1398</v>
      </c>
      <c r="L31" s="125" t="s">
        <v>2025</v>
      </c>
      <c r="M31" s="125" t="s">
        <v>2289</v>
      </c>
      <c r="N31" s="125" t="s">
        <v>82</v>
      </c>
      <c r="O31" s="125" t="s">
        <v>309</v>
      </c>
      <c r="P31" s="125" t="s">
        <v>2433</v>
      </c>
      <c r="Q31" s="125" t="s">
        <v>293</v>
      </c>
      <c r="R31" s="124">
        <v>100000</v>
      </c>
      <c r="S31" s="124">
        <v>1000000</v>
      </c>
      <c r="T31" s="124">
        <v>0</v>
      </c>
      <c r="U31" s="124">
        <v>0</v>
      </c>
      <c r="V31" s="124">
        <v>0</v>
      </c>
      <c r="W31" s="124">
        <v>55</v>
      </c>
      <c r="X31" s="124">
        <v>0</v>
      </c>
      <c r="Y31" s="124">
        <v>999</v>
      </c>
      <c r="Z31" s="126">
        <v>720</v>
      </c>
      <c r="AA31" s="126">
        <v>999</v>
      </c>
      <c r="AB31" s="1879">
        <v>0</v>
      </c>
      <c r="AC31" s="126">
        <v>999999</v>
      </c>
      <c r="AD31" s="124">
        <v>0</v>
      </c>
      <c r="AE31" s="124">
        <v>90</v>
      </c>
      <c r="AF31" s="144">
        <v>0</v>
      </c>
      <c r="AG31" s="145">
        <v>1</v>
      </c>
      <c r="AH31" s="145">
        <v>1</v>
      </c>
      <c r="AI31" s="145">
        <v>0</v>
      </c>
      <c r="AJ31" s="145">
        <v>0</v>
      </c>
      <c r="AK31" s="145">
        <v>1</v>
      </c>
      <c r="AL31" s="145">
        <v>1</v>
      </c>
      <c r="AM31" s="145">
        <v>1</v>
      </c>
      <c r="AN31" s="145">
        <v>1</v>
      </c>
      <c r="AO31" s="145">
        <v>1</v>
      </c>
      <c r="AP31" s="145">
        <v>1</v>
      </c>
      <c r="AQ31" s="145">
        <v>0</v>
      </c>
      <c r="AR31" s="145">
        <v>1</v>
      </c>
      <c r="AS31" s="145">
        <v>1</v>
      </c>
      <c r="AT31" s="145">
        <v>1</v>
      </c>
      <c r="AU31" s="145">
        <f t="shared" si="2"/>
        <v>1</v>
      </c>
      <c r="AV31" s="145">
        <f t="shared" si="3"/>
        <v>1</v>
      </c>
      <c r="AW31" s="145">
        <f t="shared" si="4"/>
        <v>1</v>
      </c>
      <c r="AX31" s="145">
        <f t="shared" si="5"/>
        <v>1</v>
      </c>
      <c r="AY31" s="145">
        <f t="shared" si="6"/>
        <v>1</v>
      </c>
      <c r="AZ31" s="145">
        <f t="shared" si="7"/>
        <v>1</v>
      </c>
      <c r="BA31" s="146">
        <f t="shared" si="8"/>
        <v>1</v>
      </c>
      <c r="BB31" s="149">
        <f t="shared" si="9"/>
        <v>18</v>
      </c>
      <c r="BC31" s="150">
        <f t="shared" si="10"/>
        <v>17</v>
      </c>
      <c r="BD31" s="150">
        <f t="shared" si="11"/>
        <v>18</v>
      </c>
      <c r="BE31" s="211" t="str">
        <f t="shared" si="12"/>
        <v/>
      </c>
      <c r="BH31" s="166">
        <f>IF(AND(Input_Product=Elig!$C31,Elig_MatchAll_Ct&lt;22,$BC31=(Elig_MatchAll_Ct-1),AF31=0),C31,0)</f>
        <v>0</v>
      </c>
      <c r="BI31" s="167">
        <f>IF(AND(Input_Product=Elig!$C31,Elig_MatchAll_Ct&lt;22,$BC31=(Elig_MatchAll_Ct-1),AG31=0),D31,0)</f>
        <v>0</v>
      </c>
      <c r="BJ31" s="167">
        <f>IF(AND(Input_Product=Elig!$C31,Elig_MatchAll_Ct&lt;22,$BC31=(Elig_MatchAll_Ct-1),AH31=0),E31,0)</f>
        <v>0</v>
      </c>
      <c r="BK31" s="167">
        <f>IF(AND(Input_Product=Elig!$C31,Elig_MatchAll_Ct&lt;22,$BC31=(Elig_MatchAll_Ct-1),AI31=0),F31,0)</f>
        <v>0</v>
      </c>
      <c r="BL31" s="167">
        <f>IF(AND(Input_Product=Elig!$C31,Elig_MatchAll_Ct&lt;22,$BC31=(Elig_MatchAll_Ct-1),AJ31=0),G31,0)</f>
        <v>0</v>
      </c>
      <c r="BM31" s="167">
        <f>IF(AND(Input_Product=Elig!$C31,Elig_MatchAll_Ct&lt;22,$BC31=(Elig_MatchAll_Ct-1),AK31=0),H31,0)</f>
        <v>0</v>
      </c>
      <c r="BN31" s="167">
        <f>IF(AND(Input_Product=Elig!$C31,Elig_MatchAll_Ct&lt;22,$BC31=(Elig_MatchAll_Ct-1),AL31=0),I31,0)</f>
        <v>0</v>
      </c>
      <c r="BO31" s="167">
        <f>IF(AND(Input_Product=Elig!$C31,Elig_MatchAll_Ct&lt;22,$BC31=(Elig_MatchAll_Ct-1),AM31=0),J31,0)</f>
        <v>0</v>
      </c>
      <c r="BP31" s="167">
        <f>IF(AND(Input_Product=Elig!$C31,Elig_MatchAll_Ct&lt;22,$BC31=(Elig_MatchAll_Ct-1),AN31=0),K31,0)</f>
        <v>0</v>
      </c>
      <c r="BQ31" s="167">
        <f>IF(AND(Input_Product=Elig!$C31,Elig_MatchAll_Ct&lt;22,$BC31=(Elig_MatchAll_Ct-1),AP31=0),L31,0)</f>
        <v>0</v>
      </c>
      <c r="BR31" s="167">
        <f>IF(AND(Input_Product=Elig!$C31,Elig_MatchAll_Ct&lt;22,$BC31=(Elig_MatchAll_Ct-1),AO31=0),M31,0)</f>
        <v>0</v>
      </c>
      <c r="BS31" s="167">
        <f>IF(AND(Input_Product=Elig!$C31,Elig_MatchAll_Ct&lt;22,$BC31=(Elig_MatchAll_Ct-1),AQ31=0),N31,0)</f>
        <v>0</v>
      </c>
      <c r="BT31" s="167">
        <f>IF(AND(Input_Product=Elig!$C31,Elig_MatchAll_Ct&lt;22,$BC31=(Elig_MatchAll_Ct-1),AR31=0),O31,0)</f>
        <v>0</v>
      </c>
      <c r="BU31" s="167">
        <f>IF(AND(Input_Product=Elig!$C31,Elig_MatchAll_Ct&lt;22,$BC31=(Elig_MatchAll_Ct-1),AS31=0),P31,0)</f>
        <v>0</v>
      </c>
      <c r="BV31" s="168">
        <f>IF(AND(Input_Product=Elig!$C31,Elig_MatchAll_Ct&lt;22,$BC31=(Elig_MatchAll_Ct-1),AT31=0),Q31,0)</f>
        <v>0</v>
      </c>
      <c r="BW31" s="169">
        <f>IF(AND(Input_Product=Elig!$C31,Elig_MatchAll_Ct&lt;22,$BC31=(Elig_MatchAll_Ct-1),AU31=0),R31,0)</f>
        <v>0</v>
      </c>
      <c r="BX31" s="170">
        <f>IF(AND(Input_Product=Elig!$C31,Elig_MatchAll_Ct&lt;22,$BC31=(Elig_MatchAll_Ct-1),AU31=0),S31,0)</f>
        <v>0</v>
      </c>
      <c r="BY31" s="169">
        <f>IF(AND(Input_Product=Elig!$C31,Elig_MatchAll_Ct&lt;22,$BC31=(Elig_MatchAll_Ct-1),AV31=0),T31,0)</f>
        <v>0</v>
      </c>
      <c r="BZ31" s="170">
        <f>IF(AND(Input_Product=Elig!$C31,Elig_MatchAll_Ct&lt;22,$BC31=(Elig_MatchAll_Ct-1),AV31=0),U31,0)</f>
        <v>0</v>
      </c>
      <c r="CA31" s="169">
        <f>IF(AND(Input_Product=Elig!$C31,Elig_MatchAll_Ct&lt;22,$BC31=(Elig_MatchAll_Ct-1),AW31=0),V31,0)</f>
        <v>0</v>
      </c>
      <c r="CB31" s="170">
        <f>IF(AND(Input_Product=Elig!$C31,Elig_MatchAll_Ct&lt;22,$BC31=(Elig_MatchAll_Ct-1),AW31=0),W31,0)</f>
        <v>0</v>
      </c>
      <c r="CC31" s="169">
        <f>IF(AND(Input_Product=Elig!$C31,Elig_MatchAll_Ct&lt;22,$BC31=(Elig_MatchAll_Ct-1),AX31=0),X31,0)</f>
        <v>0</v>
      </c>
      <c r="CD31" s="170">
        <f>IF(AND(Input_Product=Elig!$C31,Elig_MatchAll_Ct&lt;22,$BC31=(Elig_MatchAll_Ct-1),AX31=0),Y31,0)</f>
        <v>0</v>
      </c>
      <c r="CE31" s="169">
        <f>IF(AND(Input_LTV&lt;=AE31,Input_Product=Elig!$C31,Elig_MatchAll_Ct&lt;22,$BC31=(Elig_MatchAll_Ct-1),AY31=0),Z31,0)</f>
        <v>0</v>
      </c>
      <c r="CF31" s="170">
        <f>IF(AND(Input_LTV&lt;=AE31,Input_Product=Elig!$C31,Elig_MatchAll_Ct&lt;22,$BC31=(Elig_MatchAll_Ct-1),AY31=0),AA31,0)</f>
        <v>0</v>
      </c>
      <c r="CG31" s="169">
        <f>IF(AND(Input_Product=Elig!$C31,Elig_MatchAll_Ct&lt;22,$BC31=(Elig_MatchAll_Ct-1),AZ31=0),AB31,0)</f>
        <v>0</v>
      </c>
      <c r="CH31" s="170">
        <f>IF(AND(Input_Product=Elig!$C31,Elig_MatchAll_Ct&lt;22,$BC31=(Elig_MatchAll_Ct-1),AZ31=0),AC31,0)</f>
        <v>0</v>
      </c>
      <c r="CI31" s="169">
        <f>IF(AND(Input_Product=Elig!$C31,Elig_MatchAll_Ct&lt;22,$BC31=(Elig_MatchAll_Ct-1),BA31=0),AD31,0)</f>
        <v>0</v>
      </c>
      <c r="CJ31" s="171">
        <f>IF(AND(Input_Product=Elig!$C31,Elig_MatchAll_Ct&lt;22,$BC31=(Elig_MatchAll_Ct-1),BA31=0),AE31,0)</f>
        <v>0</v>
      </c>
    </row>
    <row r="32" spans="1:88" ht="10.15" customHeight="1" x14ac:dyDescent="0.25">
      <c r="A32" s="1419" t="s">
        <v>76</v>
      </c>
      <c r="B32" s="1419" t="s">
        <v>739</v>
      </c>
      <c r="C32" s="116" t="str">
        <f t="shared" si="1"/>
        <v>NonQM OO</v>
      </c>
      <c r="D32" s="117" t="s">
        <v>1995</v>
      </c>
      <c r="E32" s="117" t="s">
        <v>166</v>
      </c>
      <c r="F32" s="117" t="s">
        <v>330</v>
      </c>
      <c r="G32" s="117" t="s">
        <v>465</v>
      </c>
      <c r="H32" s="117" t="s">
        <v>135</v>
      </c>
      <c r="I32" s="118" t="s">
        <v>273</v>
      </c>
      <c r="J32" s="118" t="s">
        <v>1130</v>
      </c>
      <c r="K32" s="118" t="s">
        <v>1398</v>
      </c>
      <c r="L32" s="117" t="s">
        <v>2025</v>
      </c>
      <c r="M32" s="117" t="s">
        <v>2289</v>
      </c>
      <c r="N32" s="117" t="s">
        <v>82</v>
      </c>
      <c r="O32" s="117" t="s">
        <v>309</v>
      </c>
      <c r="P32" s="117" t="s">
        <v>2433</v>
      </c>
      <c r="Q32" s="117" t="s">
        <v>293</v>
      </c>
      <c r="R32" s="117">
        <v>100000</v>
      </c>
      <c r="S32" s="117">
        <v>1000000</v>
      </c>
      <c r="T32" s="117">
        <v>0</v>
      </c>
      <c r="U32" s="117">
        <v>0</v>
      </c>
      <c r="V32" s="117">
        <v>0</v>
      </c>
      <c r="W32" s="117">
        <v>55</v>
      </c>
      <c r="X32" s="117">
        <v>0</v>
      </c>
      <c r="Y32" s="117">
        <v>999</v>
      </c>
      <c r="Z32" s="119">
        <v>700</v>
      </c>
      <c r="AA32" s="119">
        <v>719</v>
      </c>
      <c r="AB32" s="1877">
        <v>0</v>
      </c>
      <c r="AC32" s="119">
        <v>999999</v>
      </c>
      <c r="AD32" s="117">
        <v>0</v>
      </c>
      <c r="AE32" s="117">
        <v>90</v>
      </c>
      <c r="AF32" s="144">
        <v>0</v>
      </c>
      <c r="AG32" s="145">
        <v>1</v>
      </c>
      <c r="AH32" s="145">
        <v>1</v>
      </c>
      <c r="AI32" s="145">
        <v>0</v>
      </c>
      <c r="AJ32" s="145">
        <v>0</v>
      </c>
      <c r="AK32" s="145">
        <v>1</v>
      </c>
      <c r="AL32" s="145">
        <v>1</v>
      </c>
      <c r="AM32" s="145">
        <v>1</v>
      </c>
      <c r="AN32" s="145">
        <v>1</v>
      </c>
      <c r="AO32" s="145">
        <v>1</v>
      </c>
      <c r="AP32" s="145">
        <v>1</v>
      </c>
      <c r="AQ32" s="145">
        <v>0</v>
      </c>
      <c r="AR32" s="145">
        <v>1</v>
      </c>
      <c r="AS32" s="145">
        <v>1</v>
      </c>
      <c r="AT32" s="145">
        <v>1</v>
      </c>
      <c r="AU32" s="145">
        <f t="shared" si="2"/>
        <v>1</v>
      </c>
      <c r="AV32" s="145">
        <f t="shared" si="3"/>
        <v>1</v>
      </c>
      <c r="AW32" s="145">
        <f t="shared" si="4"/>
        <v>1</v>
      </c>
      <c r="AX32" s="145">
        <f t="shared" si="5"/>
        <v>1</v>
      </c>
      <c r="AY32" s="145">
        <f t="shared" si="6"/>
        <v>0</v>
      </c>
      <c r="AZ32" s="145">
        <f t="shared" si="7"/>
        <v>1</v>
      </c>
      <c r="BA32" s="146">
        <f t="shared" si="8"/>
        <v>1</v>
      </c>
      <c r="BB32" s="149">
        <f t="shared" si="9"/>
        <v>17</v>
      </c>
      <c r="BC32" s="150">
        <f t="shared" si="10"/>
        <v>16</v>
      </c>
      <c r="BD32" s="150">
        <f t="shared" si="11"/>
        <v>17</v>
      </c>
      <c r="BE32" s="211" t="str">
        <f t="shared" si="12"/>
        <v/>
      </c>
      <c r="BH32" s="172">
        <f>IF(AND(Input_Product=Elig!$C32,Elig_MatchAll_Ct&lt;22,$BC32=(Elig_MatchAll_Ct-1),AF32=0),C32,0)</f>
        <v>0</v>
      </c>
      <c r="BI32" s="173">
        <f>IF(AND(Input_Product=Elig!$C32,Elig_MatchAll_Ct&lt;22,$BC32=(Elig_MatchAll_Ct-1),AG32=0),D32,0)</f>
        <v>0</v>
      </c>
      <c r="BJ32" s="173">
        <f>IF(AND(Input_Product=Elig!$C32,Elig_MatchAll_Ct&lt;22,$BC32=(Elig_MatchAll_Ct-1),AH32=0),E32,0)</f>
        <v>0</v>
      </c>
      <c r="BK32" s="173">
        <f>IF(AND(Input_Product=Elig!$C32,Elig_MatchAll_Ct&lt;22,$BC32=(Elig_MatchAll_Ct-1),AI32=0),F32,0)</f>
        <v>0</v>
      </c>
      <c r="BL32" s="173">
        <f>IF(AND(Input_Product=Elig!$C32,Elig_MatchAll_Ct&lt;22,$BC32=(Elig_MatchAll_Ct-1),AJ32=0),G32,0)</f>
        <v>0</v>
      </c>
      <c r="BM32" s="173">
        <f>IF(AND(Input_Product=Elig!$C32,Elig_MatchAll_Ct&lt;22,$BC32=(Elig_MatchAll_Ct-1),AK32=0),H32,0)</f>
        <v>0</v>
      </c>
      <c r="BN32" s="173">
        <f>IF(AND(Input_Product=Elig!$C32,Elig_MatchAll_Ct&lt;22,$BC32=(Elig_MatchAll_Ct-1),AL32=0),I32,0)</f>
        <v>0</v>
      </c>
      <c r="BO32" s="173">
        <f>IF(AND(Input_Product=Elig!$C32,Elig_MatchAll_Ct&lt;22,$BC32=(Elig_MatchAll_Ct-1),AM32=0),J32,0)</f>
        <v>0</v>
      </c>
      <c r="BP32" s="173">
        <f>IF(AND(Input_Product=Elig!$C32,Elig_MatchAll_Ct&lt;22,$BC32=(Elig_MatchAll_Ct-1),AN32=0),K32,0)</f>
        <v>0</v>
      </c>
      <c r="BQ32" s="173">
        <f>IF(AND(Input_Product=Elig!$C32,Elig_MatchAll_Ct&lt;22,$BC32=(Elig_MatchAll_Ct-1),AP32=0),L32,0)</f>
        <v>0</v>
      </c>
      <c r="BR32" s="173">
        <f>IF(AND(Input_Product=Elig!$C32,Elig_MatchAll_Ct&lt;22,$BC32=(Elig_MatchAll_Ct-1),AO32=0),M32,0)</f>
        <v>0</v>
      </c>
      <c r="BS32" s="173">
        <f>IF(AND(Input_Product=Elig!$C32,Elig_MatchAll_Ct&lt;22,$BC32=(Elig_MatchAll_Ct-1),AQ32=0),N32,0)</f>
        <v>0</v>
      </c>
      <c r="BT32" s="173">
        <f>IF(AND(Input_Product=Elig!$C32,Elig_MatchAll_Ct&lt;22,$BC32=(Elig_MatchAll_Ct-1),AR32=0),O32,0)</f>
        <v>0</v>
      </c>
      <c r="BU32" s="173">
        <f>IF(AND(Input_Product=Elig!$C32,Elig_MatchAll_Ct&lt;22,$BC32=(Elig_MatchAll_Ct-1),AS32=0),P32,0)</f>
        <v>0</v>
      </c>
      <c r="BV32" s="174">
        <f>IF(AND(Input_Product=Elig!$C32,Elig_MatchAll_Ct&lt;22,$BC32=(Elig_MatchAll_Ct-1),AT32=0),Q32,0)</f>
        <v>0</v>
      </c>
      <c r="BW32" s="175">
        <f>IF(AND(Input_Product=Elig!$C32,Elig_MatchAll_Ct&lt;22,$BC32=(Elig_MatchAll_Ct-1),AU32=0),R32,0)</f>
        <v>0</v>
      </c>
      <c r="BX32" s="176">
        <f>IF(AND(Input_Product=Elig!$C32,Elig_MatchAll_Ct&lt;22,$BC32=(Elig_MatchAll_Ct-1),AU32=0),S32,0)</f>
        <v>0</v>
      </c>
      <c r="BY32" s="175">
        <f>IF(AND(Input_Product=Elig!$C32,Elig_MatchAll_Ct&lt;22,$BC32=(Elig_MatchAll_Ct-1),AV32=0),T32,0)</f>
        <v>0</v>
      </c>
      <c r="BZ32" s="176">
        <f>IF(AND(Input_Product=Elig!$C32,Elig_MatchAll_Ct&lt;22,$BC32=(Elig_MatchAll_Ct-1),AV32=0),U32,0)</f>
        <v>0</v>
      </c>
      <c r="CA32" s="175">
        <f>IF(AND(Input_Product=Elig!$C32,Elig_MatchAll_Ct&lt;22,$BC32=(Elig_MatchAll_Ct-1),AW32=0),V32,0)</f>
        <v>0</v>
      </c>
      <c r="CB32" s="176">
        <f>IF(AND(Input_Product=Elig!$C32,Elig_MatchAll_Ct&lt;22,$BC32=(Elig_MatchAll_Ct-1),AW32=0),W32,0)</f>
        <v>0</v>
      </c>
      <c r="CC32" s="175">
        <f>IF(AND(Input_Product=Elig!$C32,Elig_MatchAll_Ct&lt;22,$BC32=(Elig_MatchAll_Ct-1),AX32=0),X32,0)</f>
        <v>0</v>
      </c>
      <c r="CD32" s="176">
        <f>IF(AND(Input_Product=Elig!$C32,Elig_MatchAll_Ct&lt;22,$BC32=(Elig_MatchAll_Ct-1),AX32=0),Y32,0)</f>
        <v>0</v>
      </c>
      <c r="CE32" s="175">
        <f>IF(AND(Input_LTV&lt;=AE32,Input_Product=Elig!$C32,Elig_MatchAll_Ct&lt;22,$BC32=(Elig_MatchAll_Ct-1),AY32=0),Z32,0)</f>
        <v>0</v>
      </c>
      <c r="CF32" s="176">
        <f>IF(AND(Input_LTV&lt;=AE32,Input_Product=Elig!$C32,Elig_MatchAll_Ct&lt;22,$BC32=(Elig_MatchAll_Ct-1),AY32=0),AA32,0)</f>
        <v>0</v>
      </c>
      <c r="CG32" s="175">
        <f>IF(AND(Input_Product=Elig!$C32,Elig_MatchAll_Ct&lt;22,$BC32=(Elig_MatchAll_Ct-1),AZ32=0),AB32,0)</f>
        <v>0</v>
      </c>
      <c r="CH32" s="176">
        <f>IF(AND(Input_Product=Elig!$C32,Elig_MatchAll_Ct&lt;22,$BC32=(Elig_MatchAll_Ct-1),AZ32=0),AC32,0)</f>
        <v>0</v>
      </c>
      <c r="CI32" s="175">
        <f>IF(AND(Input_Product=Elig!$C32,Elig_MatchAll_Ct&lt;22,$BC32=(Elig_MatchAll_Ct-1),BA32=0),AD32,0)</f>
        <v>0</v>
      </c>
      <c r="CJ32" s="177">
        <f>IF(AND(Input_Product=Elig!$C32,Elig_MatchAll_Ct&lt;22,$BC32=(Elig_MatchAll_Ct-1),BA32=0),AE32,0)</f>
        <v>0</v>
      </c>
    </row>
    <row r="33" spans="1:88" ht="10.15" customHeight="1" x14ac:dyDescent="0.25">
      <c r="A33" s="1419" t="s">
        <v>76</v>
      </c>
      <c r="B33" s="1419" t="s">
        <v>740</v>
      </c>
      <c r="C33" s="116" t="str">
        <f t="shared" si="1"/>
        <v>NonQM OO</v>
      </c>
      <c r="D33" s="117" t="s">
        <v>1995</v>
      </c>
      <c r="E33" s="117" t="s">
        <v>166</v>
      </c>
      <c r="F33" s="117" t="s">
        <v>330</v>
      </c>
      <c r="G33" s="117" t="s">
        <v>465</v>
      </c>
      <c r="H33" s="117" t="s">
        <v>135</v>
      </c>
      <c r="I33" s="118" t="s">
        <v>273</v>
      </c>
      <c r="J33" s="118" t="s">
        <v>1130</v>
      </c>
      <c r="K33" s="118" t="s">
        <v>1398</v>
      </c>
      <c r="L33" s="117" t="s">
        <v>2025</v>
      </c>
      <c r="M33" s="117" t="s">
        <v>2289</v>
      </c>
      <c r="N33" s="117" t="s">
        <v>82</v>
      </c>
      <c r="O33" s="117" t="s">
        <v>309</v>
      </c>
      <c r="P33" s="117" t="s">
        <v>2433</v>
      </c>
      <c r="Q33" s="117" t="s">
        <v>293</v>
      </c>
      <c r="R33" s="117">
        <v>100000</v>
      </c>
      <c r="S33" s="117">
        <v>1000000</v>
      </c>
      <c r="T33" s="117">
        <v>0</v>
      </c>
      <c r="U33" s="117">
        <v>0</v>
      </c>
      <c r="V33" s="117">
        <v>0</v>
      </c>
      <c r="W33" s="117">
        <v>55</v>
      </c>
      <c r="X33" s="117">
        <v>0</v>
      </c>
      <c r="Y33" s="117">
        <v>999</v>
      </c>
      <c r="Z33" s="119">
        <v>680</v>
      </c>
      <c r="AA33" s="119">
        <v>699</v>
      </c>
      <c r="AB33" s="1877">
        <v>0</v>
      </c>
      <c r="AC33" s="119">
        <v>999999</v>
      </c>
      <c r="AD33" s="117">
        <v>0</v>
      </c>
      <c r="AE33" s="117">
        <v>90</v>
      </c>
      <c r="AF33" s="144">
        <v>0</v>
      </c>
      <c r="AG33" s="145">
        <v>1</v>
      </c>
      <c r="AH33" s="145">
        <v>1</v>
      </c>
      <c r="AI33" s="145">
        <v>0</v>
      </c>
      <c r="AJ33" s="145">
        <v>0</v>
      </c>
      <c r="AK33" s="145">
        <v>1</v>
      </c>
      <c r="AL33" s="145">
        <v>1</v>
      </c>
      <c r="AM33" s="145">
        <v>1</v>
      </c>
      <c r="AN33" s="145">
        <v>1</v>
      </c>
      <c r="AO33" s="145">
        <v>1</v>
      </c>
      <c r="AP33" s="145">
        <v>1</v>
      </c>
      <c r="AQ33" s="145">
        <v>0</v>
      </c>
      <c r="AR33" s="145">
        <v>1</v>
      </c>
      <c r="AS33" s="145">
        <v>1</v>
      </c>
      <c r="AT33" s="145">
        <v>1</v>
      </c>
      <c r="AU33" s="145">
        <f t="shared" si="2"/>
        <v>1</v>
      </c>
      <c r="AV33" s="145">
        <f t="shared" si="3"/>
        <v>1</v>
      </c>
      <c r="AW33" s="145">
        <f t="shared" si="4"/>
        <v>1</v>
      </c>
      <c r="AX33" s="145">
        <f t="shared" si="5"/>
        <v>1</v>
      </c>
      <c r="AY33" s="145">
        <f t="shared" si="6"/>
        <v>0</v>
      </c>
      <c r="AZ33" s="145">
        <f t="shared" si="7"/>
        <v>1</v>
      </c>
      <c r="BA33" s="146">
        <f t="shared" si="8"/>
        <v>1</v>
      </c>
      <c r="BB33" s="149">
        <f t="shared" si="9"/>
        <v>17</v>
      </c>
      <c r="BC33" s="150">
        <f t="shared" si="10"/>
        <v>16</v>
      </c>
      <c r="BD33" s="150">
        <f t="shared" si="11"/>
        <v>17</v>
      </c>
      <c r="BE33" s="211" t="str">
        <f t="shared" si="12"/>
        <v/>
      </c>
      <c r="BH33" s="172">
        <f>IF(AND(Input_Product=Elig!$C33,Elig_MatchAll_Ct&lt;22,$BC33=(Elig_MatchAll_Ct-1),AF33=0),C33,0)</f>
        <v>0</v>
      </c>
      <c r="BI33" s="173">
        <f>IF(AND(Input_Product=Elig!$C33,Elig_MatchAll_Ct&lt;22,$BC33=(Elig_MatchAll_Ct-1),AG33=0),D33,0)</f>
        <v>0</v>
      </c>
      <c r="BJ33" s="173">
        <f>IF(AND(Input_Product=Elig!$C33,Elig_MatchAll_Ct&lt;22,$BC33=(Elig_MatchAll_Ct-1),AH33=0),E33,0)</f>
        <v>0</v>
      </c>
      <c r="BK33" s="173">
        <f>IF(AND(Input_Product=Elig!$C33,Elig_MatchAll_Ct&lt;22,$BC33=(Elig_MatchAll_Ct-1),AI33=0),F33,0)</f>
        <v>0</v>
      </c>
      <c r="BL33" s="173">
        <f>IF(AND(Input_Product=Elig!$C33,Elig_MatchAll_Ct&lt;22,$BC33=(Elig_MatchAll_Ct-1),AJ33=0),G33,0)</f>
        <v>0</v>
      </c>
      <c r="BM33" s="173">
        <f>IF(AND(Input_Product=Elig!$C33,Elig_MatchAll_Ct&lt;22,$BC33=(Elig_MatchAll_Ct-1),AK33=0),H33,0)</f>
        <v>0</v>
      </c>
      <c r="BN33" s="173">
        <f>IF(AND(Input_Product=Elig!$C33,Elig_MatchAll_Ct&lt;22,$BC33=(Elig_MatchAll_Ct-1),AL33=0),I33,0)</f>
        <v>0</v>
      </c>
      <c r="BO33" s="173">
        <f>IF(AND(Input_Product=Elig!$C33,Elig_MatchAll_Ct&lt;22,$BC33=(Elig_MatchAll_Ct-1),AM33=0),J33,0)</f>
        <v>0</v>
      </c>
      <c r="BP33" s="173">
        <f>IF(AND(Input_Product=Elig!$C33,Elig_MatchAll_Ct&lt;22,$BC33=(Elig_MatchAll_Ct-1),AN33=0),K33,0)</f>
        <v>0</v>
      </c>
      <c r="BQ33" s="173">
        <f>IF(AND(Input_Product=Elig!$C33,Elig_MatchAll_Ct&lt;22,$BC33=(Elig_MatchAll_Ct-1),AP33=0),L33,0)</f>
        <v>0</v>
      </c>
      <c r="BR33" s="173">
        <f>IF(AND(Input_Product=Elig!$C33,Elig_MatchAll_Ct&lt;22,$BC33=(Elig_MatchAll_Ct-1),AO33=0),M33,0)</f>
        <v>0</v>
      </c>
      <c r="BS33" s="173">
        <f>IF(AND(Input_Product=Elig!$C33,Elig_MatchAll_Ct&lt;22,$BC33=(Elig_MatchAll_Ct-1),AQ33=0),N33,0)</f>
        <v>0</v>
      </c>
      <c r="BT33" s="173">
        <f>IF(AND(Input_Product=Elig!$C33,Elig_MatchAll_Ct&lt;22,$BC33=(Elig_MatchAll_Ct-1),AR33=0),O33,0)</f>
        <v>0</v>
      </c>
      <c r="BU33" s="173">
        <f>IF(AND(Input_Product=Elig!$C33,Elig_MatchAll_Ct&lt;22,$BC33=(Elig_MatchAll_Ct-1),AS33=0),P33,0)</f>
        <v>0</v>
      </c>
      <c r="BV33" s="174">
        <f>IF(AND(Input_Product=Elig!$C33,Elig_MatchAll_Ct&lt;22,$BC33=(Elig_MatchAll_Ct-1),AT33=0),Q33,0)</f>
        <v>0</v>
      </c>
      <c r="BW33" s="175">
        <f>IF(AND(Input_Product=Elig!$C33,Elig_MatchAll_Ct&lt;22,$BC33=(Elig_MatchAll_Ct-1),AU33=0),R33,0)</f>
        <v>0</v>
      </c>
      <c r="BX33" s="176">
        <f>IF(AND(Input_Product=Elig!$C33,Elig_MatchAll_Ct&lt;22,$BC33=(Elig_MatchAll_Ct-1),AU33=0),S33,0)</f>
        <v>0</v>
      </c>
      <c r="BY33" s="175">
        <f>IF(AND(Input_Product=Elig!$C33,Elig_MatchAll_Ct&lt;22,$BC33=(Elig_MatchAll_Ct-1),AV33=0),T33,0)</f>
        <v>0</v>
      </c>
      <c r="BZ33" s="176">
        <f>IF(AND(Input_Product=Elig!$C33,Elig_MatchAll_Ct&lt;22,$BC33=(Elig_MatchAll_Ct-1),AV33=0),U33,0)</f>
        <v>0</v>
      </c>
      <c r="CA33" s="175">
        <f>IF(AND(Input_Product=Elig!$C33,Elig_MatchAll_Ct&lt;22,$BC33=(Elig_MatchAll_Ct-1),AW33=0),V33,0)</f>
        <v>0</v>
      </c>
      <c r="CB33" s="176">
        <f>IF(AND(Input_Product=Elig!$C33,Elig_MatchAll_Ct&lt;22,$BC33=(Elig_MatchAll_Ct-1),AW33=0),W33,0)</f>
        <v>0</v>
      </c>
      <c r="CC33" s="175">
        <f>IF(AND(Input_Product=Elig!$C33,Elig_MatchAll_Ct&lt;22,$BC33=(Elig_MatchAll_Ct-1),AX33=0),X33,0)</f>
        <v>0</v>
      </c>
      <c r="CD33" s="176">
        <f>IF(AND(Input_Product=Elig!$C33,Elig_MatchAll_Ct&lt;22,$BC33=(Elig_MatchAll_Ct-1),AX33=0),Y33,0)</f>
        <v>0</v>
      </c>
      <c r="CE33" s="175">
        <f>IF(AND(Input_LTV&lt;=AE33,Input_Product=Elig!$C33,Elig_MatchAll_Ct&lt;22,$BC33=(Elig_MatchAll_Ct-1),AY33=0),Z33,0)</f>
        <v>0</v>
      </c>
      <c r="CF33" s="176">
        <f>IF(AND(Input_LTV&lt;=AE33,Input_Product=Elig!$C33,Elig_MatchAll_Ct&lt;22,$BC33=(Elig_MatchAll_Ct-1),AY33=0),AA33,0)</f>
        <v>0</v>
      </c>
      <c r="CG33" s="175">
        <f>IF(AND(Input_Product=Elig!$C33,Elig_MatchAll_Ct&lt;22,$BC33=(Elig_MatchAll_Ct-1),AZ33=0),AB33,0)</f>
        <v>0</v>
      </c>
      <c r="CH33" s="176">
        <f>IF(AND(Input_Product=Elig!$C33,Elig_MatchAll_Ct&lt;22,$BC33=(Elig_MatchAll_Ct-1),AZ33=0),AC33,0)</f>
        <v>0</v>
      </c>
      <c r="CI33" s="175">
        <f>IF(AND(Input_Product=Elig!$C33,Elig_MatchAll_Ct&lt;22,$BC33=(Elig_MatchAll_Ct-1),BA33=0),AD33,0)</f>
        <v>0</v>
      </c>
      <c r="CJ33" s="177">
        <f>IF(AND(Input_Product=Elig!$C33,Elig_MatchAll_Ct&lt;22,$BC33=(Elig_MatchAll_Ct-1),BA33=0),AE33,0)</f>
        <v>0</v>
      </c>
    </row>
    <row r="34" spans="1:88" ht="10.15" customHeight="1" x14ac:dyDescent="0.25">
      <c r="A34" s="1419" t="s">
        <v>76</v>
      </c>
      <c r="B34" s="1419" t="s">
        <v>741</v>
      </c>
      <c r="C34" s="116" t="str">
        <f t="shared" si="1"/>
        <v>NonQM OO</v>
      </c>
      <c r="D34" s="117" t="s">
        <v>1995</v>
      </c>
      <c r="E34" s="117" t="s">
        <v>166</v>
      </c>
      <c r="F34" s="117" t="s">
        <v>330</v>
      </c>
      <c r="G34" s="117" t="s">
        <v>465</v>
      </c>
      <c r="H34" s="117" t="s">
        <v>135</v>
      </c>
      <c r="I34" s="117" t="s">
        <v>273</v>
      </c>
      <c r="J34" s="117" t="s">
        <v>1130</v>
      </c>
      <c r="K34" s="117" t="s">
        <v>1398</v>
      </c>
      <c r="L34" s="117" t="s">
        <v>2025</v>
      </c>
      <c r="M34" s="117" t="s">
        <v>2289</v>
      </c>
      <c r="N34" s="117" t="s">
        <v>82</v>
      </c>
      <c r="O34" s="117" t="s">
        <v>309</v>
      </c>
      <c r="P34" s="117" t="s">
        <v>2433</v>
      </c>
      <c r="Q34" s="117" t="s">
        <v>293</v>
      </c>
      <c r="R34" s="117">
        <v>100000</v>
      </c>
      <c r="S34" s="117">
        <v>1000000</v>
      </c>
      <c r="T34" s="117">
        <v>0</v>
      </c>
      <c r="U34" s="117">
        <v>0</v>
      </c>
      <c r="V34" s="117">
        <v>0</v>
      </c>
      <c r="W34" s="117">
        <v>55</v>
      </c>
      <c r="X34" s="117">
        <v>0</v>
      </c>
      <c r="Y34" s="117">
        <v>999</v>
      </c>
      <c r="Z34" s="119">
        <v>660</v>
      </c>
      <c r="AA34" s="119">
        <v>679</v>
      </c>
      <c r="AB34" s="1877">
        <v>0</v>
      </c>
      <c r="AC34" s="119">
        <v>999999</v>
      </c>
      <c r="AD34" s="117">
        <v>0</v>
      </c>
      <c r="AE34" s="117">
        <v>80</v>
      </c>
      <c r="AF34" s="144">
        <v>0</v>
      </c>
      <c r="AG34" s="145">
        <v>1</v>
      </c>
      <c r="AH34" s="145">
        <v>1</v>
      </c>
      <c r="AI34" s="145">
        <v>0</v>
      </c>
      <c r="AJ34" s="145">
        <v>0</v>
      </c>
      <c r="AK34" s="145">
        <v>1</v>
      </c>
      <c r="AL34" s="145">
        <v>1</v>
      </c>
      <c r="AM34" s="145">
        <v>1</v>
      </c>
      <c r="AN34" s="145">
        <v>1</v>
      </c>
      <c r="AO34" s="145">
        <v>1</v>
      </c>
      <c r="AP34" s="145">
        <v>1</v>
      </c>
      <c r="AQ34" s="145">
        <v>0</v>
      </c>
      <c r="AR34" s="145">
        <v>1</v>
      </c>
      <c r="AS34" s="145">
        <v>1</v>
      </c>
      <c r="AT34" s="145">
        <v>1</v>
      </c>
      <c r="AU34" s="145">
        <f t="shared" si="2"/>
        <v>1</v>
      </c>
      <c r="AV34" s="145">
        <f t="shared" si="3"/>
        <v>1</v>
      </c>
      <c r="AW34" s="145">
        <f t="shared" si="4"/>
        <v>1</v>
      </c>
      <c r="AX34" s="145">
        <f t="shared" si="5"/>
        <v>1</v>
      </c>
      <c r="AY34" s="145">
        <f t="shared" si="6"/>
        <v>0</v>
      </c>
      <c r="AZ34" s="145">
        <f t="shared" si="7"/>
        <v>1</v>
      </c>
      <c r="BA34" s="146">
        <f t="shared" si="8"/>
        <v>1</v>
      </c>
      <c r="BB34" s="149">
        <f t="shared" si="9"/>
        <v>17</v>
      </c>
      <c r="BC34" s="150">
        <f t="shared" si="10"/>
        <v>16</v>
      </c>
      <c r="BD34" s="150">
        <f t="shared" si="11"/>
        <v>17</v>
      </c>
      <c r="BE34" s="211" t="str">
        <f t="shared" si="12"/>
        <v/>
      </c>
      <c r="BH34" s="172">
        <f>IF(AND(Input_Product=Elig!$C34,Elig_MatchAll_Ct&lt;22,$BC34=(Elig_MatchAll_Ct-1),AF34=0),C34,0)</f>
        <v>0</v>
      </c>
      <c r="BI34" s="173">
        <f>IF(AND(Input_Product=Elig!$C34,Elig_MatchAll_Ct&lt;22,$BC34=(Elig_MatchAll_Ct-1),AG34=0),D34,0)</f>
        <v>0</v>
      </c>
      <c r="BJ34" s="173">
        <f>IF(AND(Input_Product=Elig!$C34,Elig_MatchAll_Ct&lt;22,$BC34=(Elig_MatchAll_Ct-1),AH34=0),E34,0)</f>
        <v>0</v>
      </c>
      <c r="BK34" s="173">
        <f>IF(AND(Input_Product=Elig!$C34,Elig_MatchAll_Ct&lt;22,$BC34=(Elig_MatchAll_Ct-1),AI34=0),F34,0)</f>
        <v>0</v>
      </c>
      <c r="BL34" s="173">
        <f>IF(AND(Input_Product=Elig!$C34,Elig_MatchAll_Ct&lt;22,$BC34=(Elig_MatchAll_Ct-1),AJ34=0),G34,0)</f>
        <v>0</v>
      </c>
      <c r="BM34" s="173">
        <f>IF(AND(Input_Product=Elig!$C34,Elig_MatchAll_Ct&lt;22,$BC34=(Elig_MatchAll_Ct-1),AK34=0),H34,0)</f>
        <v>0</v>
      </c>
      <c r="BN34" s="173">
        <f>IF(AND(Input_Product=Elig!$C34,Elig_MatchAll_Ct&lt;22,$BC34=(Elig_MatchAll_Ct-1),AL34=0),I34,0)</f>
        <v>0</v>
      </c>
      <c r="BO34" s="173">
        <f>IF(AND(Input_Product=Elig!$C34,Elig_MatchAll_Ct&lt;22,$BC34=(Elig_MatchAll_Ct-1),AM34=0),J34,0)</f>
        <v>0</v>
      </c>
      <c r="BP34" s="173">
        <f>IF(AND(Input_Product=Elig!$C34,Elig_MatchAll_Ct&lt;22,$BC34=(Elig_MatchAll_Ct-1),AN34=0),K34,0)</f>
        <v>0</v>
      </c>
      <c r="BQ34" s="173">
        <f>IF(AND(Input_Product=Elig!$C34,Elig_MatchAll_Ct&lt;22,$BC34=(Elig_MatchAll_Ct-1),AP34=0),L34,0)</f>
        <v>0</v>
      </c>
      <c r="BR34" s="173">
        <f>IF(AND(Input_Product=Elig!$C34,Elig_MatchAll_Ct&lt;22,$BC34=(Elig_MatchAll_Ct-1),AO34=0),M34,0)</f>
        <v>0</v>
      </c>
      <c r="BS34" s="173">
        <f>IF(AND(Input_Product=Elig!$C34,Elig_MatchAll_Ct&lt;22,$BC34=(Elig_MatchAll_Ct-1),AQ34=0),N34,0)</f>
        <v>0</v>
      </c>
      <c r="BT34" s="173">
        <f>IF(AND(Input_Product=Elig!$C34,Elig_MatchAll_Ct&lt;22,$BC34=(Elig_MatchAll_Ct-1),AR34=0),O34,0)</f>
        <v>0</v>
      </c>
      <c r="BU34" s="173">
        <f>IF(AND(Input_Product=Elig!$C34,Elig_MatchAll_Ct&lt;22,$BC34=(Elig_MatchAll_Ct-1),AS34=0),P34,0)</f>
        <v>0</v>
      </c>
      <c r="BV34" s="174">
        <f>IF(AND(Input_Product=Elig!$C34,Elig_MatchAll_Ct&lt;22,$BC34=(Elig_MatchAll_Ct-1),AT34=0),Q34,0)</f>
        <v>0</v>
      </c>
      <c r="BW34" s="175">
        <f>IF(AND(Input_Product=Elig!$C34,Elig_MatchAll_Ct&lt;22,$BC34=(Elig_MatchAll_Ct-1),AU34=0),R34,0)</f>
        <v>0</v>
      </c>
      <c r="BX34" s="176">
        <f>IF(AND(Input_Product=Elig!$C34,Elig_MatchAll_Ct&lt;22,$BC34=(Elig_MatchAll_Ct-1),AU34=0),S34,0)</f>
        <v>0</v>
      </c>
      <c r="BY34" s="175">
        <f>IF(AND(Input_Product=Elig!$C34,Elig_MatchAll_Ct&lt;22,$BC34=(Elig_MatchAll_Ct-1),AV34=0),T34,0)</f>
        <v>0</v>
      </c>
      <c r="BZ34" s="176">
        <f>IF(AND(Input_Product=Elig!$C34,Elig_MatchAll_Ct&lt;22,$BC34=(Elig_MatchAll_Ct-1),AV34=0),U34,0)</f>
        <v>0</v>
      </c>
      <c r="CA34" s="175">
        <f>IF(AND(Input_Product=Elig!$C34,Elig_MatchAll_Ct&lt;22,$BC34=(Elig_MatchAll_Ct-1),AW34=0),V34,0)</f>
        <v>0</v>
      </c>
      <c r="CB34" s="176">
        <f>IF(AND(Input_Product=Elig!$C34,Elig_MatchAll_Ct&lt;22,$BC34=(Elig_MatchAll_Ct-1),AW34=0),W34,0)</f>
        <v>0</v>
      </c>
      <c r="CC34" s="175">
        <f>IF(AND(Input_Product=Elig!$C34,Elig_MatchAll_Ct&lt;22,$BC34=(Elig_MatchAll_Ct-1),AX34=0),X34,0)</f>
        <v>0</v>
      </c>
      <c r="CD34" s="176">
        <f>IF(AND(Input_Product=Elig!$C34,Elig_MatchAll_Ct&lt;22,$BC34=(Elig_MatchAll_Ct-1),AX34=0),Y34,0)</f>
        <v>0</v>
      </c>
      <c r="CE34" s="175">
        <f>IF(AND(Input_LTV&lt;=AE34,Input_Product=Elig!$C34,Elig_MatchAll_Ct&lt;22,$BC34=(Elig_MatchAll_Ct-1),AY34=0),Z34,0)</f>
        <v>0</v>
      </c>
      <c r="CF34" s="176">
        <f>IF(AND(Input_LTV&lt;=AE34,Input_Product=Elig!$C34,Elig_MatchAll_Ct&lt;22,$BC34=(Elig_MatchAll_Ct-1),AY34=0),AA34,0)</f>
        <v>0</v>
      </c>
      <c r="CG34" s="175">
        <f>IF(AND(Input_Product=Elig!$C34,Elig_MatchAll_Ct&lt;22,$BC34=(Elig_MatchAll_Ct-1),AZ34=0),AB34,0)</f>
        <v>0</v>
      </c>
      <c r="CH34" s="176">
        <f>IF(AND(Input_Product=Elig!$C34,Elig_MatchAll_Ct&lt;22,$BC34=(Elig_MatchAll_Ct-1),AZ34=0),AC34,0)</f>
        <v>0</v>
      </c>
      <c r="CI34" s="175">
        <f>IF(AND(Input_Product=Elig!$C34,Elig_MatchAll_Ct&lt;22,$BC34=(Elig_MatchAll_Ct-1),BA34=0),AD34,0)</f>
        <v>0</v>
      </c>
      <c r="CJ34" s="177">
        <f>IF(AND(Input_Product=Elig!$C34,Elig_MatchAll_Ct&lt;22,$BC34=(Elig_MatchAll_Ct-1),BA34=0),AE34,0)</f>
        <v>0</v>
      </c>
    </row>
    <row r="35" spans="1:88" ht="10.15" customHeight="1" x14ac:dyDescent="0.25">
      <c r="A35" s="1419" t="s">
        <v>76</v>
      </c>
      <c r="B35" s="1419" t="s">
        <v>742</v>
      </c>
      <c r="C35" s="116" t="str">
        <f t="shared" si="1"/>
        <v>NonQM OO</v>
      </c>
      <c r="D35" s="117" t="s">
        <v>1995</v>
      </c>
      <c r="E35" s="117" t="s">
        <v>166</v>
      </c>
      <c r="F35" s="117" t="s">
        <v>330</v>
      </c>
      <c r="G35" s="117" t="s">
        <v>465</v>
      </c>
      <c r="H35" s="117" t="s">
        <v>135</v>
      </c>
      <c r="I35" s="117" t="s">
        <v>273</v>
      </c>
      <c r="J35" s="117" t="s">
        <v>1130</v>
      </c>
      <c r="K35" s="117" t="s">
        <v>1398</v>
      </c>
      <c r="L35" s="117" t="s">
        <v>2025</v>
      </c>
      <c r="M35" s="117" t="s">
        <v>2289</v>
      </c>
      <c r="N35" s="117" t="s">
        <v>82</v>
      </c>
      <c r="O35" s="117" t="s">
        <v>309</v>
      </c>
      <c r="P35" s="117" t="s">
        <v>2433</v>
      </c>
      <c r="Q35" s="117" t="s">
        <v>293</v>
      </c>
      <c r="R35" s="117">
        <v>100000</v>
      </c>
      <c r="S35" s="117">
        <v>1000000</v>
      </c>
      <c r="T35" s="117">
        <v>0</v>
      </c>
      <c r="U35" s="117">
        <v>0</v>
      </c>
      <c r="V35" s="117">
        <v>0</v>
      </c>
      <c r="W35" s="117">
        <v>55</v>
      </c>
      <c r="X35" s="117">
        <v>0</v>
      </c>
      <c r="Y35" s="117">
        <v>999</v>
      </c>
      <c r="Z35" s="119">
        <v>640</v>
      </c>
      <c r="AA35" s="119">
        <v>659</v>
      </c>
      <c r="AB35" s="1877">
        <v>0</v>
      </c>
      <c r="AC35" s="119">
        <v>999999</v>
      </c>
      <c r="AD35" s="117">
        <v>0</v>
      </c>
      <c r="AE35" s="117">
        <v>80</v>
      </c>
      <c r="AF35" s="144">
        <v>0</v>
      </c>
      <c r="AG35" s="145">
        <v>1</v>
      </c>
      <c r="AH35" s="145">
        <v>1</v>
      </c>
      <c r="AI35" s="145">
        <v>0</v>
      </c>
      <c r="AJ35" s="145">
        <v>0</v>
      </c>
      <c r="AK35" s="145">
        <v>1</v>
      </c>
      <c r="AL35" s="145">
        <v>1</v>
      </c>
      <c r="AM35" s="145">
        <v>1</v>
      </c>
      <c r="AN35" s="145">
        <v>1</v>
      </c>
      <c r="AO35" s="145">
        <v>1</v>
      </c>
      <c r="AP35" s="145">
        <v>1</v>
      </c>
      <c r="AQ35" s="145">
        <v>0</v>
      </c>
      <c r="AR35" s="145">
        <v>1</v>
      </c>
      <c r="AS35" s="145">
        <v>1</v>
      </c>
      <c r="AT35" s="145">
        <v>1</v>
      </c>
      <c r="AU35" s="145">
        <f t="shared" si="2"/>
        <v>1</v>
      </c>
      <c r="AV35" s="145">
        <f t="shared" si="3"/>
        <v>1</v>
      </c>
      <c r="AW35" s="145">
        <f t="shared" si="4"/>
        <v>1</v>
      </c>
      <c r="AX35" s="145">
        <f t="shared" si="5"/>
        <v>1</v>
      </c>
      <c r="AY35" s="145">
        <f t="shared" si="6"/>
        <v>0</v>
      </c>
      <c r="AZ35" s="145">
        <f t="shared" si="7"/>
        <v>1</v>
      </c>
      <c r="BA35" s="146">
        <f t="shared" si="8"/>
        <v>1</v>
      </c>
      <c r="BB35" s="149">
        <f t="shared" si="9"/>
        <v>17</v>
      </c>
      <c r="BC35" s="150">
        <f t="shared" si="10"/>
        <v>16</v>
      </c>
      <c r="BD35" s="150">
        <f t="shared" si="11"/>
        <v>17</v>
      </c>
      <c r="BE35" s="211" t="str">
        <f t="shared" si="12"/>
        <v/>
      </c>
      <c r="BH35" s="172">
        <f>IF(AND(Input_Product=Elig!$C35,Elig_MatchAll_Ct&lt;22,$BC35=(Elig_MatchAll_Ct-1),AF35=0),C35,0)</f>
        <v>0</v>
      </c>
      <c r="BI35" s="173">
        <f>IF(AND(Input_Product=Elig!$C35,Elig_MatchAll_Ct&lt;22,$BC35=(Elig_MatchAll_Ct-1),AG35=0),D35,0)</f>
        <v>0</v>
      </c>
      <c r="BJ35" s="173">
        <f>IF(AND(Input_Product=Elig!$C35,Elig_MatchAll_Ct&lt;22,$BC35=(Elig_MatchAll_Ct-1),AH35=0),E35,0)</f>
        <v>0</v>
      </c>
      <c r="BK35" s="173">
        <f>IF(AND(Input_Product=Elig!$C35,Elig_MatchAll_Ct&lt;22,$BC35=(Elig_MatchAll_Ct-1),AI35=0),F35,0)</f>
        <v>0</v>
      </c>
      <c r="BL35" s="173">
        <f>IF(AND(Input_Product=Elig!$C35,Elig_MatchAll_Ct&lt;22,$BC35=(Elig_MatchAll_Ct-1),AJ35=0),G35,0)</f>
        <v>0</v>
      </c>
      <c r="BM35" s="173">
        <f>IF(AND(Input_Product=Elig!$C35,Elig_MatchAll_Ct&lt;22,$BC35=(Elig_MatchAll_Ct-1),AK35=0),H35,0)</f>
        <v>0</v>
      </c>
      <c r="BN35" s="173">
        <f>IF(AND(Input_Product=Elig!$C35,Elig_MatchAll_Ct&lt;22,$BC35=(Elig_MatchAll_Ct-1),AL35=0),I35,0)</f>
        <v>0</v>
      </c>
      <c r="BO35" s="173">
        <f>IF(AND(Input_Product=Elig!$C35,Elig_MatchAll_Ct&lt;22,$BC35=(Elig_MatchAll_Ct-1),AM35=0),J35,0)</f>
        <v>0</v>
      </c>
      <c r="BP35" s="173">
        <f>IF(AND(Input_Product=Elig!$C35,Elig_MatchAll_Ct&lt;22,$BC35=(Elig_MatchAll_Ct-1),AN35=0),K35,0)</f>
        <v>0</v>
      </c>
      <c r="BQ35" s="173">
        <f>IF(AND(Input_Product=Elig!$C35,Elig_MatchAll_Ct&lt;22,$BC35=(Elig_MatchAll_Ct-1),AP35=0),L35,0)</f>
        <v>0</v>
      </c>
      <c r="BR35" s="173">
        <f>IF(AND(Input_Product=Elig!$C35,Elig_MatchAll_Ct&lt;22,$BC35=(Elig_MatchAll_Ct-1),AO35=0),M35,0)</f>
        <v>0</v>
      </c>
      <c r="BS35" s="173">
        <f>IF(AND(Input_Product=Elig!$C35,Elig_MatchAll_Ct&lt;22,$BC35=(Elig_MatchAll_Ct-1),AQ35=0),N35,0)</f>
        <v>0</v>
      </c>
      <c r="BT35" s="173">
        <f>IF(AND(Input_Product=Elig!$C35,Elig_MatchAll_Ct&lt;22,$BC35=(Elig_MatchAll_Ct-1),AR35=0),O35,0)</f>
        <v>0</v>
      </c>
      <c r="BU35" s="173">
        <f>IF(AND(Input_Product=Elig!$C35,Elig_MatchAll_Ct&lt;22,$BC35=(Elig_MatchAll_Ct-1),AS35=0),P35,0)</f>
        <v>0</v>
      </c>
      <c r="BV35" s="174">
        <f>IF(AND(Input_Product=Elig!$C35,Elig_MatchAll_Ct&lt;22,$BC35=(Elig_MatchAll_Ct-1),AT35=0),Q35,0)</f>
        <v>0</v>
      </c>
      <c r="BW35" s="175">
        <f>IF(AND(Input_Product=Elig!$C35,Elig_MatchAll_Ct&lt;22,$BC35=(Elig_MatchAll_Ct-1),AU35=0),R35,0)</f>
        <v>0</v>
      </c>
      <c r="BX35" s="176">
        <f>IF(AND(Input_Product=Elig!$C35,Elig_MatchAll_Ct&lt;22,$BC35=(Elig_MatchAll_Ct-1),AU35=0),S35,0)</f>
        <v>0</v>
      </c>
      <c r="BY35" s="175">
        <f>IF(AND(Input_Product=Elig!$C35,Elig_MatchAll_Ct&lt;22,$BC35=(Elig_MatchAll_Ct-1),AV35=0),T35,0)</f>
        <v>0</v>
      </c>
      <c r="BZ35" s="176">
        <f>IF(AND(Input_Product=Elig!$C35,Elig_MatchAll_Ct&lt;22,$BC35=(Elig_MatchAll_Ct-1),AV35=0),U35,0)</f>
        <v>0</v>
      </c>
      <c r="CA35" s="175">
        <f>IF(AND(Input_Product=Elig!$C35,Elig_MatchAll_Ct&lt;22,$BC35=(Elig_MatchAll_Ct-1),AW35=0),V35,0)</f>
        <v>0</v>
      </c>
      <c r="CB35" s="176">
        <f>IF(AND(Input_Product=Elig!$C35,Elig_MatchAll_Ct&lt;22,$BC35=(Elig_MatchAll_Ct-1),AW35=0),W35,0)</f>
        <v>0</v>
      </c>
      <c r="CC35" s="175">
        <f>IF(AND(Input_Product=Elig!$C35,Elig_MatchAll_Ct&lt;22,$BC35=(Elig_MatchAll_Ct-1),AX35=0),X35,0)</f>
        <v>0</v>
      </c>
      <c r="CD35" s="176">
        <f>IF(AND(Input_Product=Elig!$C35,Elig_MatchAll_Ct&lt;22,$BC35=(Elig_MatchAll_Ct-1),AX35=0),Y35,0)</f>
        <v>0</v>
      </c>
      <c r="CE35" s="175">
        <f>IF(AND(Input_LTV&lt;=AE35,Input_Product=Elig!$C35,Elig_MatchAll_Ct&lt;22,$BC35=(Elig_MatchAll_Ct-1),AY35=0),Z35,0)</f>
        <v>0</v>
      </c>
      <c r="CF35" s="176">
        <f>IF(AND(Input_LTV&lt;=AE35,Input_Product=Elig!$C35,Elig_MatchAll_Ct&lt;22,$BC35=(Elig_MatchAll_Ct-1),AY35=0),AA35,0)</f>
        <v>0</v>
      </c>
      <c r="CG35" s="175">
        <f>IF(AND(Input_Product=Elig!$C35,Elig_MatchAll_Ct&lt;22,$BC35=(Elig_MatchAll_Ct-1),AZ35=0),AB35,0)</f>
        <v>0</v>
      </c>
      <c r="CH35" s="176">
        <f>IF(AND(Input_Product=Elig!$C35,Elig_MatchAll_Ct&lt;22,$BC35=(Elig_MatchAll_Ct-1),AZ35=0),AC35,0)</f>
        <v>0</v>
      </c>
      <c r="CI35" s="175">
        <f>IF(AND(Input_Product=Elig!$C35,Elig_MatchAll_Ct&lt;22,$BC35=(Elig_MatchAll_Ct-1),BA35=0),AD35,0)</f>
        <v>0</v>
      </c>
      <c r="CJ35" s="177">
        <f>IF(AND(Input_Product=Elig!$C35,Elig_MatchAll_Ct&lt;22,$BC35=(Elig_MatchAll_Ct-1),BA35=0),AE35,0)</f>
        <v>0</v>
      </c>
    </row>
    <row r="36" spans="1:88" ht="10.15" customHeight="1" x14ac:dyDescent="0.25">
      <c r="A36" s="1419" t="s">
        <v>76</v>
      </c>
      <c r="B36" s="1419" t="s">
        <v>743</v>
      </c>
      <c r="C36" s="120" t="str">
        <f t="shared" si="1"/>
        <v>NonQM OO</v>
      </c>
      <c r="D36" s="121" t="s">
        <v>1995</v>
      </c>
      <c r="E36" s="121" t="s">
        <v>166</v>
      </c>
      <c r="F36" s="121" t="s">
        <v>330</v>
      </c>
      <c r="G36" s="121" t="s">
        <v>465</v>
      </c>
      <c r="H36" s="121" t="s">
        <v>135</v>
      </c>
      <c r="I36" s="121" t="s">
        <v>273</v>
      </c>
      <c r="J36" s="121" t="s">
        <v>1130</v>
      </c>
      <c r="K36" s="121" t="s">
        <v>1398</v>
      </c>
      <c r="L36" s="121" t="s">
        <v>2025</v>
      </c>
      <c r="M36" s="121" t="s">
        <v>2289</v>
      </c>
      <c r="N36" s="121" t="s">
        <v>82</v>
      </c>
      <c r="O36" s="121" t="s">
        <v>309</v>
      </c>
      <c r="P36" s="121" t="s">
        <v>2433</v>
      </c>
      <c r="Q36" s="121" t="s">
        <v>293</v>
      </c>
      <c r="R36" s="121">
        <v>100000</v>
      </c>
      <c r="S36" s="121">
        <v>1000000</v>
      </c>
      <c r="T36" s="121">
        <v>0</v>
      </c>
      <c r="U36" s="121">
        <v>0</v>
      </c>
      <c r="V36" s="121">
        <v>0</v>
      </c>
      <c r="W36" s="121">
        <v>55</v>
      </c>
      <c r="X36" s="121">
        <v>0</v>
      </c>
      <c r="Y36" s="121">
        <v>999</v>
      </c>
      <c r="Z36" s="122">
        <v>620</v>
      </c>
      <c r="AA36" s="122">
        <v>639</v>
      </c>
      <c r="AB36" s="1878">
        <v>0</v>
      </c>
      <c r="AC36" s="122">
        <v>999999</v>
      </c>
      <c r="AD36" s="121">
        <v>0</v>
      </c>
      <c r="AE36" s="121">
        <v>80</v>
      </c>
      <c r="AF36" s="144">
        <v>0</v>
      </c>
      <c r="AG36" s="145">
        <v>1</v>
      </c>
      <c r="AH36" s="145">
        <v>1</v>
      </c>
      <c r="AI36" s="145">
        <v>0</v>
      </c>
      <c r="AJ36" s="145">
        <v>0</v>
      </c>
      <c r="AK36" s="145">
        <v>1</v>
      </c>
      <c r="AL36" s="145">
        <v>1</v>
      </c>
      <c r="AM36" s="145">
        <v>1</v>
      </c>
      <c r="AN36" s="145">
        <v>1</v>
      </c>
      <c r="AO36" s="145">
        <v>1</v>
      </c>
      <c r="AP36" s="145">
        <v>1</v>
      </c>
      <c r="AQ36" s="145">
        <v>0</v>
      </c>
      <c r="AR36" s="145">
        <v>1</v>
      </c>
      <c r="AS36" s="145">
        <v>1</v>
      </c>
      <c r="AT36" s="145">
        <v>1</v>
      </c>
      <c r="AU36" s="145">
        <f t="shared" si="2"/>
        <v>1</v>
      </c>
      <c r="AV36" s="145">
        <f t="shared" si="3"/>
        <v>1</v>
      </c>
      <c r="AW36" s="145">
        <f t="shared" si="4"/>
        <v>1</v>
      </c>
      <c r="AX36" s="145">
        <f t="shared" si="5"/>
        <v>1</v>
      </c>
      <c r="AY36" s="145">
        <f t="shared" si="6"/>
        <v>0</v>
      </c>
      <c r="AZ36" s="145">
        <f t="shared" si="7"/>
        <v>1</v>
      </c>
      <c r="BA36" s="146">
        <f t="shared" si="8"/>
        <v>1</v>
      </c>
      <c r="BB36" s="149">
        <f t="shared" si="9"/>
        <v>17</v>
      </c>
      <c r="BC36" s="150">
        <f t="shared" si="10"/>
        <v>16</v>
      </c>
      <c r="BD36" s="150">
        <f t="shared" si="11"/>
        <v>17</v>
      </c>
      <c r="BE36" s="211" t="str">
        <f t="shared" si="12"/>
        <v/>
      </c>
      <c r="BH36" s="178">
        <f>IF(AND(Input_Product=Elig!$C36,Elig_MatchAll_Ct&lt;22,$BC36=(Elig_MatchAll_Ct-1),AF36=0),C36,0)</f>
        <v>0</v>
      </c>
      <c r="BI36" s="179">
        <f>IF(AND(Input_Product=Elig!$C36,Elig_MatchAll_Ct&lt;22,$BC36=(Elig_MatchAll_Ct-1),AG36=0),D36,0)</f>
        <v>0</v>
      </c>
      <c r="BJ36" s="179">
        <f>IF(AND(Input_Product=Elig!$C36,Elig_MatchAll_Ct&lt;22,$BC36=(Elig_MatchAll_Ct-1),AH36=0),E36,0)</f>
        <v>0</v>
      </c>
      <c r="BK36" s="179">
        <f>IF(AND(Input_Product=Elig!$C36,Elig_MatchAll_Ct&lt;22,$BC36=(Elig_MatchAll_Ct-1),AI36=0),F36,0)</f>
        <v>0</v>
      </c>
      <c r="BL36" s="179">
        <f>IF(AND(Input_Product=Elig!$C36,Elig_MatchAll_Ct&lt;22,$BC36=(Elig_MatchAll_Ct-1),AJ36=0),G36,0)</f>
        <v>0</v>
      </c>
      <c r="BM36" s="179">
        <f>IF(AND(Input_Product=Elig!$C36,Elig_MatchAll_Ct&lt;22,$BC36=(Elig_MatchAll_Ct-1),AK36=0),H36,0)</f>
        <v>0</v>
      </c>
      <c r="BN36" s="179">
        <f>IF(AND(Input_Product=Elig!$C36,Elig_MatchAll_Ct&lt;22,$BC36=(Elig_MatchAll_Ct-1),AL36=0),I36,0)</f>
        <v>0</v>
      </c>
      <c r="BO36" s="179">
        <f>IF(AND(Input_Product=Elig!$C36,Elig_MatchAll_Ct&lt;22,$BC36=(Elig_MatchAll_Ct-1),AM36=0),J36,0)</f>
        <v>0</v>
      </c>
      <c r="BP36" s="179">
        <f>IF(AND(Input_Product=Elig!$C36,Elig_MatchAll_Ct&lt;22,$BC36=(Elig_MatchAll_Ct-1),AN36=0),K36,0)</f>
        <v>0</v>
      </c>
      <c r="BQ36" s="179">
        <f>IF(AND(Input_Product=Elig!$C36,Elig_MatchAll_Ct&lt;22,$BC36=(Elig_MatchAll_Ct-1),AP36=0),L36,0)</f>
        <v>0</v>
      </c>
      <c r="BR36" s="179">
        <f>IF(AND(Input_Product=Elig!$C36,Elig_MatchAll_Ct&lt;22,$BC36=(Elig_MatchAll_Ct-1),AO36=0),M36,0)</f>
        <v>0</v>
      </c>
      <c r="BS36" s="179">
        <f>IF(AND(Input_Product=Elig!$C36,Elig_MatchAll_Ct&lt;22,$BC36=(Elig_MatchAll_Ct-1),AQ36=0),N36,0)</f>
        <v>0</v>
      </c>
      <c r="BT36" s="179">
        <f>IF(AND(Input_Product=Elig!$C36,Elig_MatchAll_Ct&lt;22,$BC36=(Elig_MatchAll_Ct-1),AR36=0),O36,0)</f>
        <v>0</v>
      </c>
      <c r="BU36" s="179">
        <f>IF(AND(Input_Product=Elig!$C36,Elig_MatchAll_Ct&lt;22,$BC36=(Elig_MatchAll_Ct-1),AS36=0),P36,0)</f>
        <v>0</v>
      </c>
      <c r="BV36" s="180">
        <f>IF(AND(Input_Product=Elig!$C36,Elig_MatchAll_Ct&lt;22,$BC36=(Elig_MatchAll_Ct-1),AT36=0),Q36,0)</f>
        <v>0</v>
      </c>
      <c r="BW36" s="181">
        <f>IF(AND(Input_Product=Elig!$C36,Elig_MatchAll_Ct&lt;22,$BC36=(Elig_MatchAll_Ct-1),AU36=0),R36,0)</f>
        <v>0</v>
      </c>
      <c r="BX36" s="182">
        <f>IF(AND(Input_Product=Elig!$C36,Elig_MatchAll_Ct&lt;22,$BC36=(Elig_MatchAll_Ct-1),AU36=0),S36,0)</f>
        <v>0</v>
      </c>
      <c r="BY36" s="181">
        <f>IF(AND(Input_Product=Elig!$C36,Elig_MatchAll_Ct&lt;22,$BC36=(Elig_MatchAll_Ct-1),AV36=0),T36,0)</f>
        <v>0</v>
      </c>
      <c r="BZ36" s="182">
        <f>IF(AND(Input_Product=Elig!$C36,Elig_MatchAll_Ct&lt;22,$BC36=(Elig_MatchAll_Ct-1),AV36=0),U36,0)</f>
        <v>0</v>
      </c>
      <c r="CA36" s="181">
        <f>IF(AND(Input_Product=Elig!$C36,Elig_MatchAll_Ct&lt;22,$BC36=(Elig_MatchAll_Ct-1),AW36=0),V36,0)</f>
        <v>0</v>
      </c>
      <c r="CB36" s="182">
        <f>IF(AND(Input_Product=Elig!$C36,Elig_MatchAll_Ct&lt;22,$BC36=(Elig_MatchAll_Ct-1),AW36=0),W36,0)</f>
        <v>0</v>
      </c>
      <c r="CC36" s="181">
        <f>IF(AND(Input_Product=Elig!$C36,Elig_MatchAll_Ct&lt;22,$BC36=(Elig_MatchAll_Ct-1),AX36=0),X36,0)</f>
        <v>0</v>
      </c>
      <c r="CD36" s="182">
        <f>IF(AND(Input_Product=Elig!$C36,Elig_MatchAll_Ct&lt;22,$BC36=(Elig_MatchAll_Ct-1),AX36=0),Y36,0)</f>
        <v>0</v>
      </c>
      <c r="CE36" s="181">
        <f>IF(AND(Input_LTV&lt;=AE36,Input_Product=Elig!$C36,Elig_MatchAll_Ct&lt;22,$BC36=(Elig_MatchAll_Ct-1),AY36=0),Z36,0)</f>
        <v>0</v>
      </c>
      <c r="CF36" s="182">
        <f>IF(AND(Input_LTV&lt;=AE36,Input_Product=Elig!$C36,Elig_MatchAll_Ct&lt;22,$BC36=(Elig_MatchAll_Ct-1),AY36=0),AA36,0)</f>
        <v>0</v>
      </c>
      <c r="CG36" s="181">
        <f>IF(AND(Input_Product=Elig!$C36,Elig_MatchAll_Ct&lt;22,$BC36=(Elig_MatchAll_Ct-1),AZ36=0),AB36,0)</f>
        <v>0</v>
      </c>
      <c r="CH36" s="182">
        <f>IF(AND(Input_Product=Elig!$C36,Elig_MatchAll_Ct&lt;22,$BC36=(Elig_MatchAll_Ct-1),AZ36=0),AC36,0)</f>
        <v>0</v>
      </c>
      <c r="CI36" s="181">
        <f>IF(AND(Input_Product=Elig!$C36,Elig_MatchAll_Ct&lt;22,$BC36=(Elig_MatchAll_Ct-1),BA36=0),AD36,0)</f>
        <v>0</v>
      </c>
      <c r="CJ36" s="183">
        <f>IF(AND(Input_Product=Elig!$C36,Elig_MatchAll_Ct&lt;22,$BC36=(Elig_MatchAll_Ct-1),BA36=0),AE36,0)</f>
        <v>0</v>
      </c>
    </row>
    <row r="37" spans="1:88" ht="10.15" customHeight="1" x14ac:dyDescent="0.25">
      <c r="A37" s="1419" t="s">
        <v>76</v>
      </c>
      <c r="B37" s="1419" t="s">
        <v>744</v>
      </c>
      <c r="C37" s="123" t="str">
        <f t="shared" si="1"/>
        <v>NonQM OO</v>
      </c>
      <c r="D37" s="124" t="s">
        <v>1995</v>
      </c>
      <c r="E37" s="125" t="s">
        <v>166</v>
      </c>
      <c r="F37" s="125" t="s">
        <v>330</v>
      </c>
      <c r="G37" s="125" t="s">
        <v>465</v>
      </c>
      <c r="H37" s="125" t="s">
        <v>135</v>
      </c>
      <c r="I37" s="124" t="s">
        <v>16</v>
      </c>
      <c r="J37" s="124" t="s">
        <v>1130</v>
      </c>
      <c r="K37" s="124" t="s">
        <v>1398</v>
      </c>
      <c r="L37" s="125" t="s">
        <v>2025</v>
      </c>
      <c r="M37" s="125" t="s">
        <v>2289</v>
      </c>
      <c r="N37" s="125" t="s">
        <v>82</v>
      </c>
      <c r="O37" s="125" t="s">
        <v>309</v>
      </c>
      <c r="P37" s="125" t="s">
        <v>2433</v>
      </c>
      <c r="Q37" s="125" t="s">
        <v>293</v>
      </c>
      <c r="R37" s="124">
        <v>100000</v>
      </c>
      <c r="S37" s="124">
        <v>1000000</v>
      </c>
      <c r="T37" s="124">
        <v>0</v>
      </c>
      <c r="U37" s="124">
        <f t="shared" ref="U37:U42" si="15">S37</f>
        <v>1000000</v>
      </c>
      <c r="V37" s="124">
        <v>0</v>
      </c>
      <c r="W37" s="124">
        <v>55</v>
      </c>
      <c r="X37" s="124">
        <v>0</v>
      </c>
      <c r="Y37" s="124">
        <v>999</v>
      </c>
      <c r="Z37" s="126">
        <v>720</v>
      </c>
      <c r="AA37" s="126">
        <v>999</v>
      </c>
      <c r="AB37" s="1879">
        <v>0</v>
      </c>
      <c r="AC37" s="126">
        <v>999999</v>
      </c>
      <c r="AD37" s="124">
        <v>0</v>
      </c>
      <c r="AE37" s="124">
        <v>80</v>
      </c>
      <c r="AF37" s="144">
        <v>0</v>
      </c>
      <c r="AG37" s="145">
        <v>1</v>
      </c>
      <c r="AH37" s="145">
        <v>1</v>
      </c>
      <c r="AI37" s="145">
        <v>0</v>
      </c>
      <c r="AJ37" s="145">
        <v>0</v>
      </c>
      <c r="AK37" s="145">
        <v>1</v>
      </c>
      <c r="AL37" s="145">
        <v>0</v>
      </c>
      <c r="AM37" s="145">
        <v>1</v>
      </c>
      <c r="AN37" s="145">
        <v>1</v>
      </c>
      <c r="AO37" s="145">
        <v>1</v>
      </c>
      <c r="AP37" s="145">
        <v>1</v>
      </c>
      <c r="AQ37" s="145">
        <v>0</v>
      </c>
      <c r="AR37" s="145">
        <v>1</v>
      </c>
      <c r="AS37" s="145">
        <v>1</v>
      </c>
      <c r="AT37" s="145">
        <v>1</v>
      </c>
      <c r="AU37" s="145">
        <f t="shared" si="2"/>
        <v>1</v>
      </c>
      <c r="AV37" s="145">
        <f t="shared" si="3"/>
        <v>1</v>
      </c>
      <c r="AW37" s="145">
        <f t="shared" si="4"/>
        <v>1</v>
      </c>
      <c r="AX37" s="145">
        <f t="shared" si="5"/>
        <v>1</v>
      </c>
      <c r="AY37" s="145">
        <f t="shared" si="6"/>
        <v>1</v>
      </c>
      <c r="AZ37" s="145">
        <f t="shared" si="7"/>
        <v>1</v>
      </c>
      <c r="BA37" s="146">
        <f t="shared" si="8"/>
        <v>1</v>
      </c>
      <c r="BB37" s="149">
        <f t="shared" si="9"/>
        <v>17</v>
      </c>
      <c r="BC37" s="150">
        <f t="shared" si="10"/>
        <v>16</v>
      </c>
      <c r="BD37" s="150">
        <f t="shared" si="11"/>
        <v>17</v>
      </c>
      <c r="BE37" s="211" t="str">
        <f t="shared" si="12"/>
        <v/>
      </c>
      <c r="BH37" s="166">
        <f>IF(AND(Input_Product=Elig!$C37,Elig_MatchAll_Ct&lt;22,$BC37=(Elig_MatchAll_Ct-1),AF37=0),C37,0)</f>
        <v>0</v>
      </c>
      <c r="BI37" s="167">
        <f>IF(AND(Input_Product=Elig!$C37,Elig_MatchAll_Ct&lt;22,$BC37=(Elig_MatchAll_Ct-1),AG37=0),D37,0)</f>
        <v>0</v>
      </c>
      <c r="BJ37" s="167">
        <f>IF(AND(Input_Product=Elig!$C37,Elig_MatchAll_Ct&lt;22,$BC37=(Elig_MatchAll_Ct-1),AH37=0),E37,0)</f>
        <v>0</v>
      </c>
      <c r="BK37" s="167">
        <f>IF(AND(Input_Product=Elig!$C37,Elig_MatchAll_Ct&lt;22,$BC37=(Elig_MatchAll_Ct-1),AI37=0),F37,0)</f>
        <v>0</v>
      </c>
      <c r="BL37" s="167">
        <f>IF(AND(Input_Product=Elig!$C37,Elig_MatchAll_Ct&lt;22,$BC37=(Elig_MatchAll_Ct-1),AJ37=0),G37,0)</f>
        <v>0</v>
      </c>
      <c r="BM37" s="167">
        <f>IF(AND(Input_Product=Elig!$C37,Elig_MatchAll_Ct&lt;22,$BC37=(Elig_MatchAll_Ct-1),AK37=0),H37,0)</f>
        <v>0</v>
      </c>
      <c r="BN37" s="167">
        <f>IF(AND(Input_Product=Elig!$C37,Elig_MatchAll_Ct&lt;22,$BC37=(Elig_MatchAll_Ct-1),AL37=0),I37,0)</f>
        <v>0</v>
      </c>
      <c r="BO37" s="167">
        <f>IF(AND(Input_Product=Elig!$C37,Elig_MatchAll_Ct&lt;22,$BC37=(Elig_MatchAll_Ct-1),AM37=0),J37,0)</f>
        <v>0</v>
      </c>
      <c r="BP37" s="167">
        <f>IF(AND(Input_Product=Elig!$C37,Elig_MatchAll_Ct&lt;22,$BC37=(Elig_MatchAll_Ct-1),AN37=0),K37,0)</f>
        <v>0</v>
      </c>
      <c r="BQ37" s="167">
        <f>IF(AND(Input_Product=Elig!$C37,Elig_MatchAll_Ct&lt;22,$BC37=(Elig_MatchAll_Ct-1),AP37=0),L37,0)</f>
        <v>0</v>
      </c>
      <c r="BR37" s="167">
        <f>IF(AND(Input_Product=Elig!$C37,Elig_MatchAll_Ct&lt;22,$BC37=(Elig_MatchAll_Ct-1),AO37=0),M37,0)</f>
        <v>0</v>
      </c>
      <c r="BS37" s="167">
        <f>IF(AND(Input_Product=Elig!$C37,Elig_MatchAll_Ct&lt;22,$BC37=(Elig_MatchAll_Ct-1),AQ37=0),N37,0)</f>
        <v>0</v>
      </c>
      <c r="BT37" s="167">
        <f>IF(AND(Input_Product=Elig!$C37,Elig_MatchAll_Ct&lt;22,$BC37=(Elig_MatchAll_Ct-1),AR37=0),O37,0)</f>
        <v>0</v>
      </c>
      <c r="BU37" s="167">
        <f>IF(AND(Input_Product=Elig!$C37,Elig_MatchAll_Ct&lt;22,$BC37=(Elig_MatchAll_Ct-1),AS37=0),P37,0)</f>
        <v>0</v>
      </c>
      <c r="BV37" s="168">
        <f>IF(AND(Input_Product=Elig!$C37,Elig_MatchAll_Ct&lt;22,$BC37=(Elig_MatchAll_Ct-1),AT37=0),Q37,0)</f>
        <v>0</v>
      </c>
      <c r="BW37" s="169">
        <f>IF(AND(Input_Product=Elig!$C37,Elig_MatchAll_Ct&lt;22,$BC37=(Elig_MatchAll_Ct-1),AU37=0),R37,0)</f>
        <v>0</v>
      </c>
      <c r="BX37" s="170">
        <f>IF(AND(Input_Product=Elig!$C37,Elig_MatchAll_Ct&lt;22,$BC37=(Elig_MatchAll_Ct-1),AU37=0),S37,0)</f>
        <v>0</v>
      </c>
      <c r="BY37" s="169">
        <f>IF(AND(Input_Product=Elig!$C37,Elig_MatchAll_Ct&lt;22,$BC37=(Elig_MatchAll_Ct-1),AV37=0),T37,0)</f>
        <v>0</v>
      </c>
      <c r="BZ37" s="170">
        <f>IF(AND(Input_Product=Elig!$C37,Elig_MatchAll_Ct&lt;22,$BC37=(Elig_MatchAll_Ct-1),AV37=0),U37,0)</f>
        <v>0</v>
      </c>
      <c r="CA37" s="169">
        <f>IF(AND(Input_Product=Elig!$C37,Elig_MatchAll_Ct&lt;22,$BC37=(Elig_MatchAll_Ct-1),AW37=0),V37,0)</f>
        <v>0</v>
      </c>
      <c r="CB37" s="170">
        <f>IF(AND(Input_Product=Elig!$C37,Elig_MatchAll_Ct&lt;22,$BC37=(Elig_MatchAll_Ct-1),AW37=0),W37,0)</f>
        <v>0</v>
      </c>
      <c r="CC37" s="169">
        <f>IF(AND(Input_Product=Elig!$C37,Elig_MatchAll_Ct&lt;22,$BC37=(Elig_MatchAll_Ct-1),AX37=0),X37,0)</f>
        <v>0</v>
      </c>
      <c r="CD37" s="170">
        <f>IF(AND(Input_Product=Elig!$C37,Elig_MatchAll_Ct&lt;22,$BC37=(Elig_MatchAll_Ct-1),AX37=0),Y37,0)</f>
        <v>0</v>
      </c>
      <c r="CE37" s="169">
        <f>IF(AND(Input_LTV&lt;=AE37,Input_Product=Elig!$C37,Elig_MatchAll_Ct&lt;22,$BC37=(Elig_MatchAll_Ct-1),AY37=0),Z37,0)</f>
        <v>0</v>
      </c>
      <c r="CF37" s="170">
        <f>IF(AND(Input_LTV&lt;=AE37,Input_Product=Elig!$C37,Elig_MatchAll_Ct&lt;22,$BC37=(Elig_MatchAll_Ct-1),AY37=0),AA37,0)</f>
        <v>0</v>
      </c>
      <c r="CG37" s="169">
        <f>IF(AND(Input_Product=Elig!$C37,Elig_MatchAll_Ct&lt;22,$BC37=(Elig_MatchAll_Ct-1),AZ37=0),AB37,0)</f>
        <v>0</v>
      </c>
      <c r="CH37" s="170">
        <f>IF(AND(Input_Product=Elig!$C37,Elig_MatchAll_Ct&lt;22,$BC37=(Elig_MatchAll_Ct-1),AZ37=0),AC37,0)</f>
        <v>0</v>
      </c>
      <c r="CI37" s="169">
        <f>IF(AND(Input_Product=Elig!$C37,Elig_MatchAll_Ct&lt;22,$BC37=(Elig_MatchAll_Ct-1),BA37=0),AD37,0)</f>
        <v>0</v>
      </c>
      <c r="CJ37" s="171">
        <f>IF(AND(Input_Product=Elig!$C37,Elig_MatchAll_Ct&lt;22,$BC37=(Elig_MatchAll_Ct-1),BA37=0),AE37,0)</f>
        <v>0</v>
      </c>
    </row>
    <row r="38" spans="1:88" ht="10.15" customHeight="1" x14ac:dyDescent="0.25">
      <c r="A38" s="1419" t="s">
        <v>76</v>
      </c>
      <c r="B38" s="1419" t="s">
        <v>745</v>
      </c>
      <c r="C38" s="116" t="str">
        <f t="shared" si="1"/>
        <v>NonQM OO</v>
      </c>
      <c r="D38" s="117" t="s">
        <v>1995</v>
      </c>
      <c r="E38" s="117" t="s">
        <v>166</v>
      </c>
      <c r="F38" s="117" t="s">
        <v>330</v>
      </c>
      <c r="G38" s="117" t="s">
        <v>465</v>
      </c>
      <c r="H38" s="117" t="s">
        <v>135</v>
      </c>
      <c r="I38" s="118" t="s">
        <v>16</v>
      </c>
      <c r="J38" s="118" t="s">
        <v>1130</v>
      </c>
      <c r="K38" s="118" t="s">
        <v>1398</v>
      </c>
      <c r="L38" s="117" t="s">
        <v>2025</v>
      </c>
      <c r="M38" s="117" t="s">
        <v>2289</v>
      </c>
      <c r="N38" s="117" t="s">
        <v>82</v>
      </c>
      <c r="O38" s="117" t="s">
        <v>309</v>
      </c>
      <c r="P38" s="117" t="s">
        <v>2433</v>
      </c>
      <c r="Q38" s="117" t="s">
        <v>293</v>
      </c>
      <c r="R38" s="117">
        <v>100000</v>
      </c>
      <c r="S38" s="117">
        <v>1000000</v>
      </c>
      <c r="T38" s="117">
        <v>0</v>
      </c>
      <c r="U38" s="117">
        <f t="shared" si="15"/>
        <v>1000000</v>
      </c>
      <c r="V38" s="117">
        <v>0</v>
      </c>
      <c r="W38" s="117">
        <v>55</v>
      </c>
      <c r="X38" s="117">
        <v>0</v>
      </c>
      <c r="Y38" s="117">
        <v>999</v>
      </c>
      <c r="Z38" s="119">
        <v>700</v>
      </c>
      <c r="AA38" s="119">
        <v>719</v>
      </c>
      <c r="AB38" s="1877">
        <v>0</v>
      </c>
      <c r="AC38" s="119">
        <v>999999</v>
      </c>
      <c r="AD38" s="117">
        <v>0</v>
      </c>
      <c r="AE38" s="117">
        <v>80</v>
      </c>
      <c r="AF38" s="144">
        <v>0</v>
      </c>
      <c r="AG38" s="145">
        <v>1</v>
      </c>
      <c r="AH38" s="145">
        <v>1</v>
      </c>
      <c r="AI38" s="145">
        <v>0</v>
      </c>
      <c r="AJ38" s="145">
        <v>0</v>
      </c>
      <c r="AK38" s="145">
        <v>1</v>
      </c>
      <c r="AL38" s="145">
        <v>0</v>
      </c>
      <c r="AM38" s="145">
        <v>1</v>
      </c>
      <c r="AN38" s="145">
        <v>1</v>
      </c>
      <c r="AO38" s="145">
        <v>1</v>
      </c>
      <c r="AP38" s="145">
        <v>1</v>
      </c>
      <c r="AQ38" s="145">
        <v>0</v>
      </c>
      <c r="AR38" s="145">
        <v>1</v>
      </c>
      <c r="AS38" s="145">
        <v>1</v>
      </c>
      <c r="AT38" s="145">
        <v>1</v>
      </c>
      <c r="AU38" s="145">
        <f t="shared" si="2"/>
        <v>1</v>
      </c>
      <c r="AV38" s="145">
        <f t="shared" si="3"/>
        <v>1</v>
      </c>
      <c r="AW38" s="145">
        <f t="shared" si="4"/>
        <v>1</v>
      </c>
      <c r="AX38" s="145">
        <f t="shared" si="5"/>
        <v>1</v>
      </c>
      <c r="AY38" s="145">
        <f t="shared" si="6"/>
        <v>0</v>
      </c>
      <c r="AZ38" s="145">
        <f t="shared" si="7"/>
        <v>1</v>
      </c>
      <c r="BA38" s="146">
        <f t="shared" si="8"/>
        <v>1</v>
      </c>
      <c r="BB38" s="149">
        <f t="shared" si="9"/>
        <v>16</v>
      </c>
      <c r="BC38" s="150">
        <f t="shared" si="10"/>
        <v>15</v>
      </c>
      <c r="BD38" s="150">
        <f t="shared" si="11"/>
        <v>16</v>
      </c>
      <c r="BE38" s="211" t="str">
        <f t="shared" si="12"/>
        <v/>
      </c>
      <c r="BH38" s="172">
        <f>IF(AND(Input_Product=Elig!$C38,Elig_MatchAll_Ct&lt;22,$BC38=(Elig_MatchAll_Ct-1),AF38=0),C38,0)</f>
        <v>0</v>
      </c>
      <c r="BI38" s="173">
        <f>IF(AND(Input_Product=Elig!$C38,Elig_MatchAll_Ct&lt;22,$BC38=(Elig_MatchAll_Ct-1),AG38=0),D38,0)</f>
        <v>0</v>
      </c>
      <c r="BJ38" s="173">
        <f>IF(AND(Input_Product=Elig!$C38,Elig_MatchAll_Ct&lt;22,$BC38=(Elig_MatchAll_Ct-1),AH38=0),E38,0)</f>
        <v>0</v>
      </c>
      <c r="BK38" s="173">
        <f>IF(AND(Input_Product=Elig!$C38,Elig_MatchAll_Ct&lt;22,$BC38=(Elig_MatchAll_Ct-1),AI38=0),F38,0)</f>
        <v>0</v>
      </c>
      <c r="BL38" s="173">
        <f>IF(AND(Input_Product=Elig!$C38,Elig_MatchAll_Ct&lt;22,$BC38=(Elig_MatchAll_Ct-1),AJ38=0),G38,0)</f>
        <v>0</v>
      </c>
      <c r="BM38" s="173">
        <f>IF(AND(Input_Product=Elig!$C38,Elig_MatchAll_Ct&lt;22,$BC38=(Elig_MatchAll_Ct-1),AK38=0),H38,0)</f>
        <v>0</v>
      </c>
      <c r="BN38" s="173">
        <f>IF(AND(Input_Product=Elig!$C38,Elig_MatchAll_Ct&lt;22,$BC38=(Elig_MatchAll_Ct-1),AL38=0),I38,0)</f>
        <v>0</v>
      </c>
      <c r="BO38" s="173">
        <f>IF(AND(Input_Product=Elig!$C38,Elig_MatchAll_Ct&lt;22,$BC38=(Elig_MatchAll_Ct-1),AM38=0),J38,0)</f>
        <v>0</v>
      </c>
      <c r="BP38" s="173">
        <f>IF(AND(Input_Product=Elig!$C38,Elig_MatchAll_Ct&lt;22,$BC38=(Elig_MatchAll_Ct-1),AN38=0),K38,0)</f>
        <v>0</v>
      </c>
      <c r="BQ38" s="173">
        <f>IF(AND(Input_Product=Elig!$C38,Elig_MatchAll_Ct&lt;22,$BC38=(Elig_MatchAll_Ct-1),AP38=0),L38,0)</f>
        <v>0</v>
      </c>
      <c r="BR38" s="173">
        <f>IF(AND(Input_Product=Elig!$C38,Elig_MatchAll_Ct&lt;22,$BC38=(Elig_MatchAll_Ct-1),AO38=0),M38,0)</f>
        <v>0</v>
      </c>
      <c r="BS38" s="173">
        <f>IF(AND(Input_Product=Elig!$C38,Elig_MatchAll_Ct&lt;22,$BC38=(Elig_MatchAll_Ct-1),AQ38=0),N38,0)</f>
        <v>0</v>
      </c>
      <c r="BT38" s="173">
        <f>IF(AND(Input_Product=Elig!$C38,Elig_MatchAll_Ct&lt;22,$BC38=(Elig_MatchAll_Ct-1),AR38=0),O38,0)</f>
        <v>0</v>
      </c>
      <c r="BU38" s="173">
        <f>IF(AND(Input_Product=Elig!$C38,Elig_MatchAll_Ct&lt;22,$BC38=(Elig_MatchAll_Ct-1),AS38=0),P38,0)</f>
        <v>0</v>
      </c>
      <c r="BV38" s="174">
        <f>IF(AND(Input_Product=Elig!$C38,Elig_MatchAll_Ct&lt;22,$BC38=(Elig_MatchAll_Ct-1),AT38=0),Q38,0)</f>
        <v>0</v>
      </c>
      <c r="BW38" s="175">
        <f>IF(AND(Input_Product=Elig!$C38,Elig_MatchAll_Ct&lt;22,$BC38=(Elig_MatchAll_Ct-1),AU38=0),R38,0)</f>
        <v>0</v>
      </c>
      <c r="BX38" s="176">
        <f>IF(AND(Input_Product=Elig!$C38,Elig_MatchAll_Ct&lt;22,$BC38=(Elig_MatchAll_Ct-1),AU38=0),S38,0)</f>
        <v>0</v>
      </c>
      <c r="BY38" s="175">
        <f>IF(AND(Input_Product=Elig!$C38,Elig_MatchAll_Ct&lt;22,$BC38=(Elig_MatchAll_Ct-1),AV38=0),T38,0)</f>
        <v>0</v>
      </c>
      <c r="BZ38" s="176">
        <f>IF(AND(Input_Product=Elig!$C38,Elig_MatchAll_Ct&lt;22,$BC38=(Elig_MatchAll_Ct-1),AV38=0),U38,0)</f>
        <v>0</v>
      </c>
      <c r="CA38" s="175">
        <f>IF(AND(Input_Product=Elig!$C38,Elig_MatchAll_Ct&lt;22,$BC38=(Elig_MatchAll_Ct-1),AW38=0),V38,0)</f>
        <v>0</v>
      </c>
      <c r="CB38" s="176">
        <f>IF(AND(Input_Product=Elig!$C38,Elig_MatchAll_Ct&lt;22,$BC38=(Elig_MatchAll_Ct-1),AW38=0),W38,0)</f>
        <v>0</v>
      </c>
      <c r="CC38" s="175">
        <f>IF(AND(Input_Product=Elig!$C38,Elig_MatchAll_Ct&lt;22,$BC38=(Elig_MatchAll_Ct-1),AX38=0),X38,0)</f>
        <v>0</v>
      </c>
      <c r="CD38" s="176">
        <f>IF(AND(Input_Product=Elig!$C38,Elig_MatchAll_Ct&lt;22,$BC38=(Elig_MatchAll_Ct-1),AX38=0),Y38,0)</f>
        <v>0</v>
      </c>
      <c r="CE38" s="175">
        <f>IF(AND(Input_LTV&lt;=AE38,Input_Product=Elig!$C38,Elig_MatchAll_Ct&lt;22,$BC38=(Elig_MatchAll_Ct-1),AY38=0),Z38,0)</f>
        <v>0</v>
      </c>
      <c r="CF38" s="176">
        <f>IF(AND(Input_LTV&lt;=AE38,Input_Product=Elig!$C38,Elig_MatchAll_Ct&lt;22,$BC38=(Elig_MatchAll_Ct-1),AY38=0),AA38,0)</f>
        <v>0</v>
      </c>
      <c r="CG38" s="175">
        <f>IF(AND(Input_Product=Elig!$C38,Elig_MatchAll_Ct&lt;22,$BC38=(Elig_MatchAll_Ct-1),AZ38=0),AB38,0)</f>
        <v>0</v>
      </c>
      <c r="CH38" s="176">
        <f>IF(AND(Input_Product=Elig!$C38,Elig_MatchAll_Ct&lt;22,$BC38=(Elig_MatchAll_Ct-1),AZ38=0),AC38,0)</f>
        <v>0</v>
      </c>
      <c r="CI38" s="175">
        <f>IF(AND(Input_Product=Elig!$C38,Elig_MatchAll_Ct&lt;22,$BC38=(Elig_MatchAll_Ct-1),BA38=0),AD38,0)</f>
        <v>0</v>
      </c>
      <c r="CJ38" s="177">
        <f>IF(AND(Input_Product=Elig!$C38,Elig_MatchAll_Ct&lt;22,$BC38=(Elig_MatchAll_Ct-1),BA38=0),AE38,0)</f>
        <v>0</v>
      </c>
    </row>
    <row r="39" spans="1:88" ht="10.15" customHeight="1" x14ac:dyDescent="0.25">
      <c r="A39" s="1419" t="s">
        <v>76</v>
      </c>
      <c r="B39" s="1419" t="s">
        <v>746</v>
      </c>
      <c r="C39" s="116" t="str">
        <f t="shared" si="1"/>
        <v>NonQM OO</v>
      </c>
      <c r="D39" s="117" t="s">
        <v>1995</v>
      </c>
      <c r="E39" s="117" t="s">
        <v>166</v>
      </c>
      <c r="F39" s="117" t="s">
        <v>330</v>
      </c>
      <c r="G39" s="117" t="s">
        <v>465</v>
      </c>
      <c r="H39" s="117" t="s">
        <v>135</v>
      </c>
      <c r="I39" s="118" t="s">
        <v>16</v>
      </c>
      <c r="J39" s="118" t="s">
        <v>1130</v>
      </c>
      <c r="K39" s="118" t="s">
        <v>1398</v>
      </c>
      <c r="L39" s="117" t="s">
        <v>2025</v>
      </c>
      <c r="M39" s="117" t="s">
        <v>2289</v>
      </c>
      <c r="N39" s="117" t="s">
        <v>82</v>
      </c>
      <c r="O39" s="117" t="s">
        <v>309</v>
      </c>
      <c r="P39" s="117" t="s">
        <v>2433</v>
      </c>
      <c r="Q39" s="117" t="s">
        <v>293</v>
      </c>
      <c r="R39" s="117">
        <v>100000</v>
      </c>
      <c r="S39" s="117">
        <v>1000000</v>
      </c>
      <c r="T39" s="117">
        <v>0</v>
      </c>
      <c r="U39" s="117">
        <f t="shared" si="15"/>
        <v>1000000</v>
      </c>
      <c r="V39" s="117">
        <v>0</v>
      </c>
      <c r="W39" s="117">
        <v>55</v>
      </c>
      <c r="X39" s="117">
        <v>0</v>
      </c>
      <c r="Y39" s="117">
        <v>999</v>
      </c>
      <c r="Z39" s="119">
        <v>680</v>
      </c>
      <c r="AA39" s="119">
        <v>699</v>
      </c>
      <c r="AB39" s="1877">
        <v>0</v>
      </c>
      <c r="AC39" s="119">
        <v>999999</v>
      </c>
      <c r="AD39" s="117">
        <v>0</v>
      </c>
      <c r="AE39" s="117">
        <v>80</v>
      </c>
      <c r="AF39" s="144">
        <v>0</v>
      </c>
      <c r="AG39" s="145">
        <v>1</v>
      </c>
      <c r="AH39" s="145">
        <v>1</v>
      </c>
      <c r="AI39" s="145">
        <v>0</v>
      </c>
      <c r="AJ39" s="145">
        <v>0</v>
      </c>
      <c r="AK39" s="145">
        <v>1</v>
      </c>
      <c r="AL39" s="145">
        <v>0</v>
      </c>
      <c r="AM39" s="145">
        <v>1</v>
      </c>
      <c r="AN39" s="145">
        <v>1</v>
      </c>
      <c r="AO39" s="145">
        <v>1</v>
      </c>
      <c r="AP39" s="145">
        <v>1</v>
      </c>
      <c r="AQ39" s="145">
        <v>0</v>
      </c>
      <c r="AR39" s="145">
        <v>1</v>
      </c>
      <c r="AS39" s="145">
        <v>1</v>
      </c>
      <c r="AT39" s="145">
        <v>1</v>
      </c>
      <c r="AU39" s="145">
        <f t="shared" si="2"/>
        <v>1</v>
      </c>
      <c r="AV39" s="145">
        <f t="shared" si="3"/>
        <v>1</v>
      </c>
      <c r="AW39" s="145">
        <f t="shared" si="4"/>
        <v>1</v>
      </c>
      <c r="AX39" s="145">
        <f t="shared" si="5"/>
        <v>1</v>
      </c>
      <c r="AY39" s="145">
        <f t="shared" si="6"/>
        <v>0</v>
      </c>
      <c r="AZ39" s="145">
        <f t="shared" si="7"/>
        <v>1</v>
      </c>
      <c r="BA39" s="146">
        <f t="shared" si="8"/>
        <v>1</v>
      </c>
      <c r="BB39" s="149">
        <f t="shared" si="9"/>
        <v>16</v>
      </c>
      <c r="BC39" s="150">
        <f t="shared" si="10"/>
        <v>15</v>
      </c>
      <c r="BD39" s="150">
        <f t="shared" si="11"/>
        <v>16</v>
      </c>
      <c r="BE39" s="211" t="str">
        <f t="shared" si="12"/>
        <v/>
      </c>
      <c r="BH39" s="172">
        <f>IF(AND(Input_Product=Elig!$C39,Elig_MatchAll_Ct&lt;22,$BC39=(Elig_MatchAll_Ct-1),AF39=0),C39,0)</f>
        <v>0</v>
      </c>
      <c r="BI39" s="173">
        <f>IF(AND(Input_Product=Elig!$C39,Elig_MatchAll_Ct&lt;22,$BC39=(Elig_MatchAll_Ct-1),AG39=0),D39,0)</f>
        <v>0</v>
      </c>
      <c r="BJ39" s="173">
        <f>IF(AND(Input_Product=Elig!$C39,Elig_MatchAll_Ct&lt;22,$BC39=(Elig_MatchAll_Ct-1),AH39=0),E39,0)</f>
        <v>0</v>
      </c>
      <c r="BK39" s="173">
        <f>IF(AND(Input_Product=Elig!$C39,Elig_MatchAll_Ct&lt;22,$BC39=(Elig_MatchAll_Ct-1),AI39=0),F39,0)</f>
        <v>0</v>
      </c>
      <c r="BL39" s="173">
        <f>IF(AND(Input_Product=Elig!$C39,Elig_MatchAll_Ct&lt;22,$BC39=(Elig_MatchAll_Ct-1),AJ39=0),G39,0)</f>
        <v>0</v>
      </c>
      <c r="BM39" s="173">
        <f>IF(AND(Input_Product=Elig!$C39,Elig_MatchAll_Ct&lt;22,$BC39=(Elig_MatchAll_Ct-1),AK39=0),H39,0)</f>
        <v>0</v>
      </c>
      <c r="BN39" s="173">
        <f>IF(AND(Input_Product=Elig!$C39,Elig_MatchAll_Ct&lt;22,$BC39=(Elig_MatchAll_Ct-1),AL39=0),I39,0)</f>
        <v>0</v>
      </c>
      <c r="BO39" s="173">
        <f>IF(AND(Input_Product=Elig!$C39,Elig_MatchAll_Ct&lt;22,$BC39=(Elig_MatchAll_Ct-1),AM39=0),J39,0)</f>
        <v>0</v>
      </c>
      <c r="BP39" s="173">
        <f>IF(AND(Input_Product=Elig!$C39,Elig_MatchAll_Ct&lt;22,$BC39=(Elig_MatchAll_Ct-1),AN39=0),K39,0)</f>
        <v>0</v>
      </c>
      <c r="BQ39" s="173">
        <f>IF(AND(Input_Product=Elig!$C39,Elig_MatchAll_Ct&lt;22,$BC39=(Elig_MatchAll_Ct-1),AP39=0),L39,0)</f>
        <v>0</v>
      </c>
      <c r="BR39" s="173">
        <f>IF(AND(Input_Product=Elig!$C39,Elig_MatchAll_Ct&lt;22,$BC39=(Elig_MatchAll_Ct-1),AO39=0),M39,0)</f>
        <v>0</v>
      </c>
      <c r="BS39" s="173">
        <f>IF(AND(Input_Product=Elig!$C39,Elig_MatchAll_Ct&lt;22,$BC39=(Elig_MatchAll_Ct-1),AQ39=0),N39,0)</f>
        <v>0</v>
      </c>
      <c r="BT39" s="173">
        <f>IF(AND(Input_Product=Elig!$C39,Elig_MatchAll_Ct&lt;22,$BC39=(Elig_MatchAll_Ct-1),AR39=0),O39,0)</f>
        <v>0</v>
      </c>
      <c r="BU39" s="173">
        <f>IF(AND(Input_Product=Elig!$C39,Elig_MatchAll_Ct&lt;22,$BC39=(Elig_MatchAll_Ct-1),AS39=0),P39,0)</f>
        <v>0</v>
      </c>
      <c r="BV39" s="174">
        <f>IF(AND(Input_Product=Elig!$C39,Elig_MatchAll_Ct&lt;22,$BC39=(Elig_MatchAll_Ct-1),AT39=0),Q39,0)</f>
        <v>0</v>
      </c>
      <c r="BW39" s="175">
        <f>IF(AND(Input_Product=Elig!$C39,Elig_MatchAll_Ct&lt;22,$BC39=(Elig_MatchAll_Ct-1),AU39=0),R39,0)</f>
        <v>0</v>
      </c>
      <c r="BX39" s="176">
        <f>IF(AND(Input_Product=Elig!$C39,Elig_MatchAll_Ct&lt;22,$BC39=(Elig_MatchAll_Ct-1),AU39=0),S39,0)</f>
        <v>0</v>
      </c>
      <c r="BY39" s="175">
        <f>IF(AND(Input_Product=Elig!$C39,Elig_MatchAll_Ct&lt;22,$BC39=(Elig_MatchAll_Ct-1),AV39=0),T39,0)</f>
        <v>0</v>
      </c>
      <c r="BZ39" s="176">
        <f>IF(AND(Input_Product=Elig!$C39,Elig_MatchAll_Ct&lt;22,$BC39=(Elig_MatchAll_Ct-1),AV39=0),U39,0)</f>
        <v>0</v>
      </c>
      <c r="CA39" s="175">
        <f>IF(AND(Input_Product=Elig!$C39,Elig_MatchAll_Ct&lt;22,$BC39=(Elig_MatchAll_Ct-1),AW39=0),V39,0)</f>
        <v>0</v>
      </c>
      <c r="CB39" s="176">
        <f>IF(AND(Input_Product=Elig!$C39,Elig_MatchAll_Ct&lt;22,$BC39=(Elig_MatchAll_Ct-1),AW39=0),W39,0)</f>
        <v>0</v>
      </c>
      <c r="CC39" s="175">
        <f>IF(AND(Input_Product=Elig!$C39,Elig_MatchAll_Ct&lt;22,$BC39=(Elig_MatchAll_Ct-1),AX39=0),X39,0)</f>
        <v>0</v>
      </c>
      <c r="CD39" s="176">
        <f>IF(AND(Input_Product=Elig!$C39,Elig_MatchAll_Ct&lt;22,$BC39=(Elig_MatchAll_Ct-1),AX39=0),Y39,0)</f>
        <v>0</v>
      </c>
      <c r="CE39" s="175">
        <f>IF(AND(Input_LTV&lt;=AE39,Input_Product=Elig!$C39,Elig_MatchAll_Ct&lt;22,$BC39=(Elig_MatchAll_Ct-1),AY39=0),Z39,0)</f>
        <v>0</v>
      </c>
      <c r="CF39" s="176">
        <f>IF(AND(Input_LTV&lt;=AE39,Input_Product=Elig!$C39,Elig_MatchAll_Ct&lt;22,$BC39=(Elig_MatchAll_Ct-1),AY39=0),AA39,0)</f>
        <v>0</v>
      </c>
      <c r="CG39" s="175">
        <f>IF(AND(Input_Product=Elig!$C39,Elig_MatchAll_Ct&lt;22,$BC39=(Elig_MatchAll_Ct-1),AZ39=0),AB39,0)</f>
        <v>0</v>
      </c>
      <c r="CH39" s="176">
        <f>IF(AND(Input_Product=Elig!$C39,Elig_MatchAll_Ct&lt;22,$BC39=(Elig_MatchAll_Ct-1),AZ39=0),AC39,0)</f>
        <v>0</v>
      </c>
      <c r="CI39" s="175">
        <f>IF(AND(Input_Product=Elig!$C39,Elig_MatchAll_Ct&lt;22,$BC39=(Elig_MatchAll_Ct-1),BA39=0),AD39,0)</f>
        <v>0</v>
      </c>
      <c r="CJ39" s="177">
        <f>IF(AND(Input_Product=Elig!$C39,Elig_MatchAll_Ct&lt;22,$BC39=(Elig_MatchAll_Ct-1),BA39=0),AE39,0)</f>
        <v>0</v>
      </c>
    </row>
    <row r="40" spans="1:88" ht="10.15" customHeight="1" x14ac:dyDescent="0.25">
      <c r="A40" s="1419" t="s">
        <v>76</v>
      </c>
      <c r="B40" s="1419" t="s">
        <v>747</v>
      </c>
      <c r="C40" s="116" t="str">
        <f t="shared" si="1"/>
        <v>NonQM OO</v>
      </c>
      <c r="D40" s="117" t="s">
        <v>1995</v>
      </c>
      <c r="E40" s="117" t="s">
        <v>166</v>
      </c>
      <c r="F40" s="117" t="s">
        <v>330</v>
      </c>
      <c r="G40" s="117" t="s">
        <v>465</v>
      </c>
      <c r="H40" s="117" t="s">
        <v>135</v>
      </c>
      <c r="I40" s="117" t="s">
        <v>16</v>
      </c>
      <c r="J40" s="117" t="s">
        <v>1130</v>
      </c>
      <c r="K40" s="117" t="s">
        <v>1398</v>
      </c>
      <c r="L40" s="117" t="s">
        <v>2025</v>
      </c>
      <c r="M40" s="117" t="s">
        <v>2289</v>
      </c>
      <c r="N40" s="117" t="s">
        <v>82</v>
      </c>
      <c r="O40" s="117" t="s">
        <v>309</v>
      </c>
      <c r="P40" s="117" t="s">
        <v>2433</v>
      </c>
      <c r="Q40" s="117" t="s">
        <v>293</v>
      </c>
      <c r="R40" s="117">
        <v>100000</v>
      </c>
      <c r="S40" s="117">
        <v>1000000</v>
      </c>
      <c r="T40" s="117">
        <v>0</v>
      </c>
      <c r="U40" s="117">
        <f t="shared" si="15"/>
        <v>1000000</v>
      </c>
      <c r="V40" s="117">
        <v>0</v>
      </c>
      <c r="W40" s="117">
        <v>55</v>
      </c>
      <c r="X40" s="117">
        <v>0</v>
      </c>
      <c r="Y40" s="117">
        <v>999</v>
      </c>
      <c r="Z40" s="119">
        <v>660</v>
      </c>
      <c r="AA40" s="119">
        <v>679</v>
      </c>
      <c r="AB40" s="1877">
        <v>0</v>
      </c>
      <c r="AC40" s="119">
        <v>999999</v>
      </c>
      <c r="AD40" s="117">
        <v>0</v>
      </c>
      <c r="AE40" s="117">
        <v>75</v>
      </c>
      <c r="AF40" s="144">
        <v>0</v>
      </c>
      <c r="AG40" s="145">
        <v>1</v>
      </c>
      <c r="AH40" s="145">
        <v>1</v>
      </c>
      <c r="AI40" s="145">
        <v>0</v>
      </c>
      <c r="AJ40" s="145">
        <v>0</v>
      </c>
      <c r="AK40" s="145">
        <v>1</v>
      </c>
      <c r="AL40" s="145">
        <v>0</v>
      </c>
      <c r="AM40" s="145">
        <v>1</v>
      </c>
      <c r="AN40" s="145">
        <v>1</v>
      </c>
      <c r="AO40" s="145">
        <v>1</v>
      </c>
      <c r="AP40" s="145">
        <v>1</v>
      </c>
      <c r="AQ40" s="145">
        <v>0</v>
      </c>
      <c r="AR40" s="145">
        <v>1</v>
      </c>
      <c r="AS40" s="145">
        <v>1</v>
      </c>
      <c r="AT40" s="145">
        <v>1</v>
      </c>
      <c r="AU40" s="145">
        <f t="shared" si="2"/>
        <v>1</v>
      </c>
      <c r="AV40" s="145">
        <f t="shared" si="3"/>
        <v>1</v>
      </c>
      <c r="AW40" s="145">
        <f t="shared" si="4"/>
        <v>1</v>
      </c>
      <c r="AX40" s="145">
        <f t="shared" si="5"/>
        <v>1</v>
      </c>
      <c r="AY40" s="145">
        <f t="shared" si="6"/>
        <v>0</v>
      </c>
      <c r="AZ40" s="145">
        <f t="shared" si="7"/>
        <v>1</v>
      </c>
      <c r="BA40" s="146">
        <f t="shared" si="8"/>
        <v>1</v>
      </c>
      <c r="BB40" s="149">
        <f t="shared" si="9"/>
        <v>16</v>
      </c>
      <c r="BC40" s="150">
        <f t="shared" si="10"/>
        <v>15</v>
      </c>
      <c r="BD40" s="150">
        <f t="shared" si="11"/>
        <v>16</v>
      </c>
      <c r="BE40" s="211" t="str">
        <f t="shared" si="12"/>
        <v/>
      </c>
      <c r="BH40" s="172">
        <f>IF(AND(Input_Product=Elig!$C40,Elig_MatchAll_Ct&lt;22,$BC40=(Elig_MatchAll_Ct-1),AF40=0),C40,0)</f>
        <v>0</v>
      </c>
      <c r="BI40" s="173">
        <f>IF(AND(Input_Product=Elig!$C40,Elig_MatchAll_Ct&lt;22,$BC40=(Elig_MatchAll_Ct-1),AG40=0),D40,0)</f>
        <v>0</v>
      </c>
      <c r="BJ40" s="173">
        <f>IF(AND(Input_Product=Elig!$C40,Elig_MatchAll_Ct&lt;22,$BC40=(Elig_MatchAll_Ct-1),AH40=0),E40,0)</f>
        <v>0</v>
      </c>
      <c r="BK40" s="173">
        <f>IF(AND(Input_Product=Elig!$C40,Elig_MatchAll_Ct&lt;22,$BC40=(Elig_MatchAll_Ct-1),AI40=0),F40,0)</f>
        <v>0</v>
      </c>
      <c r="BL40" s="173">
        <f>IF(AND(Input_Product=Elig!$C40,Elig_MatchAll_Ct&lt;22,$BC40=(Elig_MatchAll_Ct-1),AJ40=0),G40,0)</f>
        <v>0</v>
      </c>
      <c r="BM40" s="173">
        <f>IF(AND(Input_Product=Elig!$C40,Elig_MatchAll_Ct&lt;22,$BC40=(Elig_MatchAll_Ct-1),AK40=0),H40,0)</f>
        <v>0</v>
      </c>
      <c r="BN40" s="173">
        <f>IF(AND(Input_Product=Elig!$C40,Elig_MatchAll_Ct&lt;22,$BC40=(Elig_MatchAll_Ct-1),AL40=0),I40,0)</f>
        <v>0</v>
      </c>
      <c r="BO40" s="173">
        <f>IF(AND(Input_Product=Elig!$C40,Elig_MatchAll_Ct&lt;22,$BC40=(Elig_MatchAll_Ct-1),AM40=0),J40,0)</f>
        <v>0</v>
      </c>
      <c r="BP40" s="173">
        <f>IF(AND(Input_Product=Elig!$C40,Elig_MatchAll_Ct&lt;22,$BC40=(Elig_MatchAll_Ct-1),AN40=0),K40,0)</f>
        <v>0</v>
      </c>
      <c r="BQ40" s="173">
        <f>IF(AND(Input_Product=Elig!$C40,Elig_MatchAll_Ct&lt;22,$BC40=(Elig_MatchAll_Ct-1),AP40=0),L40,0)</f>
        <v>0</v>
      </c>
      <c r="BR40" s="173">
        <f>IF(AND(Input_Product=Elig!$C40,Elig_MatchAll_Ct&lt;22,$BC40=(Elig_MatchAll_Ct-1),AO40=0),M40,0)</f>
        <v>0</v>
      </c>
      <c r="BS40" s="173">
        <f>IF(AND(Input_Product=Elig!$C40,Elig_MatchAll_Ct&lt;22,$BC40=(Elig_MatchAll_Ct-1),AQ40=0),N40,0)</f>
        <v>0</v>
      </c>
      <c r="BT40" s="173">
        <f>IF(AND(Input_Product=Elig!$C40,Elig_MatchAll_Ct&lt;22,$BC40=(Elig_MatchAll_Ct-1),AR40=0),O40,0)</f>
        <v>0</v>
      </c>
      <c r="BU40" s="173">
        <f>IF(AND(Input_Product=Elig!$C40,Elig_MatchAll_Ct&lt;22,$BC40=(Elig_MatchAll_Ct-1),AS40=0),P40,0)</f>
        <v>0</v>
      </c>
      <c r="BV40" s="174">
        <f>IF(AND(Input_Product=Elig!$C40,Elig_MatchAll_Ct&lt;22,$BC40=(Elig_MatchAll_Ct-1),AT40=0),Q40,0)</f>
        <v>0</v>
      </c>
      <c r="BW40" s="175">
        <f>IF(AND(Input_Product=Elig!$C40,Elig_MatchAll_Ct&lt;22,$BC40=(Elig_MatchAll_Ct-1),AU40=0),R40,0)</f>
        <v>0</v>
      </c>
      <c r="BX40" s="176">
        <f>IF(AND(Input_Product=Elig!$C40,Elig_MatchAll_Ct&lt;22,$BC40=(Elig_MatchAll_Ct-1),AU40=0),S40,0)</f>
        <v>0</v>
      </c>
      <c r="BY40" s="175">
        <f>IF(AND(Input_Product=Elig!$C40,Elig_MatchAll_Ct&lt;22,$BC40=(Elig_MatchAll_Ct-1),AV40=0),T40,0)</f>
        <v>0</v>
      </c>
      <c r="BZ40" s="176">
        <f>IF(AND(Input_Product=Elig!$C40,Elig_MatchAll_Ct&lt;22,$BC40=(Elig_MatchAll_Ct-1),AV40=0),U40,0)</f>
        <v>0</v>
      </c>
      <c r="CA40" s="175">
        <f>IF(AND(Input_Product=Elig!$C40,Elig_MatchAll_Ct&lt;22,$BC40=(Elig_MatchAll_Ct-1),AW40=0),V40,0)</f>
        <v>0</v>
      </c>
      <c r="CB40" s="176">
        <f>IF(AND(Input_Product=Elig!$C40,Elig_MatchAll_Ct&lt;22,$BC40=(Elig_MatchAll_Ct-1),AW40=0),W40,0)</f>
        <v>0</v>
      </c>
      <c r="CC40" s="175">
        <f>IF(AND(Input_Product=Elig!$C40,Elig_MatchAll_Ct&lt;22,$BC40=(Elig_MatchAll_Ct-1),AX40=0),X40,0)</f>
        <v>0</v>
      </c>
      <c r="CD40" s="176">
        <f>IF(AND(Input_Product=Elig!$C40,Elig_MatchAll_Ct&lt;22,$BC40=(Elig_MatchAll_Ct-1),AX40=0),Y40,0)</f>
        <v>0</v>
      </c>
      <c r="CE40" s="175">
        <f>IF(AND(Input_LTV&lt;=AE40,Input_Product=Elig!$C40,Elig_MatchAll_Ct&lt;22,$BC40=(Elig_MatchAll_Ct-1),AY40=0),Z40,0)</f>
        <v>0</v>
      </c>
      <c r="CF40" s="176">
        <f>IF(AND(Input_LTV&lt;=AE40,Input_Product=Elig!$C40,Elig_MatchAll_Ct&lt;22,$BC40=(Elig_MatchAll_Ct-1),AY40=0),AA40,0)</f>
        <v>0</v>
      </c>
      <c r="CG40" s="175">
        <f>IF(AND(Input_Product=Elig!$C40,Elig_MatchAll_Ct&lt;22,$BC40=(Elig_MatchAll_Ct-1),AZ40=0),AB40,0)</f>
        <v>0</v>
      </c>
      <c r="CH40" s="176">
        <f>IF(AND(Input_Product=Elig!$C40,Elig_MatchAll_Ct&lt;22,$BC40=(Elig_MatchAll_Ct-1),AZ40=0),AC40,0)</f>
        <v>0</v>
      </c>
      <c r="CI40" s="175">
        <f>IF(AND(Input_Product=Elig!$C40,Elig_MatchAll_Ct&lt;22,$BC40=(Elig_MatchAll_Ct-1),BA40=0),AD40,0)</f>
        <v>0</v>
      </c>
      <c r="CJ40" s="177">
        <f>IF(AND(Input_Product=Elig!$C40,Elig_MatchAll_Ct&lt;22,$BC40=(Elig_MatchAll_Ct-1),BA40=0),AE40,0)</f>
        <v>0</v>
      </c>
    </row>
    <row r="41" spans="1:88" ht="10.15" customHeight="1" x14ac:dyDescent="0.25">
      <c r="A41" s="1419" t="s">
        <v>76</v>
      </c>
      <c r="B41" s="1419" t="s">
        <v>748</v>
      </c>
      <c r="C41" s="116" t="str">
        <f t="shared" si="1"/>
        <v>NonQM OO</v>
      </c>
      <c r="D41" s="117" t="s">
        <v>1995</v>
      </c>
      <c r="E41" s="117" t="s">
        <v>166</v>
      </c>
      <c r="F41" s="117" t="s">
        <v>330</v>
      </c>
      <c r="G41" s="117" t="s">
        <v>465</v>
      </c>
      <c r="H41" s="117" t="s">
        <v>135</v>
      </c>
      <c r="I41" s="117" t="s">
        <v>16</v>
      </c>
      <c r="J41" s="117" t="s">
        <v>1130</v>
      </c>
      <c r="K41" s="117" t="s">
        <v>1398</v>
      </c>
      <c r="L41" s="117" t="s">
        <v>2025</v>
      </c>
      <c r="M41" s="117" t="s">
        <v>2289</v>
      </c>
      <c r="N41" s="117" t="s">
        <v>82</v>
      </c>
      <c r="O41" s="117" t="s">
        <v>309</v>
      </c>
      <c r="P41" s="117" t="s">
        <v>2433</v>
      </c>
      <c r="Q41" s="117" t="s">
        <v>293</v>
      </c>
      <c r="R41" s="117">
        <v>100000</v>
      </c>
      <c r="S41" s="117">
        <v>1000000</v>
      </c>
      <c r="T41" s="117">
        <v>0</v>
      </c>
      <c r="U41" s="117">
        <f t="shared" si="15"/>
        <v>1000000</v>
      </c>
      <c r="V41" s="117">
        <v>0</v>
      </c>
      <c r="W41" s="117">
        <v>55</v>
      </c>
      <c r="X41" s="117">
        <v>0</v>
      </c>
      <c r="Y41" s="117">
        <v>999</v>
      </c>
      <c r="Z41" s="119">
        <v>640</v>
      </c>
      <c r="AA41" s="119">
        <v>659</v>
      </c>
      <c r="AB41" s="1877">
        <v>0</v>
      </c>
      <c r="AC41" s="119">
        <v>999999</v>
      </c>
      <c r="AD41" s="117">
        <v>0</v>
      </c>
      <c r="AE41" s="117">
        <v>70</v>
      </c>
      <c r="AF41" s="144">
        <v>0</v>
      </c>
      <c r="AG41" s="145">
        <v>1</v>
      </c>
      <c r="AH41" s="145">
        <v>1</v>
      </c>
      <c r="AI41" s="145">
        <v>0</v>
      </c>
      <c r="AJ41" s="145">
        <v>0</v>
      </c>
      <c r="AK41" s="145">
        <v>1</v>
      </c>
      <c r="AL41" s="145">
        <v>0</v>
      </c>
      <c r="AM41" s="145">
        <v>1</v>
      </c>
      <c r="AN41" s="145">
        <v>1</v>
      </c>
      <c r="AO41" s="145">
        <v>1</v>
      </c>
      <c r="AP41" s="145">
        <v>1</v>
      </c>
      <c r="AQ41" s="145">
        <v>0</v>
      </c>
      <c r="AR41" s="145">
        <v>1</v>
      </c>
      <c r="AS41" s="145">
        <v>1</v>
      </c>
      <c r="AT41" s="145">
        <v>1</v>
      </c>
      <c r="AU41" s="145">
        <f t="shared" si="2"/>
        <v>1</v>
      </c>
      <c r="AV41" s="145">
        <f t="shared" si="3"/>
        <v>1</v>
      </c>
      <c r="AW41" s="145">
        <f t="shared" si="4"/>
        <v>1</v>
      </c>
      <c r="AX41" s="145">
        <f t="shared" si="5"/>
        <v>1</v>
      </c>
      <c r="AY41" s="145">
        <f t="shared" si="6"/>
        <v>0</v>
      </c>
      <c r="AZ41" s="145">
        <f t="shared" si="7"/>
        <v>1</v>
      </c>
      <c r="BA41" s="146">
        <f t="shared" si="8"/>
        <v>1</v>
      </c>
      <c r="BB41" s="149">
        <f t="shared" si="9"/>
        <v>16</v>
      </c>
      <c r="BC41" s="150">
        <f t="shared" si="10"/>
        <v>15</v>
      </c>
      <c r="BD41" s="150">
        <f t="shared" si="11"/>
        <v>16</v>
      </c>
      <c r="BE41" s="211" t="str">
        <f t="shared" si="12"/>
        <v/>
      </c>
      <c r="BH41" s="172">
        <f>IF(AND(Input_Product=Elig!$C41,Elig_MatchAll_Ct&lt;22,$BC41=(Elig_MatchAll_Ct-1),AF41=0),C41,0)</f>
        <v>0</v>
      </c>
      <c r="BI41" s="173">
        <f>IF(AND(Input_Product=Elig!$C41,Elig_MatchAll_Ct&lt;22,$BC41=(Elig_MatchAll_Ct-1),AG41=0),D41,0)</f>
        <v>0</v>
      </c>
      <c r="BJ41" s="173">
        <f>IF(AND(Input_Product=Elig!$C41,Elig_MatchAll_Ct&lt;22,$BC41=(Elig_MatchAll_Ct-1),AH41=0),E41,0)</f>
        <v>0</v>
      </c>
      <c r="BK41" s="173">
        <f>IF(AND(Input_Product=Elig!$C41,Elig_MatchAll_Ct&lt;22,$BC41=(Elig_MatchAll_Ct-1),AI41=0),F41,0)</f>
        <v>0</v>
      </c>
      <c r="BL41" s="173">
        <f>IF(AND(Input_Product=Elig!$C41,Elig_MatchAll_Ct&lt;22,$BC41=(Elig_MatchAll_Ct-1),AJ41=0),G41,0)</f>
        <v>0</v>
      </c>
      <c r="BM41" s="173">
        <f>IF(AND(Input_Product=Elig!$C41,Elig_MatchAll_Ct&lt;22,$BC41=(Elig_MatchAll_Ct-1),AK41=0),H41,0)</f>
        <v>0</v>
      </c>
      <c r="BN41" s="173">
        <f>IF(AND(Input_Product=Elig!$C41,Elig_MatchAll_Ct&lt;22,$BC41=(Elig_MatchAll_Ct-1),AL41=0),I41,0)</f>
        <v>0</v>
      </c>
      <c r="BO41" s="173">
        <f>IF(AND(Input_Product=Elig!$C41,Elig_MatchAll_Ct&lt;22,$BC41=(Elig_MatchAll_Ct-1),AM41=0),J41,0)</f>
        <v>0</v>
      </c>
      <c r="BP41" s="173">
        <f>IF(AND(Input_Product=Elig!$C41,Elig_MatchAll_Ct&lt;22,$BC41=(Elig_MatchAll_Ct-1),AN41=0),K41,0)</f>
        <v>0</v>
      </c>
      <c r="BQ41" s="173">
        <f>IF(AND(Input_Product=Elig!$C41,Elig_MatchAll_Ct&lt;22,$BC41=(Elig_MatchAll_Ct-1),AP41=0),L41,0)</f>
        <v>0</v>
      </c>
      <c r="BR41" s="173">
        <f>IF(AND(Input_Product=Elig!$C41,Elig_MatchAll_Ct&lt;22,$BC41=(Elig_MatchAll_Ct-1),AO41=0),M41,0)</f>
        <v>0</v>
      </c>
      <c r="BS41" s="173">
        <f>IF(AND(Input_Product=Elig!$C41,Elig_MatchAll_Ct&lt;22,$BC41=(Elig_MatchAll_Ct-1),AQ41=0),N41,0)</f>
        <v>0</v>
      </c>
      <c r="BT41" s="173">
        <f>IF(AND(Input_Product=Elig!$C41,Elig_MatchAll_Ct&lt;22,$BC41=(Elig_MatchAll_Ct-1),AR41=0),O41,0)</f>
        <v>0</v>
      </c>
      <c r="BU41" s="173">
        <f>IF(AND(Input_Product=Elig!$C41,Elig_MatchAll_Ct&lt;22,$BC41=(Elig_MatchAll_Ct-1),AS41=0),P41,0)</f>
        <v>0</v>
      </c>
      <c r="BV41" s="174">
        <f>IF(AND(Input_Product=Elig!$C41,Elig_MatchAll_Ct&lt;22,$BC41=(Elig_MatchAll_Ct-1),AT41=0),Q41,0)</f>
        <v>0</v>
      </c>
      <c r="BW41" s="175">
        <f>IF(AND(Input_Product=Elig!$C41,Elig_MatchAll_Ct&lt;22,$BC41=(Elig_MatchAll_Ct-1),AU41=0),R41,0)</f>
        <v>0</v>
      </c>
      <c r="BX41" s="176">
        <f>IF(AND(Input_Product=Elig!$C41,Elig_MatchAll_Ct&lt;22,$BC41=(Elig_MatchAll_Ct-1),AU41=0),S41,0)</f>
        <v>0</v>
      </c>
      <c r="BY41" s="175">
        <f>IF(AND(Input_Product=Elig!$C41,Elig_MatchAll_Ct&lt;22,$BC41=(Elig_MatchAll_Ct-1),AV41=0),T41,0)</f>
        <v>0</v>
      </c>
      <c r="BZ41" s="176">
        <f>IF(AND(Input_Product=Elig!$C41,Elig_MatchAll_Ct&lt;22,$BC41=(Elig_MatchAll_Ct-1),AV41=0),U41,0)</f>
        <v>0</v>
      </c>
      <c r="CA41" s="175">
        <f>IF(AND(Input_Product=Elig!$C41,Elig_MatchAll_Ct&lt;22,$BC41=(Elig_MatchAll_Ct-1),AW41=0),V41,0)</f>
        <v>0</v>
      </c>
      <c r="CB41" s="176">
        <f>IF(AND(Input_Product=Elig!$C41,Elig_MatchAll_Ct&lt;22,$BC41=(Elig_MatchAll_Ct-1),AW41=0),W41,0)</f>
        <v>0</v>
      </c>
      <c r="CC41" s="175">
        <f>IF(AND(Input_Product=Elig!$C41,Elig_MatchAll_Ct&lt;22,$BC41=(Elig_MatchAll_Ct-1),AX41=0),X41,0)</f>
        <v>0</v>
      </c>
      <c r="CD41" s="176">
        <f>IF(AND(Input_Product=Elig!$C41,Elig_MatchAll_Ct&lt;22,$BC41=(Elig_MatchAll_Ct-1),AX41=0),Y41,0)</f>
        <v>0</v>
      </c>
      <c r="CE41" s="175">
        <f>IF(AND(Input_LTV&lt;=AE41,Input_Product=Elig!$C41,Elig_MatchAll_Ct&lt;22,$BC41=(Elig_MatchAll_Ct-1),AY41=0),Z41,0)</f>
        <v>0</v>
      </c>
      <c r="CF41" s="176">
        <f>IF(AND(Input_LTV&lt;=AE41,Input_Product=Elig!$C41,Elig_MatchAll_Ct&lt;22,$BC41=(Elig_MatchAll_Ct-1),AY41=0),AA41,0)</f>
        <v>0</v>
      </c>
      <c r="CG41" s="175">
        <f>IF(AND(Input_Product=Elig!$C41,Elig_MatchAll_Ct&lt;22,$BC41=(Elig_MatchAll_Ct-1),AZ41=0),AB41,0)</f>
        <v>0</v>
      </c>
      <c r="CH41" s="176">
        <f>IF(AND(Input_Product=Elig!$C41,Elig_MatchAll_Ct&lt;22,$BC41=(Elig_MatchAll_Ct-1),AZ41=0),AC41,0)</f>
        <v>0</v>
      </c>
      <c r="CI41" s="175">
        <f>IF(AND(Input_Product=Elig!$C41,Elig_MatchAll_Ct&lt;22,$BC41=(Elig_MatchAll_Ct-1),BA41=0),AD41,0)</f>
        <v>0</v>
      </c>
      <c r="CJ41" s="177">
        <f>IF(AND(Input_Product=Elig!$C41,Elig_MatchAll_Ct&lt;22,$BC41=(Elig_MatchAll_Ct-1),BA41=0),AE41,0)</f>
        <v>0</v>
      </c>
    </row>
    <row r="42" spans="1:88" ht="10.15" customHeight="1" x14ac:dyDescent="0.25">
      <c r="A42" s="1419" t="s">
        <v>76</v>
      </c>
      <c r="B42" s="1419" t="s">
        <v>749</v>
      </c>
      <c r="C42" s="120" t="str">
        <f t="shared" si="1"/>
        <v>NonQM OO</v>
      </c>
      <c r="D42" s="121" t="s">
        <v>1995</v>
      </c>
      <c r="E42" s="121" t="s">
        <v>166</v>
      </c>
      <c r="F42" s="121" t="s">
        <v>330</v>
      </c>
      <c r="G42" s="121" t="s">
        <v>465</v>
      </c>
      <c r="H42" s="121" t="s">
        <v>135</v>
      </c>
      <c r="I42" s="121" t="s">
        <v>16</v>
      </c>
      <c r="J42" s="121" t="s">
        <v>1130</v>
      </c>
      <c r="K42" s="128" t="s">
        <v>1398</v>
      </c>
      <c r="L42" s="121" t="s">
        <v>2025</v>
      </c>
      <c r="M42" s="121" t="s">
        <v>2289</v>
      </c>
      <c r="N42" s="121" t="s">
        <v>82</v>
      </c>
      <c r="O42" s="121" t="s">
        <v>309</v>
      </c>
      <c r="P42" s="121" t="s">
        <v>2433</v>
      </c>
      <c r="Q42" s="121" t="s">
        <v>293</v>
      </c>
      <c r="R42" s="121">
        <v>100000</v>
      </c>
      <c r="S42" s="121">
        <v>1000000</v>
      </c>
      <c r="T42" s="121">
        <v>0</v>
      </c>
      <c r="U42" s="121">
        <f t="shared" si="15"/>
        <v>1000000</v>
      </c>
      <c r="V42" s="121">
        <v>0</v>
      </c>
      <c r="W42" s="121">
        <v>55</v>
      </c>
      <c r="X42" s="121">
        <v>0</v>
      </c>
      <c r="Y42" s="121">
        <v>999</v>
      </c>
      <c r="Z42" s="122">
        <v>620</v>
      </c>
      <c r="AA42" s="122">
        <v>639</v>
      </c>
      <c r="AB42" s="1878">
        <v>0</v>
      </c>
      <c r="AC42" s="122">
        <v>999999</v>
      </c>
      <c r="AD42" s="121">
        <v>0</v>
      </c>
      <c r="AE42" s="121">
        <v>70</v>
      </c>
      <c r="AF42" s="144">
        <v>0</v>
      </c>
      <c r="AG42" s="145">
        <v>1</v>
      </c>
      <c r="AH42" s="145">
        <v>1</v>
      </c>
      <c r="AI42" s="145">
        <v>0</v>
      </c>
      <c r="AJ42" s="145">
        <v>0</v>
      </c>
      <c r="AK42" s="145">
        <v>1</v>
      </c>
      <c r="AL42" s="145">
        <v>0</v>
      </c>
      <c r="AM42" s="145">
        <v>1</v>
      </c>
      <c r="AN42" s="145">
        <v>1</v>
      </c>
      <c r="AO42" s="145">
        <v>1</v>
      </c>
      <c r="AP42" s="145">
        <v>1</v>
      </c>
      <c r="AQ42" s="145">
        <v>0</v>
      </c>
      <c r="AR42" s="145">
        <v>1</v>
      </c>
      <c r="AS42" s="145">
        <v>1</v>
      </c>
      <c r="AT42" s="145">
        <v>1</v>
      </c>
      <c r="AU42" s="145">
        <f t="shared" si="2"/>
        <v>1</v>
      </c>
      <c r="AV42" s="145">
        <f t="shared" si="3"/>
        <v>1</v>
      </c>
      <c r="AW42" s="145">
        <f t="shared" si="4"/>
        <v>1</v>
      </c>
      <c r="AX42" s="145">
        <f t="shared" si="5"/>
        <v>1</v>
      </c>
      <c r="AY42" s="145">
        <f t="shared" si="6"/>
        <v>0</v>
      </c>
      <c r="AZ42" s="145">
        <f t="shared" si="7"/>
        <v>1</v>
      </c>
      <c r="BA42" s="146">
        <f t="shared" si="8"/>
        <v>1</v>
      </c>
      <c r="BB42" s="149">
        <f t="shared" si="9"/>
        <v>16</v>
      </c>
      <c r="BC42" s="150">
        <f t="shared" si="10"/>
        <v>15</v>
      </c>
      <c r="BD42" s="150">
        <f t="shared" si="11"/>
        <v>16</v>
      </c>
      <c r="BE42" s="211" t="str">
        <f t="shared" si="12"/>
        <v/>
      </c>
      <c r="BH42" s="178">
        <f>IF(AND(Input_Product=Elig!$C42,Elig_MatchAll_Ct&lt;22,$BC42=(Elig_MatchAll_Ct-1),AF42=0),C42,0)</f>
        <v>0</v>
      </c>
      <c r="BI42" s="179">
        <f>IF(AND(Input_Product=Elig!$C42,Elig_MatchAll_Ct&lt;22,$BC42=(Elig_MatchAll_Ct-1),AG42=0),D42,0)</f>
        <v>0</v>
      </c>
      <c r="BJ42" s="179">
        <f>IF(AND(Input_Product=Elig!$C42,Elig_MatchAll_Ct&lt;22,$BC42=(Elig_MatchAll_Ct-1),AH42=0),E42,0)</f>
        <v>0</v>
      </c>
      <c r="BK42" s="179">
        <f>IF(AND(Input_Product=Elig!$C42,Elig_MatchAll_Ct&lt;22,$BC42=(Elig_MatchAll_Ct-1),AI42=0),F42,0)</f>
        <v>0</v>
      </c>
      <c r="BL42" s="179">
        <f>IF(AND(Input_Product=Elig!$C42,Elig_MatchAll_Ct&lt;22,$BC42=(Elig_MatchAll_Ct-1),AJ42=0),G42,0)</f>
        <v>0</v>
      </c>
      <c r="BM42" s="179">
        <f>IF(AND(Input_Product=Elig!$C42,Elig_MatchAll_Ct&lt;22,$BC42=(Elig_MatchAll_Ct-1),AK42=0),H42,0)</f>
        <v>0</v>
      </c>
      <c r="BN42" s="179">
        <f>IF(AND(Input_Product=Elig!$C42,Elig_MatchAll_Ct&lt;22,$BC42=(Elig_MatchAll_Ct-1),AL42=0),I42,0)</f>
        <v>0</v>
      </c>
      <c r="BO42" s="179">
        <f>IF(AND(Input_Product=Elig!$C42,Elig_MatchAll_Ct&lt;22,$BC42=(Elig_MatchAll_Ct-1),AM42=0),J42,0)</f>
        <v>0</v>
      </c>
      <c r="BP42" s="179">
        <f>IF(AND(Input_Product=Elig!$C42,Elig_MatchAll_Ct&lt;22,$BC42=(Elig_MatchAll_Ct-1),AN42=0),K42,0)</f>
        <v>0</v>
      </c>
      <c r="BQ42" s="179">
        <f>IF(AND(Input_Product=Elig!$C42,Elig_MatchAll_Ct&lt;22,$BC42=(Elig_MatchAll_Ct-1),AP42=0),L42,0)</f>
        <v>0</v>
      </c>
      <c r="BR42" s="179">
        <f>IF(AND(Input_Product=Elig!$C42,Elig_MatchAll_Ct&lt;22,$BC42=(Elig_MatchAll_Ct-1),AO42=0),M42,0)</f>
        <v>0</v>
      </c>
      <c r="BS42" s="179">
        <f>IF(AND(Input_Product=Elig!$C42,Elig_MatchAll_Ct&lt;22,$BC42=(Elig_MatchAll_Ct-1),AQ42=0),N42,0)</f>
        <v>0</v>
      </c>
      <c r="BT42" s="179">
        <f>IF(AND(Input_Product=Elig!$C42,Elig_MatchAll_Ct&lt;22,$BC42=(Elig_MatchAll_Ct-1),AR42=0),O42,0)</f>
        <v>0</v>
      </c>
      <c r="BU42" s="179">
        <f>IF(AND(Input_Product=Elig!$C42,Elig_MatchAll_Ct&lt;22,$BC42=(Elig_MatchAll_Ct-1),AS42=0),P42,0)</f>
        <v>0</v>
      </c>
      <c r="BV42" s="180">
        <f>IF(AND(Input_Product=Elig!$C42,Elig_MatchAll_Ct&lt;22,$BC42=(Elig_MatchAll_Ct-1),AT42=0),Q42,0)</f>
        <v>0</v>
      </c>
      <c r="BW42" s="181">
        <f>IF(AND(Input_Product=Elig!$C42,Elig_MatchAll_Ct&lt;22,$BC42=(Elig_MatchAll_Ct-1),AU42=0),R42,0)</f>
        <v>0</v>
      </c>
      <c r="BX42" s="182">
        <f>IF(AND(Input_Product=Elig!$C42,Elig_MatchAll_Ct&lt;22,$BC42=(Elig_MatchAll_Ct-1),AU42=0),S42,0)</f>
        <v>0</v>
      </c>
      <c r="BY42" s="181">
        <f>IF(AND(Input_Product=Elig!$C42,Elig_MatchAll_Ct&lt;22,$BC42=(Elig_MatchAll_Ct-1),AV42=0),T42,0)</f>
        <v>0</v>
      </c>
      <c r="BZ42" s="182">
        <f>IF(AND(Input_Product=Elig!$C42,Elig_MatchAll_Ct&lt;22,$BC42=(Elig_MatchAll_Ct-1),AV42=0),U42,0)</f>
        <v>0</v>
      </c>
      <c r="CA42" s="181">
        <f>IF(AND(Input_Product=Elig!$C42,Elig_MatchAll_Ct&lt;22,$BC42=(Elig_MatchAll_Ct-1),AW42=0),V42,0)</f>
        <v>0</v>
      </c>
      <c r="CB42" s="182">
        <f>IF(AND(Input_Product=Elig!$C42,Elig_MatchAll_Ct&lt;22,$BC42=(Elig_MatchAll_Ct-1),AW42=0),W42,0)</f>
        <v>0</v>
      </c>
      <c r="CC42" s="181">
        <f>IF(AND(Input_Product=Elig!$C42,Elig_MatchAll_Ct&lt;22,$BC42=(Elig_MatchAll_Ct-1),AX42=0),X42,0)</f>
        <v>0</v>
      </c>
      <c r="CD42" s="182">
        <f>IF(AND(Input_Product=Elig!$C42,Elig_MatchAll_Ct&lt;22,$BC42=(Elig_MatchAll_Ct-1),AX42=0),Y42,0)</f>
        <v>0</v>
      </c>
      <c r="CE42" s="181">
        <f>IF(AND(Input_LTV&lt;=AE42,Input_Product=Elig!$C42,Elig_MatchAll_Ct&lt;22,$BC42=(Elig_MatchAll_Ct-1),AY42=0),Z42,0)</f>
        <v>0</v>
      </c>
      <c r="CF42" s="182">
        <f>IF(AND(Input_LTV&lt;=AE42,Input_Product=Elig!$C42,Elig_MatchAll_Ct&lt;22,$BC42=(Elig_MatchAll_Ct-1),AY42=0),AA42,0)</f>
        <v>0</v>
      </c>
      <c r="CG42" s="181">
        <f>IF(AND(Input_Product=Elig!$C42,Elig_MatchAll_Ct&lt;22,$BC42=(Elig_MatchAll_Ct-1),AZ42=0),AB42,0)</f>
        <v>0</v>
      </c>
      <c r="CH42" s="182">
        <f>IF(AND(Input_Product=Elig!$C42,Elig_MatchAll_Ct&lt;22,$BC42=(Elig_MatchAll_Ct-1),AZ42=0),AC42,0)</f>
        <v>0</v>
      </c>
      <c r="CI42" s="181">
        <f>IF(AND(Input_Product=Elig!$C42,Elig_MatchAll_Ct&lt;22,$BC42=(Elig_MatchAll_Ct-1),BA42=0),AD42,0)</f>
        <v>0</v>
      </c>
      <c r="CJ42" s="183">
        <f>IF(AND(Input_Product=Elig!$C42,Elig_MatchAll_Ct&lt;22,$BC42=(Elig_MatchAll_Ct-1),BA42=0),AE42,0)</f>
        <v>0</v>
      </c>
    </row>
    <row r="43" spans="1:88" ht="10.15" customHeight="1" x14ac:dyDescent="0.25">
      <c r="A43" s="1923" t="s">
        <v>2507</v>
      </c>
      <c r="B43" s="1923" t="s">
        <v>2475</v>
      </c>
      <c r="C43" s="1925" t="str">
        <f t="shared" si="1"/>
        <v>NonQM OO</v>
      </c>
      <c r="D43" s="1924" t="s">
        <v>1995</v>
      </c>
      <c r="E43" s="1926" t="s">
        <v>166</v>
      </c>
      <c r="F43" s="1926" t="s">
        <v>330</v>
      </c>
      <c r="G43" s="1926" t="s">
        <v>178</v>
      </c>
      <c r="H43" s="1926" t="s">
        <v>135</v>
      </c>
      <c r="I43" s="1924" t="s">
        <v>273</v>
      </c>
      <c r="J43" s="1924" t="s">
        <v>1130</v>
      </c>
      <c r="K43" s="1924" t="s">
        <v>1398</v>
      </c>
      <c r="L43" s="1926" t="s">
        <v>2025</v>
      </c>
      <c r="M43" s="1926" t="s">
        <v>2289</v>
      </c>
      <c r="N43" s="1926" t="s">
        <v>82</v>
      </c>
      <c r="O43" s="1926" t="s">
        <v>309</v>
      </c>
      <c r="P43" s="1926" t="s">
        <v>2433</v>
      </c>
      <c r="Q43" s="1926" t="s">
        <v>293</v>
      </c>
      <c r="R43" s="1924">
        <v>100000</v>
      </c>
      <c r="S43" s="1924">
        <v>1000000</v>
      </c>
      <c r="T43" s="1924">
        <v>0</v>
      </c>
      <c r="U43" s="1924">
        <v>0</v>
      </c>
      <c r="V43" s="1924">
        <v>0</v>
      </c>
      <c r="W43" s="1924">
        <v>55</v>
      </c>
      <c r="X43" s="1924">
        <v>0</v>
      </c>
      <c r="Y43" s="1924">
        <v>999</v>
      </c>
      <c r="Z43" s="1880">
        <v>720</v>
      </c>
      <c r="AA43" s="1880">
        <v>999</v>
      </c>
      <c r="AB43" s="1880">
        <v>0</v>
      </c>
      <c r="AC43" s="1880">
        <v>999999</v>
      </c>
      <c r="AD43" s="1924">
        <v>80.010000000000005</v>
      </c>
      <c r="AE43" s="1924">
        <v>85</v>
      </c>
      <c r="AF43" s="144">
        <v>0</v>
      </c>
      <c r="AG43" s="145">
        <v>1</v>
      </c>
      <c r="AH43" s="145">
        <v>1</v>
      </c>
      <c r="AI43" s="145">
        <v>0</v>
      </c>
      <c r="AJ43" s="145">
        <v>0</v>
      </c>
      <c r="AK43" s="145">
        <v>1</v>
      </c>
      <c r="AL43" s="145">
        <v>1</v>
      </c>
      <c r="AM43" s="145">
        <v>1</v>
      </c>
      <c r="AN43" s="145">
        <v>1</v>
      </c>
      <c r="AO43" s="145">
        <v>1</v>
      </c>
      <c r="AP43" s="145">
        <v>1</v>
      </c>
      <c r="AQ43" s="145">
        <v>0</v>
      </c>
      <c r="AR43" s="145">
        <v>1</v>
      </c>
      <c r="AS43" s="145">
        <v>1</v>
      </c>
      <c r="AT43" s="145">
        <v>1</v>
      </c>
      <c r="AU43" s="145">
        <f t="shared" si="2"/>
        <v>1</v>
      </c>
      <c r="AV43" s="145">
        <f t="shared" si="3"/>
        <v>1</v>
      </c>
      <c r="AW43" s="145">
        <f t="shared" si="4"/>
        <v>1</v>
      </c>
      <c r="AX43" s="145">
        <f t="shared" si="5"/>
        <v>1</v>
      </c>
      <c r="AY43" s="145">
        <f t="shared" si="6"/>
        <v>1</v>
      </c>
      <c r="AZ43" s="145">
        <f t="shared" si="7"/>
        <v>1</v>
      </c>
      <c r="BA43" s="146">
        <f t="shared" si="8"/>
        <v>0</v>
      </c>
      <c r="BB43" s="149">
        <f t="shared" si="9"/>
        <v>17</v>
      </c>
      <c r="BC43" s="150">
        <f t="shared" si="10"/>
        <v>17</v>
      </c>
      <c r="BD43" s="150">
        <f t="shared" si="11"/>
        <v>17</v>
      </c>
      <c r="BE43" s="211" t="str">
        <f t="shared" si="12"/>
        <v/>
      </c>
      <c r="BH43" s="166">
        <f>IF(AND(Input_Product=Elig!$C43,Elig_MatchAll_Ct&lt;22,$BC43=(Elig_MatchAll_Ct-1),AF43=0),C43,0)</f>
        <v>0</v>
      </c>
      <c r="BI43" s="167">
        <f>IF(AND(Input_Product=Elig!$C43,Elig_MatchAll_Ct&lt;22,$BC43=(Elig_MatchAll_Ct-1),AG43=0),D43,0)</f>
        <v>0</v>
      </c>
      <c r="BJ43" s="167">
        <f>IF(AND(Input_Product=Elig!$C43,Elig_MatchAll_Ct&lt;22,$BC43=(Elig_MatchAll_Ct-1),AH43=0),E43,0)</f>
        <v>0</v>
      </c>
      <c r="BK43" s="167">
        <f>IF(AND(Input_Product=Elig!$C43,Elig_MatchAll_Ct&lt;22,$BC43=(Elig_MatchAll_Ct-1),AI43=0),F43,0)</f>
        <v>0</v>
      </c>
      <c r="BL43" s="167">
        <f>IF(AND(Input_Product=Elig!$C43,Elig_MatchAll_Ct&lt;22,$BC43=(Elig_MatchAll_Ct-1),AJ43=0),G43,0)</f>
        <v>0</v>
      </c>
      <c r="BM43" s="167">
        <f>IF(AND(Input_Product=Elig!$C43,Elig_MatchAll_Ct&lt;22,$BC43=(Elig_MatchAll_Ct-1),AK43=0),H43,0)</f>
        <v>0</v>
      </c>
      <c r="BN43" s="167">
        <f>IF(AND(Input_Product=Elig!$C43,Elig_MatchAll_Ct&lt;22,$BC43=(Elig_MatchAll_Ct-1),AL43=0),I43,0)</f>
        <v>0</v>
      </c>
      <c r="BO43" s="167">
        <f>IF(AND(Input_Product=Elig!$C43,Elig_MatchAll_Ct&lt;22,$BC43=(Elig_MatchAll_Ct-1),AM43=0),J43,0)</f>
        <v>0</v>
      </c>
      <c r="BP43" s="167">
        <f>IF(AND(Input_Product=Elig!$C43,Elig_MatchAll_Ct&lt;22,$BC43=(Elig_MatchAll_Ct-1),AN43=0),K43,0)</f>
        <v>0</v>
      </c>
      <c r="BQ43" s="167">
        <f>IF(AND(Input_Product=Elig!$C43,Elig_MatchAll_Ct&lt;22,$BC43=(Elig_MatchAll_Ct-1),AP43=0),L43,0)</f>
        <v>0</v>
      </c>
      <c r="BR43" s="167">
        <f>IF(AND(Input_Product=Elig!$C43,Elig_MatchAll_Ct&lt;22,$BC43=(Elig_MatchAll_Ct-1),AO43=0),M43,0)</f>
        <v>0</v>
      </c>
      <c r="BS43" s="167">
        <f>IF(AND(Input_Product=Elig!$C43,Elig_MatchAll_Ct&lt;22,$BC43=(Elig_MatchAll_Ct-1),AQ43=0),N43,0)</f>
        <v>0</v>
      </c>
      <c r="BT43" s="167">
        <f>IF(AND(Input_Product=Elig!$C43,Elig_MatchAll_Ct&lt;22,$BC43=(Elig_MatchAll_Ct-1),AR43=0),O43,0)</f>
        <v>0</v>
      </c>
      <c r="BU43" s="167">
        <f>IF(AND(Input_Product=Elig!$C43,Elig_MatchAll_Ct&lt;22,$BC43=(Elig_MatchAll_Ct-1),AS43=0),P43,0)</f>
        <v>0</v>
      </c>
      <c r="BV43" s="168">
        <f>IF(AND(Input_Product=Elig!$C43,Elig_MatchAll_Ct&lt;22,$BC43=(Elig_MatchAll_Ct-1),AT43=0),Q43,0)</f>
        <v>0</v>
      </c>
      <c r="BW43" s="169">
        <f>IF(AND(Input_Product=Elig!$C43,Elig_MatchAll_Ct&lt;22,$BC43=(Elig_MatchAll_Ct-1),AU43=0),R43,0)</f>
        <v>0</v>
      </c>
      <c r="BX43" s="170">
        <f>IF(AND(Input_Product=Elig!$C43,Elig_MatchAll_Ct&lt;22,$BC43=(Elig_MatchAll_Ct-1),AU43=0),S43,0)</f>
        <v>0</v>
      </c>
      <c r="BY43" s="169">
        <f>IF(AND(Input_Product=Elig!$C43,Elig_MatchAll_Ct&lt;22,$BC43=(Elig_MatchAll_Ct-1),AV43=0),T43,0)</f>
        <v>0</v>
      </c>
      <c r="BZ43" s="170">
        <f>IF(AND(Input_Product=Elig!$C43,Elig_MatchAll_Ct&lt;22,$BC43=(Elig_MatchAll_Ct-1),AV43=0),U43,0)</f>
        <v>0</v>
      </c>
      <c r="CA43" s="169">
        <f>IF(AND(Input_Product=Elig!$C43,Elig_MatchAll_Ct&lt;22,$BC43=(Elig_MatchAll_Ct-1),AW43=0),V43,0)</f>
        <v>0</v>
      </c>
      <c r="CB43" s="170">
        <f>IF(AND(Input_Product=Elig!$C43,Elig_MatchAll_Ct&lt;22,$BC43=(Elig_MatchAll_Ct-1),AW43=0),W43,0)</f>
        <v>0</v>
      </c>
      <c r="CC43" s="169">
        <f>IF(AND(Input_Product=Elig!$C43,Elig_MatchAll_Ct&lt;22,$BC43=(Elig_MatchAll_Ct-1),AX43=0),X43,0)</f>
        <v>0</v>
      </c>
      <c r="CD43" s="170">
        <f>IF(AND(Input_Product=Elig!$C43,Elig_MatchAll_Ct&lt;22,$BC43=(Elig_MatchAll_Ct-1),AX43=0),Y43,0)</f>
        <v>0</v>
      </c>
      <c r="CE43" s="169">
        <f>IF(AND(Input_LTV&lt;=AE43,Input_Product=Elig!$C43,Elig_MatchAll_Ct&lt;22,$BC43=(Elig_MatchAll_Ct-1),AY43=0),Z43,0)</f>
        <v>0</v>
      </c>
      <c r="CF43" s="170">
        <f>IF(AND(Input_LTV&lt;=AE43,Input_Product=Elig!$C43,Elig_MatchAll_Ct&lt;22,$BC43=(Elig_MatchAll_Ct-1),AY43=0),AA43,0)</f>
        <v>0</v>
      </c>
      <c r="CG43" s="169">
        <f>IF(AND(Input_Product=Elig!$C43,Elig_MatchAll_Ct&lt;22,$BC43=(Elig_MatchAll_Ct-1),AZ43=0),AB43,0)</f>
        <v>0</v>
      </c>
      <c r="CH43" s="170">
        <f>IF(AND(Input_Product=Elig!$C43,Elig_MatchAll_Ct&lt;22,$BC43=(Elig_MatchAll_Ct-1),AZ43=0),AC43,0)</f>
        <v>0</v>
      </c>
      <c r="CI43" s="169">
        <f>IF(AND(Input_Product=Elig!$C43,Elig_MatchAll_Ct&lt;22,$BC43=(Elig_MatchAll_Ct-1),BA43=0),AD43,0)</f>
        <v>0</v>
      </c>
      <c r="CJ43" s="171">
        <f>IF(AND(Input_Product=Elig!$C43,Elig_MatchAll_Ct&lt;22,$BC43=(Elig_MatchAll_Ct-1),BA43=0),AE43,0)</f>
        <v>0</v>
      </c>
    </row>
    <row r="44" spans="1:88" ht="10.15" customHeight="1" x14ac:dyDescent="0.25">
      <c r="A44" s="1419" t="s">
        <v>76</v>
      </c>
      <c r="B44" s="1419" t="s">
        <v>2027</v>
      </c>
      <c r="C44" s="129" t="str">
        <f t="shared" si="1"/>
        <v>NonQM OO</v>
      </c>
      <c r="D44" s="130" t="s">
        <v>1995</v>
      </c>
      <c r="E44" s="131" t="s">
        <v>166</v>
      </c>
      <c r="F44" s="131" t="s">
        <v>330</v>
      </c>
      <c r="G44" s="131" t="s">
        <v>178</v>
      </c>
      <c r="H44" s="131" t="s">
        <v>135</v>
      </c>
      <c r="I44" s="130" t="s">
        <v>273</v>
      </c>
      <c r="J44" s="130" t="s">
        <v>1130</v>
      </c>
      <c r="K44" s="130" t="s">
        <v>1398</v>
      </c>
      <c r="L44" s="131" t="s">
        <v>2025</v>
      </c>
      <c r="M44" s="131" t="s">
        <v>2289</v>
      </c>
      <c r="N44" s="131" t="s">
        <v>82</v>
      </c>
      <c r="O44" s="131" t="s">
        <v>309</v>
      </c>
      <c r="P44" s="131" t="s">
        <v>2433</v>
      </c>
      <c r="Q44" s="131" t="s">
        <v>293</v>
      </c>
      <c r="R44" s="130">
        <v>100000</v>
      </c>
      <c r="S44" s="130">
        <v>1000000</v>
      </c>
      <c r="T44" s="130">
        <v>0</v>
      </c>
      <c r="U44" s="130">
        <v>0</v>
      </c>
      <c r="V44" s="130">
        <v>0</v>
      </c>
      <c r="W44" s="130">
        <v>55</v>
      </c>
      <c r="X44" s="130">
        <v>0</v>
      </c>
      <c r="Y44" s="130">
        <v>999</v>
      </c>
      <c r="Z44" s="132">
        <v>720</v>
      </c>
      <c r="AA44" s="132">
        <v>999</v>
      </c>
      <c r="AB44" s="1880">
        <v>0</v>
      </c>
      <c r="AC44" s="132">
        <v>999999</v>
      </c>
      <c r="AD44" s="130">
        <v>0</v>
      </c>
      <c r="AE44" s="130">
        <v>80</v>
      </c>
      <c r="AF44" s="144">
        <v>0</v>
      </c>
      <c r="AG44" s="145">
        <v>1</v>
      </c>
      <c r="AH44" s="145">
        <v>1</v>
      </c>
      <c r="AI44" s="145">
        <v>0</v>
      </c>
      <c r="AJ44" s="145">
        <v>0</v>
      </c>
      <c r="AK44" s="145">
        <v>1</v>
      </c>
      <c r="AL44" s="145">
        <v>1</v>
      </c>
      <c r="AM44" s="145">
        <v>1</v>
      </c>
      <c r="AN44" s="145">
        <v>1</v>
      </c>
      <c r="AO44" s="145">
        <v>1</v>
      </c>
      <c r="AP44" s="145">
        <v>1</v>
      </c>
      <c r="AQ44" s="145">
        <v>0</v>
      </c>
      <c r="AR44" s="145">
        <v>1</v>
      </c>
      <c r="AS44" s="145">
        <v>1</v>
      </c>
      <c r="AT44" s="145">
        <v>1</v>
      </c>
      <c r="AU44" s="145">
        <f t="shared" si="2"/>
        <v>1</v>
      </c>
      <c r="AV44" s="145">
        <f t="shared" si="3"/>
        <v>1</v>
      </c>
      <c r="AW44" s="145">
        <f t="shared" si="4"/>
        <v>1</v>
      </c>
      <c r="AX44" s="145">
        <f t="shared" si="5"/>
        <v>1</v>
      </c>
      <c r="AY44" s="145">
        <f t="shared" si="6"/>
        <v>1</v>
      </c>
      <c r="AZ44" s="145">
        <f t="shared" si="7"/>
        <v>1</v>
      </c>
      <c r="BA44" s="146">
        <f t="shared" si="8"/>
        <v>1</v>
      </c>
      <c r="BB44" s="149">
        <f t="shared" si="9"/>
        <v>18</v>
      </c>
      <c r="BC44" s="150">
        <f t="shared" si="10"/>
        <v>17</v>
      </c>
      <c r="BD44" s="150">
        <f t="shared" si="11"/>
        <v>18</v>
      </c>
      <c r="BE44" s="211" t="str">
        <f t="shared" si="12"/>
        <v/>
      </c>
      <c r="BH44" s="166">
        <f>IF(AND(Input_Product=Elig!$C44,Elig_MatchAll_Ct&lt;22,$BC44=(Elig_MatchAll_Ct-1),AF44=0),C44,0)</f>
        <v>0</v>
      </c>
      <c r="BI44" s="167">
        <f>IF(AND(Input_Product=Elig!$C44,Elig_MatchAll_Ct&lt;22,$BC44=(Elig_MatchAll_Ct-1),AG44=0),D44,0)</f>
        <v>0</v>
      </c>
      <c r="BJ44" s="167">
        <f>IF(AND(Input_Product=Elig!$C44,Elig_MatchAll_Ct&lt;22,$BC44=(Elig_MatchAll_Ct-1),AH44=0),E44,0)</f>
        <v>0</v>
      </c>
      <c r="BK44" s="167">
        <f>IF(AND(Input_Product=Elig!$C44,Elig_MatchAll_Ct&lt;22,$BC44=(Elig_MatchAll_Ct-1),AI44=0),F44,0)</f>
        <v>0</v>
      </c>
      <c r="BL44" s="167">
        <f>IF(AND(Input_Product=Elig!$C44,Elig_MatchAll_Ct&lt;22,$BC44=(Elig_MatchAll_Ct-1),AJ44=0),G44,0)</f>
        <v>0</v>
      </c>
      <c r="BM44" s="167">
        <f>IF(AND(Input_Product=Elig!$C44,Elig_MatchAll_Ct&lt;22,$BC44=(Elig_MatchAll_Ct-1),AK44=0),H44,0)</f>
        <v>0</v>
      </c>
      <c r="BN44" s="167">
        <f>IF(AND(Input_Product=Elig!$C44,Elig_MatchAll_Ct&lt;22,$BC44=(Elig_MatchAll_Ct-1),AL44=0),I44,0)</f>
        <v>0</v>
      </c>
      <c r="BO44" s="167">
        <f>IF(AND(Input_Product=Elig!$C44,Elig_MatchAll_Ct&lt;22,$BC44=(Elig_MatchAll_Ct-1),AM44=0),J44,0)</f>
        <v>0</v>
      </c>
      <c r="BP44" s="167">
        <f>IF(AND(Input_Product=Elig!$C44,Elig_MatchAll_Ct&lt;22,$BC44=(Elig_MatchAll_Ct-1),AN44=0),K44,0)</f>
        <v>0</v>
      </c>
      <c r="BQ44" s="167">
        <f>IF(AND(Input_Product=Elig!$C44,Elig_MatchAll_Ct&lt;22,$BC44=(Elig_MatchAll_Ct-1),AP44=0),L44,0)</f>
        <v>0</v>
      </c>
      <c r="BR44" s="167">
        <f>IF(AND(Input_Product=Elig!$C44,Elig_MatchAll_Ct&lt;22,$BC44=(Elig_MatchAll_Ct-1),AO44=0),M44,0)</f>
        <v>0</v>
      </c>
      <c r="BS44" s="167">
        <f>IF(AND(Input_Product=Elig!$C44,Elig_MatchAll_Ct&lt;22,$BC44=(Elig_MatchAll_Ct-1),AQ44=0),N44,0)</f>
        <v>0</v>
      </c>
      <c r="BT44" s="167">
        <f>IF(AND(Input_Product=Elig!$C44,Elig_MatchAll_Ct&lt;22,$BC44=(Elig_MatchAll_Ct-1),AR44=0),O44,0)</f>
        <v>0</v>
      </c>
      <c r="BU44" s="167">
        <f>IF(AND(Input_Product=Elig!$C44,Elig_MatchAll_Ct&lt;22,$BC44=(Elig_MatchAll_Ct-1),AS44=0),P44,0)</f>
        <v>0</v>
      </c>
      <c r="BV44" s="168">
        <f>IF(AND(Input_Product=Elig!$C44,Elig_MatchAll_Ct&lt;22,$BC44=(Elig_MatchAll_Ct-1),AT44=0),Q44,0)</f>
        <v>0</v>
      </c>
      <c r="BW44" s="169">
        <f>IF(AND(Input_Product=Elig!$C44,Elig_MatchAll_Ct&lt;22,$BC44=(Elig_MatchAll_Ct-1),AU44=0),R44,0)</f>
        <v>0</v>
      </c>
      <c r="BX44" s="170">
        <f>IF(AND(Input_Product=Elig!$C44,Elig_MatchAll_Ct&lt;22,$BC44=(Elig_MatchAll_Ct-1),AU44=0),S44,0)</f>
        <v>0</v>
      </c>
      <c r="BY44" s="169">
        <f>IF(AND(Input_Product=Elig!$C44,Elig_MatchAll_Ct&lt;22,$BC44=(Elig_MatchAll_Ct-1),AV44=0),T44,0)</f>
        <v>0</v>
      </c>
      <c r="BZ44" s="170">
        <f>IF(AND(Input_Product=Elig!$C44,Elig_MatchAll_Ct&lt;22,$BC44=(Elig_MatchAll_Ct-1),AV44=0),U44,0)</f>
        <v>0</v>
      </c>
      <c r="CA44" s="169">
        <f>IF(AND(Input_Product=Elig!$C44,Elig_MatchAll_Ct&lt;22,$BC44=(Elig_MatchAll_Ct-1),AW44=0),V44,0)</f>
        <v>0</v>
      </c>
      <c r="CB44" s="170">
        <f>IF(AND(Input_Product=Elig!$C44,Elig_MatchAll_Ct&lt;22,$BC44=(Elig_MatchAll_Ct-1),AW44=0),W44,0)</f>
        <v>0</v>
      </c>
      <c r="CC44" s="169">
        <f>IF(AND(Input_Product=Elig!$C44,Elig_MatchAll_Ct&lt;22,$BC44=(Elig_MatchAll_Ct-1),AX44=0),X44,0)</f>
        <v>0</v>
      </c>
      <c r="CD44" s="170">
        <f>IF(AND(Input_Product=Elig!$C44,Elig_MatchAll_Ct&lt;22,$BC44=(Elig_MatchAll_Ct-1),AX44=0),Y44,0)</f>
        <v>0</v>
      </c>
      <c r="CE44" s="169">
        <f>IF(AND(Input_LTV&lt;=AE44,Input_Product=Elig!$C44,Elig_MatchAll_Ct&lt;22,$BC44=(Elig_MatchAll_Ct-1),AY44=0),Z44,0)</f>
        <v>0</v>
      </c>
      <c r="CF44" s="170">
        <f>IF(AND(Input_LTV&lt;=AE44,Input_Product=Elig!$C44,Elig_MatchAll_Ct&lt;22,$BC44=(Elig_MatchAll_Ct-1),AY44=0),AA44,0)</f>
        <v>0</v>
      </c>
      <c r="CG44" s="169">
        <f>IF(AND(Input_Product=Elig!$C44,Elig_MatchAll_Ct&lt;22,$BC44=(Elig_MatchAll_Ct-1),AZ44=0),AB44,0)</f>
        <v>0</v>
      </c>
      <c r="CH44" s="170">
        <f>IF(AND(Input_Product=Elig!$C44,Elig_MatchAll_Ct&lt;22,$BC44=(Elig_MatchAll_Ct-1),AZ44=0),AC44,0)</f>
        <v>0</v>
      </c>
      <c r="CI44" s="169">
        <f>IF(AND(Input_Product=Elig!$C44,Elig_MatchAll_Ct&lt;22,$BC44=(Elig_MatchAll_Ct-1),BA44=0),AD44,0)</f>
        <v>0</v>
      </c>
      <c r="CJ44" s="171">
        <f>IF(AND(Input_Product=Elig!$C44,Elig_MatchAll_Ct&lt;22,$BC44=(Elig_MatchAll_Ct-1),BA44=0),AE44,0)</f>
        <v>0</v>
      </c>
    </row>
    <row r="45" spans="1:88" ht="10.15" customHeight="1" x14ac:dyDescent="0.25">
      <c r="A45" s="1419" t="s">
        <v>76</v>
      </c>
      <c r="B45" s="1419" t="s">
        <v>2028</v>
      </c>
      <c r="C45" s="116" t="str">
        <f t="shared" si="1"/>
        <v>NonQM OO</v>
      </c>
      <c r="D45" s="117" t="s">
        <v>1995</v>
      </c>
      <c r="E45" s="117" t="s">
        <v>166</v>
      </c>
      <c r="F45" s="117" t="s">
        <v>330</v>
      </c>
      <c r="G45" s="117" t="s">
        <v>178</v>
      </c>
      <c r="H45" s="117" t="s">
        <v>135</v>
      </c>
      <c r="I45" s="118" t="s">
        <v>273</v>
      </c>
      <c r="J45" s="118" t="s">
        <v>1130</v>
      </c>
      <c r="K45" s="118" t="s">
        <v>1398</v>
      </c>
      <c r="L45" s="117" t="s">
        <v>2025</v>
      </c>
      <c r="M45" s="117" t="s">
        <v>2289</v>
      </c>
      <c r="N45" s="117" t="s">
        <v>82</v>
      </c>
      <c r="O45" s="117" t="s">
        <v>309</v>
      </c>
      <c r="P45" s="117" t="s">
        <v>2433</v>
      </c>
      <c r="Q45" s="117" t="s">
        <v>293</v>
      </c>
      <c r="R45" s="117">
        <v>100000</v>
      </c>
      <c r="S45" s="117">
        <v>1000000</v>
      </c>
      <c r="T45" s="117">
        <v>0</v>
      </c>
      <c r="U45" s="117">
        <v>0</v>
      </c>
      <c r="V45" s="117">
        <v>0</v>
      </c>
      <c r="W45" s="117">
        <v>55</v>
      </c>
      <c r="X45" s="117">
        <v>0</v>
      </c>
      <c r="Y45" s="117">
        <v>999</v>
      </c>
      <c r="Z45" s="119">
        <v>700</v>
      </c>
      <c r="AA45" s="119">
        <v>719</v>
      </c>
      <c r="AB45" s="1877">
        <v>0</v>
      </c>
      <c r="AC45" s="119">
        <v>999999</v>
      </c>
      <c r="AD45" s="117">
        <v>0</v>
      </c>
      <c r="AE45" s="117">
        <v>80</v>
      </c>
      <c r="AF45" s="144">
        <v>0</v>
      </c>
      <c r="AG45" s="145">
        <v>1</v>
      </c>
      <c r="AH45" s="145">
        <v>1</v>
      </c>
      <c r="AI45" s="145">
        <v>0</v>
      </c>
      <c r="AJ45" s="145">
        <v>0</v>
      </c>
      <c r="AK45" s="145">
        <v>1</v>
      </c>
      <c r="AL45" s="145">
        <v>1</v>
      </c>
      <c r="AM45" s="145">
        <v>1</v>
      </c>
      <c r="AN45" s="145">
        <v>1</v>
      </c>
      <c r="AO45" s="145">
        <v>1</v>
      </c>
      <c r="AP45" s="145">
        <v>1</v>
      </c>
      <c r="AQ45" s="145">
        <v>0</v>
      </c>
      <c r="AR45" s="145">
        <v>1</v>
      </c>
      <c r="AS45" s="145">
        <v>1</v>
      </c>
      <c r="AT45" s="145">
        <v>1</v>
      </c>
      <c r="AU45" s="145">
        <f t="shared" si="2"/>
        <v>1</v>
      </c>
      <c r="AV45" s="145">
        <f t="shared" si="3"/>
        <v>1</v>
      </c>
      <c r="AW45" s="145">
        <f t="shared" si="4"/>
        <v>1</v>
      </c>
      <c r="AX45" s="145">
        <f t="shared" si="5"/>
        <v>1</v>
      </c>
      <c r="AY45" s="145">
        <f t="shared" si="6"/>
        <v>0</v>
      </c>
      <c r="AZ45" s="145">
        <f t="shared" si="7"/>
        <v>1</v>
      </c>
      <c r="BA45" s="146">
        <f t="shared" si="8"/>
        <v>1</v>
      </c>
      <c r="BB45" s="149">
        <f t="shared" si="9"/>
        <v>17</v>
      </c>
      <c r="BC45" s="150">
        <f t="shared" si="10"/>
        <v>16</v>
      </c>
      <c r="BD45" s="150">
        <f t="shared" si="11"/>
        <v>17</v>
      </c>
      <c r="BE45" s="211" t="str">
        <f t="shared" si="12"/>
        <v/>
      </c>
      <c r="BH45" s="172">
        <f>IF(AND(Input_Product=Elig!$C45,Elig_MatchAll_Ct&lt;22,$BC45=(Elig_MatchAll_Ct-1),AF45=0),C45,0)</f>
        <v>0</v>
      </c>
      <c r="BI45" s="173">
        <f>IF(AND(Input_Product=Elig!$C45,Elig_MatchAll_Ct&lt;22,$BC45=(Elig_MatchAll_Ct-1),AG45=0),D45,0)</f>
        <v>0</v>
      </c>
      <c r="BJ45" s="173">
        <f>IF(AND(Input_Product=Elig!$C45,Elig_MatchAll_Ct&lt;22,$BC45=(Elig_MatchAll_Ct-1),AH45=0),E45,0)</f>
        <v>0</v>
      </c>
      <c r="BK45" s="173">
        <f>IF(AND(Input_Product=Elig!$C45,Elig_MatchAll_Ct&lt;22,$BC45=(Elig_MatchAll_Ct-1),AI45=0),F45,0)</f>
        <v>0</v>
      </c>
      <c r="BL45" s="173">
        <f>IF(AND(Input_Product=Elig!$C45,Elig_MatchAll_Ct&lt;22,$BC45=(Elig_MatchAll_Ct-1),AJ45=0),G45,0)</f>
        <v>0</v>
      </c>
      <c r="BM45" s="173">
        <f>IF(AND(Input_Product=Elig!$C45,Elig_MatchAll_Ct&lt;22,$BC45=(Elig_MatchAll_Ct-1),AK45=0),H45,0)</f>
        <v>0</v>
      </c>
      <c r="BN45" s="173">
        <f>IF(AND(Input_Product=Elig!$C45,Elig_MatchAll_Ct&lt;22,$BC45=(Elig_MatchAll_Ct-1),AL45=0),I45,0)</f>
        <v>0</v>
      </c>
      <c r="BO45" s="173">
        <f>IF(AND(Input_Product=Elig!$C45,Elig_MatchAll_Ct&lt;22,$BC45=(Elig_MatchAll_Ct-1),AM45=0),J45,0)</f>
        <v>0</v>
      </c>
      <c r="BP45" s="173">
        <f>IF(AND(Input_Product=Elig!$C45,Elig_MatchAll_Ct&lt;22,$BC45=(Elig_MatchAll_Ct-1),AN45=0),K45,0)</f>
        <v>0</v>
      </c>
      <c r="BQ45" s="173">
        <f>IF(AND(Input_Product=Elig!$C45,Elig_MatchAll_Ct&lt;22,$BC45=(Elig_MatchAll_Ct-1),AP45=0),L45,0)</f>
        <v>0</v>
      </c>
      <c r="BR45" s="173">
        <f>IF(AND(Input_Product=Elig!$C45,Elig_MatchAll_Ct&lt;22,$BC45=(Elig_MatchAll_Ct-1),AO45=0),M45,0)</f>
        <v>0</v>
      </c>
      <c r="BS45" s="173">
        <f>IF(AND(Input_Product=Elig!$C45,Elig_MatchAll_Ct&lt;22,$BC45=(Elig_MatchAll_Ct-1),AQ45=0),N45,0)</f>
        <v>0</v>
      </c>
      <c r="BT45" s="173">
        <f>IF(AND(Input_Product=Elig!$C45,Elig_MatchAll_Ct&lt;22,$BC45=(Elig_MatchAll_Ct-1),AR45=0),O45,0)</f>
        <v>0</v>
      </c>
      <c r="BU45" s="173">
        <f>IF(AND(Input_Product=Elig!$C45,Elig_MatchAll_Ct&lt;22,$BC45=(Elig_MatchAll_Ct-1),AS45=0),P45,0)</f>
        <v>0</v>
      </c>
      <c r="BV45" s="174">
        <f>IF(AND(Input_Product=Elig!$C45,Elig_MatchAll_Ct&lt;22,$BC45=(Elig_MatchAll_Ct-1),AT45=0),Q45,0)</f>
        <v>0</v>
      </c>
      <c r="BW45" s="175">
        <f>IF(AND(Input_Product=Elig!$C45,Elig_MatchAll_Ct&lt;22,$BC45=(Elig_MatchAll_Ct-1),AU45=0),R45,0)</f>
        <v>0</v>
      </c>
      <c r="BX45" s="176">
        <f>IF(AND(Input_Product=Elig!$C45,Elig_MatchAll_Ct&lt;22,$BC45=(Elig_MatchAll_Ct-1),AU45=0),S45,0)</f>
        <v>0</v>
      </c>
      <c r="BY45" s="175">
        <f>IF(AND(Input_Product=Elig!$C45,Elig_MatchAll_Ct&lt;22,$BC45=(Elig_MatchAll_Ct-1),AV45=0),T45,0)</f>
        <v>0</v>
      </c>
      <c r="BZ45" s="176">
        <f>IF(AND(Input_Product=Elig!$C45,Elig_MatchAll_Ct&lt;22,$BC45=(Elig_MatchAll_Ct-1),AV45=0),U45,0)</f>
        <v>0</v>
      </c>
      <c r="CA45" s="175">
        <f>IF(AND(Input_Product=Elig!$C45,Elig_MatchAll_Ct&lt;22,$BC45=(Elig_MatchAll_Ct-1),AW45=0),V45,0)</f>
        <v>0</v>
      </c>
      <c r="CB45" s="176">
        <f>IF(AND(Input_Product=Elig!$C45,Elig_MatchAll_Ct&lt;22,$BC45=(Elig_MatchAll_Ct-1),AW45=0),W45,0)</f>
        <v>0</v>
      </c>
      <c r="CC45" s="175">
        <f>IF(AND(Input_Product=Elig!$C45,Elig_MatchAll_Ct&lt;22,$BC45=(Elig_MatchAll_Ct-1),AX45=0),X45,0)</f>
        <v>0</v>
      </c>
      <c r="CD45" s="176">
        <f>IF(AND(Input_Product=Elig!$C45,Elig_MatchAll_Ct&lt;22,$BC45=(Elig_MatchAll_Ct-1),AX45=0),Y45,0)</f>
        <v>0</v>
      </c>
      <c r="CE45" s="175">
        <f>IF(AND(Input_LTV&lt;=AE45,Input_Product=Elig!$C45,Elig_MatchAll_Ct&lt;22,$BC45=(Elig_MatchAll_Ct-1),AY45=0),Z45,0)</f>
        <v>0</v>
      </c>
      <c r="CF45" s="176">
        <f>IF(AND(Input_LTV&lt;=AE45,Input_Product=Elig!$C45,Elig_MatchAll_Ct&lt;22,$BC45=(Elig_MatchAll_Ct-1),AY45=0),AA45,0)</f>
        <v>0</v>
      </c>
      <c r="CG45" s="175">
        <f>IF(AND(Input_Product=Elig!$C45,Elig_MatchAll_Ct&lt;22,$BC45=(Elig_MatchAll_Ct-1),AZ45=0),AB45,0)</f>
        <v>0</v>
      </c>
      <c r="CH45" s="176">
        <f>IF(AND(Input_Product=Elig!$C45,Elig_MatchAll_Ct&lt;22,$BC45=(Elig_MatchAll_Ct-1),AZ45=0),AC45,0)</f>
        <v>0</v>
      </c>
      <c r="CI45" s="175">
        <f>IF(AND(Input_Product=Elig!$C45,Elig_MatchAll_Ct&lt;22,$BC45=(Elig_MatchAll_Ct-1),BA45=0),AD45,0)</f>
        <v>0</v>
      </c>
      <c r="CJ45" s="177">
        <f>IF(AND(Input_Product=Elig!$C45,Elig_MatchAll_Ct&lt;22,$BC45=(Elig_MatchAll_Ct-1),BA45=0),AE45,0)</f>
        <v>0</v>
      </c>
    </row>
    <row r="46" spans="1:88" ht="10.15" customHeight="1" x14ac:dyDescent="0.25">
      <c r="A46" s="1419" t="s">
        <v>76</v>
      </c>
      <c r="B46" s="1419" t="s">
        <v>2029</v>
      </c>
      <c r="C46" s="116" t="str">
        <f t="shared" si="1"/>
        <v>NonQM OO</v>
      </c>
      <c r="D46" s="117" t="s">
        <v>1995</v>
      </c>
      <c r="E46" s="117" t="s">
        <v>166</v>
      </c>
      <c r="F46" s="117" t="s">
        <v>330</v>
      </c>
      <c r="G46" s="117" t="s">
        <v>178</v>
      </c>
      <c r="H46" s="117" t="s">
        <v>135</v>
      </c>
      <c r="I46" s="118" t="s">
        <v>273</v>
      </c>
      <c r="J46" s="118" t="s">
        <v>1130</v>
      </c>
      <c r="K46" s="118" t="s">
        <v>1398</v>
      </c>
      <c r="L46" s="117" t="s">
        <v>2025</v>
      </c>
      <c r="M46" s="117" t="s">
        <v>2289</v>
      </c>
      <c r="N46" s="117" t="s">
        <v>82</v>
      </c>
      <c r="O46" s="117" t="s">
        <v>309</v>
      </c>
      <c r="P46" s="117" t="s">
        <v>2433</v>
      </c>
      <c r="Q46" s="117" t="s">
        <v>293</v>
      </c>
      <c r="R46" s="117">
        <v>100000</v>
      </c>
      <c r="S46" s="117">
        <v>1000000</v>
      </c>
      <c r="T46" s="117">
        <v>0</v>
      </c>
      <c r="U46" s="117">
        <v>0</v>
      </c>
      <c r="V46" s="117">
        <v>0</v>
      </c>
      <c r="W46" s="117">
        <v>55</v>
      </c>
      <c r="X46" s="117">
        <v>0</v>
      </c>
      <c r="Y46" s="117">
        <v>999</v>
      </c>
      <c r="Z46" s="119">
        <v>680</v>
      </c>
      <c r="AA46" s="119">
        <v>699</v>
      </c>
      <c r="AB46" s="1877">
        <v>0</v>
      </c>
      <c r="AC46" s="119">
        <v>999999</v>
      </c>
      <c r="AD46" s="117">
        <v>0</v>
      </c>
      <c r="AE46" s="117">
        <v>80</v>
      </c>
      <c r="AF46" s="144">
        <v>0</v>
      </c>
      <c r="AG46" s="145">
        <v>1</v>
      </c>
      <c r="AH46" s="145">
        <v>1</v>
      </c>
      <c r="AI46" s="145">
        <v>0</v>
      </c>
      <c r="AJ46" s="145">
        <v>0</v>
      </c>
      <c r="AK46" s="145">
        <v>1</v>
      </c>
      <c r="AL46" s="145">
        <v>1</v>
      </c>
      <c r="AM46" s="145">
        <v>1</v>
      </c>
      <c r="AN46" s="145">
        <v>1</v>
      </c>
      <c r="AO46" s="145">
        <v>1</v>
      </c>
      <c r="AP46" s="145">
        <v>1</v>
      </c>
      <c r="AQ46" s="145">
        <v>0</v>
      </c>
      <c r="AR46" s="145">
        <v>1</v>
      </c>
      <c r="AS46" s="145">
        <v>1</v>
      </c>
      <c r="AT46" s="145">
        <v>1</v>
      </c>
      <c r="AU46" s="145">
        <f t="shared" si="2"/>
        <v>1</v>
      </c>
      <c r="AV46" s="145">
        <f t="shared" si="3"/>
        <v>1</v>
      </c>
      <c r="AW46" s="145">
        <f t="shared" si="4"/>
        <v>1</v>
      </c>
      <c r="AX46" s="145">
        <f t="shared" si="5"/>
        <v>1</v>
      </c>
      <c r="AY46" s="145">
        <f t="shared" si="6"/>
        <v>0</v>
      </c>
      <c r="AZ46" s="145">
        <f t="shared" si="7"/>
        <v>1</v>
      </c>
      <c r="BA46" s="146">
        <f t="shared" si="8"/>
        <v>1</v>
      </c>
      <c r="BB46" s="149">
        <f t="shared" si="9"/>
        <v>17</v>
      </c>
      <c r="BC46" s="150">
        <f t="shared" si="10"/>
        <v>16</v>
      </c>
      <c r="BD46" s="150">
        <f t="shared" si="11"/>
        <v>17</v>
      </c>
      <c r="BE46" s="211" t="str">
        <f t="shared" si="12"/>
        <v/>
      </c>
      <c r="BH46" s="172">
        <f>IF(AND(Input_Product=Elig!$C46,Elig_MatchAll_Ct&lt;22,$BC46=(Elig_MatchAll_Ct-1),AF46=0),C46,0)</f>
        <v>0</v>
      </c>
      <c r="BI46" s="173">
        <f>IF(AND(Input_Product=Elig!$C46,Elig_MatchAll_Ct&lt;22,$BC46=(Elig_MatchAll_Ct-1),AG46=0),D46,0)</f>
        <v>0</v>
      </c>
      <c r="BJ46" s="173">
        <f>IF(AND(Input_Product=Elig!$C46,Elig_MatchAll_Ct&lt;22,$BC46=(Elig_MatchAll_Ct-1),AH46=0),E46,0)</f>
        <v>0</v>
      </c>
      <c r="BK46" s="173">
        <f>IF(AND(Input_Product=Elig!$C46,Elig_MatchAll_Ct&lt;22,$BC46=(Elig_MatchAll_Ct-1),AI46=0),F46,0)</f>
        <v>0</v>
      </c>
      <c r="BL46" s="173">
        <f>IF(AND(Input_Product=Elig!$C46,Elig_MatchAll_Ct&lt;22,$BC46=(Elig_MatchAll_Ct-1),AJ46=0),G46,0)</f>
        <v>0</v>
      </c>
      <c r="BM46" s="173">
        <f>IF(AND(Input_Product=Elig!$C46,Elig_MatchAll_Ct&lt;22,$BC46=(Elig_MatchAll_Ct-1),AK46=0),H46,0)</f>
        <v>0</v>
      </c>
      <c r="BN46" s="173">
        <f>IF(AND(Input_Product=Elig!$C46,Elig_MatchAll_Ct&lt;22,$BC46=(Elig_MatchAll_Ct-1),AL46=0),I46,0)</f>
        <v>0</v>
      </c>
      <c r="BO46" s="173">
        <f>IF(AND(Input_Product=Elig!$C46,Elig_MatchAll_Ct&lt;22,$BC46=(Elig_MatchAll_Ct-1),AM46=0),J46,0)</f>
        <v>0</v>
      </c>
      <c r="BP46" s="173">
        <f>IF(AND(Input_Product=Elig!$C46,Elig_MatchAll_Ct&lt;22,$BC46=(Elig_MatchAll_Ct-1),AN46=0),K46,0)</f>
        <v>0</v>
      </c>
      <c r="BQ46" s="173">
        <f>IF(AND(Input_Product=Elig!$C46,Elig_MatchAll_Ct&lt;22,$BC46=(Elig_MatchAll_Ct-1),AP46=0),L46,0)</f>
        <v>0</v>
      </c>
      <c r="BR46" s="173">
        <f>IF(AND(Input_Product=Elig!$C46,Elig_MatchAll_Ct&lt;22,$BC46=(Elig_MatchAll_Ct-1),AO46=0),M46,0)</f>
        <v>0</v>
      </c>
      <c r="BS46" s="173">
        <f>IF(AND(Input_Product=Elig!$C46,Elig_MatchAll_Ct&lt;22,$BC46=(Elig_MatchAll_Ct-1),AQ46=0),N46,0)</f>
        <v>0</v>
      </c>
      <c r="BT46" s="173">
        <f>IF(AND(Input_Product=Elig!$C46,Elig_MatchAll_Ct&lt;22,$BC46=(Elig_MatchAll_Ct-1),AR46=0),O46,0)</f>
        <v>0</v>
      </c>
      <c r="BU46" s="173">
        <f>IF(AND(Input_Product=Elig!$C46,Elig_MatchAll_Ct&lt;22,$BC46=(Elig_MatchAll_Ct-1),AS46=0),P46,0)</f>
        <v>0</v>
      </c>
      <c r="BV46" s="174">
        <f>IF(AND(Input_Product=Elig!$C46,Elig_MatchAll_Ct&lt;22,$BC46=(Elig_MatchAll_Ct-1),AT46=0),Q46,0)</f>
        <v>0</v>
      </c>
      <c r="BW46" s="175">
        <f>IF(AND(Input_Product=Elig!$C46,Elig_MatchAll_Ct&lt;22,$BC46=(Elig_MatchAll_Ct-1),AU46=0),R46,0)</f>
        <v>0</v>
      </c>
      <c r="BX46" s="176">
        <f>IF(AND(Input_Product=Elig!$C46,Elig_MatchAll_Ct&lt;22,$BC46=(Elig_MatchAll_Ct-1),AU46=0),S46,0)</f>
        <v>0</v>
      </c>
      <c r="BY46" s="175">
        <f>IF(AND(Input_Product=Elig!$C46,Elig_MatchAll_Ct&lt;22,$BC46=(Elig_MatchAll_Ct-1),AV46=0),T46,0)</f>
        <v>0</v>
      </c>
      <c r="BZ46" s="176">
        <f>IF(AND(Input_Product=Elig!$C46,Elig_MatchAll_Ct&lt;22,$BC46=(Elig_MatchAll_Ct-1),AV46=0),U46,0)</f>
        <v>0</v>
      </c>
      <c r="CA46" s="175">
        <f>IF(AND(Input_Product=Elig!$C46,Elig_MatchAll_Ct&lt;22,$BC46=(Elig_MatchAll_Ct-1),AW46=0),V46,0)</f>
        <v>0</v>
      </c>
      <c r="CB46" s="176">
        <f>IF(AND(Input_Product=Elig!$C46,Elig_MatchAll_Ct&lt;22,$BC46=(Elig_MatchAll_Ct-1),AW46=0),W46,0)</f>
        <v>0</v>
      </c>
      <c r="CC46" s="175">
        <f>IF(AND(Input_Product=Elig!$C46,Elig_MatchAll_Ct&lt;22,$BC46=(Elig_MatchAll_Ct-1),AX46=0),X46,0)</f>
        <v>0</v>
      </c>
      <c r="CD46" s="176">
        <f>IF(AND(Input_Product=Elig!$C46,Elig_MatchAll_Ct&lt;22,$BC46=(Elig_MatchAll_Ct-1),AX46=0),Y46,0)</f>
        <v>0</v>
      </c>
      <c r="CE46" s="175">
        <f>IF(AND(Input_LTV&lt;=AE46,Input_Product=Elig!$C46,Elig_MatchAll_Ct&lt;22,$BC46=(Elig_MatchAll_Ct-1),AY46=0),Z46,0)</f>
        <v>0</v>
      </c>
      <c r="CF46" s="176">
        <f>IF(AND(Input_LTV&lt;=AE46,Input_Product=Elig!$C46,Elig_MatchAll_Ct&lt;22,$BC46=(Elig_MatchAll_Ct-1),AY46=0),AA46,0)</f>
        <v>0</v>
      </c>
      <c r="CG46" s="175">
        <f>IF(AND(Input_Product=Elig!$C46,Elig_MatchAll_Ct&lt;22,$BC46=(Elig_MatchAll_Ct-1),AZ46=0),AB46,0)</f>
        <v>0</v>
      </c>
      <c r="CH46" s="176">
        <f>IF(AND(Input_Product=Elig!$C46,Elig_MatchAll_Ct&lt;22,$BC46=(Elig_MatchAll_Ct-1),AZ46=0),AC46,0)</f>
        <v>0</v>
      </c>
      <c r="CI46" s="175">
        <f>IF(AND(Input_Product=Elig!$C46,Elig_MatchAll_Ct&lt;22,$BC46=(Elig_MatchAll_Ct-1),BA46=0),AD46,0)</f>
        <v>0</v>
      </c>
      <c r="CJ46" s="177">
        <f>IF(AND(Input_Product=Elig!$C46,Elig_MatchAll_Ct&lt;22,$BC46=(Elig_MatchAll_Ct-1),BA46=0),AE46,0)</f>
        <v>0</v>
      </c>
    </row>
    <row r="47" spans="1:88" ht="10.15" customHeight="1" x14ac:dyDescent="0.25">
      <c r="A47" s="1419" t="s">
        <v>76</v>
      </c>
      <c r="B47" s="1419" t="s">
        <v>2030</v>
      </c>
      <c r="C47" s="129" t="str">
        <f t="shared" si="1"/>
        <v>NonQM OO</v>
      </c>
      <c r="D47" s="130" t="s">
        <v>1995</v>
      </c>
      <c r="E47" s="130" t="s">
        <v>166</v>
      </c>
      <c r="F47" s="130" t="s">
        <v>330</v>
      </c>
      <c r="G47" s="117" t="s">
        <v>178</v>
      </c>
      <c r="H47" s="130" t="s">
        <v>135</v>
      </c>
      <c r="I47" s="131" t="s">
        <v>273</v>
      </c>
      <c r="J47" s="131" t="s">
        <v>1130</v>
      </c>
      <c r="K47" s="131" t="s">
        <v>1398</v>
      </c>
      <c r="L47" s="130" t="s">
        <v>2025</v>
      </c>
      <c r="M47" s="130" t="s">
        <v>2289</v>
      </c>
      <c r="N47" s="130" t="s">
        <v>82</v>
      </c>
      <c r="O47" s="130" t="s">
        <v>309</v>
      </c>
      <c r="P47" s="130" t="s">
        <v>2433</v>
      </c>
      <c r="Q47" s="130" t="s">
        <v>293</v>
      </c>
      <c r="R47" s="130">
        <v>100000</v>
      </c>
      <c r="S47" s="130">
        <v>1000000</v>
      </c>
      <c r="T47" s="130">
        <v>0</v>
      </c>
      <c r="U47" s="130">
        <v>0</v>
      </c>
      <c r="V47" s="130">
        <v>0</v>
      </c>
      <c r="W47" s="130">
        <v>55</v>
      </c>
      <c r="X47" s="130">
        <v>0</v>
      </c>
      <c r="Y47" s="130">
        <v>999</v>
      </c>
      <c r="Z47" s="119">
        <v>660</v>
      </c>
      <c r="AA47" s="119">
        <v>679</v>
      </c>
      <c r="AB47" s="1877">
        <v>0</v>
      </c>
      <c r="AC47" s="119">
        <v>999999</v>
      </c>
      <c r="AD47" s="117">
        <v>0</v>
      </c>
      <c r="AE47" s="117">
        <v>75</v>
      </c>
      <c r="AF47" s="144">
        <v>0</v>
      </c>
      <c r="AG47" s="145">
        <v>1</v>
      </c>
      <c r="AH47" s="145">
        <v>1</v>
      </c>
      <c r="AI47" s="145">
        <v>0</v>
      </c>
      <c r="AJ47" s="145">
        <v>0</v>
      </c>
      <c r="AK47" s="145">
        <v>1</v>
      </c>
      <c r="AL47" s="145">
        <v>1</v>
      </c>
      <c r="AM47" s="145">
        <v>1</v>
      </c>
      <c r="AN47" s="145">
        <v>1</v>
      </c>
      <c r="AO47" s="145">
        <v>1</v>
      </c>
      <c r="AP47" s="145">
        <v>1</v>
      </c>
      <c r="AQ47" s="145">
        <v>0</v>
      </c>
      <c r="AR47" s="145">
        <v>1</v>
      </c>
      <c r="AS47" s="145">
        <v>1</v>
      </c>
      <c r="AT47" s="145">
        <v>1</v>
      </c>
      <c r="AU47" s="145">
        <f t="shared" si="2"/>
        <v>1</v>
      </c>
      <c r="AV47" s="145">
        <f t="shared" si="3"/>
        <v>1</v>
      </c>
      <c r="AW47" s="145">
        <f t="shared" si="4"/>
        <v>1</v>
      </c>
      <c r="AX47" s="145">
        <f t="shared" si="5"/>
        <v>1</v>
      </c>
      <c r="AY47" s="145">
        <f t="shared" si="6"/>
        <v>0</v>
      </c>
      <c r="AZ47" s="145">
        <f t="shared" si="7"/>
        <v>1</v>
      </c>
      <c r="BA47" s="146">
        <f t="shared" si="8"/>
        <v>1</v>
      </c>
      <c r="BB47" s="149">
        <f t="shared" si="9"/>
        <v>17</v>
      </c>
      <c r="BC47" s="150">
        <f t="shared" si="10"/>
        <v>16</v>
      </c>
      <c r="BD47" s="150">
        <f t="shared" si="11"/>
        <v>17</v>
      </c>
      <c r="BE47" s="211" t="str">
        <f t="shared" si="12"/>
        <v/>
      </c>
      <c r="BH47" s="172">
        <f>IF(AND(Input_Product=Elig!$C47,Elig_MatchAll_Ct&lt;22,$BC47=(Elig_MatchAll_Ct-1),AF47=0),C47,0)</f>
        <v>0</v>
      </c>
      <c r="BI47" s="173">
        <f>IF(AND(Input_Product=Elig!$C47,Elig_MatchAll_Ct&lt;22,$BC47=(Elig_MatchAll_Ct-1),AG47=0),D47,0)</f>
        <v>0</v>
      </c>
      <c r="BJ47" s="173">
        <f>IF(AND(Input_Product=Elig!$C47,Elig_MatchAll_Ct&lt;22,$BC47=(Elig_MatchAll_Ct-1),AH47=0),E47,0)</f>
        <v>0</v>
      </c>
      <c r="BK47" s="173">
        <f>IF(AND(Input_Product=Elig!$C47,Elig_MatchAll_Ct&lt;22,$BC47=(Elig_MatchAll_Ct-1),AI47=0),F47,0)</f>
        <v>0</v>
      </c>
      <c r="BL47" s="173">
        <f>IF(AND(Input_Product=Elig!$C47,Elig_MatchAll_Ct&lt;22,$BC47=(Elig_MatchAll_Ct-1),AJ47=0),G47,0)</f>
        <v>0</v>
      </c>
      <c r="BM47" s="173">
        <f>IF(AND(Input_Product=Elig!$C47,Elig_MatchAll_Ct&lt;22,$BC47=(Elig_MatchAll_Ct-1),AK47=0),H47,0)</f>
        <v>0</v>
      </c>
      <c r="BN47" s="173">
        <f>IF(AND(Input_Product=Elig!$C47,Elig_MatchAll_Ct&lt;22,$BC47=(Elig_MatchAll_Ct-1),AL47=0),I47,0)</f>
        <v>0</v>
      </c>
      <c r="BO47" s="173">
        <f>IF(AND(Input_Product=Elig!$C47,Elig_MatchAll_Ct&lt;22,$BC47=(Elig_MatchAll_Ct-1),AM47=0),J47,0)</f>
        <v>0</v>
      </c>
      <c r="BP47" s="173">
        <f>IF(AND(Input_Product=Elig!$C47,Elig_MatchAll_Ct&lt;22,$BC47=(Elig_MatchAll_Ct-1),AN47=0),K47,0)</f>
        <v>0</v>
      </c>
      <c r="BQ47" s="173">
        <f>IF(AND(Input_Product=Elig!$C47,Elig_MatchAll_Ct&lt;22,$BC47=(Elig_MatchAll_Ct-1),AP47=0),L47,0)</f>
        <v>0</v>
      </c>
      <c r="BR47" s="173">
        <f>IF(AND(Input_Product=Elig!$C47,Elig_MatchAll_Ct&lt;22,$BC47=(Elig_MatchAll_Ct-1),AO47=0),M47,0)</f>
        <v>0</v>
      </c>
      <c r="BS47" s="173">
        <f>IF(AND(Input_Product=Elig!$C47,Elig_MatchAll_Ct&lt;22,$BC47=(Elig_MatchAll_Ct-1),AQ47=0),N47,0)</f>
        <v>0</v>
      </c>
      <c r="BT47" s="173">
        <f>IF(AND(Input_Product=Elig!$C47,Elig_MatchAll_Ct&lt;22,$BC47=(Elig_MatchAll_Ct-1),AR47=0),O47,0)</f>
        <v>0</v>
      </c>
      <c r="BU47" s="173">
        <f>IF(AND(Input_Product=Elig!$C47,Elig_MatchAll_Ct&lt;22,$BC47=(Elig_MatchAll_Ct-1),AS47=0),P47,0)</f>
        <v>0</v>
      </c>
      <c r="BV47" s="174">
        <f>IF(AND(Input_Product=Elig!$C47,Elig_MatchAll_Ct&lt;22,$BC47=(Elig_MatchAll_Ct-1),AT47=0),Q47,0)</f>
        <v>0</v>
      </c>
      <c r="BW47" s="175">
        <f>IF(AND(Input_Product=Elig!$C47,Elig_MatchAll_Ct&lt;22,$BC47=(Elig_MatchAll_Ct-1),AU47=0),R47,0)</f>
        <v>0</v>
      </c>
      <c r="BX47" s="176">
        <f>IF(AND(Input_Product=Elig!$C47,Elig_MatchAll_Ct&lt;22,$BC47=(Elig_MatchAll_Ct-1),AU47=0),S47,0)</f>
        <v>0</v>
      </c>
      <c r="BY47" s="175">
        <f>IF(AND(Input_Product=Elig!$C47,Elig_MatchAll_Ct&lt;22,$BC47=(Elig_MatchAll_Ct-1),AV47=0),T47,0)</f>
        <v>0</v>
      </c>
      <c r="BZ47" s="176">
        <f>IF(AND(Input_Product=Elig!$C47,Elig_MatchAll_Ct&lt;22,$BC47=(Elig_MatchAll_Ct-1),AV47=0),U47,0)</f>
        <v>0</v>
      </c>
      <c r="CA47" s="175">
        <f>IF(AND(Input_Product=Elig!$C47,Elig_MatchAll_Ct&lt;22,$BC47=(Elig_MatchAll_Ct-1),AW47=0),V47,0)</f>
        <v>0</v>
      </c>
      <c r="CB47" s="176">
        <f>IF(AND(Input_Product=Elig!$C47,Elig_MatchAll_Ct&lt;22,$BC47=(Elig_MatchAll_Ct-1),AW47=0),W47,0)</f>
        <v>0</v>
      </c>
      <c r="CC47" s="175">
        <f>IF(AND(Input_Product=Elig!$C47,Elig_MatchAll_Ct&lt;22,$BC47=(Elig_MatchAll_Ct-1),AX47=0),X47,0)</f>
        <v>0</v>
      </c>
      <c r="CD47" s="176">
        <f>IF(AND(Input_Product=Elig!$C47,Elig_MatchAll_Ct&lt;22,$BC47=(Elig_MatchAll_Ct-1),AX47=0),Y47,0)</f>
        <v>0</v>
      </c>
      <c r="CE47" s="175">
        <f>IF(AND(Input_LTV&lt;=AE47,Input_Product=Elig!$C47,Elig_MatchAll_Ct&lt;22,$BC47=(Elig_MatchAll_Ct-1),AY47=0),Z47,0)</f>
        <v>0</v>
      </c>
      <c r="CF47" s="176">
        <f>IF(AND(Input_LTV&lt;=AE47,Input_Product=Elig!$C47,Elig_MatchAll_Ct&lt;22,$BC47=(Elig_MatchAll_Ct-1),AY47=0),AA47,0)</f>
        <v>0</v>
      </c>
      <c r="CG47" s="175">
        <f>IF(AND(Input_Product=Elig!$C47,Elig_MatchAll_Ct&lt;22,$BC47=(Elig_MatchAll_Ct-1),AZ47=0),AB47,0)</f>
        <v>0</v>
      </c>
      <c r="CH47" s="176">
        <f>IF(AND(Input_Product=Elig!$C47,Elig_MatchAll_Ct&lt;22,$BC47=(Elig_MatchAll_Ct-1),AZ47=0),AC47,0)</f>
        <v>0</v>
      </c>
      <c r="CI47" s="175">
        <f>IF(AND(Input_Product=Elig!$C47,Elig_MatchAll_Ct&lt;22,$BC47=(Elig_MatchAll_Ct-1),BA47=0),AD47,0)</f>
        <v>0</v>
      </c>
      <c r="CJ47" s="177">
        <f>IF(AND(Input_Product=Elig!$C47,Elig_MatchAll_Ct&lt;22,$BC47=(Elig_MatchAll_Ct-1),BA47=0),AE47,0)</f>
        <v>0</v>
      </c>
    </row>
    <row r="48" spans="1:88" ht="10.15" customHeight="1" x14ac:dyDescent="0.25">
      <c r="A48" s="1923" t="s">
        <v>2507</v>
      </c>
      <c r="B48" s="1923" t="s">
        <v>2476</v>
      </c>
      <c r="C48" s="1927" t="str">
        <f t="shared" si="1"/>
        <v>NonQM OO</v>
      </c>
      <c r="D48" s="1928" t="s">
        <v>1995</v>
      </c>
      <c r="E48" s="1929" t="s">
        <v>166</v>
      </c>
      <c r="F48" s="1929" t="s">
        <v>330</v>
      </c>
      <c r="G48" s="1929" t="s">
        <v>178</v>
      </c>
      <c r="H48" s="1929" t="s">
        <v>135</v>
      </c>
      <c r="I48" s="1928" t="s">
        <v>16</v>
      </c>
      <c r="J48" s="1928" t="s">
        <v>1130</v>
      </c>
      <c r="K48" s="1928" t="s">
        <v>1398</v>
      </c>
      <c r="L48" s="1929" t="s">
        <v>2025</v>
      </c>
      <c r="M48" s="1929" t="s">
        <v>2289</v>
      </c>
      <c r="N48" s="1929" t="s">
        <v>82</v>
      </c>
      <c r="O48" s="1929" t="s">
        <v>309</v>
      </c>
      <c r="P48" s="1929" t="s">
        <v>2433</v>
      </c>
      <c r="Q48" s="1929" t="s">
        <v>293</v>
      </c>
      <c r="R48" s="1928">
        <v>100000</v>
      </c>
      <c r="S48" s="1928">
        <v>1000000</v>
      </c>
      <c r="T48" s="1928">
        <v>0</v>
      </c>
      <c r="U48" s="1928">
        <f t="shared" ref="U48" si="16">S48</f>
        <v>1000000</v>
      </c>
      <c r="V48" s="1928">
        <v>0</v>
      </c>
      <c r="W48" s="1928">
        <v>55</v>
      </c>
      <c r="X48" s="1928">
        <v>0</v>
      </c>
      <c r="Y48" s="1928">
        <v>999</v>
      </c>
      <c r="Z48" s="1879">
        <v>720</v>
      </c>
      <c r="AA48" s="1879">
        <v>999</v>
      </c>
      <c r="AB48" s="1879">
        <v>0</v>
      </c>
      <c r="AC48" s="1879">
        <v>999999</v>
      </c>
      <c r="AD48" s="1928">
        <v>75.099999999999994</v>
      </c>
      <c r="AE48" s="1928">
        <v>80</v>
      </c>
      <c r="AF48" s="144">
        <v>0</v>
      </c>
      <c r="AG48" s="145">
        <v>1</v>
      </c>
      <c r="AH48" s="145">
        <v>1</v>
      </c>
      <c r="AI48" s="145">
        <v>0</v>
      </c>
      <c r="AJ48" s="145">
        <v>0</v>
      </c>
      <c r="AK48" s="145">
        <v>1</v>
      </c>
      <c r="AL48" s="145">
        <v>0</v>
      </c>
      <c r="AM48" s="145">
        <v>1</v>
      </c>
      <c r="AN48" s="145">
        <v>1</v>
      </c>
      <c r="AO48" s="145">
        <v>1</v>
      </c>
      <c r="AP48" s="145">
        <v>1</v>
      </c>
      <c r="AQ48" s="145">
        <v>0</v>
      </c>
      <c r="AR48" s="145">
        <v>1</v>
      </c>
      <c r="AS48" s="145">
        <v>1</v>
      </c>
      <c r="AT48" s="145">
        <v>1</v>
      </c>
      <c r="AU48" s="145">
        <f t="shared" si="2"/>
        <v>1</v>
      </c>
      <c r="AV48" s="145">
        <f t="shared" si="3"/>
        <v>1</v>
      </c>
      <c r="AW48" s="145">
        <f t="shared" si="4"/>
        <v>1</v>
      </c>
      <c r="AX48" s="145">
        <f t="shared" si="5"/>
        <v>1</v>
      </c>
      <c r="AY48" s="145">
        <f t="shared" si="6"/>
        <v>1</v>
      </c>
      <c r="AZ48" s="145">
        <f t="shared" si="7"/>
        <v>1</v>
      </c>
      <c r="BA48" s="146">
        <f t="shared" si="8"/>
        <v>0</v>
      </c>
      <c r="BB48" s="149">
        <f t="shared" si="9"/>
        <v>16</v>
      </c>
      <c r="BC48" s="150">
        <f t="shared" si="10"/>
        <v>16</v>
      </c>
      <c r="BD48" s="150">
        <f t="shared" si="11"/>
        <v>16</v>
      </c>
      <c r="BE48" s="211" t="str">
        <f t="shared" si="12"/>
        <v/>
      </c>
      <c r="BH48" s="166">
        <f>IF(AND(Input_Product=Elig!$C48,Elig_MatchAll_Ct&lt;22,$BC48=(Elig_MatchAll_Ct-1),AF48=0),C48,0)</f>
        <v>0</v>
      </c>
      <c r="BI48" s="167">
        <f>IF(AND(Input_Product=Elig!$C48,Elig_MatchAll_Ct&lt;22,$BC48=(Elig_MatchAll_Ct-1),AG48=0),D48,0)</f>
        <v>0</v>
      </c>
      <c r="BJ48" s="167">
        <f>IF(AND(Input_Product=Elig!$C48,Elig_MatchAll_Ct&lt;22,$BC48=(Elig_MatchAll_Ct-1),AH48=0),E48,0)</f>
        <v>0</v>
      </c>
      <c r="BK48" s="167">
        <f>IF(AND(Input_Product=Elig!$C48,Elig_MatchAll_Ct&lt;22,$BC48=(Elig_MatchAll_Ct-1),AI48=0),F48,0)</f>
        <v>0</v>
      </c>
      <c r="BL48" s="167">
        <f>IF(AND(Input_Product=Elig!$C48,Elig_MatchAll_Ct&lt;22,$BC48=(Elig_MatchAll_Ct-1),AJ48=0),G48,0)</f>
        <v>0</v>
      </c>
      <c r="BM48" s="167">
        <f>IF(AND(Input_Product=Elig!$C48,Elig_MatchAll_Ct&lt;22,$BC48=(Elig_MatchAll_Ct-1),AK48=0),H48,0)</f>
        <v>0</v>
      </c>
      <c r="BN48" s="167">
        <f>IF(AND(Input_Product=Elig!$C48,Elig_MatchAll_Ct&lt;22,$BC48=(Elig_MatchAll_Ct-1),AL48=0),I48,0)</f>
        <v>0</v>
      </c>
      <c r="BO48" s="167">
        <f>IF(AND(Input_Product=Elig!$C48,Elig_MatchAll_Ct&lt;22,$BC48=(Elig_MatchAll_Ct-1),AM48=0),J48,0)</f>
        <v>0</v>
      </c>
      <c r="BP48" s="167">
        <f>IF(AND(Input_Product=Elig!$C48,Elig_MatchAll_Ct&lt;22,$BC48=(Elig_MatchAll_Ct-1),AN48=0),K48,0)</f>
        <v>0</v>
      </c>
      <c r="BQ48" s="167">
        <f>IF(AND(Input_Product=Elig!$C48,Elig_MatchAll_Ct&lt;22,$BC48=(Elig_MatchAll_Ct-1),AP48=0),L48,0)</f>
        <v>0</v>
      </c>
      <c r="BR48" s="167">
        <f>IF(AND(Input_Product=Elig!$C48,Elig_MatchAll_Ct&lt;22,$BC48=(Elig_MatchAll_Ct-1),AO48=0),M48,0)</f>
        <v>0</v>
      </c>
      <c r="BS48" s="167">
        <f>IF(AND(Input_Product=Elig!$C48,Elig_MatchAll_Ct&lt;22,$BC48=(Elig_MatchAll_Ct-1),AQ48=0),N48,0)</f>
        <v>0</v>
      </c>
      <c r="BT48" s="167">
        <f>IF(AND(Input_Product=Elig!$C48,Elig_MatchAll_Ct&lt;22,$BC48=(Elig_MatchAll_Ct-1),AR48=0),O48,0)</f>
        <v>0</v>
      </c>
      <c r="BU48" s="167">
        <f>IF(AND(Input_Product=Elig!$C48,Elig_MatchAll_Ct&lt;22,$BC48=(Elig_MatchAll_Ct-1),AS48=0),P48,0)</f>
        <v>0</v>
      </c>
      <c r="BV48" s="168">
        <f>IF(AND(Input_Product=Elig!$C48,Elig_MatchAll_Ct&lt;22,$BC48=(Elig_MatchAll_Ct-1),AT48=0),Q48,0)</f>
        <v>0</v>
      </c>
      <c r="BW48" s="169">
        <f>IF(AND(Input_Product=Elig!$C48,Elig_MatchAll_Ct&lt;22,$BC48=(Elig_MatchAll_Ct-1),AU48=0),R48,0)</f>
        <v>0</v>
      </c>
      <c r="BX48" s="170">
        <f>IF(AND(Input_Product=Elig!$C48,Elig_MatchAll_Ct&lt;22,$BC48=(Elig_MatchAll_Ct-1),AU48=0),S48,0)</f>
        <v>0</v>
      </c>
      <c r="BY48" s="169">
        <f>IF(AND(Input_Product=Elig!$C48,Elig_MatchAll_Ct&lt;22,$BC48=(Elig_MatchAll_Ct-1),AV48=0),T48,0)</f>
        <v>0</v>
      </c>
      <c r="BZ48" s="170">
        <f>IF(AND(Input_Product=Elig!$C48,Elig_MatchAll_Ct&lt;22,$BC48=(Elig_MatchAll_Ct-1),AV48=0),U48,0)</f>
        <v>0</v>
      </c>
      <c r="CA48" s="169">
        <f>IF(AND(Input_Product=Elig!$C48,Elig_MatchAll_Ct&lt;22,$BC48=(Elig_MatchAll_Ct-1),AW48=0),V48,0)</f>
        <v>0</v>
      </c>
      <c r="CB48" s="170">
        <f>IF(AND(Input_Product=Elig!$C48,Elig_MatchAll_Ct&lt;22,$BC48=(Elig_MatchAll_Ct-1),AW48=0),W48,0)</f>
        <v>0</v>
      </c>
      <c r="CC48" s="169">
        <f>IF(AND(Input_Product=Elig!$C48,Elig_MatchAll_Ct&lt;22,$BC48=(Elig_MatchAll_Ct-1),AX48=0),X48,0)</f>
        <v>0</v>
      </c>
      <c r="CD48" s="170">
        <f>IF(AND(Input_Product=Elig!$C48,Elig_MatchAll_Ct&lt;22,$BC48=(Elig_MatchAll_Ct-1),AX48=0),Y48,0)</f>
        <v>0</v>
      </c>
      <c r="CE48" s="169">
        <f>IF(AND(Input_LTV&lt;=AE48,Input_Product=Elig!$C48,Elig_MatchAll_Ct&lt;22,$BC48=(Elig_MatchAll_Ct-1),AY48=0),Z48,0)</f>
        <v>0</v>
      </c>
      <c r="CF48" s="170">
        <f>IF(AND(Input_LTV&lt;=AE48,Input_Product=Elig!$C48,Elig_MatchAll_Ct&lt;22,$BC48=(Elig_MatchAll_Ct-1),AY48=0),AA48,0)</f>
        <v>0</v>
      </c>
      <c r="CG48" s="169">
        <f>IF(AND(Input_Product=Elig!$C48,Elig_MatchAll_Ct&lt;22,$BC48=(Elig_MatchAll_Ct-1),AZ48=0),AB48,0)</f>
        <v>0</v>
      </c>
      <c r="CH48" s="170">
        <f>IF(AND(Input_Product=Elig!$C48,Elig_MatchAll_Ct&lt;22,$BC48=(Elig_MatchAll_Ct-1),AZ48=0),AC48,0)</f>
        <v>0</v>
      </c>
      <c r="CI48" s="169">
        <f>IF(AND(Input_Product=Elig!$C48,Elig_MatchAll_Ct&lt;22,$BC48=(Elig_MatchAll_Ct-1),BA48=0),AD48,0)</f>
        <v>0</v>
      </c>
      <c r="CJ48" s="171">
        <f>IF(AND(Input_Product=Elig!$C48,Elig_MatchAll_Ct&lt;22,$BC48=(Elig_MatchAll_Ct-1),BA48=0),AE48,0)</f>
        <v>0</v>
      </c>
    </row>
    <row r="49" spans="1:88" ht="10.15" customHeight="1" x14ac:dyDescent="0.25">
      <c r="A49" s="1419" t="s">
        <v>76</v>
      </c>
      <c r="B49" s="1419" t="s">
        <v>750</v>
      </c>
      <c r="C49" s="123" t="str">
        <f t="shared" si="1"/>
        <v>NonQM OO</v>
      </c>
      <c r="D49" s="124" t="s">
        <v>1995</v>
      </c>
      <c r="E49" s="125" t="s">
        <v>166</v>
      </c>
      <c r="F49" s="125" t="s">
        <v>330</v>
      </c>
      <c r="G49" s="125" t="s">
        <v>178</v>
      </c>
      <c r="H49" s="125" t="s">
        <v>135</v>
      </c>
      <c r="I49" s="124" t="s">
        <v>16</v>
      </c>
      <c r="J49" s="124" t="s">
        <v>1130</v>
      </c>
      <c r="K49" s="124" t="s">
        <v>1398</v>
      </c>
      <c r="L49" s="125" t="s">
        <v>2025</v>
      </c>
      <c r="M49" s="125" t="s">
        <v>2289</v>
      </c>
      <c r="N49" s="125" t="s">
        <v>82</v>
      </c>
      <c r="O49" s="125" t="s">
        <v>309</v>
      </c>
      <c r="P49" s="125" t="s">
        <v>2433</v>
      </c>
      <c r="Q49" s="125" t="s">
        <v>293</v>
      </c>
      <c r="R49" s="124">
        <v>100000</v>
      </c>
      <c r="S49" s="124">
        <v>1000000</v>
      </c>
      <c r="T49" s="124">
        <v>0</v>
      </c>
      <c r="U49" s="124">
        <f t="shared" ref="U49:U52" si="17">S49</f>
        <v>1000000</v>
      </c>
      <c r="V49" s="124">
        <v>0</v>
      </c>
      <c r="W49" s="124">
        <v>55</v>
      </c>
      <c r="X49" s="124">
        <v>0</v>
      </c>
      <c r="Y49" s="124">
        <v>999</v>
      </c>
      <c r="Z49" s="126">
        <v>720</v>
      </c>
      <c r="AA49" s="126">
        <v>999</v>
      </c>
      <c r="AB49" s="1879">
        <v>0</v>
      </c>
      <c r="AC49" s="126">
        <v>999999</v>
      </c>
      <c r="AD49" s="124">
        <v>0</v>
      </c>
      <c r="AE49" s="124">
        <v>75</v>
      </c>
      <c r="AF49" s="144">
        <v>0</v>
      </c>
      <c r="AG49" s="145">
        <v>1</v>
      </c>
      <c r="AH49" s="145">
        <v>1</v>
      </c>
      <c r="AI49" s="145">
        <v>0</v>
      </c>
      <c r="AJ49" s="145">
        <v>0</v>
      </c>
      <c r="AK49" s="145">
        <v>1</v>
      </c>
      <c r="AL49" s="145">
        <v>0</v>
      </c>
      <c r="AM49" s="145">
        <v>1</v>
      </c>
      <c r="AN49" s="145">
        <v>1</v>
      </c>
      <c r="AO49" s="145">
        <v>1</v>
      </c>
      <c r="AP49" s="145">
        <v>1</v>
      </c>
      <c r="AQ49" s="145">
        <v>0</v>
      </c>
      <c r="AR49" s="145">
        <v>1</v>
      </c>
      <c r="AS49" s="145">
        <v>1</v>
      </c>
      <c r="AT49" s="145">
        <v>1</v>
      </c>
      <c r="AU49" s="145">
        <f t="shared" si="2"/>
        <v>1</v>
      </c>
      <c r="AV49" s="145">
        <f t="shared" si="3"/>
        <v>1</v>
      </c>
      <c r="AW49" s="145">
        <f t="shared" si="4"/>
        <v>1</v>
      </c>
      <c r="AX49" s="145">
        <f t="shared" si="5"/>
        <v>1</v>
      </c>
      <c r="AY49" s="145">
        <f t="shared" si="6"/>
        <v>1</v>
      </c>
      <c r="AZ49" s="145">
        <f t="shared" si="7"/>
        <v>1</v>
      </c>
      <c r="BA49" s="146">
        <f t="shared" si="8"/>
        <v>1</v>
      </c>
      <c r="BB49" s="149">
        <f t="shared" si="9"/>
        <v>17</v>
      </c>
      <c r="BC49" s="150">
        <f t="shared" si="10"/>
        <v>16</v>
      </c>
      <c r="BD49" s="150">
        <f t="shared" si="11"/>
        <v>17</v>
      </c>
      <c r="BE49" s="211" t="str">
        <f t="shared" si="12"/>
        <v/>
      </c>
      <c r="BH49" s="166">
        <f>IF(AND(Input_Product=Elig!$C49,Elig_MatchAll_Ct&lt;22,$BC49=(Elig_MatchAll_Ct-1),AF49=0),C49,0)</f>
        <v>0</v>
      </c>
      <c r="BI49" s="167">
        <f>IF(AND(Input_Product=Elig!$C49,Elig_MatchAll_Ct&lt;22,$BC49=(Elig_MatchAll_Ct-1),AG49=0),D49,0)</f>
        <v>0</v>
      </c>
      <c r="BJ49" s="167">
        <f>IF(AND(Input_Product=Elig!$C49,Elig_MatchAll_Ct&lt;22,$BC49=(Elig_MatchAll_Ct-1),AH49=0),E49,0)</f>
        <v>0</v>
      </c>
      <c r="BK49" s="167">
        <f>IF(AND(Input_Product=Elig!$C49,Elig_MatchAll_Ct&lt;22,$BC49=(Elig_MatchAll_Ct-1),AI49=0),F49,0)</f>
        <v>0</v>
      </c>
      <c r="BL49" s="167">
        <f>IF(AND(Input_Product=Elig!$C49,Elig_MatchAll_Ct&lt;22,$BC49=(Elig_MatchAll_Ct-1),AJ49=0),G49,0)</f>
        <v>0</v>
      </c>
      <c r="BM49" s="167">
        <f>IF(AND(Input_Product=Elig!$C49,Elig_MatchAll_Ct&lt;22,$BC49=(Elig_MatchAll_Ct-1),AK49=0),H49,0)</f>
        <v>0</v>
      </c>
      <c r="BN49" s="167">
        <f>IF(AND(Input_Product=Elig!$C49,Elig_MatchAll_Ct&lt;22,$BC49=(Elig_MatchAll_Ct-1),AL49=0),I49,0)</f>
        <v>0</v>
      </c>
      <c r="BO49" s="167">
        <f>IF(AND(Input_Product=Elig!$C49,Elig_MatchAll_Ct&lt;22,$BC49=(Elig_MatchAll_Ct-1),AM49=0),J49,0)</f>
        <v>0</v>
      </c>
      <c r="BP49" s="167">
        <f>IF(AND(Input_Product=Elig!$C49,Elig_MatchAll_Ct&lt;22,$BC49=(Elig_MatchAll_Ct-1),AN49=0),K49,0)</f>
        <v>0</v>
      </c>
      <c r="BQ49" s="167">
        <f>IF(AND(Input_Product=Elig!$C49,Elig_MatchAll_Ct&lt;22,$BC49=(Elig_MatchAll_Ct-1),AP49=0),L49,0)</f>
        <v>0</v>
      </c>
      <c r="BR49" s="167">
        <f>IF(AND(Input_Product=Elig!$C49,Elig_MatchAll_Ct&lt;22,$BC49=(Elig_MatchAll_Ct-1),AO49=0),M49,0)</f>
        <v>0</v>
      </c>
      <c r="BS49" s="167">
        <f>IF(AND(Input_Product=Elig!$C49,Elig_MatchAll_Ct&lt;22,$BC49=(Elig_MatchAll_Ct-1),AQ49=0),N49,0)</f>
        <v>0</v>
      </c>
      <c r="BT49" s="167">
        <f>IF(AND(Input_Product=Elig!$C49,Elig_MatchAll_Ct&lt;22,$BC49=(Elig_MatchAll_Ct-1),AR49=0),O49,0)</f>
        <v>0</v>
      </c>
      <c r="BU49" s="167">
        <f>IF(AND(Input_Product=Elig!$C49,Elig_MatchAll_Ct&lt;22,$BC49=(Elig_MatchAll_Ct-1),AS49=0),P49,0)</f>
        <v>0</v>
      </c>
      <c r="BV49" s="168">
        <f>IF(AND(Input_Product=Elig!$C49,Elig_MatchAll_Ct&lt;22,$BC49=(Elig_MatchAll_Ct-1),AT49=0),Q49,0)</f>
        <v>0</v>
      </c>
      <c r="BW49" s="169">
        <f>IF(AND(Input_Product=Elig!$C49,Elig_MatchAll_Ct&lt;22,$BC49=(Elig_MatchAll_Ct-1),AU49=0),R49,0)</f>
        <v>0</v>
      </c>
      <c r="BX49" s="170">
        <f>IF(AND(Input_Product=Elig!$C49,Elig_MatchAll_Ct&lt;22,$BC49=(Elig_MatchAll_Ct-1),AU49=0),S49,0)</f>
        <v>0</v>
      </c>
      <c r="BY49" s="169">
        <f>IF(AND(Input_Product=Elig!$C49,Elig_MatchAll_Ct&lt;22,$BC49=(Elig_MatchAll_Ct-1),AV49=0),T49,0)</f>
        <v>0</v>
      </c>
      <c r="BZ49" s="170">
        <f>IF(AND(Input_Product=Elig!$C49,Elig_MatchAll_Ct&lt;22,$BC49=(Elig_MatchAll_Ct-1),AV49=0),U49,0)</f>
        <v>0</v>
      </c>
      <c r="CA49" s="169">
        <f>IF(AND(Input_Product=Elig!$C49,Elig_MatchAll_Ct&lt;22,$BC49=(Elig_MatchAll_Ct-1),AW49=0),V49,0)</f>
        <v>0</v>
      </c>
      <c r="CB49" s="170">
        <f>IF(AND(Input_Product=Elig!$C49,Elig_MatchAll_Ct&lt;22,$BC49=(Elig_MatchAll_Ct-1),AW49=0),W49,0)</f>
        <v>0</v>
      </c>
      <c r="CC49" s="169">
        <f>IF(AND(Input_Product=Elig!$C49,Elig_MatchAll_Ct&lt;22,$BC49=(Elig_MatchAll_Ct-1),AX49=0),X49,0)</f>
        <v>0</v>
      </c>
      <c r="CD49" s="170">
        <f>IF(AND(Input_Product=Elig!$C49,Elig_MatchAll_Ct&lt;22,$BC49=(Elig_MatchAll_Ct-1),AX49=0),Y49,0)</f>
        <v>0</v>
      </c>
      <c r="CE49" s="169">
        <f>IF(AND(Input_LTV&lt;=AE49,Input_Product=Elig!$C49,Elig_MatchAll_Ct&lt;22,$BC49=(Elig_MatchAll_Ct-1),AY49=0),Z49,0)</f>
        <v>0</v>
      </c>
      <c r="CF49" s="170">
        <f>IF(AND(Input_LTV&lt;=AE49,Input_Product=Elig!$C49,Elig_MatchAll_Ct&lt;22,$BC49=(Elig_MatchAll_Ct-1),AY49=0),AA49,0)</f>
        <v>0</v>
      </c>
      <c r="CG49" s="169">
        <f>IF(AND(Input_Product=Elig!$C49,Elig_MatchAll_Ct&lt;22,$BC49=(Elig_MatchAll_Ct-1),AZ49=0),AB49,0)</f>
        <v>0</v>
      </c>
      <c r="CH49" s="170">
        <f>IF(AND(Input_Product=Elig!$C49,Elig_MatchAll_Ct&lt;22,$BC49=(Elig_MatchAll_Ct-1),AZ49=0),AC49,0)</f>
        <v>0</v>
      </c>
      <c r="CI49" s="169">
        <f>IF(AND(Input_Product=Elig!$C49,Elig_MatchAll_Ct&lt;22,$BC49=(Elig_MatchAll_Ct-1),BA49=0),AD49,0)</f>
        <v>0</v>
      </c>
      <c r="CJ49" s="171">
        <f>IF(AND(Input_Product=Elig!$C49,Elig_MatchAll_Ct&lt;22,$BC49=(Elig_MatchAll_Ct-1),BA49=0),AE49,0)</f>
        <v>0</v>
      </c>
    </row>
    <row r="50" spans="1:88" ht="10.15" customHeight="1" x14ac:dyDescent="0.25">
      <c r="A50" s="1419" t="s">
        <v>76</v>
      </c>
      <c r="B50" s="1419" t="s">
        <v>751</v>
      </c>
      <c r="C50" s="116" t="str">
        <f t="shared" si="1"/>
        <v>NonQM OO</v>
      </c>
      <c r="D50" s="117" t="s">
        <v>1995</v>
      </c>
      <c r="E50" s="117" t="s">
        <v>166</v>
      </c>
      <c r="F50" s="117" t="s">
        <v>330</v>
      </c>
      <c r="G50" s="117" t="s">
        <v>178</v>
      </c>
      <c r="H50" s="117" t="s">
        <v>135</v>
      </c>
      <c r="I50" s="118" t="s">
        <v>16</v>
      </c>
      <c r="J50" s="118" t="s">
        <v>1130</v>
      </c>
      <c r="K50" s="118" t="s">
        <v>1398</v>
      </c>
      <c r="L50" s="117" t="s">
        <v>2025</v>
      </c>
      <c r="M50" s="117" t="s">
        <v>2289</v>
      </c>
      <c r="N50" s="117" t="s">
        <v>82</v>
      </c>
      <c r="O50" s="117" t="s">
        <v>309</v>
      </c>
      <c r="P50" s="117" t="s">
        <v>2433</v>
      </c>
      <c r="Q50" s="117" t="s">
        <v>293</v>
      </c>
      <c r="R50" s="117">
        <v>100000</v>
      </c>
      <c r="S50" s="117">
        <v>1000000</v>
      </c>
      <c r="T50" s="117">
        <v>0</v>
      </c>
      <c r="U50" s="117">
        <f t="shared" si="17"/>
        <v>1000000</v>
      </c>
      <c r="V50" s="117">
        <v>0</v>
      </c>
      <c r="W50" s="117">
        <v>55</v>
      </c>
      <c r="X50" s="117">
        <v>0</v>
      </c>
      <c r="Y50" s="117">
        <v>999</v>
      </c>
      <c r="Z50" s="119">
        <v>700</v>
      </c>
      <c r="AA50" s="119">
        <v>719</v>
      </c>
      <c r="AB50" s="1877">
        <v>0</v>
      </c>
      <c r="AC50" s="119">
        <v>999999</v>
      </c>
      <c r="AD50" s="117">
        <v>0</v>
      </c>
      <c r="AE50" s="117">
        <v>75</v>
      </c>
      <c r="AF50" s="144">
        <v>0</v>
      </c>
      <c r="AG50" s="145">
        <v>1</v>
      </c>
      <c r="AH50" s="145">
        <v>1</v>
      </c>
      <c r="AI50" s="145">
        <v>0</v>
      </c>
      <c r="AJ50" s="145">
        <v>0</v>
      </c>
      <c r="AK50" s="145">
        <v>1</v>
      </c>
      <c r="AL50" s="145">
        <v>0</v>
      </c>
      <c r="AM50" s="145">
        <v>1</v>
      </c>
      <c r="AN50" s="145">
        <v>1</v>
      </c>
      <c r="AO50" s="145">
        <v>1</v>
      </c>
      <c r="AP50" s="145">
        <v>1</v>
      </c>
      <c r="AQ50" s="145">
        <v>0</v>
      </c>
      <c r="AR50" s="145">
        <v>1</v>
      </c>
      <c r="AS50" s="145">
        <v>1</v>
      </c>
      <c r="AT50" s="145">
        <v>1</v>
      </c>
      <c r="AU50" s="145">
        <f t="shared" si="2"/>
        <v>1</v>
      </c>
      <c r="AV50" s="145">
        <f t="shared" si="3"/>
        <v>1</v>
      </c>
      <c r="AW50" s="145">
        <f t="shared" si="4"/>
        <v>1</v>
      </c>
      <c r="AX50" s="145">
        <f t="shared" si="5"/>
        <v>1</v>
      </c>
      <c r="AY50" s="145">
        <f t="shared" si="6"/>
        <v>0</v>
      </c>
      <c r="AZ50" s="145">
        <f t="shared" si="7"/>
        <v>1</v>
      </c>
      <c r="BA50" s="146">
        <f t="shared" si="8"/>
        <v>1</v>
      </c>
      <c r="BB50" s="149">
        <f t="shared" si="9"/>
        <v>16</v>
      </c>
      <c r="BC50" s="150">
        <f t="shared" si="10"/>
        <v>15</v>
      </c>
      <c r="BD50" s="150">
        <f t="shared" si="11"/>
        <v>16</v>
      </c>
      <c r="BE50" s="211" t="str">
        <f t="shared" si="12"/>
        <v/>
      </c>
      <c r="BH50" s="172">
        <f>IF(AND(Input_Product=Elig!$C50,Elig_MatchAll_Ct&lt;22,$BC50=(Elig_MatchAll_Ct-1),AF50=0),C50,0)</f>
        <v>0</v>
      </c>
      <c r="BI50" s="173">
        <f>IF(AND(Input_Product=Elig!$C50,Elig_MatchAll_Ct&lt;22,$BC50=(Elig_MatchAll_Ct-1),AG50=0),D50,0)</f>
        <v>0</v>
      </c>
      <c r="BJ50" s="173">
        <f>IF(AND(Input_Product=Elig!$C50,Elig_MatchAll_Ct&lt;22,$BC50=(Elig_MatchAll_Ct-1),AH50=0),E50,0)</f>
        <v>0</v>
      </c>
      <c r="BK50" s="173">
        <f>IF(AND(Input_Product=Elig!$C50,Elig_MatchAll_Ct&lt;22,$BC50=(Elig_MatchAll_Ct-1),AI50=0),F50,0)</f>
        <v>0</v>
      </c>
      <c r="BL50" s="173">
        <f>IF(AND(Input_Product=Elig!$C50,Elig_MatchAll_Ct&lt;22,$BC50=(Elig_MatchAll_Ct-1),AJ50=0),G50,0)</f>
        <v>0</v>
      </c>
      <c r="BM50" s="173">
        <f>IF(AND(Input_Product=Elig!$C50,Elig_MatchAll_Ct&lt;22,$BC50=(Elig_MatchAll_Ct-1),AK50=0),H50,0)</f>
        <v>0</v>
      </c>
      <c r="BN50" s="173">
        <f>IF(AND(Input_Product=Elig!$C50,Elig_MatchAll_Ct&lt;22,$BC50=(Elig_MatchAll_Ct-1),AL50=0),I50,0)</f>
        <v>0</v>
      </c>
      <c r="BO50" s="173">
        <f>IF(AND(Input_Product=Elig!$C50,Elig_MatchAll_Ct&lt;22,$BC50=(Elig_MatchAll_Ct-1),AM50=0),J50,0)</f>
        <v>0</v>
      </c>
      <c r="BP50" s="173">
        <f>IF(AND(Input_Product=Elig!$C50,Elig_MatchAll_Ct&lt;22,$BC50=(Elig_MatchAll_Ct-1),AN50=0),K50,0)</f>
        <v>0</v>
      </c>
      <c r="BQ50" s="173">
        <f>IF(AND(Input_Product=Elig!$C50,Elig_MatchAll_Ct&lt;22,$BC50=(Elig_MatchAll_Ct-1),AP50=0),L50,0)</f>
        <v>0</v>
      </c>
      <c r="BR50" s="173">
        <f>IF(AND(Input_Product=Elig!$C50,Elig_MatchAll_Ct&lt;22,$BC50=(Elig_MatchAll_Ct-1),AO50=0),M50,0)</f>
        <v>0</v>
      </c>
      <c r="BS50" s="173">
        <f>IF(AND(Input_Product=Elig!$C50,Elig_MatchAll_Ct&lt;22,$BC50=(Elig_MatchAll_Ct-1),AQ50=0),N50,0)</f>
        <v>0</v>
      </c>
      <c r="BT50" s="173">
        <f>IF(AND(Input_Product=Elig!$C50,Elig_MatchAll_Ct&lt;22,$BC50=(Elig_MatchAll_Ct-1),AR50=0),O50,0)</f>
        <v>0</v>
      </c>
      <c r="BU50" s="173">
        <f>IF(AND(Input_Product=Elig!$C50,Elig_MatchAll_Ct&lt;22,$BC50=(Elig_MatchAll_Ct-1),AS50=0),P50,0)</f>
        <v>0</v>
      </c>
      <c r="BV50" s="174">
        <f>IF(AND(Input_Product=Elig!$C50,Elig_MatchAll_Ct&lt;22,$BC50=(Elig_MatchAll_Ct-1),AT50=0),Q50,0)</f>
        <v>0</v>
      </c>
      <c r="BW50" s="175">
        <f>IF(AND(Input_Product=Elig!$C50,Elig_MatchAll_Ct&lt;22,$BC50=(Elig_MatchAll_Ct-1),AU50=0),R50,0)</f>
        <v>0</v>
      </c>
      <c r="BX50" s="176">
        <f>IF(AND(Input_Product=Elig!$C50,Elig_MatchAll_Ct&lt;22,$BC50=(Elig_MatchAll_Ct-1),AU50=0),S50,0)</f>
        <v>0</v>
      </c>
      <c r="BY50" s="175">
        <f>IF(AND(Input_Product=Elig!$C50,Elig_MatchAll_Ct&lt;22,$BC50=(Elig_MatchAll_Ct-1),AV50=0),T50,0)</f>
        <v>0</v>
      </c>
      <c r="BZ50" s="176">
        <f>IF(AND(Input_Product=Elig!$C50,Elig_MatchAll_Ct&lt;22,$BC50=(Elig_MatchAll_Ct-1),AV50=0),U50,0)</f>
        <v>0</v>
      </c>
      <c r="CA50" s="175">
        <f>IF(AND(Input_Product=Elig!$C50,Elig_MatchAll_Ct&lt;22,$BC50=(Elig_MatchAll_Ct-1),AW50=0),V50,0)</f>
        <v>0</v>
      </c>
      <c r="CB50" s="176">
        <f>IF(AND(Input_Product=Elig!$C50,Elig_MatchAll_Ct&lt;22,$BC50=(Elig_MatchAll_Ct-1),AW50=0),W50,0)</f>
        <v>0</v>
      </c>
      <c r="CC50" s="175">
        <f>IF(AND(Input_Product=Elig!$C50,Elig_MatchAll_Ct&lt;22,$BC50=(Elig_MatchAll_Ct-1),AX50=0),X50,0)</f>
        <v>0</v>
      </c>
      <c r="CD50" s="176">
        <f>IF(AND(Input_Product=Elig!$C50,Elig_MatchAll_Ct&lt;22,$BC50=(Elig_MatchAll_Ct-1),AX50=0),Y50,0)</f>
        <v>0</v>
      </c>
      <c r="CE50" s="175">
        <f>IF(AND(Input_LTV&lt;=AE50,Input_Product=Elig!$C50,Elig_MatchAll_Ct&lt;22,$BC50=(Elig_MatchAll_Ct-1),AY50=0),Z50,0)</f>
        <v>0</v>
      </c>
      <c r="CF50" s="176">
        <f>IF(AND(Input_LTV&lt;=AE50,Input_Product=Elig!$C50,Elig_MatchAll_Ct&lt;22,$BC50=(Elig_MatchAll_Ct-1),AY50=0),AA50,0)</f>
        <v>0</v>
      </c>
      <c r="CG50" s="175">
        <f>IF(AND(Input_Product=Elig!$C50,Elig_MatchAll_Ct&lt;22,$BC50=(Elig_MatchAll_Ct-1),AZ50=0),AB50,0)</f>
        <v>0</v>
      </c>
      <c r="CH50" s="176">
        <f>IF(AND(Input_Product=Elig!$C50,Elig_MatchAll_Ct&lt;22,$BC50=(Elig_MatchAll_Ct-1),AZ50=0),AC50,0)</f>
        <v>0</v>
      </c>
      <c r="CI50" s="175">
        <f>IF(AND(Input_Product=Elig!$C50,Elig_MatchAll_Ct&lt;22,$BC50=(Elig_MatchAll_Ct-1),BA50=0),AD50,0)</f>
        <v>0</v>
      </c>
      <c r="CJ50" s="177">
        <f>IF(AND(Input_Product=Elig!$C50,Elig_MatchAll_Ct&lt;22,$BC50=(Elig_MatchAll_Ct-1),BA50=0),AE50,0)</f>
        <v>0</v>
      </c>
    </row>
    <row r="51" spans="1:88" ht="10.15" customHeight="1" x14ac:dyDescent="0.25">
      <c r="A51" s="1419" t="s">
        <v>76</v>
      </c>
      <c r="B51" s="1419" t="s">
        <v>752</v>
      </c>
      <c r="C51" s="116" t="str">
        <f t="shared" si="1"/>
        <v>NonQM OO</v>
      </c>
      <c r="D51" s="117" t="s">
        <v>1995</v>
      </c>
      <c r="E51" s="117" t="s">
        <v>166</v>
      </c>
      <c r="F51" s="117" t="s">
        <v>330</v>
      </c>
      <c r="G51" s="117" t="s">
        <v>178</v>
      </c>
      <c r="H51" s="117" t="s">
        <v>135</v>
      </c>
      <c r="I51" s="118" t="s">
        <v>16</v>
      </c>
      <c r="J51" s="118" t="s">
        <v>1130</v>
      </c>
      <c r="K51" s="118" t="s">
        <v>1398</v>
      </c>
      <c r="L51" s="117" t="s">
        <v>2025</v>
      </c>
      <c r="M51" s="117" t="s">
        <v>2289</v>
      </c>
      <c r="N51" s="117" t="s">
        <v>82</v>
      </c>
      <c r="O51" s="117" t="s">
        <v>309</v>
      </c>
      <c r="P51" s="117" t="s">
        <v>2433</v>
      </c>
      <c r="Q51" s="117" t="s">
        <v>293</v>
      </c>
      <c r="R51" s="117">
        <v>100000</v>
      </c>
      <c r="S51" s="117">
        <v>1000000</v>
      </c>
      <c r="T51" s="117">
        <v>0</v>
      </c>
      <c r="U51" s="117">
        <f t="shared" si="17"/>
        <v>1000000</v>
      </c>
      <c r="V51" s="117">
        <v>0</v>
      </c>
      <c r="W51" s="117">
        <v>55</v>
      </c>
      <c r="X51" s="117">
        <v>0</v>
      </c>
      <c r="Y51" s="117">
        <v>999</v>
      </c>
      <c r="Z51" s="119">
        <v>680</v>
      </c>
      <c r="AA51" s="119">
        <v>699</v>
      </c>
      <c r="AB51" s="1877">
        <v>0</v>
      </c>
      <c r="AC51" s="119">
        <v>999999</v>
      </c>
      <c r="AD51" s="117">
        <v>0</v>
      </c>
      <c r="AE51" s="117">
        <v>70</v>
      </c>
      <c r="AF51" s="144">
        <v>0</v>
      </c>
      <c r="AG51" s="145">
        <v>1</v>
      </c>
      <c r="AH51" s="145">
        <v>1</v>
      </c>
      <c r="AI51" s="145">
        <v>0</v>
      </c>
      <c r="AJ51" s="145">
        <v>0</v>
      </c>
      <c r="AK51" s="145">
        <v>1</v>
      </c>
      <c r="AL51" s="145">
        <v>0</v>
      </c>
      <c r="AM51" s="145">
        <v>1</v>
      </c>
      <c r="AN51" s="145">
        <v>1</v>
      </c>
      <c r="AO51" s="145">
        <v>1</v>
      </c>
      <c r="AP51" s="145">
        <v>1</v>
      </c>
      <c r="AQ51" s="145">
        <v>0</v>
      </c>
      <c r="AR51" s="145">
        <v>1</v>
      </c>
      <c r="AS51" s="145">
        <v>1</v>
      </c>
      <c r="AT51" s="145">
        <v>1</v>
      </c>
      <c r="AU51" s="145">
        <f t="shared" si="2"/>
        <v>1</v>
      </c>
      <c r="AV51" s="145">
        <f t="shared" si="3"/>
        <v>1</v>
      </c>
      <c r="AW51" s="145">
        <f t="shared" si="4"/>
        <v>1</v>
      </c>
      <c r="AX51" s="145">
        <f t="shared" si="5"/>
        <v>1</v>
      </c>
      <c r="AY51" s="145">
        <f t="shared" si="6"/>
        <v>0</v>
      </c>
      <c r="AZ51" s="145">
        <f t="shared" si="7"/>
        <v>1</v>
      </c>
      <c r="BA51" s="146">
        <f t="shared" si="8"/>
        <v>1</v>
      </c>
      <c r="BB51" s="149">
        <f t="shared" si="9"/>
        <v>16</v>
      </c>
      <c r="BC51" s="150">
        <f t="shared" si="10"/>
        <v>15</v>
      </c>
      <c r="BD51" s="150">
        <f t="shared" si="11"/>
        <v>16</v>
      </c>
      <c r="BE51" s="211" t="str">
        <f t="shared" si="12"/>
        <v/>
      </c>
      <c r="BH51" s="172">
        <f>IF(AND(Input_Product=Elig!$C51,Elig_MatchAll_Ct&lt;22,$BC51=(Elig_MatchAll_Ct-1),AF51=0),C51,0)</f>
        <v>0</v>
      </c>
      <c r="BI51" s="173">
        <f>IF(AND(Input_Product=Elig!$C51,Elig_MatchAll_Ct&lt;22,$BC51=(Elig_MatchAll_Ct-1),AG51=0),D51,0)</f>
        <v>0</v>
      </c>
      <c r="BJ51" s="173">
        <f>IF(AND(Input_Product=Elig!$C51,Elig_MatchAll_Ct&lt;22,$BC51=(Elig_MatchAll_Ct-1),AH51=0),E51,0)</f>
        <v>0</v>
      </c>
      <c r="BK51" s="173">
        <f>IF(AND(Input_Product=Elig!$C51,Elig_MatchAll_Ct&lt;22,$BC51=(Elig_MatchAll_Ct-1),AI51=0),F51,0)</f>
        <v>0</v>
      </c>
      <c r="BL51" s="173">
        <f>IF(AND(Input_Product=Elig!$C51,Elig_MatchAll_Ct&lt;22,$BC51=(Elig_MatchAll_Ct-1),AJ51=0),G51,0)</f>
        <v>0</v>
      </c>
      <c r="BM51" s="173">
        <f>IF(AND(Input_Product=Elig!$C51,Elig_MatchAll_Ct&lt;22,$BC51=(Elig_MatchAll_Ct-1),AK51=0),H51,0)</f>
        <v>0</v>
      </c>
      <c r="BN51" s="173">
        <f>IF(AND(Input_Product=Elig!$C51,Elig_MatchAll_Ct&lt;22,$BC51=(Elig_MatchAll_Ct-1),AL51=0),I51,0)</f>
        <v>0</v>
      </c>
      <c r="BO51" s="173">
        <f>IF(AND(Input_Product=Elig!$C51,Elig_MatchAll_Ct&lt;22,$BC51=(Elig_MatchAll_Ct-1),AM51=0),J51,0)</f>
        <v>0</v>
      </c>
      <c r="BP51" s="173">
        <f>IF(AND(Input_Product=Elig!$C51,Elig_MatchAll_Ct&lt;22,$BC51=(Elig_MatchAll_Ct-1),AN51=0),K51,0)</f>
        <v>0</v>
      </c>
      <c r="BQ51" s="173">
        <f>IF(AND(Input_Product=Elig!$C51,Elig_MatchAll_Ct&lt;22,$BC51=(Elig_MatchAll_Ct-1),AP51=0),L51,0)</f>
        <v>0</v>
      </c>
      <c r="BR51" s="173">
        <f>IF(AND(Input_Product=Elig!$C51,Elig_MatchAll_Ct&lt;22,$BC51=(Elig_MatchAll_Ct-1),AO51=0),M51,0)</f>
        <v>0</v>
      </c>
      <c r="BS51" s="173">
        <f>IF(AND(Input_Product=Elig!$C51,Elig_MatchAll_Ct&lt;22,$BC51=(Elig_MatchAll_Ct-1),AQ51=0),N51,0)</f>
        <v>0</v>
      </c>
      <c r="BT51" s="173">
        <f>IF(AND(Input_Product=Elig!$C51,Elig_MatchAll_Ct&lt;22,$BC51=(Elig_MatchAll_Ct-1),AR51=0),O51,0)</f>
        <v>0</v>
      </c>
      <c r="BU51" s="173">
        <f>IF(AND(Input_Product=Elig!$C51,Elig_MatchAll_Ct&lt;22,$BC51=(Elig_MatchAll_Ct-1),AS51=0),P51,0)</f>
        <v>0</v>
      </c>
      <c r="BV51" s="174">
        <f>IF(AND(Input_Product=Elig!$C51,Elig_MatchAll_Ct&lt;22,$BC51=(Elig_MatchAll_Ct-1),AT51=0),Q51,0)</f>
        <v>0</v>
      </c>
      <c r="BW51" s="175">
        <f>IF(AND(Input_Product=Elig!$C51,Elig_MatchAll_Ct&lt;22,$BC51=(Elig_MatchAll_Ct-1),AU51=0),R51,0)</f>
        <v>0</v>
      </c>
      <c r="BX51" s="176">
        <f>IF(AND(Input_Product=Elig!$C51,Elig_MatchAll_Ct&lt;22,$BC51=(Elig_MatchAll_Ct-1),AU51=0),S51,0)</f>
        <v>0</v>
      </c>
      <c r="BY51" s="175">
        <f>IF(AND(Input_Product=Elig!$C51,Elig_MatchAll_Ct&lt;22,$BC51=(Elig_MatchAll_Ct-1),AV51=0),T51,0)</f>
        <v>0</v>
      </c>
      <c r="BZ51" s="176">
        <f>IF(AND(Input_Product=Elig!$C51,Elig_MatchAll_Ct&lt;22,$BC51=(Elig_MatchAll_Ct-1),AV51=0),U51,0)</f>
        <v>0</v>
      </c>
      <c r="CA51" s="175">
        <f>IF(AND(Input_Product=Elig!$C51,Elig_MatchAll_Ct&lt;22,$BC51=(Elig_MatchAll_Ct-1),AW51=0),V51,0)</f>
        <v>0</v>
      </c>
      <c r="CB51" s="176">
        <f>IF(AND(Input_Product=Elig!$C51,Elig_MatchAll_Ct&lt;22,$BC51=(Elig_MatchAll_Ct-1),AW51=0),W51,0)</f>
        <v>0</v>
      </c>
      <c r="CC51" s="175">
        <f>IF(AND(Input_Product=Elig!$C51,Elig_MatchAll_Ct&lt;22,$BC51=(Elig_MatchAll_Ct-1),AX51=0),X51,0)</f>
        <v>0</v>
      </c>
      <c r="CD51" s="176">
        <f>IF(AND(Input_Product=Elig!$C51,Elig_MatchAll_Ct&lt;22,$BC51=(Elig_MatchAll_Ct-1),AX51=0),Y51,0)</f>
        <v>0</v>
      </c>
      <c r="CE51" s="175">
        <f>IF(AND(Input_LTV&lt;=AE51,Input_Product=Elig!$C51,Elig_MatchAll_Ct&lt;22,$BC51=(Elig_MatchAll_Ct-1),AY51=0),Z51,0)</f>
        <v>0</v>
      </c>
      <c r="CF51" s="176">
        <f>IF(AND(Input_LTV&lt;=AE51,Input_Product=Elig!$C51,Elig_MatchAll_Ct&lt;22,$BC51=(Elig_MatchAll_Ct-1),AY51=0),AA51,0)</f>
        <v>0</v>
      </c>
      <c r="CG51" s="175">
        <f>IF(AND(Input_Product=Elig!$C51,Elig_MatchAll_Ct&lt;22,$BC51=(Elig_MatchAll_Ct-1),AZ51=0),AB51,0)</f>
        <v>0</v>
      </c>
      <c r="CH51" s="176">
        <f>IF(AND(Input_Product=Elig!$C51,Elig_MatchAll_Ct&lt;22,$BC51=(Elig_MatchAll_Ct-1),AZ51=0),AC51,0)</f>
        <v>0</v>
      </c>
      <c r="CI51" s="175">
        <f>IF(AND(Input_Product=Elig!$C51,Elig_MatchAll_Ct&lt;22,$BC51=(Elig_MatchAll_Ct-1),BA51=0),AD51,0)</f>
        <v>0</v>
      </c>
      <c r="CJ51" s="177">
        <f>IF(AND(Input_Product=Elig!$C51,Elig_MatchAll_Ct&lt;22,$BC51=(Elig_MatchAll_Ct-1),BA51=0),AE51,0)</f>
        <v>0</v>
      </c>
    </row>
    <row r="52" spans="1:88" ht="10.15" customHeight="1" x14ac:dyDescent="0.25">
      <c r="A52" s="1419" t="s">
        <v>76</v>
      </c>
      <c r="B52" s="1419" t="s">
        <v>753</v>
      </c>
      <c r="C52" s="129" t="str">
        <f t="shared" si="1"/>
        <v>NonQM OO</v>
      </c>
      <c r="D52" s="130" t="s">
        <v>1995</v>
      </c>
      <c r="E52" s="130" t="s">
        <v>166</v>
      </c>
      <c r="F52" s="130" t="s">
        <v>330</v>
      </c>
      <c r="G52" s="117" t="s">
        <v>178</v>
      </c>
      <c r="H52" s="130" t="s">
        <v>135</v>
      </c>
      <c r="I52" s="131" t="s">
        <v>16</v>
      </c>
      <c r="J52" s="131" t="s">
        <v>1130</v>
      </c>
      <c r="K52" s="131" t="s">
        <v>1398</v>
      </c>
      <c r="L52" s="130" t="s">
        <v>2025</v>
      </c>
      <c r="M52" s="130" t="s">
        <v>2289</v>
      </c>
      <c r="N52" s="130" t="s">
        <v>82</v>
      </c>
      <c r="O52" s="130" t="s">
        <v>309</v>
      </c>
      <c r="P52" s="130" t="s">
        <v>2433</v>
      </c>
      <c r="Q52" s="130" t="s">
        <v>293</v>
      </c>
      <c r="R52" s="130">
        <v>100000</v>
      </c>
      <c r="S52" s="130">
        <v>1000000</v>
      </c>
      <c r="T52" s="130">
        <v>0</v>
      </c>
      <c r="U52" s="130">
        <f t="shared" si="17"/>
        <v>1000000</v>
      </c>
      <c r="V52" s="130">
        <v>0</v>
      </c>
      <c r="W52" s="130">
        <v>55</v>
      </c>
      <c r="X52" s="130">
        <v>0</v>
      </c>
      <c r="Y52" s="130">
        <v>999</v>
      </c>
      <c r="Z52" s="119">
        <v>660</v>
      </c>
      <c r="AA52" s="119">
        <v>679</v>
      </c>
      <c r="AB52" s="1877">
        <v>0</v>
      </c>
      <c r="AC52" s="119">
        <v>999999</v>
      </c>
      <c r="AD52" s="117">
        <v>0</v>
      </c>
      <c r="AE52" s="117">
        <v>70</v>
      </c>
      <c r="AF52" s="144">
        <v>0</v>
      </c>
      <c r="AG52" s="145">
        <v>1</v>
      </c>
      <c r="AH52" s="145">
        <v>1</v>
      </c>
      <c r="AI52" s="145">
        <v>0</v>
      </c>
      <c r="AJ52" s="145">
        <v>0</v>
      </c>
      <c r="AK52" s="145">
        <v>1</v>
      </c>
      <c r="AL52" s="145">
        <v>0</v>
      </c>
      <c r="AM52" s="145">
        <v>1</v>
      </c>
      <c r="AN52" s="145">
        <v>1</v>
      </c>
      <c r="AO52" s="145">
        <v>1</v>
      </c>
      <c r="AP52" s="145">
        <v>1</v>
      </c>
      <c r="AQ52" s="145">
        <v>0</v>
      </c>
      <c r="AR52" s="145">
        <v>1</v>
      </c>
      <c r="AS52" s="145">
        <v>1</v>
      </c>
      <c r="AT52" s="145">
        <v>1</v>
      </c>
      <c r="AU52" s="145">
        <f t="shared" si="2"/>
        <v>1</v>
      </c>
      <c r="AV52" s="145">
        <f t="shared" si="3"/>
        <v>1</v>
      </c>
      <c r="AW52" s="145">
        <f t="shared" si="4"/>
        <v>1</v>
      </c>
      <c r="AX52" s="145">
        <f t="shared" si="5"/>
        <v>1</v>
      </c>
      <c r="AY52" s="145">
        <f t="shared" si="6"/>
        <v>0</v>
      </c>
      <c r="AZ52" s="145">
        <f t="shared" si="7"/>
        <v>1</v>
      </c>
      <c r="BA52" s="146">
        <f t="shared" si="8"/>
        <v>1</v>
      </c>
      <c r="BB52" s="149">
        <f t="shared" si="9"/>
        <v>16</v>
      </c>
      <c r="BC52" s="150">
        <f t="shared" si="10"/>
        <v>15</v>
      </c>
      <c r="BD52" s="150">
        <f t="shared" si="11"/>
        <v>16</v>
      </c>
      <c r="BE52" s="211" t="str">
        <f t="shared" si="12"/>
        <v/>
      </c>
      <c r="BH52" s="172">
        <f>IF(AND(Input_Product=Elig!$C52,Elig_MatchAll_Ct&lt;22,$BC52=(Elig_MatchAll_Ct-1),AF52=0),C52,0)</f>
        <v>0</v>
      </c>
      <c r="BI52" s="173">
        <f>IF(AND(Input_Product=Elig!$C52,Elig_MatchAll_Ct&lt;22,$BC52=(Elig_MatchAll_Ct-1),AG52=0),D52,0)</f>
        <v>0</v>
      </c>
      <c r="BJ52" s="173">
        <f>IF(AND(Input_Product=Elig!$C52,Elig_MatchAll_Ct&lt;22,$BC52=(Elig_MatchAll_Ct-1),AH52=0),E52,0)</f>
        <v>0</v>
      </c>
      <c r="BK52" s="173">
        <f>IF(AND(Input_Product=Elig!$C52,Elig_MatchAll_Ct&lt;22,$BC52=(Elig_MatchAll_Ct-1),AI52=0),F52,0)</f>
        <v>0</v>
      </c>
      <c r="BL52" s="173">
        <f>IF(AND(Input_Product=Elig!$C52,Elig_MatchAll_Ct&lt;22,$BC52=(Elig_MatchAll_Ct-1),AJ52=0),G52,0)</f>
        <v>0</v>
      </c>
      <c r="BM52" s="173">
        <f>IF(AND(Input_Product=Elig!$C52,Elig_MatchAll_Ct&lt;22,$BC52=(Elig_MatchAll_Ct-1),AK52=0),H52,0)</f>
        <v>0</v>
      </c>
      <c r="BN52" s="173">
        <f>IF(AND(Input_Product=Elig!$C52,Elig_MatchAll_Ct&lt;22,$BC52=(Elig_MatchAll_Ct-1),AL52=0),I52,0)</f>
        <v>0</v>
      </c>
      <c r="BO52" s="173">
        <f>IF(AND(Input_Product=Elig!$C52,Elig_MatchAll_Ct&lt;22,$BC52=(Elig_MatchAll_Ct-1),AM52=0),J52,0)</f>
        <v>0</v>
      </c>
      <c r="BP52" s="173">
        <f>IF(AND(Input_Product=Elig!$C52,Elig_MatchAll_Ct&lt;22,$BC52=(Elig_MatchAll_Ct-1),AN52=0),K52,0)</f>
        <v>0</v>
      </c>
      <c r="BQ52" s="173">
        <f>IF(AND(Input_Product=Elig!$C52,Elig_MatchAll_Ct&lt;22,$BC52=(Elig_MatchAll_Ct-1),AP52=0),L52,0)</f>
        <v>0</v>
      </c>
      <c r="BR52" s="173">
        <f>IF(AND(Input_Product=Elig!$C52,Elig_MatchAll_Ct&lt;22,$BC52=(Elig_MatchAll_Ct-1),AO52=0),M52,0)</f>
        <v>0</v>
      </c>
      <c r="BS52" s="173">
        <f>IF(AND(Input_Product=Elig!$C52,Elig_MatchAll_Ct&lt;22,$BC52=(Elig_MatchAll_Ct-1),AQ52=0),N52,0)</f>
        <v>0</v>
      </c>
      <c r="BT52" s="173">
        <f>IF(AND(Input_Product=Elig!$C52,Elig_MatchAll_Ct&lt;22,$BC52=(Elig_MatchAll_Ct-1),AR52=0),O52,0)</f>
        <v>0</v>
      </c>
      <c r="BU52" s="173">
        <f>IF(AND(Input_Product=Elig!$C52,Elig_MatchAll_Ct&lt;22,$BC52=(Elig_MatchAll_Ct-1),AS52=0),P52,0)</f>
        <v>0</v>
      </c>
      <c r="BV52" s="174">
        <f>IF(AND(Input_Product=Elig!$C52,Elig_MatchAll_Ct&lt;22,$BC52=(Elig_MatchAll_Ct-1),AT52=0),Q52,0)</f>
        <v>0</v>
      </c>
      <c r="BW52" s="175">
        <f>IF(AND(Input_Product=Elig!$C52,Elig_MatchAll_Ct&lt;22,$BC52=(Elig_MatchAll_Ct-1),AU52=0),R52,0)</f>
        <v>0</v>
      </c>
      <c r="BX52" s="176">
        <f>IF(AND(Input_Product=Elig!$C52,Elig_MatchAll_Ct&lt;22,$BC52=(Elig_MatchAll_Ct-1),AU52=0),S52,0)</f>
        <v>0</v>
      </c>
      <c r="BY52" s="175">
        <f>IF(AND(Input_Product=Elig!$C52,Elig_MatchAll_Ct&lt;22,$BC52=(Elig_MatchAll_Ct-1),AV52=0),T52,0)</f>
        <v>0</v>
      </c>
      <c r="BZ52" s="176">
        <f>IF(AND(Input_Product=Elig!$C52,Elig_MatchAll_Ct&lt;22,$BC52=(Elig_MatchAll_Ct-1),AV52=0),U52,0)</f>
        <v>0</v>
      </c>
      <c r="CA52" s="175">
        <f>IF(AND(Input_Product=Elig!$C52,Elig_MatchAll_Ct&lt;22,$BC52=(Elig_MatchAll_Ct-1),AW52=0),V52,0)</f>
        <v>0</v>
      </c>
      <c r="CB52" s="176">
        <f>IF(AND(Input_Product=Elig!$C52,Elig_MatchAll_Ct&lt;22,$BC52=(Elig_MatchAll_Ct-1),AW52=0),W52,0)</f>
        <v>0</v>
      </c>
      <c r="CC52" s="175">
        <f>IF(AND(Input_Product=Elig!$C52,Elig_MatchAll_Ct&lt;22,$BC52=(Elig_MatchAll_Ct-1),AX52=0),X52,0)</f>
        <v>0</v>
      </c>
      <c r="CD52" s="176">
        <f>IF(AND(Input_Product=Elig!$C52,Elig_MatchAll_Ct&lt;22,$BC52=(Elig_MatchAll_Ct-1),AX52=0),Y52,0)</f>
        <v>0</v>
      </c>
      <c r="CE52" s="175">
        <f>IF(AND(Input_LTV&lt;=AE52,Input_Product=Elig!$C52,Elig_MatchAll_Ct&lt;22,$BC52=(Elig_MatchAll_Ct-1),AY52=0),Z52,0)</f>
        <v>0</v>
      </c>
      <c r="CF52" s="176">
        <f>IF(AND(Input_LTV&lt;=AE52,Input_Product=Elig!$C52,Elig_MatchAll_Ct&lt;22,$BC52=(Elig_MatchAll_Ct-1),AY52=0),AA52,0)</f>
        <v>0</v>
      </c>
      <c r="CG52" s="175">
        <f>IF(AND(Input_Product=Elig!$C52,Elig_MatchAll_Ct&lt;22,$BC52=(Elig_MatchAll_Ct-1),AZ52=0),AB52,0)</f>
        <v>0</v>
      </c>
      <c r="CH52" s="176">
        <f>IF(AND(Input_Product=Elig!$C52,Elig_MatchAll_Ct&lt;22,$BC52=(Elig_MatchAll_Ct-1),AZ52=0),AC52,0)</f>
        <v>0</v>
      </c>
      <c r="CI52" s="175">
        <f>IF(AND(Input_Product=Elig!$C52,Elig_MatchAll_Ct&lt;22,$BC52=(Elig_MatchAll_Ct-1),BA52=0),AD52,0)</f>
        <v>0</v>
      </c>
      <c r="CJ52" s="177">
        <f>IF(AND(Input_Product=Elig!$C52,Elig_MatchAll_Ct&lt;22,$BC52=(Elig_MatchAll_Ct-1),BA52=0),AE52,0)</f>
        <v>0</v>
      </c>
    </row>
    <row r="53" spans="1:88" ht="10.15" customHeight="1" x14ac:dyDescent="0.25">
      <c r="A53" s="1419" t="s">
        <v>76</v>
      </c>
      <c r="B53" s="1419" t="s">
        <v>754</v>
      </c>
      <c r="C53" s="123" t="str">
        <f t="shared" si="1"/>
        <v>NonQM OO</v>
      </c>
      <c r="D53" s="124" t="s">
        <v>1995</v>
      </c>
      <c r="E53" s="125" t="s">
        <v>166</v>
      </c>
      <c r="F53" s="125" t="s">
        <v>330</v>
      </c>
      <c r="G53" s="125" t="s">
        <v>470</v>
      </c>
      <c r="H53" s="125" t="s">
        <v>135</v>
      </c>
      <c r="I53" s="124" t="s">
        <v>273</v>
      </c>
      <c r="J53" s="124" t="s">
        <v>1130</v>
      </c>
      <c r="K53" s="124" t="s">
        <v>1398</v>
      </c>
      <c r="L53" s="125" t="s">
        <v>2025</v>
      </c>
      <c r="M53" s="125" t="s">
        <v>2289</v>
      </c>
      <c r="N53" s="125" t="s">
        <v>82</v>
      </c>
      <c r="O53" s="125" t="s">
        <v>309</v>
      </c>
      <c r="P53" s="125" t="s">
        <v>2433</v>
      </c>
      <c r="Q53" s="125" t="s">
        <v>293</v>
      </c>
      <c r="R53" s="124">
        <v>100000</v>
      </c>
      <c r="S53" s="124">
        <v>1000000</v>
      </c>
      <c r="T53" s="124">
        <v>0</v>
      </c>
      <c r="U53" s="124">
        <v>0</v>
      </c>
      <c r="V53" s="124">
        <v>0</v>
      </c>
      <c r="W53" s="124">
        <v>55</v>
      </c>
      <c r="X53" s="124">
        <v>0</v>
      </c>
      <c r="Y53" s="124">
        <v>999</v>
      </c>
      <c r="Z53" s="126">
        <v>720</v>
      </c>
      <c r="AA53" s="126">
        <v>999</v>
      </c>
      <c r="AB53" s="1879">
        <v>0</v>
      </c>
      <c r="AC53" s="126">
        <v>999999</v>
      </c>
      <c r="AD53" s="124">
        <v>0</v>
      </c>
      <c r="AE53" s="124">
        <v>80</v>
      </c>
      <c r="AF53" s="144">
        <v>0</v>
      </c>
      <c r="AG53" s="145">
        <v>1</v>
      </c>
      <c r="AH53" s="145">
        <v>1</v>
      </c>
      <c r="AI53" s="145">
        <v>0</v>
      </c>
      <c r="AJ53" s="145">
        <v>0</v>
      </c>
      <c r="AK53" s="145">
        <v>1</v>
      </c>
      <c r="AL53" s="145">
        <v>1</v>
      </c>
      <c r="AM53" s="145">
        <v>1</v>
      </c>
      <c r="AN53" s="145">
        <v>1</v>
      </c>
      <c r="AO53" s="145">
        <v>1</v>
      </c>
      <c r="AP53" s="145">
        <v>1</v>
      </c>
      <c r="AQ53" s="145">
        <v>0</v>
      </c>
      <c r="AR53" s="145">
        <v>1</v>
      </c>
      <c r="AS53" s="145">
        <v>1</v>
      </c>
      <c r="AT53" s="145">
        <v>1</v>
      </c>
      <c r="AU53" s="145">
        <f t="shared" si="2"/>
        <v>1</v>
      </c>
      <c r="AV53" s="145">
        <f t="shared" si="3"/>
        <v>1</v>
      </c>
      <c r="AW53" s="145">
        <f t="shared" si="4"/>
        <v>1</v>
      </c>
      <c r="AX53" s="145">
        <f t="shared" si="5"/>
        <v>1</v>
      </c>
      <c r="AY53" s="145">
        <f t="shared" si="6"/>
        <v>1</v>
      </c>
      <c r="AZ53" s="145">
        <f t="shared" si="7"/>
        <v>1</v>
      </c>
      <c r="BA53" s="146">
        <f t="shared" si="8"/>
        <v>1</v>
      </c>
      <c r="BB53" s="149">
        <f t="shared" si="9"/>
        <v>18</v>
      </c>
      <c r="BC53" s="150">
        <f t="shared" si="10"/>
        <v>17</v>
      </c>
      <c r="BD53" s="150">
        <f t="shared" si="11"/>
        <v>18</v>
      </c>
      <c r="BE53" s="211" t="str">
        <f t="shared" si="12"/>
        <v/>
      </c>
      <c r="BH53" s="166">
        <f>IF(AND(Input_Product=Elig!$C53,Elig_MatchAll_Ct&lt;22,$BC53=(Elig_MatchAll_Ct-1),AF53=0),C53,0)</f>
        <v>0</v>
      </c>
      <c r="BI53" s="167">
        <f>IF(AND(Input_Product=Elig!$C53,Elig_MatchAll_Ct&lt;22,$BC53=(Elig_MatchAll_Ct-1),AG53=0),D53,0)</f>
        <v>0</v>
      </c>
      <c r="BJ53" s="167">
        <f>IF(AND(Input_Product=Elig!$C53,Elig_MatchAll_Ct&lt;22,$BC53=(Elig_MatchAll_Ct-1),AH53=0),E53,0)</f>
        <v>0</v>
      </c>
      <c r="BK53" s="167">
        <f>IF(AND(Input_Product=Elig!$C53,Elig_MatchAll_Ct&lt;22,$BC53=(Elig_MatchAll_Ct-1),AI53=0),F53,0)</f>
        <v>0</v>
      </c>
      <c r="BL53" s="167">
        <f>IF(AND(Input_Product=Elig!$C53,Elig_MatchAll_Ct&lt;22,$BC53=(Elig_MatchAll_Ct-1),AJ53=0),G53,0)</f>
        <v>0</v>
      </c>
      <c r="BM53" s="167">
        <f>IF(AND(Input_Product=Elig!$C53,Elig_MatchAll_Ct&lt;22,$BC53=(Elig_MatchAll_Ct-1),AK53=0),H53,0)</f>
        <v>0</v>
      </c>
      <c r="BN53" s="167">
        <f>IF(AND(Input_Product=Elig!$C53,Elig_MatchAll_Ct&lt;22,$BC53=(Elig_MatchAll_Ct-1),AL53=0),I53,0)</f>
        <v>0</v>
      </c>
      <c r="BO53" s="167">
        <f>IF(AND(Input_Product=Elig!$C53,Elig_MatchAll_Ct&lt;22,$BC53=(Elig_MatchAll_Ct-1),AM53=0),J53,0)</f>
        <v>0</v>
      </c>
      <c r="BP53" s="167">
        <f>IF(AND(Input_Product=Elig!$C53,Elig_MatchAll_Ct&lt;22,$BC53=(Elig_MatchAll_Ct-1),AN53=0),K53,0)</f>
        <v>0</v>
      </c>
      <c r="BQ53" s="167">
        <f>IF(AND(Input_Product=Elig!$C53,Elig_MatchAll_Ct&lt;22,$BC53=(Elig_MatchAll_Ct-1),AP53=0),L53,0)</f>
        <v>0</v>
      </c>
      <c r="BR53" s="167">
        <f>IF(AND(Input_Product=Elig!$C53,Elig_MatchAll_Ct&lt;22,$BC53=(Elig_MatchAll_Ct-1),AO53=0),M53,0)</f>
        <v>0</v>
      </c>
      <c r="BS53" s="167">
        <f>IF(AND(Input_Product=Elig!$C53,Elig_MatchAll_Ct&lt;22,$BC53=(Elig_MatchAll_Ct-1),AQ53=0),N53,0)</f>
        <v>0</v>
      </c>
      <c r="BT53" s="167">
        <f>IF(AND(Input_Product=Elig!$C53,Elig_MatchAll_Ct&lt;22,$BC53=(Elig_MatchAll_Ct-1),AR53=0),O53,0)</f>
        <v>0</v>
      </c>
      <c r="BU53" s="167">
        <f>IF(AND(Input_Product=Elig!$C53,Elig_MatchAll_Ct&lt;22,$BC53=(Elig_MatchAll_Ct-1),AS53=0),P53,0)</f>
        <v>0</v>
      </c>
      <c r="BV53" s="168">
        <f>IF(AND(Input_Product=Elig!$C53,Elig_MatchAll_Ct&lt;22,$BC53=(Elig_MatchAll_Ct-1),AT53=0),Q53,0)</f>
        <v>0</v>
      </c>
      <c r="BW53" s="169">
        <f>IF(AND(Input_Product=Elig!$C53,Elig_MatchAll_Ct&lt;22,$BC53=(Elig_MatchAll_Ct-1),AU53=0),R53,0)</f>
        <v>0</v>
      </c>
      <c r="BX53" s="170">
        <f>IF(AND(Input_Product=Elig!$C53,Elig_MatchAll_Ct&lt;22,$BC53=(Elig_MatchAll_Ct-1),AU53=0),S53,0)</f>
        <v>0</v>
      </c>
      <c r="BY53" s="169">
        <f>IF(AND(Input_Product=Elig!$C53,Elig_MatchAll_Ct&lt;22,$BC53=(Elig_MatchAll_Ct-1),AV53=0),T53,0)</f>
        <v>0</v>
      </c>
      <c r="BZ53" s="170">
        <f>IF(AND(Input_Product=Elig!$C53,Elig_MatchAll_Ct&lt;22,$BC53=(Elig_MatchAll_Ct-1),AV53=0),U53,0)</f>
        <v>0</v>
      </c>
      <c r="CA53" s="169">
        <f>IF(AND(Input_Product=Elig!$C53,Elig_MatchAll_Ct&lt;22,$BC53=(Elig_MatchAll_Ct-1),AW53=0),V53,0)</f>
        <v>0</v>
      </c>
      <c r="CB53" s="170">
        <f>IF(AND(Input_Product=Elig!$C53,Elig_MatchAll_Ct&lt;22,$BC53=(Elig_MatchAll_Ct-1),AW53=0),W53,0)</f>
        <v>0</v>
      </c>
      <c r="CC53" s="169">
        <f>IF(AND(Input_Product=Elig!$C53,Elig_MatchAll_Ct&lt;22,$BC53=(Elig_MatchAll_Ct-1),AX53=0),X53,0)</f>
        <v>0</v>
      </c>
      <c r="CD53" s="170">
        <f>IF(AND(Input_Product=Elig!$C53,Elig_MatchAll_Ct&lt;22,$BC53=(Elig_MatchAll_Ct-1),AX53=0),Y53,0)</f>
        <v>0</v>
      </c>
      <c r="CE53" s="169">
        <f>IF(AND(Input_LTV&lt;=AE53,Input_Product=Elig!$C53,Elig_MatchAll_Ct&lt;22,$BC53=(Elig_MatchAll_Ct-1),AY53=0),Z53,0)</f>
        <v>0</v>
      </c>
      <c r="CF53" s="170">
        <f>IF(AND(Input_LTV&lt;=AE53,Input_Product=Elig!$C53,Elig_MatchAll_Ct&lt;22,$BC53=(Elig_MatchAll_Ct-1),AY53=0),AA53,0)</f>
        <v>0</v>
      </c>
      <c r="CG53" s="169">
        <f>IF(AND(Input_Product=Elig!$C53,Elig_MatchAll_Ct&lt;22,$BC53=(Elig_MatchAll_Ct-1),AZ53=0),AB53,0)</f>
        <v>0</v>
      </c>
      <c r="CH53" s="170">
        <f>IF(AND(Input_Product=Elig!$C53,Elig_MatchAll_Ct&lt;22,$BC53=(Elig_MatchAll_Ct-1),AZ53=0),AC53,0)</f>
        <v>0</v>
      </c>
      <c r="CI53" s="169">
        <f>IF(AND(Input_Product=Elig!$C53,Elig_MatchAll_Ct&lt;22,$BC53=(Elig_MatchAll_Ct-1),BA53=0),AD53,0)</f>
        <v>0</v>
      </c>
      <c r="CJ53" s="171">
        <f>IF(AND(Input_Product=Elig!$C53,Elig_MatchAll_Ct&lt;22,$BC53=(Elig_MatchAll_Ct-1),BA53=0),AE53,0)</f>
        <v>0</v>
      </c>
    </row>
    <row r="54" spans="1:88" ht="10.15" customHeight="1" x14ac:dyDescent="0.25">
      <c r="A54" s="1419" t="s">
        <v>76</v>
      </c>
      <c r="B54" s="1419" t="s">
        <v>755</v>
      </c>
      <c r="C54" s="116" t="str">
        <f t="shared" si="1"/>
        <v>NonQM OO</v>
      </c>
      <c r="D54" s="117" t="s">
        <v>1995</v>
      </c>
      <c r="E54" s="117" t="s">
        <v>166</v>
      </c>
      <c r="F54" s="117" t="s">
        <v>330</v>
      </c>
      <c r="G54" s="117" t="s">
        <v>470</v>
      </c>
      <c r="H54" s="117" t="s">
        <v>135</v>
      </c>
      <c r="I54" s="118" t="s">
        <v>273</v>
      </c>
      <c r="J54" s="118" t="s">
        <v>1130</v>
      </c>
      <c r="K54" s="118" t="s">
        <v>1398</v>
      </c>
      <c r="L54" s="117" t="s">
        <v>2025</v>
      </c>
      <c r="M54" s="117" t="s">
        <v>2289</v>
      </c>
      <c r="N54" s="117" t="s">
        <v>82</v>
      </c>
      <c r="O54" s="117" t="s">
        <v>309</v>
      </c>
      <c r="P54" s="117" t="s">
        <v>2433</v>
      </c>
      <c r="Q54" s="117" t="s">
        <v>293</v>
      </c>
      <c r="R54" s="117">
        <v>100000</v>
      </c>
      <c r="S54" s="117">
        <v>1000000</v>
      </c>
      <c r="T54" s="117">
        <v>0</v>
      </c>
      <c r="U54" s="117">
        <v>0</v>
      </c>
      <c r="V54" s="117">
        <v>0</v>
      </c>
      <c r="W54" s="117">
        <v>55</v>
      </c>
      <c r="X54" s="117">
        <v>0</v>
      </c>
      <c r="Y54" s="117">
        <v>999</v>
      </c>
      <c r="Z54" s="119">
        <v>700</v>
      </c>
      <c r="AA54" s="119">
        <v>719</v>
      </c>
      <c r="AB54" s="1877">
        <v>0</v>
      </c>
      <c r="AC54" s="119">
        <v>999999</v>
      </c>
      <c r="AD54" s="117">
        <v>0</v>
      </c>
      <c r="AE54" s="117">
        <v>80</v>
      </c>
      <c r="AF54" s="144">
        <v>0</v>
      </c>
      <c r="AG54" s="145">
        <v>1</v>
      </c>
      <c r="AH54" s="145">
        <v>1</v>
      </c>
      <c r="AI54" s="145">
        <v>0</v>
      </c>
      <c r="AJ54" s="145">
        <v>0</v>
      </c>
      <c r="AK54" s="145">
        <v>1</v>
      </c>
      <c r="AL54" s="145">
        <v>1</v>
      </c>
      <c r="AM54" s="145">
        <v>1</v>
      </c>
      <c r="AN54" s="145">
        <v>1</v>
      </c>
      <c r="AO54" s="145">
        <v>1</v>
      </c>
      <c r="AP54" s="145">
        <v>1</v>
      </c>
      <c r="AQ54" s="145">
        <v>0</v>
      </c>
      <c r="AR54" s="145">
        <v>1</v>
      </c>
      <c r="AS54" s="145">
        <v>1</v>
      </c>
      <c r="AT54" s="145">
        <v>1</v>
      </c>
      <c r="AU54" s="145">
        <f t="shared" si="2"/>
        <v>1</v>
      </c>
      <c r="AV54" s="145">
        <f t="shared" si="3"/>
        <v>1</v>
      </c>
      <c r="AW54" s="145">
        <f t="shared" si="4"/>
        <v>1</v>
      </c>
      <c r="AX54" s="145">
        <f t="shared" si="5"/>
        <v>1</v>
      </c>
      <c r="AY54" s="145">
        <f t="shared" si="6"/>
        <v>0</v>
      </c>
      <c r="AZ54" s="145">
        <f t="shared" si="7"/>
        <v>1</v>
      </c>
      <c r="BA54" s="146">
        <f t="shared" si="8"/>
        <v>1</v>
      </c>
      <c r="BB54" s="149">
        <f t="shared" si="9"/>
        <v>17</v>
      </c>
      <c r="BC54" s="150">
        <f t="shared" si="10"/>
        <v>16</v>
      </c>
      <c r="BD54" s="150">
        <f t="shared" si="11"/>
        <v>17</v>
      </c>
      <c r="BE54" s="211" t="str">
        <f t="shared" si="12"/>
        <v/>
      </c>
      <c r="BH54" s="172">
        <f>IF(AND(Input_Product=Elig!$C54,Elig_MatchAll_Ct&lt;22,$BC54=(Elig_MatchAll_Ct-1),AF54=0),C54,0)</f>
        <v>0</v>
      </c>
      <c r="BI54" s="173">
        <f>IF(AND(Input_Product=Elig!$C54,Elig_MatchAll_Ct&lt;22,$BC54=(Elig_MatchAll_Ct-1),AG54=0),D54,0)</f>
        <v>0</v>
      </c>
      <c r="BJ54" s="173">
        <f>IF(AND(Input_Product=Elig!$C54,Elig_MatchAll_Ct&lt;22,$BC54=(Elig_MatchAll_Ct-1),AH54=0),E54,0)</f>
        <v>0</v>
      </c>
      <c r="BK54" s="173">
        <f>IF(AND(Input_Product=Elig!$C54,Elig_MatchAll_Ct&lt;22,$BC54=(Elig_MatchAll_Ct-1),AI54=0),F54,0)</f>
        <v>0</v>
      </c>
      <c r="BL54" s="173">
        <f>IF(AND(Input_Product=Elig!$C54,Elig_MatchAll_Ct&lt;22,$BC54=(Elig_MatchAll_Ct-1),AJ54=0),G54,0)</f>
        <v>0</v>
      </c>
      <c r="BM54" s="173">
        <f>IF(AND(Input_Product=Elig!$C54,Elig_MatchAll_Ct&lt;22,$BC54=(Elig_MatchAll_Ct-1),AK54=0),H54,0)</f>
        <v>0</v>
      </c>
      <c r="BN54" s="173">
        <f>IF(AND(Input_Product=Elig!$C54,Elig_MatchAll_Ct&lt;22,$BC54=(Elig_MatchAll_Ct-1),AL54=0),I54,0)</f>
        <v>0</v>
      </c>
      <c r="BO54" s="173">
        <f>IF(AND(Input_Product=Elig!$C54,Elig_MatchAll_Ct&lt;22,$BC54=(Elig_MatchAll_Ct-1),AM54=0),J54,0)</f>
        <v>0</v>
      </c>
      <c r="BP54" s="173">
        <f>IF(AND(Input_Product=Elig!$C54,Elig_MatchAll_Ct&lt;22,$BC54=(Elig_MatchAll_Ct-1),AN54=0),K54,0)</f>
        <v>0</v>
      </c>
      <c r="BQ54" s="173">
        <f>IF(AND(Input_Product=Elig!$C54,Elig_MatchAll_Ct&lt;22,$BC54=(Elig_MatchAll_Ct-1),AP54=0),L54,0)</f>
        <v>0</v>
      </c>
      <c r="BR54" s="173">
        <f>IF(AND(Input_Product=Elig!$C54,Elig_MatchAll_Ct&lt;22,$BC54=(Elig_MatchAll_Ct-1),AO54=0),M54,0)</f>
        <v>0</v>
      </c>
      <c r="BS54" s="173">
        <f>IF(AND(Input_Product=Elig!$C54,Elig_MatchAll_Ct&lt;22,$BC54=(Elig_MatchAll_Ct-1),AQ54=0),N54,0)</f>
        <v>0</v>
      </c>
      <c r="BT54" s="173">
        <f>IF(AND(Input_Product=Elig!$C54,Elig_MatchAll_Ct&lt;22,$BC54=(Elig_MatchAll_Ct-1),AR54=0),O54,0)</f>
        <v>0</v>
      </c>
      <c r="BU54" s="173">
        <f>IF(AND(Input_Product=Elig!$C54,Elig_MatchAll_Ct&lt;22,$BC54=(Elig_MatchAll_Ct-1),AS54=0),P54,0)</f>
        <v>0</v>
      </c>
      <c r="BV54" s="174">
        <f>IF(AND(Input_Product=Elig!$C54,Elig_MatchAll_Ct&lt;22,$BC54=(Elig_MatchAll_Ct-1),AT54=0),Q54,0)</f>
        <v>0</v>
      </c>
      <c r="BW54" s="175">
        <f>IF(AND(Input_Product=Elig!$C54,Elig_MatchAll_Ct&lt;22,$BC54=(Elig_MatchAll_Ct-1),AU54=0),R54,0)</f>
        <v>0</v>
      </c>
      <c r="BX54" s="176">
        <f>IF(AND(Input_Product=Elig!$C54,Elig_MatchAll_Ct&lt;22,$BC54=(Elig_MatchAll_Ct-1),AU54=0),S54,0)</f>
        <v>0</v>
      </c>
      <c r="BY54" s="175">
        <f>IF(AND(Input_Product=Elig!$C54,Elig_MatchAll_Ct&lt;22,$BC54=(Elig_MatchAll_Ct-1),AV54=0),T54,0)</f>
        <v>0</v>
      </c>
      <c r="BZ54" s="176">
        <f>IF(AND(Input_Product=Elig!$C54,Elig_MatchAll_Ct&lt;22,$BC54=(Elig_MatchAll_Ct-1),AV54=0),U54,0)</f>
        <v>0</v>
      </c>
      <c r="CA54" s="175">
        <f>IF(AND(Input_Product=Elig!$C54,Elig_MatchAll_Ct&lt;22,$BC54=(Elig_MatchAll_Ct-1),AW54=0),V54,0)</f>
        <v>0</v>
      </c>
      <c r="CB54" s="176">
        <f>IF(AND(Input_Product=Elig!$C54,Elig_MatchAll_Ct&lt;22,$BC54=(Elig_MatchAll_Ct-1),AW54=0),W54,0)</f>
        <v>0</v>
      </c>
      <c r="CC54" s="175">
        <f>IF(AND(Input_Product=Elig!$C54,Elig_MatchAll_Ct&lt;22,$BC54=(Elig_MatchAll_Ct-1),AX54=0),X54,0)</f>
        <v>0</v>
      </c>
      <c r="CD54" s="176">
        <f>IF(AND(Input_Product=Elig!$C54,Elig_MatchAll_Ct&lt;22,$BC54=(Elig_MatchAll_Ct-1),AX54=0),Y54,0)</f>
        <v>0</v>
      </c>
      <c r="CE54" s="175">
        <f>IF(AND(Input_LTV&lt;=AE54,Input_Product=Elig!$C54,Elig_MatchAll_Ct&lt;22,$BC54=(Elig_MatchAll_Ct-1),AY54=0),Z54,0)</f>
        <v>0</v>
      </c>
      <c r="CF54" s="176">
        <f>IF(AND(Input_LTV&lt;=AE54,Input_Product=Elig!$C54,Elig_MatchAll_Ct&lt;22,$BC54=(Elig_MatchAll_Ct-1),AY54=0),AA54,0)</f>
        <v>0</v>
      </c>
      <c r="CG54" s="175">
        <f>IF(AND(Input_Product=Elig!$C54,Elig_MatchAll_Ct&lt;22,$BC54=(Elig_MatchAll_Ct-1),AZ54=0),AB54,0)</f>
        <v>0</v>
      </c>
      <c r="CH54" s="176">
        <f>IF(AND(Input_Product=Elig!$C54,Elig_MatchAll_Ct&lt;22,$BC54=(Elig_MatchAll_Ct-1),AZ54=0),AC54,0)</f>
        <v>0</v>
      </c>
      <c r="CI54" s="175">
        <f>IF(AND(Input_Product=Elig!$C54,Elig_MatchAll_Ct&lt;22,$BC54=(Elig_MatchAll_Ct-1),BA54=0),AD54,0)</f>
        <v>0</v>
      </c>
      <c r="CJ54" s="177">
        <f>IF(AND(Input_Product=Elig!$C54,Elig_MatchAll_Ct&lt;22,$BC54=(Elig_MatchAll_Ct-1),BA54=0),AE54,0)</f>
        <v>0</v>
      </c>
    </row>
    <row r="55" spans="1:88" ht="10.15" customHeight="1" x14ac:dyDescent="0.25">
      <c r="A55" s="1419" t="s">
        <v>76</v>
      </c>
      <c r="B55" s="1419" t="s">
        <v>756</v>
      </c>
      <c r="C55" s="116" t="str">
        <f t="shared" si="1"/>
        <v>NonQM OO</v>
      </c>
      <c r="D55" s="117" t="s">
        <v>1995</v>
      </c>
      <c r="E55" s="117" t="s">
        <v>166</v>
      </c>
      <c r="F55" s="117" t="s">
        <v>330</v>
      </c>
      <c r="G55" s="117" t="s">
        <v>470</v>
      </c>
      <c r="H55" s="117" t="s">
        <v>135</v>
      </c>
      <c r="I55" s="118" t="s">
        <v>273</v>
      </c>
      <c r="J55" s="118" t="s">
        <v>1130</v>
      </c>
      <c r="K55" s="118" t="s">
        <v>1398</v>
      </c>
      <c r="L55" s="117" t="s">
        <v>2025</v>
      </c>
      <c r="M55" s="117" t="s">
        <v>2289</v>
      </c>
      <c r="N55" s="117" t="s">
        <v>82</v>
      </c>
      <c r="O55" s="117" t="s">
        <v>309</v>
      </c>
      <c r="P55" s="117" t="s">
        <v>2433</v>
      </c>
      <c r="Q55" s="117" t="s">
        <v>293</v>
      </c>
      <c r="R55" s="117">
        <v>100000</v>
      </c>
      <c r="S55" s="117">
        <v>1000000</v>
      </c>
      <c r="T55" s="117">
        <v>0</v>
      </c>
      <c r="U55" s="117">
        <v>0</v>
      </c>
      <c r="V55" s="117">
        <v>0</v>
      </c>
      <c r="W55" s="117">
        <v>55</v>
      </c>
      <c r="X55" s="117">
        <v>0</v>
      </c>
      <c r="Y55" s="117">
        <v>999</v>
      </c>
      <c r="Z55" s="119">
        <v>680</v>
      </c>
      <c r="AA55" s="119">
        <v>699</v>
      </c>
      <c r="AB55" s="1877">
        <v>0</v>
      </c>
      <c r="AC55" s="119">
        <v>999999</v>
      </c>
      <c r="AD55" s="117">
        <v>0</v>
      </c>
      <c r="AE55" s="117">
        <v>75</v>
      </c>
      <c r="AF55" s="144">
        <v>0</v>
      </c>
      <c r="AG55" s="145">
        <v>1</v>
      </c>
      <c r="AH55" s="145">
        <v>1</v>
      </c>
      <c r="AI55" s="145">
        <v>0</v>
      </c>
      <c r="AJ55" s="145">
        <v>0</v>
      </c>
      <c r="AK55" s="145">
        <v>1</v>
      </c>
      <c r="AL55" s="145">
        <v>1</v>
      </c>
      <c r="AM55" s="145">
        <v>1</v>
      </c>
      <c r="AN55" s="145">
        <v>1</v>
      </c>
      <c r="AO55" s="145">
        <v>1</v>
      </c>
      <c r="AP55" s="145">
        <v>1</v>
      </c>
      <c r="AQ55" s="145">
        <v>0</v>
      </c>
      <c r="AR55" s="145">
        <v>1</v>
      </c>
      <c r="AS55" s="145">
        <v>1</v>
      </c>
      <c r="AT55" s="145">
        <v>1</v>
      </c>
      <c r="AU55" s="145">
        <f t="shared" si="2"/>
        <v>1</v>
      </c>
      <c r="AV55" s="145">
        <f t="shared" si="3"/>
        <v>1</v>
      </c>
      <c r="AW55" s="145">
        <f t="shared" si="4"/>
        <v>1</v>
      </c>
      <c r="AX55" s="145">
        <f t="shared" si="5"/>
        <v>1</v>
      </c>
      <c r="AY55" s="145">
        <f t="shared" si="6"/>
        <v>0</v>
      </c>
      <c r="AZ55" s="145">
        <f t="shared" si="7"/>
        <v>1</v>
      </c>
      <c r="BA55" s="146">
        <f t="shared" si="8"/>
        <v>1</v>
      </c>
      <c r="BB55" s="149">
        <f t="shared" si="9"/>
        <v>17</v>
      </c>
      <c r="BC55" s="150">
        <f t="shared" si="10"/>
        <v>16</v>
      </c>
      <c r="BD55" s="150">
        <f t="shared" si="11"/>
        <v>17</v>
      </c>
      <c r="BE55" s="211" t="str">
        <f t="shared" si="12"/>
        <v/>
      </c>
      <c r="BH55" s="172">
        <f>IF(AND(Input_Product=Elig!$C55,Elig_MatchAll_Ct&lt;22,$BC55=(Elig_MatchAll_Ct-1),AF55=0),C55,0)</f>
        <v>0</v>
      </c>
      <c r="BI55" s="173">
        <f>IF(AND(Input_Product=Elig!$C55,Elig_MatchAll_Ct&lt;22,$BC55=(Elig_MatchAll_Ct-1),AG55=0),D55,0)</f>
        <v>0</v>
      </c>
      <c r="BJ55" s="173">
        <f>IF(AND(Input_Product=Elig!$C55,Elig_MatchAll_Ct&lt;22,$BC55=(Elig_MatchAll_Ct-1),AH55=0),E55,0)</f>
        <v>0</v>
      </c>
      <c r="BK55" s="173">
        <f>IF(AND(Input_Product=Elig!$C55,Elig_MatchAll_Ct&lt;22,$BC55=(Elig_MatchAll_Ct-1),AI55=0),F55,0)</f>
        <v>0</v>
      </c>
      <c r="BL55" s="173">
        <f>IF(AND(Input_Product=Elig!$C55,Elig_MatchAll_Ct&lt;22,$BC55=(Elig_MatchAll_Ct-1),AJ55=0),G55,0)</f>
        <v>0</v>
      </c>
      <c r="BM55" s="173">
        <f>IF(AND(Input_Product=Elig!$C55,Elig_MatchAll_Ct&lt;22,$BC55=(Elig_MatchAll_Ct-1),AK55=0),H55,0)</f>
        <v>0</v>
      </c>
      <c r="BN55" s="173">
        <f>IF(AND(Input_Product=Elig!$C55,Elig_MatchAll_Ct&lt;22,$BC55=(Elig_MatchAll_Ct-1),AL55=0),I55,0)</f>
        <v>0</v>
      </c>
      <c r="BO55" s="173">
        <f>IF(AND(Input_Product=Elig!$C55,Elig_MatchAll_Ct&lt;22,$BC55=(Elig_MatchAll_Ct-1),AM55=0),J55,0)</f>
        <v>0</v>
      </c>
      <c r="BP55" s="173">
        <f>IF(AND(Input_Product=Elig!$C55,Elig_MatchAll_Ct&lt;22,$BC55=(Elig_MatchAll_Ct-1),AN55=0),K55,0)</f>
        <v>0</v>
      </c>
      <c r="BQ55" s="173">
        <f>IF(AND(Input_Product=Elig!$C55,Elig_MatchAll_Ct&lt;22,$BC55=(Elig_MatchAll_Ct-1),AP55=0),L55,0)</f>
        <v>0</v>
      </c>
      <c r="BR55" s="173">
        <f>IF(AND(Input_Product=Elig!$C55,Elig_MatchAll_Ct&lt;22,$BC55=(Elig_MatchAll_Ct-1),AO55=0),M55,0)</f>
        <v>0</v>
      </c>
      <c r="BS55" s="173">
        <f>IF(AND(Input_Product=Elig!$C55,Elig_MatchAll_Ct&lt;22,$BC55=(Elig_MatchAll_Ct-1),AQ55=0),N55,0)</f>
        <v>0</v>
      </c>
      <c r="BT55" s="173">
        <f>IF(AND(Input_Product=Elig!$C55,Elig_MatchAll_Ct&lt;22,$BC55=(Elig_MatchAll_Ct-1),AR55=0),O55,0)</f>
        <v>0</v>
      </c>
      <c r="BU55" s="173">
        <f>IF(AND(Input_Product=Elig!$C55,Elig_MatchAll_Ct&lt;22,$BC55=(Elig_MatchAll_Ct-1),AS55=0),P55,0)</f>
        <v>0</v>
      </c>
      <c r="BV55" s="174">
        <f>IF(AND(Input_Product=Elig!$C55,Elig_MatchAll_Ct&lt;22,$BC55=(Elig_MatchAll_Ct-1),AT55=0),Q55,0)</f>
        <v>0</v>
      </c>
      <c r="BW55" s="175">
        <f>IF(AND(Input_Product=Elig!$C55,Elig_MatchAll_Ct&lt;22,$BC55=(Elig_MatchAll_Ct-1),AU55=0),R55,0)</f>
        <v>0</v>
      </c>
      <c r="BX55" s="176">
        <f>IF(AND(Input_Product=Elig!$C55,Elig_MatchAll_Ct&lt;22,$BC55=(Elig_MatchAll_Ct-1),AU55=0),S55,0)</f>
        <v>0</v>
      </c>
      <c r="BY55" s="175">
        <f>IF(AND(Input_Product=Elig!$C55,Elig_MatchAll_Ct&lt;22,$BC55=(Elig_MatchAll_Ct-1),AV55=0),T55,0)</f>
        <v>0</v>
      </c>
      <c r="BZ55" s="176">
        <f>IF(AND(Input_Product=Elig!$C55,Elig_MatchAll_Ct&lt;22,$BC55=(Elig_MatchAll_Ct-1),AV55=0),U55,0)</f>
        <v>0</v>
      </c>
      <c r="CA55" s="175">
        <f>IF(AND(Input_Product=Elig!$C55,Elig_MatchAll_Ct&lt;22,$BC55=(Elig_MatchAll_Ct-1),AW55=0),V55,0)</f>
        <v>0</v>
      </c>
      <c r="CB55" s="176">
        <f>IF(AND(Input_Product=Elig!$C55,Elig_MatchAll_Ct&lt;22,$BC55=(Elig_MatchAll_Ct-1),AW55=0),W55,0)</f>
        <v>0</v>
      </c>
      <c r="CC55" s="175">
        <f>IF(AND(Input_Product=Elig!$C55,Elig_MatchAll_Ct&lt;22,$BC55=(Elig_MatchAll_Ct-1),AX55=0),X55,0)</f>
        <v>0</v>
      </c>
      <c r="CD55" s="176">
        <f>IF(AND(Input_Product=Elig!$C55,Elig_MatchAll_Ct&lt;22,$BC55=(Elig_MatchAll_Ct-1),AX55=0),Y55,0)</f>
        <v>0</v>
      </c>
      <c r="CE55" s="175">
        <f>IF(AND(Input_LTV&lt;=AE55,Input_Product=Elig!$C55,Elig_MatchAll_Ct&lt;22,$BC55=(Elig_MatchAll_Ct-1),AY55=0),Z55,0)</f>
        <v>0</v>
      </c>
      <c r="CF55" s="176">
        <f>IF(AND(Input_LTV&lt;=AE55,Input_Product=Elig!$C55,Elig_MatchAll_Ct&lt;22,$BC55=(Elig_MatchAll_Ct-1),AY55=0),AA55,0)</f>
        <v>0</v>
      </c>
      <c r="CG55" s="175">
        <f>IF(AND(Input_Product=Elig!$C55,Elig_MatchAll_Ct&lt;22,$BC55=(Elig_MatchAll_Ct-1),AZ55=0),AB55,0)</f>
        <v>0</v>
      </c>
      <c r="CH55" s="176">
        <f>IF(AND(Input_Product=Elig!$C55,Elig_MatchAll_Ct&lt;22,$BC55=(Elig_MatchAll_Ct-1),AZ55=0),AC55,0)</f>
        <v>0</v>
      </c>
      <c r="CI55" s="175">
        <f>IF(AND(Input_Product=Elig!$C55,Elig_MatchAll_Ct&lt;22,$BC55=(Elig_MatchAll_Ct-1),BA55=0),AD55,0)</f>
        <v>0</v>
      </c>
      <c r="CJ55" s="177">
        <f>IF(AND(Input_Product=Elig!$C55,Elig_MatchAll_Ct&lt;22,$BC55=(Elig_MatchAll_Ct-1),BA55=0),AE55,0)</f>
        <v>0</v>
      </c>
    </row>
    <row r="56" spans="1:88" ht="10.15" customHeight="1" x14ac:dyDescent="0.25">
      <c r="A56" s="1419" t="s">
        <v>76</v>
      </c>
      <c r="B56" s="1419" t="s">
        <v>757</v>
      </c>
      <c r="C56" s="116" t="str">
        <f t="shared" si="1"/>
        <v>NonQM OO</v>
      </c>
      <c r="D56" s="117" t="s">
        <v>1995</v>
      </c>
      <c r="E56" s="117" t="s">
        <v>166</v>
      </c>
      <c r="F56" s="117" t="s">
        <v>330</v>
      </c>
      <c r="G56" s="117" t="s">
        <v>470</v>
      </c>
      <c r="H56" s="117" t="s">
        <v>135</v>
      </c>
      <c r="I56" s="117" t="s">
        <v>273</v>
      </c>
      <c r="J56" s="117" t="s">
        <v>1130</v>
      </c>
      <c r="K56" s="117" t="s">
        <v>1398</v>
      </c>
      <c r="L56" s="117" t="s">
        <v>2025</v>
      </c>
      <c r="M56" s="117" t="s">
        <v>2289</v>
      </c>
      <c r="N56" s="117" t="s">
        <v>82</v>
      </c>
      <c r="O56" s="117" t="s">
        <v>309</v>
      </c>
      <c r="P56" s="117" t="s">
        <v>2433</v>
      </c>
      <c r="Q56" s="117" t="s">
        <v>293</v>
      </c>
      <c r="R56" s="117">
        <v>100000</v>
      </c>
      <c r="S56" s="117">
        <v>1000000</v>
      </c>
      <c r="T56" s="117">
        <v>0</v>
      </c>
      <c r="U56" s="117">
        <v>0</v>
      </c>
      <c r="V56" s="117">
        <v>0</v>
      </c>
      <c r="W56" s="117">
        <v>55</v>
      </c>
      <c r="X56" s="117">
        <v>0</v>
      </c>
      <c r="Y56" s="117">
        <v>999</v>
      </c>
      <c r="Z56" s="119">
        <v>660</v>
      </c>
      <c r="AA56" s="119">
        <v>679</v>
      </c>
      <c r="AB56" s="1877">
        <v>0</v>
      </c>
      <c r="AC56" s="119">
        <v>999999</v>
      </c>
      <c r="AD56" s="117">
        <v>0</v>
      </c>
      <c r="AE56" s="117">
        <v>75</v>
      </c>
      <c r="AF56" s="144">
        <v>0</v>
      </c>
      <c r="AG56" s="145">
        <v>1</v>
      </c>
      <c r="AH56" s="145">
        <v>1</v>
      </c>
      <c r="AI56" s="145">
        <v>0</v>
      </c>
      <c r="AJ56" s="145">
        <v>0</v>
      </c>
      <c r="AK56" s="145">
        <v>1</v>
      </c>
      <c r="AL56" s="145">
        <v>1</v>
      </c>
      <c r="AM56" s="145">
        <v>1</v>
      </c>
      <c r="AN56" s="145">
        <v>1</v>
      </c>
      <c r="AO56" s="145">
        <v>1</v>
      </c>
      <c r="AP56" s="145">
        <v>1</v>
      </c>
      <c r="AQ56" s="145">
        <v>0</v>
      </c>
      <c r="AR56" s="145">
        <v>1</v>
      </c>
      <c r="AS56" s="145">
        <v>1</v>
      </c>
      <c r="AT56" s="145">
        <v>1</v>
      </c>
      <c r="AU56" s="145">
        <f t="shared" si="2"/>
        <v>1</v>
      </c>
      <c r="AV56" s="145">
        <f t="shared" si="3"/>
        <v>1</v>
      </c>
      <c r="AW56" s="145">
        <f t="shared" si="4"/>
        <v>1</v>
      </c>
      <c r="AX56" s="145">
        <f t="shared" si="5"/>
        <v>1</v>
      </c>
      <c r="AY56" s="145">
        <f t="shared" si="6"/>
        <v>0</v>
      </c>
      <c r="AZ56" s="145">
        <f t="shared" si="7"/>
        <v>1</v>
      </c>
      <c r="BA56" s="146">
        <f t="shared" si="8"/>
        <v>1</v>
      </c>
      <c r="BB56" s="149">
        <f t="shared" si="9"/>
        <v>17</v>
      </c>
      <c r="BC56" s="150">
        <f t="shared" si="10"/>
        <v>16</v>
      </c>
      <c r="BD56" s="150">
        <f t="shared" si="11"/>
        <v>17</v>
      </c>
      <c r="BE56" s="211" t="str">
        <f t="shared" si="12"/>
        <v/>
      </c>
      <c r="BH56" s="172">
        <f>IF(AND(Input_Product=Elig!$C56,Elig_MatchAll_Ct&lt;22,$BC56=(Elig_MatchAll_Ct-1),AF56=0),C56,0)</f>
        <v>0</v>
      </c>
      <c r="BI56" s="173">
        <f>IF(AND(Input_Product=Elig!$C56,Elig_MatchAll_Ct&lt;22,$BC56=(Elig_MatchAll_Ct-1),AG56=0),D56,0)</f>
        <v>0</v>
      </c>
      <c r="BJ56" s="173">
        <f>IF(AND(Input_Product=Elig!$C56,Elig_MatchAll_Ct&lt;22,$BC56=(Elig_MatchAll_Ct-1),AH56=0),E56,0)</f>
        <v>0</v>
      </c>
      <c r="BK56" s="173">
        <f>IF(AND(Input_Product=Elig!$C56,Elig_MatchAll_Ct&lt;22,$BC56=(Elig_MatchAll_Ct-1),AI56=0),F56,0)</f>
        <v>0</v>
      </c>
      <c r="BL56" s="173">
        <f>IF(AND(Input_Product=Elig!$C56,Elig_MatchAll_Ct&lt;22,$BC56=(Elig_MatchAll_Ct-1),AJ56=0),G56,0)</f>
        <v>0</v>
      </c>
      <c r="BM56" s="173">
        <f>IF(AND(Input_Product=Elig!$C56,Elig_MatchAll_Ct&lt;22,$BC56=(Elig_MatchAll_Ct-1),AK56=0),H56,0)</f>
        <v>0</v>
      </c>
      <c r="BN56" s="173">
        <f>IF(AND(Input_Product=Elig!$C56,Elig_MatchAll_Ct&lt;22,$BC56=(Elig_MatchAll_Ct-1),AL56=0),I56,0)</f>
        <v>0</v>
      </c>
      <c r="BO56" s="173">
        <f>IF(AND(Input_Product=Elig!$C56,Elig_MatchAll_Ct&lt;22,$BC56=(Elig_MatchAll_Ct-1),AM56=0),J56,0)</f>
        <v>0</v>
      </c>
      <c r="BP56" s="173">
        <f>IF(AND(Input_Product=Elig!$C56,Elig_MatchAll_Ct&lt;22,$BC56=(Elig_MatchAll_Ct-1),AN56=0),K56,0)</f>
        <v>0</v>
      </c>
      <c r="BQ56" s="173">
        <f>IF(AND(Input_Product=Elig!$C56,Elig_MatchAll_Ct&lt;22,$BC56=(Elig_MatchAll_Ct-1),AP56=0),L56,0)</f>
        <v>0</v>
      </c>
      <c r="BR56" s="173">
        <f>IF(AND(Input_Product=Elig!$C56,Elig_MatchAll_Ct&lt;22,$BC56=(Elig_MatchAll_Ct-1),AO56=0),M56,0)</f>
        <v>0</v>
      </c>
      <c r="BS56" s="173">
        <f>IF(AND(Input_Product=Elig!$C56,Elig_MatchAll_Ct&lt;22,$BC56=(Elig_MatchAll_Ct-1),AQ56=0),N56,0)</f>
        <v>0</v>
      </c>
      <c r="BT56" s="173">
        <f>IF(AND(Input_Product=Elig!$C56,Elig_MatchAll_Ct&lt;22,$BC56=(Elig_MatchAll_Ct-1),AR56=0),O56,0)</f>
        <v>0</v>
      </c>
      <c r="BU56" s="173">
        <f>IF(AND(Input_Product=Elig!$C56,Elig_MatchAll_Ct&lt;22,$BC56=(Elig_MatchAll_Ct-1),AS56=0),P56,0)</f>
        <v>0</v>
      </c>
      <c r="BV56" s="174">
        <f>IF(AND(Input_Product=Elig!$C56,Elig_MatchAll_Ct&lt;22,$BC56=(Elig_MatchAll_Ct-1),AT56=0),Q56,0)</f>
        <v>0</v>
      </c>
      <c r="BW56" s="175">
        <f>IF(AND(Input_Product=Elig!$C56,Elig_MatchAll_Ct&lt;22,$BC56=(Elig_MatchAll_Ct-1),AU56=0),R56,0)</f>
        <v>0</v>
      </c>
      <c r="BX56" s="176">
        <f>IF(AND(Input_Product=Elig!$C56,Elig_MatchAll_Ct&lt;22,$BC56=(Elig_MatchAll_Ct-1),AU56=0),S56,0)</f>
        <v>0</v>
      </c>
      <c r="BY56" s="175">
        <f>IF(AND(Input_Product=Elig!$C56,Elig_MatchAll_Ct&lt;22,$BC56=(Elig_MatchAll_Ct-1),AV56=0),T56,0)</f>
        <v>0</v>
      </c>
      <c r="BZ56" s="176">
        <f>IF(AND(Input_Product=Elig!$C56,Elig_MatchAll_Ct&lt;22,$BC56=(Elig_MatchAll_Ct-1),AV56=0),U56,0)</f>
        <v>0</v>
      </c>
      <c r="CA56" s="175">
        <f>IF(AND(Input_Product=Elig!$C56,Elig_MatchAll_Ct&lt;22,$BC56=(Elig_MatchAll_Ct-1),AW56=0),V56,0)</f>
        <v>0</v>
      </c>
      <c r="CB56" s="176">
        <f>IF(AND(Input_Product=Elig!$C56,Elig_MatchAll_Ct&lt;22,$BC56=(Elig_MatchAll_Ct-1),AW56=0),W56,0)</f>
        <v>0</v>
      </c>
      <c r="CC56" s="175">
        <f>IF(AND(Input_Product=Elig!$C56,Elig_MatchAll_Ct&lt;22,$BC56=(Elig_MatchAll_Ct-1),AX56=0),X56,0)</f>
        <v>0</v>
      </c>
      <c r="CD56" s="176">
        <f>IF(AND(Input_Product=Elig!$C56,Elig_MatchAll_Ct&lt;22,$BC56=(Elig_MatchAll_Ct-1),AX56=0),Y56,0)</f>
        <v>0</v>
      </c>
      <c r="CE56" s="175">
        <f>IF(AND(Input_LTV&lt;=AE56,Input_Product=Elig!$C56,Elig_MatchAll_Ct&lt;22,$BC56=(Elig_MatchAll_Ct-1),AY56=0),Z56,0)</f>
        <v>0</v>
      </c>
      <c r="CF56" s="176">
        <f>IF(AND(Input_LTV&lt;=AE56,Input_Product=Elig!$C56,Elig_MatchAll_Ct&lt;22,$BC56=(Elig_MatchAll_Ct-1),AY56=0),AA56,0)</f>
        <v>0</v>
      </c>
      <c r="CG56" s="175">
        <f>IF(AND(Input_Product=Elig!$C56,Elig_MatchAll_Ct&lt;22,$BC56=(Elig_MatchAll_Ct-1),AZ56=0),AB56,0)</f>
        <v>0</v>
      </c>
      <c r="CH56" s="176">
        <f>IF(AND(Input_Product=Elig!$C56,Elig_MatchAll_Ct&lt;22,$BC56=(Elig_MatchAll_Ct-1),AZ56=0),AC56,0)</f>
        <v>0</v>
      </c>
      <c r="CI56" s="175">
        <f>IF(AND(Input_Product=Elig!$C56,Elig_MatchAll_Ct&lt;22,$BC56=(Elig_MatchAll_Ct-1),BA56=0),AD56,0)</f>
        <v>0</v>
      </c>
      <c r="CJ56" s="177">
        <f>IF(AND(Input_Product=Elig!$C56,Elig_MatchAll_Ct&lt;22,$BC56=(Elig_MatchAll_Ct-1),BA56=0),AE56,0)</f>
        <v>0</v>
      </c>
    </row>
    <row r="57" spans="1:88" ht="10.15" customHeight="1" x14ac:dyDescent="0.25">
      <c r="A57" s="1419" t="s">
        <v>76</v>
      </c>
      <c r="B57" s="1419" t="s">
        <v>758</v>
      </c>
      <c r="C57" s="123" t="str">
        <f t="shared" si="1"/>
        <v>NonQM OO</v>
      </c>
      <c r="D57" s="124" t="s">
        <v>1995</v>
      </c>
      <c r="E57" s="125" t="s">
        <v>166</v>
      </c>
      <c r="F57" s="125" t="s">
        <v>330</v>
      </c>
      <c r="G57" s="125" t="s">
        <v>470</v>
      </c>
      <c r="H57" s="125" t="s">
        <v>135</v>
      </c>
      <c r="I57" s="124" t="s">
        <v>16</v>
      </c>
      <c r="J57" s="124" t="s">
        <v>1130</v>
      </c>
      <c r="K57" s="124" t="s">
        <v>1398</v>
      </c>
      <c r="L57" s="125" t="s">
        <v>2025</v>
      </c>
      <c r="M57" s="125" t="s">
        <v>2289</v>
      </c>
      <c r="N57" s="125" t="s">
        <v>82</v>
      </c>
      <c r="O57" s="125" t="s">
        <v>309</v>
      </c>
      <c r="P57" s="125" t="s">
        <v>2433</v>
      </c>
      <c r="Q57" s="125" t="s">
        <v>293</v>
      </c>
      <c r="R57" s="124">
        <v>100000</v>
      </c>
      <c r="S57" s="124">
        <v>1000000</v>
      </c>
      <c r="T57" s="124">
        <v>0</v>
      </c>
      <c r="U57" s="124">
        <f t="shared" ref="U57:U60" si="18">S57</f>
        <v>1000000</v>
      </c>
      <c r="V57" s="124">
        <v>0</v>
      </c>
      <c r="W57" s="124">
        <v>55</v>
      </c>
      <c r="X57" s="124">
        <v>0</v>
      </c>
      <c r="Y57" s="124">
        <v>999</v>
      </c>
      <c r="Z57" s="126">
        <v>720</v>
      </c>
      <c r="AA57" s="126">
        <v>999</v>
      </c>
      <c r="AB57" s="1879">
        <v>0</v>
      </c>
      <c r="AC57" s="126">
        <v>999999</v>
      </c>
      <c r="AD57" s="124">
        <v>0</v>
      </c>
      <c r="AE57" s="124">
        <v>75</v>
      </c>
      <c r="AF57" s="144">
        <v>0</v>
      </c>
      <c r="AG57" s="145">
        <v>1</v>
      </c>
      <c r="AH57" s="145">
        <v>1</v>
      </c>
      <c r="AI57" s="145">
        <v>0</v>
      </c>
      <c r="AJ57" s="145">
        <v>0</v>
      </c>
      <c r="AK57" s="145">
        <v>1</v>
      </c>
      <c r="AL57" s="145">
        <v>0</v>
      </c>
      <c r="AM57" s="145">
        <v>1</v>
      </c>
      <c r="AN57" s="145">
        <v>1</v>
      </c>
      <c r="AO57" s="145">
        <v>1</v>
      </c>
      <c r="AP57" s="145">
        <v>1</v>
      </c>
      <c r="AQ57" s="145">
        <v>0</v>
      </c>
      <c r="AR57" s="145">
        <v>1</v>
      </c>
      <c r="AS57" s="145">
        <v>1</v>
      </c>
      <c r="AT57" s="145">
        <v>1</v>
      </c>
      <c r="AU57" s="145">
        <f t="shared" si="2"/>
        <v>1</v>
      </c>
      <c r="AV57" s="145">
        <f t="shared" si="3"/>
        <v>1</v>
      </c>
      <c r="AW57" s="145">
        <f t="shared" si="4"/>
        <v>1</v>
      </c>
      <c r="AX57" s="145">
        <f t="shared" si="5"/>
        <v>1</v>
      </c>
      <c r="AY57" s="145">
        <f t="shared" si="6"/>
        <v>1</v>
      </c>
      <c r="AZ57" s="145">
        <f t="shared" si="7"/>
        <v>1</v>
      </c>
      <c r="BA57" s="146">
        <f t="shared" si="8"/>
        <v>1</v>
      </c>
      <c r="BB57" s="149">
        <f t="shared" si="9"/>
        <v>17</v>
      </c>
      <c r="BC57" s="150">
        <f t="shared" si="10"/>
        <v>16</v>
      </c>
      <c r="BD57" s="150">
        <f t="shared" si="11"/>
        <v>17</v>
      </c>
      <c r="BE57" s="211" t="str">
        <f t="shared" si="12"/>
        <v/>
      </c>
      <c r="BH57" s="166">
        <f>IF(AND(Input_Product=Elig!$C57,Elig_MatchAll_Ct&lt;22,$BC57=(Elig_MatchAll_Ct-1),AF57=0),C57,0)</f>
        <v>0</v>
      </c>
      <c r="BI57" s="167">
        <f>IF(AND(Input_Product=Elig!$C57,Elig_MatchAll_Ct&lt;22,$BC57=(Elig_MatchAll_Ct-1),AG57=0),D57,0)</f>
        <v>0</v>
      </c>
      <c r="BJ57" s="167">
        <f>IF(AND(Input_Product=Elig!$C57,Elig_MatchAll_Ct&lt;22,$BC57=(Elig_MatchAll_Ct-1),AH57=0),E57,0)</f>
        <v>0</v>
      </c>
      <c r="BK57" s="167">
        <f>IF(AND(Input_Product=Elig!$C57,Elig_MatchAll_Ct&lt;22,$BC57=(Elig_MatchAll_Ct-1),AI57=0),F57,0)</f>
        <v>0</v>
      </c>
      <c r="BL57" s="167">
        <f>IF(AND(Input_Product=Elig!$C57,Elig_MatchAll_Ct&lt;22,$BC57=(Elig_MatchAll_Ct-1),AJ57=0),G57,0)</f>
        <v>0</v>
      </c>
      <c r="BM57" s="167">
        <f>IF(AND(Input_Product=Elig!$C57,Elig_MatchAll_Ct&lt;22,$BC57=(Elig_MatchAll_Ct-1),AK57=0),H57,0)</f>
        <v>0</v>
      </c>
      <c r="BN57" s="167">
        <f>IF(AND(Input_Product=Elig!$C57,Elig_MatchAll_Ct&lt;22,$BC57=(Elig_MatchAll_Ct-1),AL57=0),I57,0)</f>
        <v>0</v>
      </c>
      <c r="BO57" s="167">
        <f>IF(AND(Input_Product=Elig!$C57,Elig_MatchAll_Ct&lt;22,$BC57=(Elig_MatchAll_Ct-1),AM57=0),J57,0)</f>
        <v>0</v>
      </c>
      <c r="BP57" s="167">
        <f>IF(AND(Input_Product=Elig!$C57,Elig_MatchAll_Ct&lt;22,$BC57=(Elig_MatchAll_Ct-1),AN57=0),K57,0)</f>
        <v>0</v>
      </c>
      <c r="BQ57" s="167">
        <f>IF(AND(Input_Product=Elig!$C57,Elig_MatchAll_Ct&lt;22,$BC57=(Elig_MatchAll_Ct-1),AP57=0),L57,0)</f>
        <v>0</v>
      </c>
      <c r="BR57" s="167">
        <f>IF(AND(Input_Product=Elig!$C57,Elig_MatchAll_Ct&lt;22,$BC57=(Elig_MatchAll_Ct-1),AO57=0),M57,0)</f>
        <v>0</v>
      </c>
      <c r="BS57" s="167">
        <f>IF(AND(Input_Product=Elig!$C57,Elig_MatchAll_Ct&lt;22,$BC57=(Elig_MatchAll_Ct-1),AQ57=0),N57,0)</f>
        <v>0</v>
      </c>
      <c r="BT57" s="167">
        <f>IF(AND(Input_Product=Elig!$C57,Elig_MatchAll_Ct&lt;22,$BC57=(Elig_MatchAll_Ct-1),AR57=0),O57,0)</f>
        <v>0</v>
      </c>
      <c r="BU57" s="167">
        <f>IF(AND(Input_Product=Elig!$C57,Elig_MatchAll_Ct&lt;22,$BC57=(Elig_MatchAll_Ct-1),AS57=0),P57,0)</f>
        <v>0</v>
      </c>
      <c r="BV57" s="168">
        <f>IF(AND(Input_Product=Elig!$C57,Elig_MatchAll_Ct&lt;22,$BC57=(Elig_MatchAll_Ct-1),AT57=0),Q57,0)</f>
        <v>0</v>
      </c>
      <c r="BW57" s="169">
        <f>IF(AND(Input_Product=Elig!$C57,Elig_MatchAll_Ct&lt;22,$BC57=(Elig_MatchAll_Ct-1),AU57=0),R57,0)</f>
        <v>0</v>
      </c>
      <c r="BX57" s="170">
        <f>IF(AND(Input_Product=Elig!$C57,Elig_MatchAll_Ct&lt;22,$BC57=(Elig_MatchAll_Ct-1),AU57=0),S57,0)</f>
        <v>0</v>
      </c>
      <c r="BY57" s="169">
        <f>IF(AND(Input_Product=Elig!$C57,Elig_MatchAll_Ct&lt;22,$BC57=(Elig_MatchAll_Ct-1),AV57=0),T57,0)</f>
        <v>0</v>
      </c>
      <c r="BZ57" s="170">
        <f>IF(AND(Input_Product=Elig!$C57,Elig_MatchAll_Ct&lt;22,$BC57=(Elig_MatchAll_Ct-1),AV57=0),U57,0)</f>
        <v>0</v>
      </c>
      <c r="CA57" s="169">
        <f>IF(AND(Input_Product=Elig!$C57,Elig_MatchAll_Ct&lt;22,$BC57=(Elig_MatchAll_Ct-1),AW57=0),V57,0)</f>
        <v>0</v>
      </c>
      <c r="CB57" s="170">
        <f>IF(AND(Input_Product=Elig!$C57,Elig_MatchAll_Ct&lt;22,$BC57=(Elig_MatchAll_Ct-1),AW57=0),W57,0)</f>
        <v>0</v>
      </c>
      <c r="CC57" s="169">
        <f>IF(AND(Input_Product=Elig!$C57,Elig_MatchAll_Ct&lt;22,$BC57=(Elig_MatchAll_Ct-1),AX57=0),X57,0)</f>
        <v>0</v>
      </c>
      <c r="CD57" s="170">
        <f>IF(AND(Input_Product=Elig!$C57,Elig_MatchAll_Ct&lt;22,$BC57=(Elig_MatchAll_Ct-1),AX57=0),Y57,0)</f>
        <v>0</v>
      </c>
      <c r="CE57" s="169">
        <f>IF(AND(Input_LTV&lt;=AE57,Input_Product=Elig!$C57,Elig_MatchAll_Ct&lt;22,$BC57=(Elig_MatchAll_Ct-1),AY57=0),Z57,0)</f>
        <v>0</v>
      </c>
      <c r="CF57" s="170">
        <f>IF(AND(Input_LTV&lt;=AE57,Input_Product=Elig!$C57,Elig_MatchAll_Ct&lt;22,$BC57=(Elig_MatchAll_Ct-1),AY57=0),AA57,0)</f>
        <v>0</v>
      </c>
      <c r="CG57" s="169">
        <f>IF(AND(Input_Product=Elig!$C57,Elig_MatchAll_Ct&lt;22,$BC57=(Elig_MatchAll_Ct-1),AZ57=0),AB57,0)</f>
        <v>0</v>
      </c>
      <c r="CH57" s="170">
        <f>IF(AND(Input_Product=Elig!$C57,Elig_MatchAll_Ct&lt;22,$BC57=(Elig_MatchAll_Ct-1),AZ57=0),AC57,0)</f>
        <v>0</v>
      </c>
      <c r="CI57" s="169">
        <f>IF(AND(Input_Product=Elig!$C57,Elig_MatchAll_Ct&lt;22,$BC57=(Elig_MatchAll_Ct-1),BA57=0),AD57,0)</f>
        <v>0</v>
      </c>
      <c r="CJ57" s="171">
        <f>IF(AND(Input_Product=Elig!$C57,Elig_MatchAll_Ct&lt;22,$BC57=(Elig_MatchAll_Ct-1),BA57=0),AE57,0)</f>
        <v>0</v>
      </c>
    </row>
    <row r="58" spans="1:88" ht="10.15" customHeight="1" x14ac:dyDescent="0.25">
      <c r="A58" s="1419" t="s">
        <v>76</v>
      </c>
      <c r="B58" s="1419" t="s">
        <v>759</v>
      </c>
      <c r="C58" s="116" t="str">
        <f t="shared" si="1"/>
        <v>NonQM OO</v>
      </c>
      <c r="D58" s="117" t="s">
        <v>1995</v>
      </c>
      <c r="E58" s="117" t="s">
        <v>166</v>
      </c>
      <c r="F58" s="117" t="s">
        <v>330</v>
      </c>
      <c r="G58" s="117" t="s">
        <v>470</v>
      </c>
      <c r="H58" s="117" t="s">
        <v>135</v>
      </c>
      <c r="I58" s="118" t="s">
        <v>16</v>
      </c>
      <c r="J58" s="118" t="s">
        <v>1130</v>
      </c>
      <c r="K58" s="118" t="s">
        <v>1398</v>
      </c>
      <c r="L58" s="117" t="s">
        <v>2025</v>
      </c>
      <c r="M58" s="117" t="s">
        <v>2289</v>
      </c>
      <c r="N58" s="117" t="s">
        <v>82</v>
      </c>
      <c r="O58" s="117" t="s">
        <v>309</v>
      </c>
      <c r="P58" s="117" t="s">
        <v>2433</v>
      </c>
      <c r="Q58" s="117" t="s">
        <v>293</v>
      </c>
      <c r="R58" s="117">
        <v>100000</v>
      </c>
      <c r="S58" s="117">
        <v>1000000</v>
      </c>
      <c r="T58" s="117">
        <v>0</v>
      </c>
      <c r="U58" s="117">
        <f t="shared" si="18"/>
        <v>1000000</v>
      </c>
      <c r="V58" s="117">
        <v>0</v>
      </c>
      <c r="W58" s="117">
        <v>55</v>
      </c>
      <c r="X58" s="117">
        <v>0</v>
      </c>
      <c r="Y58" s="117">
        <v>999</v>
      </c>
      <c r="Z58" s="119">
        <v>700</v>
      </c>
      <c r="AA58" s="119">
        <v>719</v>
      </c>
      <c r="AB58" s="1877">
        <v>0</v>
      </c>
      <c r="AC58" s="119">
        <v>999999</v>
      </c>
      <c r="AD58" s="117">
        <v>0</v>
      </c>
      <c r="AE58" s="117">
        <v>75</v>
      </c>
      <c r="AF58" s="144">
        <v>0</v>
      </c>
      <c r="AG58" s="145">
        <v>1</v>
      </c>
      <c r="AH58" s="145">
        <v>1</v>
      </c>
      <c r="AI58" s="145">
        <v>0</v>
      </c>
      <c r="AJ58" s="145">
        <v>0</v>
      </c>
      <c r="AK58" s="145">
        <v>1</v>
      </c>
      <c r="AL58" s="145">
        <v>0</v>
      </c>
      <c r="AM58" s="145">
        <v>1</v>
      </c>
      <c r="AN58" s="145">
        <v>1</v>
      </c>
      <c r="AO58" s="145">
        <v>1</v>
      </c>
      <c r="AP58" s="145">
        <v>1</v>
      </c>
      <c r="AQ58" s="145">
        <v>0</v>
      </c>
      <c r="AR58" s="145">
        <v>1</v>
      </c>
      <c r="AS58" s="145">
        <v>1</v>
      </c>
      <c r="AT58" s="145">
        <v>1</v>
      </c>
      <c r="AU58" s="145">
        <f t="shared" si="2"/>
        <v>1</v>
      </c>
      <c r="AV58" s="145">
        <f t="shared" si="3"/>
        <v>1</v>
      </c>
      <c r="AW58" s="145">
        <f t="shared" si="4"/>
        <v>1</v>
      </c>
      <c r="AX58" s="145">
        <f t="shared" si="5"/>
        <v>1</v>
      </c>
      <c r="AY58" s="145">
        <f t="shared" si="6"/>
        <v>0</v>
      </c>
      <c r="AZ58" s="145">
        <f t="shared" si="7"/>
        <v>1</v>
      </c>
      <c r="BA58" s="146">
        <f t="shared" si="8"/>
        <v>1</v>
      </c>
      <c r="BB58" s="149">
        <f t="shared" si="9"/>
        <v>16</v>
      </c>
      <c r="BC58" s="150">
        <f t="shared" si="10"/>
        <v>15</v>
      </c>
      <c r="BD58" s="150">
        <f t="shared" si="11"/>
        <v>16</v>
      </c>
      <c r="BE58" s="211" t="str">
        <f t="shared" si="12"/>
        <v/>
      </c>
      <c r="BH58" s="172">
        <f>IF(AND(Input_Product=Elig!$C58,Elig_MatchAll_Ct&lt;22,$BC58=(Elig_MatchAll_Ct-1),AF58=0),C58,0)</f>
        <v>0</v>
      </c>
      <c r="BI58" s="173">
        <f>IF(AND(Input_Product=Elig!$C58,Elig_MatchAll_Ct&lt;22,$BC58=(Elig_MatchAll_Ct-1),AG58=0),D58,0)</f>
        <v>0</v>
      </c>
      <c r="BJ58" s="173">
        <f>IF(AND(Input_Product=Elig!$C58,Elig_MatchAll_Ct&lt;22,$BC58=(Elig_MatchAll_Ct-1),AH58=0),E58,0)</f>
        <v>0</v>
      </c>
      <c r="BK58" s="173">
        <f>IF(AND(Input_Product=Elig!$C58,Elig_MatchAll_Ct&lt;22,$BC58=(Elig_MatchAll_Ct-1),AI58=0),F58,0)</f>
        <v>0</v>
      </c>
      <c r="BL58" s="173">
        <f>IF(AND(Input_Product=Elig!$C58,Elig_MatchAll_Ct&lt;22,$BC58=(Elig_MatchAll_Ct-1),AJ58=0),G58,0)</f>
        <v>0</v>
      </c>
      <c r="BM58" s="173">
        <f>IF(AND(Input_Product=Elig!$C58,Elig_MatchAll_Ct&lt;22,$BC58=(Elig_MatchAll_Ct-1),AK58=0),H58,0)</f>
        <v>0</v>
      </c>
      <c r="BN58" s="173">
        <f>IF(AND(Input_Product=Elig!$C58,Elig_MatchAll_Ct&lt;22,$BC58=(Elig_MatchAll_Ct-1),AL58=0),I58,0)</f>
        <v>0</v>
      </c>
      <c r="BO58" s="173">
        <f>IF(AND(Input_Product=Elig!$C58,Elig_MatchAll_Ct&lt;22,$BC58=(Elig_MatchAll_Ct-1),AM58=0),J58,0)</f>
        <v>0</v>
      </c>
      <c r="BP58" s="173">
        <f>IF(AND(Input_Product=Elig!$C58,Elig_MatchAll_Ct&lt;22,$BC58=(Elig_MatchAll_Ct-1),AN58=0),K58,0)</f>
        <v>0</v>
      </c>
      <c r="BQ58" s="173">
        <f>IF(AND(Input_Product=Elig!$C58,Elig_MatchAll_Ct&lt;22,$BC58=(Elig_MatchAll_Ct-1),AP58=0),L58,0)</f>
        <v>0</v>
      </c>
      <c r="BR58" s="173">
        <f>IF(AND(Input_Product=Elig!$C58,Elig_MatchAll_Ct&lt;22,$BC58=(Elig_MatchAll_Ct-1),AO58=0),M58,0)</f>
        <v>0</v>
      </c>
      <c r="BS58" s="173">
        <f>IF(AND(Input_Product=Elig!$C58,Elig_MatchAll_Ct&lt;22,$BC58=(Elig_MatchAll_Ct-1),AQ58=0),N58,0)</f>
        <v>0</v>
      </c>
      <c r="BT58" s="173">
        <f>IF(AND(Input_Product=Elig!$C58,Elig_MatchAll_Ct&lt;22,$BC58=(Elig_MatchAll_Ct-1),AR58=0),O58,0)</f>
        <v>0</v>
      </c>
      <c r="BU58" s="173">
        <f>IF(AND(Input_Product=Elig!$C58,Elig_MatchAll_Ct&lt;22,$BC58=(Elig_MatchAll_Ct-1),AS58=0),P58,0)</f>
        <v>0</v>
      </c>
      <c r="BV58" s="174">
        <f>IF(AND(Input_Product=Elig!$C58,Elig_MatchAll_Ct&lt;22,$BC58=(Elig_MatchAll_Ct-1),AT58=0),Q58,0)</f>
        <v>0</v>
      </c>
      <c r="BW58" s="175">
        <f>IF(AND(Input_Product=Elig!$C58,Elig_MatchAll_Ct&lt;22,$BC58=(Elig_MatchAll_Ct-1),AU58=0),R58,0)</f>
        <v>0</v>
      </c>
      <c r="BX58" s="176">
        <f>IF(AND(Input_Product=Elig!$C58,Elig_MatchAll_Ct&lt;22,$BC58=(Elig_MatchAll_Ct-1),AU58=0),S58,0)</f>
        <v>0</v>
      </c>
      <c r="BY58" s="175">
        <f>IF(AND(Input_Product=Elig!$C58,Elig_MatchAll_Ct&lt;22,$BC58=(Elig_MatchAll_Ct-1),AV58=0),T58,0)</f>
        <v>0</v>
      </c>
      <c r="BZ58" s="176">
        <f>IF(AND(Input_Product=Elig!$C58,Elig_MatchAll_Ct&lt;22,$BC58=(Elig_MatchAll_Ct-1),AV58=0),U58,0)</f>
        <v>0</v>
      </c>
      <c r="CA58" s="175">
        <f>IF(AND(Input_Product=Elig!$C58,Elig_MatchAll_Ct&lt;22,$BC58=(Elig_MatchAll_Ct-1),AW58=0),V58,0)</f>
        <v>0</v>
      </c>
      <c r="CB58" s="176">
        <f>IF(AND(Input_Product=Elig!$C58,Elig_MatchAll_Ct&lt;22,$BC58=(Elig_MatchAll_Ct-1),AW58=0),W58,0)</f>
        <v>0</v>
      </c>
      <c r="CC58" s="175">
        <f>IF(AND(Input_Product=Elig!$C58,Elig_MatchAll_Ct&lt;22,$BC58=(Elig_MatchAll_Ct-1),AX58=0),X58,0)</f>
        <v>0</v>
      </c>
      <c r="CD58" s="176">
        <f>IF(AND(Input_Product=Elig!$C58,Elig_MatchAll_Ct&lt;22,$BC58=(Elig_MatchAll_Ct-1),AX58=0),Y58,0)</f>
        <v>0</v>
      </c>
      <c r="CE58" s="175">
        <f>IF(AND(Input_LTV&lt;=AE58,Input_Product=Elig!$C58,Elig_MatchAll_Ct&lt;22,$BC58=(Elig_MatchAll_Ct-1),AY58=0),Z58,0)</f>
        <v>0</v>
      </c>
      <c r="CF58" s="176">
        <f>IF(AND(Input_LTV&lt;=AE58,Input_Product=Elig!$C58,Elig_MatchAll_Ct&lt;22,$BC58=(Elig_MatchAll_Ct-1),AY58=0),AA58,0)</f>
        <v>0</v>
      </c>
      <c r="CG58" s="175">
        <f>IF(AND(Input_Product=Elig!$C58,Elig_MatchAll_Ct&lt;22,$BC58=(Elig_MatchAll_Ct-1),AZ58=0),AB58,0)</f>
        <v>0</v>
      </c>
      <c r="CH58" s="176">
        <f>IF(AND(Input_Product=Elig!$C58,Elig_MatchAll_Ct&lt;22,$BC58=(Elig_MatchAll_Ct-1),AZ58=0),AC58,0)</f>
        <v>0</v>
      </c>
      <c r="CI58" s="175">
        <f>IF(AND(Input_Product=Elig!$C58,Elig_MatchAll_Ct&lt;22,$BC58=(Elig_MatchAll_Ct-1),BA58=0),AD58,0)</f>
        <v>0</v>
      </c>
      <c r="CJ58" s="177">
        <f>IF(AND(Input_Product=Elig!$C58,Elig_MatchAll_Ct&lt;22,$BC58=(Elig_MatchAll_Ct-1),BA58=0),AE58,0)</f>
        <v>0</v>
      </c>
    </row>
    <row r="59" spans="1:88" ht="10.15" customHeight="1" x14ac:dyDescent="0.25">
      <c r="A59" s="1419" t="s">
        <v>76</v>
      </c>
      <c r="B59" s="1419" t="s">
        <v>760</v>
      </c>
      <c r="C59" s="116" t="str">
        <f t="shared" si="1"/>
        <v>NonQM OO</v>
      </c>
      <c r="D59" s="117" t="s">
        <v>1995</v>
      </c>
      <c r="E59" s="117" t="s">
        <v>166</v>
      </c>
      <c r="F59" s="117" t="s">
        <v>330</v>
      </c>
      <c r="G59" s="117" t="s">
        <v>470</v>
      </c>
      <c r="H59" s="117" t="s">
        <v>135</v>
      </c>
      <c r="I59" s="118" t="s">
        <v>16</v>
      </c>
      <c r="J59" s="118" t="s">
        <v>1130</v>
      </c>
      <c r="K59" s="118" t="s">
        <v>1398</v>
      </c>
      <c r="L59" s="117" t="s">
        <v>2025</v>
      </c>
      <c r="M59" s="117" t="s">
        <v>2289</v>
      </c>
      <c r="N59" s="117" t="s">
        <v>82</v>
      </c>
      <c r="O59" s="117" t="s">
        <v>309</v>
      </c>
      <c r="P59" s="117" t="s">
        <v>2433</v>
      </c>
      <c r="Q59" s="117" t="s">
        <v>293</v>
      </c>
      <c r="R59" s="117">
        <v>100000</v>
      </c>
      <c r="S59" s="117">
        <v>1000000</v>
      </c>
      <c r="T59" s="117">
        <v>0</v>
      </c>
      <c r="U59" s="117">
        <f t="shared" si="18"/>
        <v>1000000</v>
      </c>
      <c r="V59" s="117">
        <v>0</v>
      </c>
      <c r="W59" s="117">
        <v>55</v>
      </c>
      <c r="X59" s="117">
        <v>0</v>
      </c>
      <c r="Y59" s="117">
        <v>999</v>
      </c>
      <c r="Z59" s="119">
        <v>680</v>
      </c>
      <c r="AA59" s="119">
        <v>699</v>
      </c>
      <c r="AB59" s="1877">
        <v>0</v>
      </c>
      <c r="AC59" s="119">
        <v>999999</v>
      </c>
      <c r="AD59" s="117">
        <v>0</v>
      </c>
      <c r="AE59" s="117">
        <v>70</v>
      </c>
      <c r="AF59" s="144">
        <v>0</v>
      </c>
      <c r="AG59" s="145">
        <v>1</v>
      </c>
      <c r="AH59" s="145">
        <v>1</v>
      </c>
      <c r="AI59" s="145">
        <v>0</v>
      </c>
      <c r="AJ59" s="145">
        <v>0</v>
      </c>
      <c r="AK59" s="145">
        <v>1</v>
      </c>
      <c r="AL59" s="145">
        <v>0</v>
      </c>
      <c r="AM59" s="145">
        <v>1</v>
      </c>
      <c r="AN59" s="145">
        <v>1</v>
      </c>
      <c r="AO59" s="145">
        <v>1</v>
      </c>
      <c r="AP59" s="145">
        <v>1</v>
      </c>
      <c r="AQ59" s="145">
        <v>0</v>
      </c>
      <c r="AR59" s="145">
        <v>1</v>
      </c>
      <c r="AS59" s="145">
        <v>1</v>
      </c>
      <c r="AT59" s="145">
        <v>1</v>
      </c>
      <c r="AU59" s="145">
        <f t="shared" si="2"/>
        <v>1</v>
      </c>
      <c r="AV59" s="145">
        <f t="shared" si="3"/>
        <v>1</v>
      </c>
      <c r="AW59" s="145">
        <f t="shared" si="4"/>
        <v>1</v>
      </c>
      <c r="AX59" s="145">
        <f t="shared" si="5"/>
        <v>1</v>
      </c>
      <c r="AY59" s="145">
        <f t="shared" si="6"/>
        <v>0</v>
      </c>
      <c r="AZ59" s="145">
        <f t="shared" si="7"/>
        <v>1</v>
      </c>
      <c r="BA59" s="146">
        <f t="shared" si="8"/>
        <v>1</v>
      </c>
      <c r="BB59" s="149">
        <f t="shared" si="9"/>
        <v>16</v>
      </c>
      <c r="BC59" s="150">
        <f t="shared" si="10"/>
        <v>15</v>
      </c>
      <c r="BD59" s="150">
        <f t="shared" si="11"/>
        <v>16</v>
      </c>
      <c r="BE59" s="211" t="str">
        <f t="shared" si="12"/>
        <v/>
      </c>
      <c r="BH59" s="172">
        <f>IF(AND(Input_Product=Elig!$C59,Elig_MatchAll_Ct&lt;22,$BC59=(Elig_MatchAll_Ct-1),AF59=0),C59,0)</f>
        <v>0</v>
      </c>
      <c r="BI59" s="173">
        <f>IF(AND(Input_Product=Elig!$C59,Elig_MatchAll_Ct&lt;22,$BC59=(Elig_MatchAll_Ct-1),AG59=0),D59,0)</f>
        <v>0</v>
      </c>
      <c r="BJ59" s="173">
        <f>IF(AND(Input_Product=Elig!$C59,Elig_MatchAll_Ct&lt;22,$BC59=(Elig_MatchAll_Ct-1),AH59=0),E59,0)</f>
        <v>0</v>
      </c>
      <c r="BK59" s="173">
        <f>IF(AND(Input_Product=Elig!$C59,Elig_MatchAll_Ct&lt;22,$BC59=(Elig_MatchAll_Ct-1),AI59=0),F59,0)</f>
        <v>0</v>
      </c>
      <c r="BL59" s="173">
        <f>IF(AND(Input_Product=Elig!$C59,Elig_MatchAll_Ct&lt;22,$BC59=(Elig_MatchAll_Ct-1),AJ59=0),G59,0)</f>
        <v>0</v>
      </c>
      <c r="BM59" s="173">
        <f>IF(AND(Input_Product=Elig!$C59,Elig_MatchAll_Ct&lt;22,$BC59=(Elig_MatchAll_Ct-1),AK59=0),H59,0)</f>
        <v>0</v>
      </c>
      <c r="BN59" s="173">
        <f>IF(AND(Input_Product=Elig!$C59,Elig_MatchAll_Ct&lt;22,$BC59=(Elig_MatchAll_Ct-1),AL59=0),I59,0)</f>
        <v>0</v>
      </c>
      <c r="BO59" s="173">
        <f>IF(AND(Input_Product=Elig!$C59,Elig_MatchAll_Ct&lt;22,$BC59=(Elig_MatchAll_Ct-1),AM59=0),J59,0)</f>
        <v>0</v>
      </c>
      <c r="BP59" s="173">
        <f>IF(AND(Input_Product=Elig!$C59,Elig_MatchAll_Ct&lt;22,$BC59=(Elig_MatchAll_Ct-1),AN59=0),K59,0)</f>
        <v>0</v>
      </c>
      <c r="BQ59" s="173">
        <f>IF(AND(Input_Product=Elig!$C59,Elig_MatchAll_Ct&lt;22,$BC59=(Elig_MatchAll_Ct-1),AP59=0),L59,0)</f>
        <v>0</v>
      </c>
      <c r="BR59" s="173">
        <f>IF(AND(Input_Product=Elig!$C59,Elig_MatchAll_Ct&lt;22,$BC59=(Elig_MatchAll_Ct-1),AO59=0),M59,0)</f>
        <v>0</v>
      </c>
      <c r="BS59" s="173">
        <f>IF(AND(Input_Product=Elig!$C59,Elig_MatchAll_Ct&lt;22,$BC59=(Elig_MatchAll_Ct-1),AQ59=0),N59,0)</f>
        <v>0</v>
      </c>
      <c r="BT59" s="173">
        <f>IF(AND(Input_Product=Elig!$C59,Elig_MatchAll_Ct&lt;22,$BC59=(Elig_MatchAll_Ct-1),AR59=0),O59,0)</f>
        <v>0</v>
      </c>
      <c r="BU59" s="173">
        <f>IF(AND(Input_Product=Elig!$C59,Elig_MatchAll_Ct&lt;22,$BC59=(Elig_MatchAll_Ct-1),AS59=0),P59,0)</f>
        <v>0</v>
      </c>
      <c r="BV59" s="174">
        <f>IF(AND(Input_Product=Elig!$C59,Elig_MatchAll_Ct&lt;22,$BC59=(Elig_MatchAll_Ct-1),AT59=0),Q59,0)</f>
        <v>0</v>
      </c>
      <c r="BW59" s="175">
        <f>IF(AND(Input_Product=Elig!$C59,Elig_MatchAll_Ct&lt;22,$BC59=(Elig_MatchAll_Ct-1),AU59=0),R59,0)</f>
        <v>0</v>
      </c>
      <c r="BX59" s="176">
        <f>IF(AND(Input_Product=Elig!$C59,Elig_MatchAll_Ct&lt;22,$BC59=(Elig_MatchAll_Ct-1),AU59=0),S59,0)</f>
        <v>0</v>
      </c>
      <c r="BY59" s="175">
        <f>IF(AND(Input_Product=Elig!$C59,Elig_MatchAll_Ct&lt;22,$BC59=(Elig_MatchAll_Ct-1),AV59=0),T59,0)</f>
        <v>0</v>
      </c>
      <c r="BZ59" s="176">
        <f>IF(AND(Input_Product=Elig!$C59,Elig_MatchAll_Ct&lt;22,$BC59=(Elig_MatchAll_Ct-1),AV59=0),U59,0)</f>
        <v>0</v>
      </c>
      <c r="CA59" s="175">
        <f>IF(AND(Input_Product=Elig!$C59,Elig_MatchAll_Ct&lt;22,$BC59=(Elig_MatchAll_Ct-1),AW59=0),V59,0)</f>
        <v>0</v>
      </c>
      <c r="CB59" s="176">
        <f>IF(AND(Input_Product=Elig!$C59,Elig_MatchAll_Ct&lt;22,$BC59=(Elig_MatchAll_Ct-1),AW59=0),W59,0)</f>
        <v>0</v>
      </c>
      <c r="CC59" s="175">
        <f>IF(AND(Input_Product=Elig!$C59,Elig_MatchAll_Ct&lt;22,$BC59=(Elig_MatchAll_Ct-1),AX59=0),X59,0)</f>
        <v>0</v>
      </c>
      <c r="CD59" s="176">
        <f>IF(AND(Input_Product=Elig!$C59,Elig_MatchAll_Ct&lt;22,$BC59=(Elig_MatchAll_Ct-1),AX59=0),Y59,0)</f>
        <v>0</v>
      </c>
      <c r="CE59" s="175">
        <f>IF(AND(Input_LTV&lt;=AE59,Input_Product=Elig!$C59,Elig_MatchAll_Ct&lt;22,$BC59=(Elig_MatchAll_Ct-1),AY59=0),Z59,0)</f>
        <v>0</v>
      </c>
      <c r="CF59" s="176">
        <f>IF(AND(Input_LTV&lt;=AE59,Input_Product=Elig!$C59,Elig_MatchAll_Ct&lt;22,$BC59=(Elig_MatchAll_Ct-1),AY59=0),AA59,0)</f>
        <v>0</v>
      </c>
      <c r="CG59" s="175">
        <f>IF(AND(Input_Product=Elig!$C59,Elig_MatchAll_Ct&lt;22,$BC59=(Elig_MatchAll_Ct-1),AZ59=0),AB59,0)</f>
        <v>0</v>
      </c>
      <c r="CH59" s="176">
        <f>IF(AND(Input_Product=Elig!$C59,Elig_MatchAll_Ct&lt;22,$BC59=(Elig_MatchAll_Ct-1),AZ59=0),AC59,0)</f>
        <v>0</v>
      </c>
      <c r="CI59" s="175">
        <f>IF(AND(Input_Product=Elig!$C59,Elig_MatchAll_Ct&lt;22,$BC59=(Elig_MatchAll_Ct-1),BA59=0),AD59,0)</f>
        <v>0</v>
      </c>
      <c r="CJ59" s="177">
        <f>IF(AND(Input_Product=Elig!$C59,Elig_MatchAll_Ct&lt;22,$BC59=(Elig_MatchAll_Ct-1),BA59=0),AE59,0)</f>
        <v>0</v>
      </c>
    </row>
    <row r="60" spans="1:88" ht="10.15" customHeight="1" x14ac:dyDescent="0.25">
      <c r="A60" s="1419" t="s">
        <v>76</v>
      </c>
      <c r="B60" s="1419" t="s">
        <v>761</v>
      </c>
      <c r="C60" s="116" t="str">
        <f t="shared" si="1"/>
        <v>NonQM OO</v>
      </c>
      <c r="D60" s="117" t="s">
        <v>1995</v>
      </c>
      <c r="E60" s="117" t="s">
        <v>166</v>
      </c>
      <c r="F60" s="117" t="s">
        <v>330</v>
      </c>
      <c r="G60" s="117" t="s">
        <v>470</v>
      </c>
      <c r="H60" s="117" t="s">
        <v>135</v>
      </c>
      <c r="I60" s="117" t="s">
        <v>16</v>
      </c>
      <c r="J60" s="117" t="s">
        <v>1130</v>
      </c>
      <c r="K60" s="117" t="s">
        <v>1398</v>
      </c>
      <c r="L60" s="117" t="s">
        <v>2025</v>
      </c>
      <c r="M60" s="117" t="s">
        <v>2289</v>
      </c>
      <c r="N60" s="117" t="s">
        <v>82</v>
      </c>
      <c r="O60" s="117" t="s">
        <v>309</v>
      </c>
      <c r="P60" s="117" t="s">
        <v>2433</v>
      </c>
      <c r="Q60" s="117" t="s">
        <v>293</v>
      </c>
      <c r="R60" s="117">
        <v>100000</v>
      </c>
      <c r="S60" s="117">
        <v>1000000</v>
      </c>
      <c r="T60" s="117">
        <v>0</v>
      </c>
      <c r="U60" s="117">
        <f t="shared" si="18"/>
        <v>1000000</v>
      </c>
      <c r="V60" s="117">
        <v>0</v>
      </c>
      <c r="W60" s="117">
        <v>55</v>
      </c>
      <c r="X60" s="117">
        <v>0</v>
      </c>
      <c r="Y60" s="117">
        <v>999</v>
      </c>
      <c r="Z60" s="119">
        <v>660</v>
      </c>
      <c r="AA60" s="119">
        <v>679</v>
      </c>
      <c r="AB60" s="1877">
        <v>0</v>
      </c>
      <c r="AC60" s="119">
        <v>999999</v>
      </c>
      <c r="AD60" s="117">
        <v>0</v>
      </c>
      <c r="AE60" s="117">
        <v>70</v>
      </c>
      <c r="AF60" s="144">
        <v>0</v>
      </c>
      <c r="AG60" s="145">
        <v>1</v>
      </c>
      <c r="AH60" s="145">
        <v>1</v>
      </c>
      <c r="AI60" s="145">
        <v>0</v>
      </c>
      <c r="AJ60" s="145">
        <v>0</v>
      </c>
      <c r="AK60" s="145">
        <v>1</v>
      </c>
      <c r="AL60" s="145">
        <v>0</v>
      </c>
      <c r="AM60" s="145">
        <v>1</v>
      </c>
      <c r="AN60" s="145">
        <v>1</v>
      </c>
      <c r="AO60" s="145">
        <v>1</v>
      </c>
      <c r="AP60" s="145">
        <v>1</v>
      </c>
      <c r="AQ60" s="145">
        <v>0</v>
      </c>
      <c r="AR60" s="145">
        <v>1</v>
      </c>
      <c r="AS60" s="145">
        <v>1</v>
      </c>
      <c r="AT60" s="145">
        <v>1</v>
      </c>
      <c r="AU60" s="145">
        <f t="shared" si="2"/>
        <v>1</v>
      </c>
      <c r="AV60" s="145">
        <f t="shared" si="3"/>
        <v>1</v>
      </c>
      <c r="AW60" s="145">
        <f t="shared" si="4"/>
        <v>1</v>
      </c>
      <c r="AX60" s="145">
        <f t="shared" si="5"/>
        <v>1</v>
      </c>
      <c r="AY60" s="145">
        <f t="shared" si="6"/>
        <v>0</v>
      </c>
      <c r="AZ60" s="145">
        <f t="shared" si="7"/>
        <v>1</v>
      </c>
      <c r="BA60" s="146">
        <f t="shared" si="8"/>
        <v>1</v>
      </c>
      <c r="BB60" s="149">
        <f t="shared" si="9"/>
        <v>16</v>
      </c>
      <c r="BC60" s="150">
        <f t="shared" si="10"/>
        <v>15</v>
      </c>
      <c r="BD60" s="150">
        <f t="shared" si="11"/>
        <v>16</v>
      </c>
      <c r="BE60" s="211" t="str">
        <f t="shared" si="12"/>
        <v/>
      </c>
      <c r="BH60" s="172">
        <f>IF(AND(Input_Product=Elig!$C60,Elig_MatchAll_Ct&lt;22,$BC60=(Elig_MatchAll_Ct-1),AF60=0),C60,0)</f>
        <v>0</v>
      </c>
      <c r="BI60" s="173">
        <f>IF(AND(Input_Product=Elig!$C60,Elig_MatchAll_Ct&lt;22,$BC60=(Elig_MatchAll_Ct-1),AG60=0),D60,0)</f>
        <v>0</v>
      </c>
      <c r="BJ60" s="173">
        <f>IF(AND(Input_Product=Elig!$C60,Elig_MatchAll_Ct&lt;22,$BC60=(Elig_MatchAll_Ct-1),AH60=0),E60,0)</f>
        <v>0</v>
      </c>
      <c r="BK60" s="173">
        <f>IF(AND(Input_Product=Elig!$C60,Elig_MatchAll_Ct&lt;22,$BC60=(Elig_MatchAll_Ct-1),AI60=0),F60,0)</f>
        <v>0</v>
      </c>
      <c r="BL60" s="173">
        <f>IF(AND(Input_Product=Elig!$C60,Elig_MatchAll_Ct&lt;22,$BC60=(Elig_MatchAll_Ct-1),AJ60=0),G60,0)</f>
        <v>0</v>
      </c>
      <c r="BM60" s="173">
        <f>IF(AND(Input_Product=Elig!$C60,Elig_MatchAll_Ct&lt;22,$BC60=(Elig_MatchAll_Ct-1),AK60=0),H60,0)</f>
        <v>0</v>
      </c>
      <c r="BN60" s="173">
        <f>IF(AND(Input_Product=Elig!$C60,Elig_MatchAll_Ct&lt;22,$BC60=(Elig_MatchAll_Ct-1),AL60=0),I60,0)</f>
        <v>0</v>
      </c>
      <c r="BO60" s="173">
        <f>IF(AND(Input_Product=Elig!$C60,Elig_MatchAll_Ct&lt;22,$BC60=(Elig_MatchAll_Ct-1),AM60=0),J60,0)</f>
        <v>0</v>
      </c>
      <c r="BP60" s="173">
        <f>IF(AND(Input_Product=Elig!$C60,Elig_MatchAll_Ct&lt;22,$BC60=(Elig_MatchAll_Ct-1),AN60=0),K60,0)</f>
        <v>0</v>
      </c>
      <c r="BQ60" s="173">
        <f>IF(AND(Input_Product=Elig!$C60,Elig_MatchAll_Ct&lt;22,$BC60=(Elig_MatchAll_Ct-1),AP60=0),L60,0)</f>
        <v>0</v>
      </c>
      <c r="BR60" s="173">
        <f>IF(AND(Input_Product=Elig!$C60,Elig_MatchAll_Ct&lt;22,$BC60=(Elig_MatchAll_Ct-1),AO60=0),M60,0)</f>
        <v>0</v>
      </c>
      <c r="BS60" s="173">
        <f>IF(AND(Input_Product=Elig!$C60,Elig_MatchAll_Ct&lt;22,$BC60=(Elig_MatchAll_Ct-1),AQ60=0),N60,0)</f>
        <v>0</v>
      </c>
      <c r="BT60" s="173">
        <f>IF(AND(Input_Product=Elig!$C60,Elig_MatchAll_Ct&lt;22,$BC60=(Elig_MatchAll_Ct-1),AR60=0),O60,0)</f>
        <v>0</v>
      </c>
      <c r="BU60" s="173">
        <f>IF(AND(Input_Product=Elig!$C60,Elig_MatchAll_Ct&lt;22,$BC60=(Elig_MatchAll_Ct-1),AS60=0),P60,0)</f>
        <v>0</v>
      </c>
      <c r="BV60" s="174">
        <f>IF(AND(Input_Product=Elig!$C60,Elig_MatchAll_Ct&lt;22,$BC60=(Elig_MatchAll_Ct-1),AT60=0),Q60,0)</f>
        <v>0</v>
      </c>
      <c r="BW60" s="175">
        <f>IF(AND(Input_Product=Elig!$C60,Elig_MatchAll_Ct&lt;22,$BC60=(Elig_MatchAll_Ct-1),AU60=0),R60,0)</f>
        <v>0</v>
      </c>
      <c r="BX60" s="176">
        <f>IF(AND(Input_Product=Elig!$C60,Elig_MatchAll_Ct&lt;22,$BC60=(Elig_MatchAll_Ct-1),AU60=0),S60,0)</f>
        <v>0</v>
      </c>
      <c r="BY60" s="175">
        <f>IF(AND(Input_Product=Elig!$C60,Elig_MatchAll_Ct&lt;22,$BC60=(Elig_MatchAll_Ct-1),AV60=0),T60,0)</f>
        <v>0</v>
      </c>
      <c r="BZ60" s="176">
        <f>IF(AND(Input_Product=Elig!$C60,Elig_MatchAll_Ct&lt;22,$BC60=(Elig_MatchAll_Ct-1),AV60=0),U60,0)</f>
        <v>0</v>
      </c>
      <c r="CA60" s="175">
        <f>IF(AND(Input_Product=Elig!$C60,Elig_MatchAll_Ct&lt;22,$BC60=(Elig_MatchAll_Ct-1),AW60=0),V60,0)</f>
        <v>0</v>
      </c>
      <c r="CB60" s="176">
        <f>IF(AND(Input_Product=Elig!$C60,Elig_MatchAll_Ct&lt;22,$BC60=(Elig_MatchAll_Ct-1),AW60=0),W60,0)</f>
        <v>0</v>
      </c>
      <c r="CC60" s="175">
        <f>IF(AND(Input_Product=Elig!$C60,Elig_MatchAll_Ct&lt;22,$BC60=(Elig_MatchAll_Ct-1),AX60=0),X60,0)</f>
        <v>0</v>
      </c>
      <c r="CD60" s="176">
        <f>IF(AND(Input_Product=Elig!$C60,Elig_MatchAll_Ct&lt;22,$BC60=(Elig_MatchAll_Ct-1),AX60=0),Y60,0)</f>
        <v>0</v>
      </c>
      <c r="CE60" s="175">
        <f>IF(AND(Input_LTV&lt;=AE60,Input_Product=Elig!$C60,Elig_MatchAll_Ct&lt;22,$BC60=(Elig_MatchAll_Ct-1),AY60=0),Z60,0)</f>
        <v>0</v>
      </c>
      <c r="CF60" s="176">
        <f>IF(AND(Input_LTV&lt;=AE60,Input_Product=Elig!$C60,Elig_MatchAll_Ct&lt;22,$BC60=(Elig_MatchAll_Ct-1),AY60=0),AA60,0)</f>
        <v>0</v>
      </c>
      <c r="CG60" s="175">
        <f>IF(AND(Input_Product=Elig!$C60,Elig_MatchAll_Ct&lt;22,$BC60=(Elig_MatchAll_Ct-1),AZ60=0),AB60,0)</f>
        <v>0</v>
      </c>
      <c r="CH60" s="176">
        <f>IF(AND(Input_Product=Elig!$C60,Elig_MatchAll_Ct&lt;22,$BC60=(Elig_MatchAll_Ct-1),AZ60=0),AC60,0)</f>
        <v>0</v>
      </c>
      <c r="CI60" s="175">
        <f>IF(AND(Input_Product=Elig!$C60,Elig_MatchAll_Ct&lt;22,$BC60=(Elig_MatchAll_Ct-1),BA60=0),AD60,0)</f>
        <v>0</v>
      </c>
      <c r="CJ60" s="177">
        <f>IF(AND(Input_Product=Elig!$C60,Elig_MatchAll_Ct&lt;22,$BC60=(Elig_MatchAll_Ct-1),BA60=0),AE60,0)</f>
        <v>0</v>
      </c>
    </row>
    <row r="61" spans="1:88" ht="10.15" customHeight="1" x14ac:dyDescent="0.25">
      <c r="A61" s="1419" t="s">
        <v>76</v>
      </c>
      <c r="B61" s="1419" t="s">
        <v>762</v>
      </c>
      <c r="C61" s="123" t="str">
        <f t="shared" si="1"/>
        <v>NonQM OO</v>
      </c>
      <c r="D61" s="124" t="s">
        <v>1995</v>
      </c>
      <c r="E61" s="125" t="s">
        <v>166</v>
      </c>
      <c r="F61" s="125" t="s">
        <v>330</v>
      </c>
      <c r="G61" s="125" t="s">
        <v>302</v>
      </c>
      <c r="H61" s="125" t="s">
        <v>135</v>
      </c>
      <c r="I61" s="124" t="s">
        <v>273</v>
      </c>
      <c r="J61" s="124" t="s">
        <v>1130</v>
      </c>
      <c r="K61" s="124" t="s">
        <v>1398</v>
      </c>
      <c r="L61" s="125" t="s">
        <v>2025</v>
      </c>
      <c r="M61" s="125" t="s">
        <v>2289</v>
      </c>
      <c r="N61" s="125" t="s">
        <v>82</v>
      </c>
      <c r="O61" s="125" t="s">
        <v>309</v>
      </c>
      <c r="P61" s="125" t="s">
        <v>2433</v>
      </c>
      <c r="Q61" s="125" t="s">
        <v>293</v>
      </c>
      <c r="R61" s="124">
        <v>1000000.01</v>
      </c>
      <c r="S61" s="124">
        <v>1500000</v>
      </c>
      <c r="T61" s="124">
        <v>0</v>
      </c>
      <c r="U61" s="124">
        <v>0</v>
      </c>
      <c r="V61" s="124">
        <v>0</v>
      </c>
      <c r="W61" s="124">
        <v>55</v>
      </c>
      <c r="X61" s="124">
        <v>0</v>
      </c>
      <c r="Y61" s="124">
        <v>999</v>
      </c>
      <c r="Z61" s="126">
        <v>720</v>
      </c>
      <c r="AA61" s="126">
        <v>999</v>
      </c>
      <c r="AB61" s="1879">
        <v>0</v>
      </c>
      <c r="AC61" s="126">
        <v>999999</v>
      </c>
      <c r="AD61" s="124">
        <v>0</v>
      </c>
      <c r="AE61" s="124">
        <v>90</v>
      </c>
      <c r="AF61" s="144">
        <v>0</v>
      </c>
      <c r="AG61" s="145">
        <v>1</v>
      </c>
      <c r="AH61" s="145">
        <v>1</v>
      </c>
      <c r="AI61" s="145">
        <v>0</v>
      </c>
      <c r="AJ61" s="145">
        <v>0</v>
      </c>
      <c r="AK61" s="145">
        <v>1</v>
      </c>
      <c r="AL61" s="145">
        <v>1</v>
      </c>
      <c r="AM61" s="145">
        <v>1</v>
      </c>
      <c r="AN61" s="145">
        <v>1</v>
      </c>
      <c r="AO61" s="145">
        <v>1</v>
      </c>
      <c r="AP61" s="145">
        <v>1</v>
      </c>
      <c r="AQ61" s="145">
        <v>0</v>
      </c>
      <c r="AR61" s="145">
        <v>1</v>
      </c>
      <c r="AS61" s="145">
        <v>1</v>
      </c>
      <c r="AT61" s="145">
        <v>1</v>
      </c>
      <c r="AU61" s="145">
        <f t="shared" ref="AU61:AU112" si="19">IF(AND(Input_LoanAmt&gt;=Elig_LoanAmt_Min,Input_LoanAmt&lt;=Elig_LoanAmt_Max),1,0)</f>
        <v>0</v>
      </c>
      <c r="AV61" s="145">
        <f t="shared" ref="AV61:AV112" si="20">IF(AND(Input_CashoutAmt&gt;=Elig_CashoutAmt_Min,Input_CashoutAmt&lt;=Elig_CashoutAmt_Max),1,0)</f>
        <v>1</v>
      </c>
      <c r="AW61" s="145">
        <f t="shared" ref="AW61:AW112" si="21">IF(AND(Input_DTI&gt;=Elig_DTI_Min,Input_DTI&lt;=Elig_DTI_Max),1,0)</f>
        <v>1</v>
      </c>
      <c r="AX61" s="145">
        <f t="shared" si="5"/>
        <v>1</v>
      </c>
      <c r="AY61" s="145">
        <f t="shared" ref="AY61:AY112" si="22">IF(AND(Input_CreditScore&gt;=Elig_CreditScore_Min,Input_CreditScore&lt;=Elig_CreditScore_Max),1,0)</f>
        <v>1</v>
      </c>
      <c r="AZ61" s="145">
        <f t="shared" ref="AZ61:AZ112" si="23">IF(AND(Input_ReservesMonths&gt;=Elig_Reserves_Min,Input_ReservesMonths&lt;=Elig_Reserves_Max),1,0)</f>
        <v>1</v>
      </c>
      <c r="BA61" s="146">
        <f t="shared" ref="BA61:BA112" si="24">IF(AND(Input_LTV&gt;=Elig_LTV_Min,Input_LTV&lt;=Elig_LTV_Max),1,0)</f>
        <v>1</v>
      </c>
      <c r="BB61" s="149">
        <f t="shared" si="9"/>
        <v>17</v>
      </c>
      <c r="BC61" s="150">
        <f t="shared" si="10"/>
        <v>16</v>
      </c>
      <c r="BD61" s="150">
        <f t="shared" si="11"/>
        <v>17</v>
      </c>
      <c r="BE61" s="211" t="str">
        <f t="shared" si="12"/>
        <v/>
      </c>
      <c r="BH61" s="166">
        <f>IF(AND(Input_Product=Elig!$C61,Elig_MatchAll_Ct&lt;22,$BC61=(Elig_MatchAll_Ct-1),AF61=0),C61,0)</f>
        <v>0</v>
      </c>
      <c r="BI61" s="167">
        <f>IF(AND(Input_Product=Elig!$C61,Elig_MatchAll_Ct&lt;22,$BC61=(Elig_MatchAll_Ct-1),AG61=0),D61,0)</f>
        <v>0</v>
      </c>
      <c r="BJ61" s="167">
        <f>IF(AND(Input_Product=Elig!$C61,Elig_MatchAll_Ct&lt;22,$BC61=(Elig_MatchAll_Ct-1),AH61=0),E61,0)</f>
        <v>0</v>
      </c>
      <c r="BK61" s="167">
        <f>IF(AND(Input_Product=Elig!$C61,Elig_MatchAll_Ct&lt;22,$BC61=(Elig_MatchAll_Ct-1),AI61=0),F61,0)</f>
        <v>0</v>
      </c>
      <c r="BL61" s="167">
        <f>IF(AND(Input_Product=Elig!$C61,Elig_MatchAll_Ct&lt;22,$BC61=(Elig_MatchAll_Ct-1),AJ61=0),G61,0)</f>
        <v>0</v>
      </c>
      <c r="BM61" s="167">
        <f>IF(AND(Input_Product=Elig!$C61,Elig_MatchAll_Ct&lt;22,$BC61=(Elig_MatchAll_Ct-1),AK61=0),H61,0)</f>
        <v>0</v>
      </c>
      <c r="BN61" s="167">
        <f>IF(AND(Input_Product=Elig!$C61,Elig_MatchAll_Ct&lt;22,$BC61=(Elig_MatchAll_Ct-1),AL61=0),I61,0)</f>
        <v>0</v>
      </c>
      <c r="BO61" s="167">
        <f>IF(AND(Input_Product=Elig!$C61,Elig_MatchAll_Ct&lt;22,$BC61=(Elig_MatchAll_Ct-1),AM61=0),J61,0)</f>
        <v>0</v>
      </c>
      <c r="BP61" s="167">
        <f>IF(AND(Input_Product=Elig!$C61,Elig_MatchAll_Ct&lt;22,$BC61=(Elig_MatchAll_Ct-1),AN61=0),K61,0)</f>
        <v>0</v>
      </c>
      <c r="BQ61" s="167">
        <f>IF(AND(Input_Product=Elig!$C61,Elig_MatchAll_Ct&lt;22,$BC61=(Elig_MatchAll_Ct-1),AP61=0),L61,0)</f>
        <v>0</v>
      </c>
      <c r="BR61" s="167">
        <f>IF(AND(Input_Product=Elig!$C61,Elig_MatchAll_Ct&lt;22,$BC61=(Elig_MatchAll_Ct-1),AO61=0),M61,0)</f>
        <v>0</v>
      </c>
      <c r="BS61" s="167">
        <f>IF(AND(Input_Product=Elig!$C61,Elig_MatchAll_Ct&lt;22,$BC61=(Elig_MatchAll_Ct-1),AQ61=0),N61,0)</f>
        <v>0</v>
      </c>
      <c r="BT61" s="167">
        <f>IF(AND(Input_Product=Elig!$C61,Elig_MatchAll_Ct&lt;22,$BC61=(Elig_MatchAll_Ct-1),AR61=0),O61,0)</f>
        <v>0</v>
      </c>
      <c r="BU61" s="167">
        <f>IF(AND(Input_Product=Elig!$C61,Elig_MatchAll_Ct&lt;22,$BC61=(Elig_MatchAll_Ct-1),AS61=0),P61,0)</f>
        <v>0</v>
      </c>
      <c r="BV61" s="168">
        <f>IF(AND(Input_Product=Elig!$C61,Elig_MatchAll_Ct&lt;22,$BC61=(Elig_MatchAll_Ct-1),AT61=0),Q61,0)</f>
        <v>0</v>
      </c>
      <c r="BW61" s="169">
        <f>IF(AND(Input_Product=Elig!$C61,Elig_MatchAll_Ct&lt;22,$BC61=(Elig_MatchAll_Ct-1),AU61=0),R61,0)</f>
        <v>0</v>
      </c>
      <c r="BX61" s="170">
        <f>IF(AND(Input_Product=Elig!$C61,Elig_MatchAll_Ct&lt;22,$BC61=(Elig_MatchAll_Ct-1),AU61=0),S61,0)</f>
        <v>0</v>
      </c>
      <c r="BY61" s="169">
        <f>IF(AND(Input_Product=Elig!$C61,Elig_MatchAll_Ct&lt;22,$BC61=(Elig_MatchAll_Ct-1),AV61=0),T61,0)</f>
        <v>0</v>
      </c>
      <c r="BZ61" s="170">
        <f>IF(AND(Input_Product=Elig!$C61,Elig_MatchAll_Ct&lt;22,$BC61=(Elig_MatchAll_Ct-1),AV61=0),U61,0)</f>
        <v>0</v>
      </c>
      <c r="CA61" s="169">
        <f>IF(AND(Input_Product=Elig!$C61,Elig_MatchAll_Ct&lt;22,$BC61=(Elig_MatchAll_Ct-1),AW61=0),V61,0)</f>
        <v>0</v>
      </c>
      <c r="CB61" s="170">
        <f>IF(AND(Input_Product=Elig!$C61,Elig_MatchAll_Ct&lt;22,$BC61=(Elig_MatchAll_Ct-1),AW61=0),W61,0)</f>
        <v>0</v>
      </c>
      <c r="CC61" s="169">
        <f>IF(AND(Input_Product=Elig!$C61,Elig_MatchAll_Ct&lt;22,$BC61=(Elig_MatchAll_Ct-1),AX61=0),X61,0)</f>
        <v>0</v>
      </c>
      <c r="CD61" s="170">
        <f>IF(AND(Input_Product=Elig!$C61,Elig_MatchAll_Ct&lt;22,$BC61=(Elig_MatchAll_Ct-1),AX61=0),Y61,0)</f>
        <v>0</v>
      </c>
      <c r="CE61" s="169">
        <f>IF(AND(Input_LTV&lt;=AE61,Input_Product=Elig!$C61,Elig_MatchAll_Ct&lt;22,$BC61=(Elig_MatchAll_Ct-1),AY61=0),Z61,0)</f>
        <v>0</v>
      </c>
      <c r="CF61" s="170">
        <f>IF(AND(Input_LTV&lt;=AE61,Input_Product=Elig!$C61,Elig_MatchAll_Ct&lt;22,$BC61=(Elig_MatchAll_Ct-1),AY61=0),AA61,0)</f>
        <v>0</v>
      </c>
      <c r="CG61" s="169">
        <f>IF(AND(Input_Product=Elig!$C61,Elig_MatchAll_Ct&lt;22,$BC61=(Elig_MatchAll_Ct-1),AZ61=0),AB61,0)</f>
        <v>0</v>
      </c>
      <c r="CH61" s="170">
        <f>IF(AND(Input_Product=Elig!$C61,Elig_MatchAll_Ct&lt;22,$BC61=(Elig_MatchAll_Ct-1),AZ61=0),AC61,0)</f>
        <v>0</v>
      </c>
      <c r="CI61" s="169">
        <f>IF(AND(Input_Product=Elig!$C61,Elig_MatchAll_Ct&lt;22,$BC61=(Elig_MatchAll_Ct-1),BA61=0),AD61,0)</f>
        <v>0</v>
      </c>
      <c r="CJ61" s="171">
        <f>IF(AND(Input_Product=Elig!$C61,Elig_MatchAll_Ct&lt;22,$BC61=(Elig_MatchAll_Ct-1),BA61=0),AE61,0)</f>
        <v>0</v>
      </c>
    </row>
    <row r="62" spans="1:88" ht="10.15" customHeight="1" x14ac:dyDescent="0.25">
      <c r="A62" s="1419" t="s">
        <v>76</v>
      </c>
      <c r="B62" s="1419" t="s">
        <v>763</v>
      </c>
      <c r="C62" s="116" t="str">
        <f t="shared" si="1"/>
        <v>NonQM OO</v>
      </c>
      <c r="D62" s="117" t="s">
        <v>1995</v>
      </c>
      <c r="E62" s="117" t="s">
        <v>166</v>
      </c>
      <c r="F62" s="117" t="s">
        <v>330</v>
      </c>
      <c r="G62" s="117" t="s">
        <v>302</v>
      </c>
      <c r="H62" s="117" t="s">
        <v>135</v>
      </c>
      <c r="I62" s="118" t="s">
        <v>273</v>
      </c>
      <c r="J62" s="118" t="s">
        <v>1130</v>
      </c>
      <c r="K62" s="118" t="s">
        <v>1398</v>
      </c>
      <c r="L62" s="117" t="s">
        <v>2025</v>
      </c>
      <c r="M62" s="117" t="s">
        <v>2289</v>
      </c>
      <c r="N62" s="117" t="s">
        <v>82</v>
      </c>
      <c r="O62" s="117" t="s">
        <v>309</v>
      </c>
      <c r="P62" s="117" t="s">
        <v>2433</v>
      </c>
      <c r="Q62" s="117" t="s">
        <v>293</v>
      </c>
      <c r="R62" s="117">
        <v>1000000.01</v>
      </c>
      <c r="S62" s="117">
        <v>1500000</v>
      </c>
      <c r="T62" s="117">
        <v>0</v>
      </c>
      <c r="U62" s="117">
        <v>0</v>
      </c>
      <c r="V62" s="117">
        <v>0</v>
      </c>
      <c r="W62" s="117">
        <v>55</v>
      </c>
      <c r="X62" s="117">
        <v>0</v>
      </c>
      <c r="Y62" s="117">
        <v>999</v>
      </c>
      <c r="Z62" s="119">
        <v>700</v>
      </c>
      <c r="AA62" s="119">
        <v>719</v>
      </c>
      <c r="AB62" s="1877">
        <v>0</v>
      </c>
      <c r="AC62" s="119">
        <v>999999</v>
      </c>
      <c r="AD62" s="117">
        <v>0</v>
      </c>
      <c r="AE62" s="117">
        <v>90</v>
      </c>
      <c r="AF62" s="144">
        <v>0</v>
      </c>
      <c r="AG62" s="145">
        <v>1</v>
      </c>
      <c r="AH62" s="145">
        <v>1</v>
      </c>
      <c r="AI62" s="145">
        <v>0</v>
      </c>
      <c r="AJ62" s="145">
        <v>0</v>
      </c>
      <c r="AK62" s="145">
        <v>1</v>
      </c>
      <c r="AL62" s="145">
        <v>1</v>
      </c>
      <c r="AM62" s="145">
        <v>1</v>
      </c>
      <c r="AN62" s="145">
        <v>1</v>
      </c>
      <c r="AO62" s="145">
        <v>1</v>
      </c>
      <c r="AP62" s="145">
        <v>1</v>
      </c>
      <c r="AQ62" s="145">
        <v>0</v>
      </c>
      <c r="AR62" s="145">
        <v>1</v>
      </c>
      <c r="AS62" s="145">
        <v>1</v>
      </c>
      <c r="AT62" s="145">
        <v>1</v>
      </c>
      <c r="AU62" s="145">
        <f t="shared" si="19"/>
        <v>0</v>
      </c>
      <c r="AV62" s="145">
        <f t="shared" si="20"/>
        <v>1</v>
      </c>
      <c r="AW62" s="145">
        <f t="shared" si="21"/>
        <v>1</v>
      </c>
      <c r="AX62" s="145">
        <f t="shared" si="5"/>
        <v>1</v>
      </c>
      <c r="AY62" s="145">
        <f t="shared" si="22"/>
        <v>0</v>
      </c>
      <c r="AZ62" s="145">
        <f t="shared" si="23"/>
        <v>1</v>
      </c>
      <c r="BA62" s="146">
        <f t="shared" si="24"/>
        <v>1</v>
      </c>
      <c r="BB62" s="149">
        <f t="shared" si="9"/>
        <v>16</v>
      </c>
      <c r="BC62" s="150">
        <f t="shared" si="10"/>
        <v>15</v>
      </c>
      <c r="BD62" s="150">
        <f t="shared" si="11"/>
        <v>16</v>
      </c>
      <c r="BE62" s="211" t="str">
        <f t="shared" si="12"/>
        <v/>
      </c>
      <c r="BH62" s="172">
        <f>IF(AND(Input_Product=Elig!$C62,Elig_MatchAll_Ct&lt;22,$BC62=(Elig_MatchAll_Ct-1),AF62=0),C62,0)</f>
        <v>0</v>
      </c>
      <c r="BI62" s="173">
        <f>IF(AND(Input_Product=Elig!$C62,Elig_MatchAll_Ct&lt;22,$BC62=(Elig_MatchAll_Ct-1),AG62=0),D62,0)</f>
        <v>0</v>
      </c>
      <c r="BJ62" s="173">
        <f>IF(AND(Input_Product=Elig!$C62,Elig_MatchAll_Ct&lt;22,$BC62=(Elig_MatchAll_Ct-1),AH62=0),E62,0)</f>
        <v>0</v>
      </c>
      <c r="BK62" s="173">
        <f>IF(AND(Input_Product=Elig!$C62,Elig_MatchAll_Ct&lt;22,$BC62=(Elig_MatchAll_Ct-1),AI62=0),F62,0)</f>
        <v>0</v>
      </c>
      <c r="BL62" s="173">
        <f>IF(AND(Input_Product=Elig!$C62,Elig_MatchAll_Ct&lt;22,$BC62=(Elig_MatchAll_Ct-1),AJ62=0),G62,0)</f>
        <v>0</v>
      </c>
      <c r="BM62" s="173">
        <f>IF(AND(Input_Product=Elig!$C62,Elig_MatchAll_Ct&lt;22,$BC62=(Elig_MatchAll_Ct-1),AK62=0),H62,0)</f>
        <v>0</v>
      </c>
      <c r="BN62" s="173">
        <f>IF(AND(Input_Product=Elig!$C62,Elig_MatchAll_Ct&lt;22,$BC62=(Elig_MatchAll_Ct-1),AL62=0),I62,0)</f>
        <v>0</v>
      </c>
      <c r="BO62" s="173">
        <f>IF(AND(Input_Product=Elig!$C62,Elig_MatchAll_Ct&lt;22,$BC62=(Elig_MatchAll_Ct-1),AM62=0),J62,0)</f>
        <v>0</v>
      </c>
      <c r="BP62" s="173">
        <f>IF(AND(Input_Product=Elig!$C62,Elig_MatchAll_Ct&lt;22,$BC62=(Elig_MatchAll_Ct-1),AN62=0),K62,0)</f>
        <v>0</v>
      </c>
      <c r="BQ62" s="173">
        <f>IF(AND(Input_Product=Elig!$C62,Elig_MatchAll_Ct&lt;22,$BC62=(Elig_MatchAll_Ct-1),AP62=0),L62,0)</f>
        <v>0</v>
      </c>
      <c r="BR62" s="173">
        <f>IF(AND(Input_Product=Elig!$C62,Elig_MatchAll_Ct&lt;22,$BC62=(Elig_MatchAll_Ct-1),AO62=0),M62,0)</f>
        <v>0</v>
      </c>
      <c r="BS62" s="173">
        <f>IF(AND(Input_Product=Elig!$C62,Elig_MatchAll_Ct&lt;22,$BC62=(Elig_MatchAll_Ct-1),AQ62=0),N62,0)</f>
        <v>0</v>
      </c>
      <c r="BT62" s="173">
        <f>IF(AND(Input_Product=Elig!$C62,Elig_MatchAll_Ct&lt;22,$BC62=(Elig_MatchAll_Ct-1),AR62=0),O62,0)</f>
        <v>0</v>
      </c>
      <c r="BU62" s="173">
        <f>IF(AND(Input_Product=Elig!$C62,Elig_MatchAll_Ct&lt;22,$BC62=(Elig_MatchAll_Ct-1),AS62=0),P62,0)</f>
        <v>0</v>
      </c>
      <c r="BV62" s="174">
        <f>IF(AND(Input_Product=Elig!$C62,Elig_MatchAll_Ct&lt;22,$BC62=(Elig_MatchAll_Ct-1),AT62=0),Q62,0)</f>
        <v>0</v>
      </c>
      <c r="BW62" s="175">
        <f>IF(AND(Input_Product=Elig!$C62,Elig_MatchAll_Ct&lt;22,$BC62=(Elig_MatchAll_Ct-1),AU62=0),R62,0)</f>
        <v>0</v>
      </c>
      <c r="BX62" s="176">
        <f>IF(AND(Input_Product=Elig!$C62,Elig_MatchAll_Ct&lt;22,$BC62=(Elig_MatchAll_Ct-1),AU62=0),S62,0)</f>
        <v>0</v>
      </c>
      <c r="BY62" s="175">
        <f>IF(AND(Input_Product=Elig!$C62,Elig_MatchAll_Ct&lt;22,$BC62=(Elig_MatchAll_Ct-1),AV62=0),T62,0)</f>
        <v>0</v>
      </c>
      <c r="BZ62" s="176">
        <f>IF(AND(Input_Product=Elig!$C62,Elig_MatchAll_Ct&lt;22,$BC62=(Elig_MatchAll_Ct-1),AV62=0),U62,0)</f>
        <v>0</v>
      </c>
      <c r="CA62" s="175">
        <f>IF(AND(Input_Product=Elig!$C62,Elig_MatchAll_Ct&lt;22,$BC62=(Elig_MatchAll_Ct-1),AW62=0),V62,0)</f>
        <v>0</v>
      </c>
      <c r="CB62" s="176">
        <f>IF(AND(Input_Product=Elig!$C62,Elig_MatchAll_Ct&lt;22,$BC62=(Elig_MatchAll_Ct-1),AW62=0),W62,0)</f>
        <v>0</v>
      </c>
      <c r="CC62" s="175">
        <f>IF(AND(Input_Product=Elig!$C62,Elig_MatchAll_Ct&lt;22,$BC62=(Elig_MatchAll_Ct-1),AX62=0),X62,0)</f>
        <v>0</v>
      </c>
      <c r="CD62" s="176">
        <f>IF(AND(Input_Product=Elig!$C62,Elig_MatchAll_Ct&lt;22,$BC62=(Elig_MatchAll_Ct-1),AX62=0),Y62,0)</f>
        <v>0</v>
      </c>
      <c r="CE62" s="175">
        <f>IF(AND(Input_LTV&lt;=AE62,Input_Product=Elig!$C62,Elig_MatchAll_Ct&lt;22,$BC62=(Elig_MatchAll_Ct-1),AY62=0),Z62,0)</f>
        <v>0</v>
      </c>
      <c r="CF62" s="176">
        <f>IF(AND(Input_LTV&lt;=AE62,Input_Product=Elig!$C62,Elig_MatchAll_Ct&lt;22,$BC62=(Elig_MatchAll_Ct-1),AY62=0),AA62,0)</f>
        <v>0</v>
      </c>
      <c r="CG62" s="175">
        <f>IF(AND(Input_Product=Elig!$C62,Elig_MatchAll_Ct&lt;22,$BC62=(Elig_MatchAll_Ct-1),AZ62=0),AB62,0)</f>
        <v>0</v>
      </c>
      <c r="CH62" s="176">
        <f>IF(AND(Input_Product=Elig!$C62,Elig_MatchAll_Ct&lt;22,$BC62=(Elig_MatchAll_Ct-1),AZ62=0),AC62,0)</f>
        <v>0</v>
      </c>
      <c r="CI62" s="175">
        <f>IF(AND(Input_Product=Elig!$C62,Elig_MatchAll_Ct&lt;22,$BC62=(Elig_MatchAll_Ct-1),BA62=0),AD62,0)</f>
        <v>0</v>
      </c>
      <c r="CJ62" s="177">
        <f>IF(AND(Input_Product=Elig!$C62,Elig_MatchAll_Ct&lt;22,$BC62=(Elig_MatchAll_Ct-1),BA62=0),AE62,0)</f>
        <v>0</v>
      </c>
    </row>
    <row r="63" spans="1:88" ht="10.15" customHeight="1" x14ac:dyDescent="0.25">
      <c r="A63" s="1419" t="s">
        <v>76</v>
      </c>
      <c r="B63" s="1419" t="s">
        <v>764</v>
      </c>
      <c r="C63" s="116" t="str">
        <f t="shared" si="1"/>
        <v>NonQM OO</v>
      </c>
      <c r="D63" s="117" t="s">
        <v>1995</v>
      </c>
      <c r="E63" s="117" t="s">
        <v>166</v>
      </c>
      <c r="F63" s="117" t="s">
        <v>330</v>
      </c>
      <c r="G63" s="117" t="s">
        <v>302</v>
      </c>
      <c r="H63" s="117" t="s">
        <v>135</v>
      </c>
      <c r="I63" s="118" t="s">
        <v>273</v>
      </c>
      <c r="J63" s="118" t="s">
        <v>1130</v>
      </c>
      <c r="K63" s="118" t="s">
        <v>1398</v>
      </c>
      <c r="L63" s="117" t="s">
        <v>2025</v>
      </c>
      <c r="M63" s="117" t="s">
        <v>2289</v>
      </c>
      <c r="N63" s="117" t="s">
        <v>82</v>
      </c>
      <c r="O63" s="117" t="s">
        <v>309</v>
      </c>
      <c r="P63" s="117" t="s">
        <v>2433</v>
      </c>
      <c r="Q63" s="117" t="s">
        <v>293</v>
      </c>
      <c r="R63" s="117">
        <v>1000000.01</v>
      </c>
      <c r="S63" s="117">
        <v>1500000</v>
      </c>
      <c r="T63" s="117">
        <v>0</v>
      </c>
      <c r="U63" s="117">
        <v>0</v>
      </c>
      <c r="V63" s="117">
        <v>0</v>
      </c>
      <c r="W63" s="117">
        <v>55</v>
      </c>
      <c r="X63" s="117">
        <v>0</v>
      </c>
      <c r="Y63" s="117">
        <v>999</v>
      </c>
      <c r="Z63" s="119">
        <v>680</v>
      </c>
      <c r="AA63" s="119">
        <v>699</v>
      </c>
      <c r="AB63" s="1877">
        <v>0</v>
      </c>
      <c r="AC63" s="119">
        <v>999999</v>
      </c>
      <c r="AD63" s="117">
        <v>0</v>
      </c>
      <c r="AE63" s="117">
        <v>85</v>
      </c>
      <c r="AF63" s="144">
        <v>0</v>
      </c>
      <c r="AG63" s="145">
        <v>1</v>
      </c>
      <c r="AH63" s="145">
        <v>1</v>
      </c>
      <c r="AI63" s="145">
        <v>0</v>
      </c>
      <c r="AJ63" s="145">
        <v>0</v>
      </c>
      <c r="AK63" s="145">
        <v>1</v>
      </c>
      <c r="AL63" s="145">
        <v>1</v>
      </c>
      <c r="AM63" s="145">
        <v>1</v>
      </c>
      <c r="AN63" s="145">
        <v>1</v>
      </c>
      <c r="AO63" s="145">
        <v>1</v>
      </c>
      <c r="AP63" s="145">
        <v>1</v>
      </c>
      <c r="AQ63" s="145">
        <v>0</v>
      </c>
      <c r="AR63" s="145">
        <v>1</v>
      </c>
      <c r="AS63" s="145">
        <v>1</v>
      </c>
      <c r="AT63" s="145">
        <v>1</v>
      </c>
      <c r="AU63" s="145">
        <f t="shared" si="19"/>
        <v>0</v>
      </c>
      <c r="AV63" s="145">
        <f t="shared" si="20"/>
        <v>1</v>
      </c>
      <c r="AW63" s="145">
        <f t="shared" si="21"/>
        <v>1</v>
      </c>
      <c r="AX63" s="145">
        <f t="shared" si="5"/>
        <v>1</v>
      </c>
      <c r="AY63" s="145">
        <f t="shared" si="22"/>
        <v>0</v>
      </c>
      <c r="AZ63" s="145">
        <f t="shared" si="23"/>
        <v>1</v>
      </c>
      <c r="BA63" s="146">
        <f t="shared" si="24"/>
        <v>1</v>
      </c>
      <c r="BB63" s="149">
        <f t="shared" ref="BB63:BB118" si="25">SUM(AF63:BA63)</f>
        <v>16</v>
      </c>
      <c r="BC63" s="150">
        <f t="shared" ref="BC63:BC118" si="26">SUM(AF63:AZ63)</f>
        <v>15</v>
      </c>
      <c r="BD63" s="150">
        <f t="shared" ref="BD63:BD118" si="27">SUM(AG63:BA63)</f>
        <v>16</v>
      </c>
      <c r="BE63" s="211" t="str">
        <f t="shared" ref="BE63:BE118" si="28">IF(BD63=21,C63,"")</f>
        <v/>
      </c>
      <c r="BH63" s="172">
        <f>IF(AND(Input_Product=Elig!$C63,Elig_MatchAll_Ct&lt;22,$BC63=(Elig_MatchAll_Ct-1),AF63=0),C63,0)</f>
        <v>0</v>
      </c>
      <c r="BI63" s="173">
        <f>IF(AND(Input_Product=Elig!$C63,Elig_MatchAll_Ct&lt;22,$BC63=(Elig_MatchAll_Ct-1),AG63=0),D63,0)</f>
        <v>0</v>
      </c>
      <c r="BJ63" s="173">
        <f>IF(AND(Input_Product=Elig!$C63,Elig_MatchAll_Ct&lt;22,$BC63=(Elig_MatchAll_Ct-1),AH63=0),E63,0)</f>
        <v>0</v>
      </c>
      <c r="BK63" s="173">
        <f>IF(AND(Input_Product=Elig!$C63,Elig_MatchAll_Ct&lt;22,$BC63=(Elig_MatchAll_Ct-1),AI63=0),F63,0)</f>
        <v>0</v>
      </c>
      <c r="BL63" s="173">
        <f>IF(AND(Input_Product=Elig!$C63,Elig_MatchAll_Ct&lt;22,$BC63=(Elig_MatchAll_Ct-1),AJ63=0),G63,0)</f>
        <v>0</v>
      </c>
      <c r="BM63" s="173">
        <f>IF(AND(Input_Product=Elig!$C63,Elig_MatchAll_Ct&lt;22,$BC63=(Elig_MatchAll_Ct-1),AK63=0),H63,0)</f>
        <v>0</v>
      </c>
      <c r="BN63" s="173">
        <f>IF(AND(Input_Product=Elig!$C63,Elig_MatchAll_Ct&lt;22,$BC63=(Elig_MatchAll_Ct-1),AL63=0),I63,0)</f>
        <v>0</v>
      </c>
      <c r="BO63" s="173">
        <f>IF(AND(Input_Product=Elig!$C63,Elig_MatchAll_Ct&lt;22,$BC63=(Elig_MatchAll_Ct-1),AM63=0),J63,0)</f>
        <v>0</v>
      </c>
      <c r="BP63" s="173">
        <f>IF(AND(Input_Product=Elig!$C63,Elig_MatchAll_Ct&lt;22,$BC63=(Elig_MatchAll_Ct-1),AN63=0),K63,0)</f>
        <v>0</v>
      </c>
      <c r="BQ63" s="173">
        <f>IF(AND(Input_Product=Elig!$C63,Elig_MatchAll_Ct&lt;22,$BC63=(Elig_MatchAll_Ct-1),AP63=0),L63,0)</f>
        <v>0</v>
      </c>
      <c r="BR63" s="173">
        <f>IF(AND(Input_Product=Elig!$C63,Elig_MatchAll_Ct&lt;22,$BC63=(Elig_MatchAll_Ct-1),AO63=0),M63,0)</f>
        <v>0</v>
      </c>
      <c r="BS63" s="173">
        <f>IF(AND(Input_Product=Elig!$C63,Elig_MatchAll_Ct&lt;22,$BC63=(Elig_MatchAll_Ct-1),AQ63=0),N63,0)</f>
        <v>0</v>
      </c>
      <c r="BT63" s="173">
        <f>IF(AND(Input_Product=Elig!$C63,Elig_MatchAll_Ct&lt;22,$BC63=(Elig_MatchAll_Ct-1),AR63=0),O63,0)</f>
        <v>0</v>
      </c>
      <c r="BU63" s="173">
        <f>IF(AND(Input_Product=Elig!$C63,Elig_MatchAll_Ct&lt;22,$BC63=(Elig_MatchAll_Ct-1),AS63=0),P63,0)</f>
        <v>0</v>
      </c>
      <c r="BV63" s="174">
        <f>IF(AND(Input_Product=Elig!$C63,Elig_MatchAll_Ct&lt;22,$BC63=(Elig_MatchAll_Ct-1),AT63=0),Q63,0)</f>
        <v>0</v>
      </c>
      <c r="BW63" s="175">
        <f>IF(AND(Input_Product=Elig!$C63,Elig_MatchAll_Ct&lt;22,$BC63=(Elig_MatchAll_Ct-1),AU63=0),R63,0)</f>
        <v>0</v>
      </c>
      <c r="BX63" s="176">
        <f>IF(AND(Input_Product=Elig!$C63,Elig_MatchAll_Ct&lt;22,$BC63=(Elig_MatchAll_Ct-1),AU63=0),S63,0)</f>
        <v>0</v>
      </c>
      <c r="BY63" s="175">
        <f>IF(AND(Input_Product=Elig!$C63,Elig_MatchAll_Ct&lt;22,$BC63=(Elig_MatchAll_Ct-1),AV63=0),T63,0)</f>
        <v>0</v>
      </c>
      <c r="BZ63" s="176">
        <f>IF(AND(Input_Product=Elig!$C63,Elig_MatchAll_Ct&lt;22,$BC63=(Elig_MatchAll_Ct-1),AV63=0),U63,0)</f>
        <v>0</v>
      </c>
      <c r="CA63" s="175">
        <f>IF(AND(Input_Product=Elig!$C63,Elig_MatchAll_Ct&lt;22,$BC63=(Elig_MatchAll_Ct-1),AW63=0),V63,0)</f>
        <v>0</v>
      </c>
      <c r="CB63" s="176">
        <f>IF(AND(Input_Product=Elig!$C63,Elig_MatchAll_Ct&lt;22,$BC63=(Elig_MatchAll_Ct-1),AW63=0),W63,0)</f>
        <v>0</v>
      </c>
      <c r="CC63" s="175">
        <f>IF(AND(Input_Product=Elig!$C63,Elig_MatchAll_Ct&lt;22,$BC63=(Elig_MatchAll_Ct-1),AX63=0),X63,0)</f>
        <v>0</v>
      </c>
      <c r="CD63" s="176">
        <f>IF(AND(Input_Product=Elig!$C63,Elig_MatchAll_Ct&lt;22,$BC63=(Elig_MatchAll_Ct-1),AX63=0),Y63,0)</f>
        <v>0</v>
      </c>
      <c r="CE63" s="175">
        <f>IF(AND(Input_LTV&lt;=AE63,Input_Product=Elig!$C63,Elig_MatchAll_Ct&lt;22,$BC63=(Elig_MatchAll_Ct-1),AY63=0),Z63,0)</f>
        <v>0</v>
      </c>
      <c r="CF63" s="176">
        <f>IF(AND(Input_LTV&lt;=AE63,Input_Product=Elig!$C63,Elig_MatchAll_Ct&lt;22,$BC63=(Elig_MatchAll_Ct-1),AY63=0),AA63,0)</f>
        <v>0</v>
      </c>
      <c r="CG63" s="175">
        <f>IF(AND(Input_Product=Elig!$C63,Elig_MatchAll_Ct&lt;22,$BC63=(Elig_MatchAll_Ct-1),AZ63=0),AB63,0)</f>
        <v>0</v>
      </c>
      <c r="CH63" s="176">
        <f>IF(AND(Input_Product=Elig!$C63,Elig_MatchAll_Ct&lt;22,$BC63=(Elig_MatchAll_Ct-1),AZ63=0),AC63,0)</f>
        <v>0</v>
      </c>
      <c r="CI63" s="175">
        <f>IF(AND(Input_Product=Elig!$C63,Elig_MatchAll_Ct&lt;22,$BC63=(Elig_MatchAll_Ct-1),BA63=0),AD63,0)</f>
        <v>0</v>
      </c>
      <c r="CJ63" s="177">
        <f>IF(AND(Input_Product=Elig!$C63,Elig_MatchAll_Ct&lt;22,$BC63=(Elig_MatchAll_Ct-1),BA63=0),AE63,0)</f>
        <v>0</v>
      </c>
    </row>
    <row r="64" spans="1:88" ht="10.15" customHeight="1" x14ac:dyDescent="0.25">
      <c r="A64" s="1419" t="s">
        <v>76</v>
      </c>
      <c r="B64" s="1419" t="s">
        <v>765</v>
      </c>
      <c r="C64" s="116" t="str">
        <f t="shared" si="1"/>
        <v>NonQM OO</v>
      </c>
      <c r="D64" s="117" t="s">
        <v>1995</v>
      </c>
      <c r="E64" s="117" t="s">
        <v>166</v>
      </c>
      <c r="F64" s="117" t="s">
        <v>330</v>
      </c>
      <c r="G64" s="117" t="s">
        <v>302</v>
      </c>
      <c r="H64" s="117" t="s">
        <v>135</v>
      </c>
      <c r="I64" s="117" t="s">
        <v>273</v>
      </c>
      <c r="J64" s="117" t="s">
        <v>1130</v>
      </c>
      <c r="K64" s="117" t="s">
        <v>1398</v>
      </c>
      <c r="L64" s="117" t="s">
        <v>2025</v>
      </c>
      <c r="M64" s="117" t="s">
        <v>2289</v>
      </c>
      <c r="N64" s="117" t="s">
        <v>82</v>
      </c>
      <c r="O64" s="117" t="s">
        <v>309</v>
      </c>
      <c r="P64" s="117" t="s">
        <v>2433</v>
      </c>
      <c r="Q64" s="117" t="s">
        <v>293</v>
      </c>
      <c r="R64" s="117">
        <v>1000000.01</v>
      </c>
      <c r="S64" s="117">
        <v>1500000</v>
      </c>
      <c r="T64" s="117">
        <v>0</v>
      </c>
      <c r="U64" s="117">
        <v>0</v>
      </c>
      <c r="V64" s="117">
        <v>0</v>
      </c>
      <c r="W64" s="117">
        <v>55</v>
      </c>
      <c r="X64" s="117">
        <v>0</v>
      </c>
      <c r="Y64" s="117">
        <v>999</v>
      </c>
      <c r="Z64" s="119">
        <v>660</v>
      </c>
      <c r="AA64" s="119">
        <v>679</v>
      </c>
      <c r="AB64" s="1877">
        <v>0</v>
      </c>
      <c r="AC64" s="119">
        <v>999999</v>
      </c>
      <c r="AD64" s="117">
        <v>0</v>
      </c>
      <c r="AE64" s="117">
        <v>80</v>
      </c>
      <c r="AF64" s="144">
        <v>0</v>
      </c>
      <c r="AG64" s="145">
        <v>1</v>
      </c>
      <c r="AH64" s="145">
        <v>1</v>
      </c>
      <c r="AI64" s="145">
        <v>0</v>
      </c>
      <c r="AJ64" s="145">
        <v>0</v>
      </c>
      <c r="AK64" s="145">
        <v>1</v>
      </c>
      <c r="AL64" s="145">
        <v>1</v>
      </c>
      <c r="AM64" s="145">
        <v>1</v>
      </c>
      <c r="AN64" s="145">
        <v>1</v>
      </c>
      <c r="AO64" s="145">
        <v>1</v>
      </c>
      <c r="AP64" s="145">
        <v>1</v>
      </c>
      <c r="AQ64" s="145">
        <v>0</v>
      </c>
      <c r="AR64" s="145">
        <v>1</v>
      </c>
      <c r="AS64" s="145">
        <v>1</v>
      </c>
      <c r="AT64" s="145">
        <v>1</v>
      </c>
      <c r="AU64" s="145">
        <f t="shared" si="19"/>
        <v>0</v>
      </c>
      <c r="AV64" s="145">
        <f t="shared" si="20"/>
        <v>1</v>
      </c>
      <c r="AW64" s="145">
        <f t="shared" si="21"/>
        <v>1</v>
      </c>
      <c r="AX64" s="145">
        <f t="shared" si="5"/>
        <v>1</v>
      </c>
      <c r="AY64" s="145">
        <f t="shared" si="22"/>
        <v>0</v>
      </c>
      <c r="AZ64" s="145">
        <f t="shared" si="23"/>
        <v>1</v>
      </c>
      <c r="BA64" s="146">
        <f t="shared" si="24"/>
        <v>1</v>
      </c>
      <c r="BB64" s="149">
        <f t="shared" si="25"/>
        <v>16</v>
      </c>
      <c r="BC64" s="150">
        <f t="shared" si="26"/>
        <v>15</v>
      </c>
      <c r="BD64" s="150">
        <f t="shared" si="27"/>
        <v>16</v>
      </c>
      <c r="BE64" s="211" t="str">
        <f t="shared" si="28"/>
        <v/>
      </c>
      <c r="BH64" s="172">
        <f>IF(AND(Input_Product=Elig!$C64,Elig_MatchAll_Ct&lt;22,$BC64=(Elig_MatchAll_Ct-1),AF64=0),C64,0)</f>
        <v>0</v>
      </c>
      <c r="BI64" s="173">
        <f>IF(AND(Input_Product=Elig!$C64,Elig_MatchAll_Ct&lt;22,$BC64=(Elig_MatchAll_Ct-1),AG64=0),D64,0)</f>
        <v>0</v>
      </c>
      <c r="BJ64" s="173">
        <f>IF(AND(Input_Product=Elig!$C64,Elig_MatchAll_Ct&lt;22,$BC64=(Elig_MatchAll_Ct-1),AH64=0),E64,0)</f>
        <v>0</v>
      </c>
      <c r="BK64" s="173">
        <f>IF(AND(Input_Product=Elig!$C64,Elig_MatchAll_Ct&lt;22,$BC64=(Elig_MatchAll_Ct-1),AI64=0),F64,0)</f>
        <v>0</v>
      </c>
      <c r="BL64" s="173">
        <f>IF(AND(Input_Product=Elig!$C64,Elig_MatchAll_Ct&lt;22,$BC64=(Elig_MatchAll_Ct-1),AJ64=0),G64,0)</f>
        <v>0</v>
      </c>
      <c r="BM64" s="173">
        <f>IF(AND(Input_Product=Elig!$C64,Elig_MatchAll_Ct&lt;22,$BC64=(Elig_MatchAll_Ct-1),AK64=0),H64,0)</f>
        <v>0</v>
      </c>
      <c r="BN64" s="173">
        <f>IF(AND(Input_Product=Elig!$C64,Elig_MatchAll_Ct&lt;22,$BC64=(Elig_MatchAll_Ct-1),AL64=0),I64,0)</f>
        <v>0</v>
      </c>
      <c r="BO64" s="173">
        <f>IF(AND(Input_Product=Elig!$C64,Elig_MatchAll_Ct&lt;22,$BC64=(Elig_MatchAll_Ct-1),AM64=0),J64,0)</f>
        <v>0</v>
      </c>
      <c r="BP64" s="173">
        <f>IF(AND(Input_Product=Elig!$C64,Elig_MatchAll_Ct&lt;22,$BC64=(Elig_MatchAll_Ct-1),AN64=0),K64,0)</f>
        <v>0</v>
      </c>
      <c r="BQ64" s="173">
        <f>IF(AND(Input_Product=Elig!$C64,Elig_MatchAll_Ct&lt;22,$BC64=(Elig_MatchAll_Ct-1),AP64=0),L64,0)</f>
        <v>0</v>
      </c>
      <c r="BR64" s="173">
        <f>IF(AND(Input_Product=Elig!$C64,Elig_MatchAll_Ct&lt;22,$BC64=(Elig_MatchAll_Ct-1),AO64=0),M64,0)</f>
        <v>0</v>
      </c>
      <c r="BS64" s="173">
        <f>IF(AND(Input_Product=Elig!$C64,Elig_MatchAll_Ct&lt;22,$BC64=(Elig_MatchAll_Ct-1),AQ64=0),N64,0)</f>
        <v>0</v>
      </c>
      <c r="BT64" s="173">
        <f>IF(AND(Input_Product=Elig!$C64,Elig_MatchAll_Ct&lt;22,$BC64=(Elig_MatchAll_Ct-1),AR64=0),O64,0)</f>
        <v>0</v>
      </c>
      <c r="BU64" s="173">
        <f>IF(AND(Input_Product=Elig!$C64,Elig_MatchAll_Ct&lt;22,$BC64=(Elig_MatchAll_Ct-1),AS64=0),P64,0)</f>
        <v>0</v>
      </c>
      <c r="BV64" s="174">
        <f>IF(AND(Input_Product=Elig!$C64,Elig_MatchAll_Ct&lt;22,$BC64=(Elig_MatchAll_Ct-1),AT64=0),Q64,0)</f>
        <v>0</v>
      </c>
      <c r="BW64" s="175">
        <f>IF(AND(Input_Product=Elig!$C64,Elig_MatchAll_Ct&lt;22,$BC64=(Elig_MatchAll_Ct-1),AU64=0),R64,0)</f>
        <v>0</v>
      </c>
      <c r="BX64" s="176">
        <f>IF(AND(Input_Product=Elig!$C64,Elig_MatchAll_Ct&lt;22,$BC64=(Elig_MatchAll_Ct-1),AU64=0),S64,0)</f>
        <v>0</v>
      </c>
      <c r="BY64" s="175">
        <f>IF(AND(Input_Product=Elig!$C64,Elig_MatchAll_Ct&lt;22,$BC64=(Elig_MatchAll_Ct-1),AV64=0),T64,0)</f>
        <v>0</v>
      </c>
      <c r="BZ64" s="176">
        <f>IF(AND(Input_Product=Elig!$C64,Elig_MatchAll_Ct&lt;22,$BC64=(Elig_MatchAll_Ct-1),AV64=0),U64,0)</f>
        <v>0</v>
      </c>
      <c r="CA64" s="175">
        <f>IF(AND(Input_Product=Elig!$C64,Elig_MatchAll_Ct&lt;22,$BC64=(Elig_MatchAll_Ct-1),AW64=0),V64,0)</f>
        <v>0</v>
      </c>
      <c r="CB64" s="176">
        <f>IF(AND(Input_Product=Elig!$C64,Elig_MatchAll_Ct&lt;22,$BC64=(Elig_MatchAll_Ct-1),AW64=0),W64,0)</f>
        <v>0</v>
      </c>
      <c r="CC64" s="175">
        <f>IF(AND(Input_Product=Elig!$C64,Elig_MatchAll_Ct&lt;22,$BC64=(Elig_MatchAll_Ct-1),AX64=0),X64,0)</f>
        <v>0</v>
      </c>
      <c r="CD64" s="176">
        <f>IF(AND(Input_Product=Elig!$C64,Elig_MatchAll_Ct&lt;22,$BC64=(Elig_MatchAll_Ct-1),AX64=0),Y64,0)</f>
        <v>0</v>
      </c>
      <c r="CE64" s="175">
        <f>IF(AND(Input_LTV&lt;=AE64,Input_Product=Elig!$C64,Elig_MatchAll_Ct&lt;22,$BC64=(Elig_MatchAll_Ct-1),AY64=0),Z64,0)</f>
        <v>0</v>
      </c>
      <c r="CF64" s="176">
        <f>IF(AND(Input_LTV&lt;=AE64,Input_Product=Elig!$C64,Elig_MatchAll_Ct&lt;22,$BC64=(Elig_MatchAll_Ct-1),AY64=0),AA64,0)</f>
        <v>0</v>
      </c>
      <c r="CG64" s="175">
        <f>IF(AND(Input_Product=Elig!$C64,Elig_MatchAll_Ct&lt;22,$BC64=(Elig_MatchAll_Ct-1),AZ64=0),AB64,0)</f>
        <v>0</v>
      </c>
      <c r="CH64" s="176">
        <f>IF(AND(Input_Product=Elig!$C64,Elig_MatchAll_Ct&lt;22,$BC64=(Elig_MatchAll_Ct-1),AZ64=0),AC64,0)</f>
        <v>0</v>
      </c>
      <c r="CI64" s="175">
        <f>IF(AND(Input_Product=Elig!$C64,Elig_MatchAll_Ct&lt;22,$BC64=(Elig_MatchAll_Ct-1),BA64=0),AD64,0)</f>
        <v>0</v>
      </c>
      <c r="CJ64" s="177">
        <f>IF(AND(Input_Product=Elig!$C64,Elig_MatchAll_Ct&lt;22,$BC64=(Elig_MatchAll_Ct-1),BA64=0),AE64,0)</f>
        <v>0</v>
      </c>
    </row>
    <row r="65" spans="1:88" ht="10.15" customHeight="1" x14ac:dyDescent="0.25">
      <c r="A65" s="1419" t="s">
        <v>76</v>
      </c>
      <c r="B65" s="1419" t="s">
        <v>766</v>
      </c>
      <c r="C65" s="116" t="str">
        <f t="shared" si="1"/>
        <v>NonQM OO</v>
      </c>
      <c r="D65" s="117" t="s">
        <v>1995</v>
      </c>
      <c r="E65" s="117" t="s">
        <v>166</v>
      </c>
      <c r="F65" s="117" t="s">
        <v>330</v>
      </c>
      <c r="G65" s="117" t="s">
        <v>302</v>
      </c>
      <c r="H65" s="117" t="s">
        <v>135</v>
      </c>
      <c r="I65" s="117" t="s">
        <v>273</v>
      </c>
      <c r="J65" s="117" t="s">
        <v>1130</v>
      </c>
      <c r="K65" s="117" t="s">
        <v>1398</v>
      </c>
      <c r="L65" s="117" t="s">
        <v>2025</v>
      </c>
      <c r="M65" s="117" t="s">
        <v>2289</v>
      </c>
      <c r="N65" s="117" t="s">
        <v>82</v>
      </c>
      <c r="O65" s="117" t="s">
        <v>309</v>
      </c>
      <c r="P65" s="117" t="s">
        <v>2433</v>
      </c>
      <c r="Q65" s="117" t="s">
        <v>293</v>
      </c>
      <c r="R65" s="117">
        <v>1000000.01</v>
      </c>
      <c r="S65" s="117">
        <v>1500000</v>
      </c>
      <c r="T65" s="117">
        <v>0</v>
      </c>
      <c r="U65" s="117">
        <v>0</v>
      </c>
      <c r="V65" s="117">
        <v>0</v>
      </c>
      <c r="W65" s="117">
        <v>55</v>
      </c>
      <c r="X65" s="117">
        <v>0</v>
      </c>
      <c r="Y65" s="117">
        <v>999</v>
      </c>
      <c r="Z65" s="119">
        <v>640</v>
      </c>
      <c r="AA65" s="119">
        <v>659</v>
      </c>
      <c r="AB65" s="1877">
        <v>0</v>
      </c>
      <c r="AC65" s="119">
        <v>999999</v>
      </c>
      <c r="AD65" s="117">
        <v>0</v>
      </c>
      <c r="AE65" s="117">
        <v>70</v>
      </c>
      <c r="AF65" s="144">
        <v>0</v>
      </c>
      <c r="AG65" s="145">
        <v>1</v>
      </c>
      <c r="AH65" s="145">
        <v>1</v>
      </c>
      <c r="AI65" s="145">
        <v>0</v>
      </c>
      <c r="AJ65" s="145">
        <v>0</v>
      </c>
      <c r="AK65" s="145">
        <v>1</v>
      </c>
      <c r="AL65" s="145">
        <v>1</v>
      </c>
      <c r="AM65" s="145">
        <v>1</v>
      </c>
      <c r="AN65" s="145">
        <v>1</v>
      </c>
      <c r="AO65" s="145">
        <v>1</v>
      </c>
      <c r="AP65" s="145">
        <v>1</v>
      </c>
      <c r="AQ65" s="145">
        <v>0</v>
      </c>
      <c r="AR65" s="145">
        <v>1</v>
      </c>
      <c r="AS65" s="145">
        <v>1</v>
      </c>
      <c r="AT65" s="145">
        <v>1</v>
      </c>
      <c r="AU65" s="145">
        <f t="shared" si="19"/>
        <v>0</v>
      </c>
      <c r="AV65" s="145">
        <f t="shared" si="20"/>
        <v>1</v>
      </c>
      <c r="AW65" s="145">
        <f t="shared" si="21"/>
        <v>1</v>
      </c>
      <c r="AX65" s="145">
        <f t="shared" si="5"/>
        <v>1</v>
      </c>
      <c r="AY65" s="145">
        <f t="shared" si="22"/>
        <v>0</v>
      </c>
      <c r="AZ65" s="145">
        <f t="shared" si="23"/>
        <v>1</v>
      </c>
      <c r="BA65" s="146">
        <f t="shared" si="24"/>
        <v>1</v>
      </c>
      <c r="BB65" s="149">
        <f t="shared" si="25"/>
        <v>16</v>
      </c>
      <c r="BC65" s="150">
        <f t="shared" si="26"/>
        <v>15</v>
      </c>
      <c r="BD65" s="150">
        <f t="shared" si="27"/>
        <v>16</v>
      </c>
      <c r="BE65" s="211" t="str">
        <f t="shared" si="28"/>
        <v/>
      </c>
      <c r="BH65" s="172">
        <f>IF(AND(Input_Product=Elig!$C65,Elig_MatchAll_Ct&lt;22,$BC65=(Elig_MatchAll_Ct-1),AF65=0),C65,0)</f>
        <v>0</v>
      </c>
      <c r="BI65" s="173">
        <f>IF(AND(Input_Product=Elig!$C65,Elig_MatchAll_Ct&lt;22,$BC65=(Elig_MatchAll_Ct-1),AG65=0),D65,0)</f>
        <v>0</v>
      </c>
      <c r="BJ65" s="173">
        <f>IF(AND(Input_Product=Elig!$C65,Elig_MatchAll_Ct&lt;22,$BC65=(Elig_MatchAll_Ct-1),AH65=0),E65,0)</f>
        <v>0</v>
      </c>
      <c r="BK65" s="173">
        <f>IF(AND(Input_Product=Elig!$C65,Elig_MatchAll_Ct&lt;22,$BC65=(Elig_MatchAll_Ct-1),AI65=0),F65,0)</f>
        <v>0</v>
      </c>
      <c r="BL65" s="173">
        <f>IF(AND(Input_Product=Elig!$C65,Elig_MatchAll_Ct&lt;22,$BC65=(Elig_MatchAll_Ct-1),AJ65=0),G65,0)</f>
        <v>0</v>
      </c>
      <c r="BM65" s="173">
        <f>IF(AND(Input_Product=Elig!$C65,Elig_MatchAll_Ct&lt;22,$BC65=(Elig_MatchAll_Ct-1),AK65=0),H65,0)</f>
        <v>0</v>
      </c>
      <c r="BN65" s="173">
        <f>IF(AND(Input_Product=Elig!$C65,Elig_MatchAll_Ct&lt;22,$BC65=(Elig_MatchAll_Ct-1),AL65=0),I65,0)</f>
        <v>0</v>
      </c>
      <c r="BO65" s="173">
        <f>IF(AND(Input_Product=Elig!$C65,Elig_MatchAll_Ct&lt;22,$BC65=(Elig_MatchAll_Ct-1),AM65=0),J65,0)</f>
        <v>0</v>
      </c>
      <c r="BP65" s="173">
        <f>IF(AND(Input_Product=Elig!$C65,Elig_MatchAll_Ct&lt;22,$BC65=(Elig_MatchAll_Ct-1),AN65=0),K65,0)</f>
        <v>0</v>
      </c>
      <c r="BQ65" s="173">
        <f>IF(AND(Input_Product=Elig!$C65,Elig_MatchAll_Ct&lt;22,$BC65=(Elig_MatchAll_Ct-1),AP65=0),L65,0)</f>
        <v>0</v>
      </c>
      <c r="BR65" s="173">
        <f>IF(AND(Input_Product=Elig!$C65,Elig_MatchAll_Ct&lt;22,$BC65=(Elig_MatchAll_Ct-1),AO65=0),M65,0)</f>
        <v>0</v>
      </c>
      <c r="BS65" s="173">
        <f>IF(AND(Input_Product=Elig!$C65,Elig_MatchAll_Ct&lt;22,$BC65=(Elig_MatchAll_Ct-1),AQ65=0),N65,0)</f>
        <v>0</v>
      </c>
      <c r="BT65" s="173">
        <f>IF(AND(Input_Product=Elig!$C65,Elig_MatchAll_Ct&lt;22,$BC65=(Elig_MatchAll_Ct-1),AR65=0),O65,0)</f>
        <v>0</v>
      </c>
      <c r="BU65" s="173">
        <f>IF(AND(Input_Product=Elig!$C65,Elig_MatchAll_Ct&lt;22,$BC65=(Elig_MatchAll_Ct-1),AS65=0),P65,0)</f>
        <v>0</v>
      </c>
      <c r="BV65" s="174">
        <f>IF(AND(Input_Product=Elig!$C65,Elig_MatchAll_Ct&lt;22,$BC65=(Elig_MatchAll_Ct-1),AT65=0),Q65,0)</f>
        <v>0</v>
      </c>
      <c r="BW65" s="175">
        <f>IF(AND(Input_Product=Elig!$C65,Elig_MatchAll_Ct&lt;22,$BC65=(Elig_MatchAll_Ct-1),AU65=0),R65,0)</f>
        <v>0</v>
      </c>
      <c r="BX65" s="176">
        <f>IF(AND(Input_Product=Elig!$C65,Elig_MatchAll_Ct&lt;22,$BC65=(Elig_MatchAll_Ct-1),AU65=0),S65,0)</f>
        <v>0</v>
      </c>
      <c r="BY65" s="175">
        <f>IF(AND(Input_Product=Elig!$C65,Elig_MatchAll_Ct&lt;22,$BC65=(Elig_MatchAll_Ct-1),AV65=0),T65,0)</f>
        <v>0</v>
      </c>
      <c r="BZ65" s="176">
        <f>IF(AND(Input_Product=Elig!$C65,Elig_MatchAll_Ct&lt;22,$BC65=(Elig_MatchAll_Ct-1),AV65=0),U65,0)</f>
        <v>0</v>
      </c>
      <c r="CA65" s="175">
        <f>IF(AND(Input_Product=Elig!$C65,Elig_MatchAll_Ct&lt;22,$BC65=(Elig_MatchAll_Ct-1),AW65=0),V65,0)</f>
        <v>0</v>
      </c>
      <c r="CB65" s="176">
        <f>IF(AND(Input_Product=Elig!$C65,Elig_MatchAll_Ct&lt;22,$BC65=(Elig_MatchAll_Ct-1),AW65=0),W65,0)</f>
        <v>0</v>
      </c>
      <c r="CC65" s="175">
        <f>IF(AND(Input_Product=Elig!$C65,Elig_MatchAll_Ct&lt;22,$BC65=(Elig_MatchAll_Ct-1),AX65=0),X65,0)</f>
        <v>0</v>
      </c>
      <c r="CD65" s="176">
        <f>IF(AND(Input_Product=Elig!$C65,Elig_MatchAll_Ct&lt;22,$BC65=(Elig_MatchAll_Ct-1),AX65=0),Y65,0)</f>
        <v>0</v>
      </c>
      <c r="CE65" s="175">
        <f>IF(AND(Input_LTV&lt;=AE65,Input_Product=Elig!$C65,Elig_MatchAll_Ct&lt;22,$BC65=(Elig_MatchAll_Ct-1),AY65=0),Z65,0)</f>
        <v>0</v>
      </c>
      <c r="CF65" s="176">
        <f>IF(AND(Input_LTV&lt;=AE65,Input_Product=Elig!$C65,Elig_MatchAll_Ct&lt;22,$BC65=(Elig_MatchAll_Ct-1),AY65=0),AA65,0)</f>
        <v>0</v>
      </c>
      <c r="CG65" s="175">
        <f>IF(AND(Input_Product=Elig!$C65,Elig_MatchAll_Ct&lt;22,$BC65=(Elig_MatchAll_Ct-1),AZ65=0),AB65,0)</f>
        <v>0</v>
      </c>
      <c r="CH65" s="176">
        <f>IF(AND(Input_Product=Elig!$C65,Elig_MatchAll_Ct&lt;22,$BC65=(Elig_MatchAll_Ct-1),AZ65=0),AC65,0)</f>
        <v>0</v>
      </c>
      <c r="CI65" s="175">
        <f>IF(AND(Input_Product=Elig!$C65,Elig_MatchAll_Ct&lt;22,$BC65=(Elig_MatchAll_Ct-1),BA65=0),AD65,0)</f>
        <v>0</v>
      </c>
      <c r="CJ65" s="177">
        <f>IF(AND(Input_Product=Elig!$C65,Elig_MatchAll_Ct&lt;22,$BC65=(Elig_MatchAll_Ct-1),BA65=0),AE65,0)</f>
        <v>0</v>
      </c>
    </row>
    <row r="66" spans="1:88" ht="10.15" customHeight="1" x14ac:dyDescent="0.25">
      <c r="A66" s="1419" t="s">
        <v>76</v>
      </c>
      <c r="B66" s="1419" t="s">
        <v>767</v>
      </c>
      <c r="C66" s="120" t="str">
        <f t="shared" si="1"/>
        <v>NonQM OO</v>
      </c>
      <c r="D66" s="121" t="s">
        <v>1995</v>
      </c>
      <c r="E66" s="121" t="s">
        <v>166</v>
      </c>
      <c r="F66" s="121" t="s">
        <v>330</v>
      </c>
      <c r="G66" s="121" t="s">
        <v>302</v>
      </c>
      <c r="H66" s="121" t="s">
        <v>135</v>
      </c>
      <c r="I66" s="121" t="s">
        <v>273</v>
      </c>
      <c r="J66" s="121" t="s">
        <v>1130</v>
      </c>
      <c r="K66" s="121" t="s">
        <v>1398</v>
      </c>
      <c r="L66" s="121" t="s">
        <v>2025</v>
      </c>
      <c r="M66" s="121" t="s">
        <v>2289</v>
      </c>
      <c r="N66" s="121" t="s">
        <v>82</v>
      </c>
      <c r="O66" s="121" t="s">
        <v>309</v>
      </c>
      <c r="P66" s="121" t="s">
        <v>2433</v>
      </c>
      <c r="Q66" s="121" t="s">
        <v>293</v>
      </c>
      <c r="R66" s="121">
        <v>1000000.01</v>
      </c>
      <c r="S66" s="121">
        <v>1500000</v>
      </c>
      <c r="T66" s="121">
        <v>0</v>
      </c>
      <c r="U66" s="121">
        <v>0</v>
      </c>
      <c r="V66" s="121">
        <v>0</v>
      </c>
      <c r="W66" s="121">
        <v>55</v>
      </c>
      <c r="X66" s="121">
        <v>0</v>
      </c>
      <c r="Y66" s="121">
        <v>999</v>
      </c>
      <c r="Z66" s="122">
        <v>620</v>
      </c>
      <c r="AA66" s="122">
        <v>639</v>
      </c>
      <c r="AB66" s="1878">
        <v>0</v>
      </c>
      <c r="AC66" s="122">
        <v>999999</v>
      </c>
      <c r="AD66" s="121">
        <v>0</v>
      </c>
      <c r="AE66" s="121">
        <v>70</v>
      </c>
      <c r="AF66" s="144">
        <v>0</v>
      </c>
      <c r="AG66" s="145">
        <v>1</v>
      </c>
      <c r="AH66" s="145">
        <v>1</v>
      </c>
      <c r="AI66" s="145">
        <v>0</v>
      </c>
      <c r="AJ66" s="145">
        <v>0</v>
      </c>
      <c r="AK66" s="145">
        <v>1</v>
      </c>
      <c r="AL66" s="145">
        <v>1</v>
      </c>
      <c r="AM66" s="145">
        <v>1</v>
      </c>
      <c r="AN66" s="145">
        <v>1</v>
      </c>
      <c r="AO66" s="145">
        <v>1</v>
      </c>
      <c r="AP66" s="145">
        <v>1</v>
      </c>
      <c r="AQ66" s="145">
        <v>0</v>
      </c>
      <c r="AR66" s="145">
        <v>1</v>
      </c>
      <c r="AS66" s="145">
        <v>1</v>
      </c>
      <c r="AT66" s="145">
        <v>1</v>
      </c>
      <c r="AU66" s="145">
        <f t="shared" si="19"/>
        <v>0</v>
      </c>
      <c r="AV66" s="145">
        <f t="shared" si="20"/>
        <v>1</v>
      </c>
      <c r="AW66" s="145">
        <f t="shared" si="21"/>
        <v>1</v>
      </c>
      <c r="AX66" s="145">
        <f t="shared" si="5"/>
        <v>1</v>
      </c>
      <c r="AY66" s="145">
        <f t="shared" si="22"/>
        <v>0</v>
      </c>
      <c r="AZ66" s="145">
        <f t="shared" si="23"/>
        <v>1</v>
      </c>
      <c r="BA66" s="146">
        <f t="shared" si="24"/>
        <v>1</v>
      </c>
      <c r="BB66" s="149">
        <f t="shared" si="25"/>
        <v>16</v>
      </c>
      <c r="BC66" s="150">
        <f t="shared" si="26"/>
        <v>15</v>
      </c>
      <c r="BD66" s="150">
        <f t="shared" si="27"/>
        <v>16</v>
      </c>
      <c r="BE66" s="211" t="str">
        <f t="shared" si="28"/>
        <v/>
      </c>
      <c r="BH66" s="178">
        <f>IF(AND(Input_Product=Elig!$C66,Elig_MatchAll_Ct&lt;22,$BC66=(Elig_MatchAll_Ct-1),AF66=0),C66,0)</f>
        <v>0</v>
      </c>
      <c r="BI66" s="179">
        <f>IF(AND(Input_Product=Elig!$C66,Elig_MatchAll_Ct&lt;22,$BC66=(Elig_MatchAll_Ct-1),AG66=0),D66,0)</f>
        <v>0</v>
      </c>
      <c r="BJ66" s="179">
        <f>IF(AND(Input_Product=Elig!$C66,Elig_MatchAll_Ct&lt;22,$BC66=(Elig_MatchAll_Ct-1),AH66=0),E66,0)</f>
        <v>0</v>
      </c>
      <c r="BK66" s="179">
        <f>IF(AND(Input_Product=Elig!$C66,Elig_MatchAll_Ct&lt;22,$BC66=(Elig_MatchAll_Ct-1),AI66=0),F66,0)</f>
        <v>0</v>
      </c>
      <c r="BL66" s="179">
        <f>IF(AND(Input_Product=Elig!$C66,Elig_MatchAll_Ct&lt;22,$BC66=(Elig_MatchAll_Ct-1),AJ66=0),G66,0)</f>
        <v>0</v>
      </c>
      <c r="BM66" s="179">
        <f>IF(AND(Input_Product=Elig!$C66,Elig_MatchAll_Ct&lt;22,$BC66=(Elig_MatchAll_Ct-1),AK66=0),H66,0)</f>
        <v>0</v>
      </c>
      <c r="BN66" s="179">
        <f>IF(AND(Input_Product=Elig!$C66,Elig_MatchAll_Ct&lt;22,$BC66=(Elig_MatchAll_Ct-1),AL66=0),I66,0)</f>
        <v>0</v>
      </c>
      <c r="BO66" s="179">
        <f>IF(AND(Input_Product=Elig!$C66,Elig_MatchAll_Ct&lt;22,$BC66=(Elig_MatchAll_Ct-1),AM66=0),J66,0)</f>
        <v>0</v>
      </c>
      <c r="BP66" s="179">
        <f>IF(AND(Input_Product=Elig!$C66,Elig_MatchAll_Ct&lt;22,$BC66=(Elig_MatchAll_Ct-1),AN66=0),K66,0)</f>
        <v>0</v>
      </c>
      <c r="BQ66" s="179">
        <f>IF(AND(Input_Product=Elig!$C66,Elig_MatchAll_Ct&lt;22,$BC66=(Elig_MatchAll_Ct-1),AP66=0),L66,0)</f>
        <v>0</v>
      </c>
      <c r="BR66" s="179">
        <f>IF(AND(Input_Product=Elig!$C66,Elig_MatchAll_Ct&lt;22,$BC66=(Elig_MatchAll_Ct-1),AO66=0),M66,0)</f>
        <v>0</v>
      </c>
      <c r="BS66" s="179">
        <f>IF(AND(Input_Product=Elig!$C66,Elig_MatchAll_Ct&lt;22,$BC66=(Elig_MatchAll_Ct-1),AQ66=0),N66,0)</f>
        <v>0</v>
      </c>
      <c r="BT66" s="179">
        <f>IF(AND(Input_Product=Elig!$C66,Elig_MatchAll_Ct&lt;22,$BC66=(Elig_MatchAll_Ct-1),AR66=0),O66,0)</f>
        <v>0</v>
      </c>
      <c r="BU66" s="179">
        <f>IF(AND(Input_Product=Elig!$C66,Elig_MatchAll_Ct&lt;22,$BC66=(Elig_MatchAll_Ct-1),AS66=0),P66,0)</f>
        <v>0</v>
      </c>
      <c r="BV66" s="180">
        <f>IF(AND(Input_Product=Elig!$C66,Elig_MatchAll_Ct&lt;22,$BC66=(Elig_MatchAll_Ct-1),AT66=0),Q66,0)</f>
        <v>0</v>
      </c>
      <c r="BW66" s="181">
        <f>IF(AND(Input_Product=Elig!$C66,Elig_MatchAll_Ct&lt;22,$BC66=(Elig_MatchAll_Ct-1),AU66=0),R66,0)</f>
        <v>0</v>
      </c>
      <c r="BX66" s="182">
        <f>IF(AND(Input_Product=Elig!$C66,Elig_MatchAll_Ct&lt;22,$BC66=(Elig_MatchAll_Ct-1),AU66=0),S66,0)</f>
        <v>0</v>
      </c>
      <c r="BY66" s="181">
        <f>IF(AND(Input_Product=Elig!$C66,Elig_MatchAll_Ct&lt;22,$BC66=(Elig_MatchAll_Ct-1),AV66=0),T66,0)</f>
        <v>0</v>
      </c>
      <c r="BZ66" s="182">
        <f>IF(AND(Input_Product=Elig!$C66,Elig_MatchAll_Ct&lt;22,$BC66=(Elig_MatchAll_Ct-1),AV66=0),U66,0)</f>
        <v>0</v>
      </c>
      <c r="CA66" s="181">
        <f>IF(AND(Input_Product=Elig!$C66,Elig_MatchAll_Ct&lt;22,$BC66=(Elig_MatchAll_Ct-1),AW66=0),V66,0)</f>
        <v>0</v>
      </c>
      <c r="CB66" s="182">
        <f>IF(AND(Input_Product=Elig!$C66,Elig_MatchAll_Ct&lt;22,$BC66=(Elig_MatchAll_Ct-1),AW66=0),W66,0)</f>
        <v>0</v>
      </c>
      <c r="CC66" s="181">
        <f>IF(AND(Input_Product=Elig!$C66,Elig_MatchAll_Ct&lt;22,$BC66=(Elig_MatchAll_Ct-1),AX66=0),X66,0)</f>
        <v>0</v>
      </c>
      <c r="CD66" s="182">
        <f>IF(AND(Input_Product=Elig!$C66,Elig_MatchAll_Ct&lt;22,$BC66=(Elig_MatchAll_Ct-1),AX66=0),Y66,0)</f>
        <v>0</v>
      </c>
      <c r="CE66" s="181">
        <f>IF(AND(Input_LTV&lt;=AE66,Input_Product=Elig!$C66,Elig_MatchAll_Ct&lt;22,$BC66=(Elig_MatchAll_Ct-1),AY66=0),Z66,0)</f>
        <v>0</v>
      </c>
      <c r="CF66" s="182">
        <f>IF(AND(Input_LTV&lt;=AE66,Input_Product=Elig!$C66,Elig_MatchAll_Ct&lt;22,$BC66=(Elig_MatchAll_Ct-1),AY66=0),AA66,0)</f>
        <v>0</v>
      </c>
      <c r="CG66" s="181">
        <f>IF(AND(Input_Product=Elig!$C66,Elig_MatchAll_Ct&lt;22,$BC66=(Elig_MatchAll_Ct-1),AZ66=0),AB66,0)</f>
        <v>0</v>
      </c>
      <c r="CH66" s="182">
        <f>IF(AND(Input_Product=Elig!$C66,Elig_MatchAll_Ct&lt;22,$BC66=(Elig_MatchAll_Ct-1),AZ66=0),AC66,0)</f>
        <v>0</v>
      </c>
      <c r="CI66" s="181">
        <f>IF(AND(Input_Product=Elig!$C66,Elig_MatchAll_Ct&lt;22,$BC66=(Elig_MatchAll_Ct-1),BA66=0),AD66,0)</f>
        <v>0</v>
      </c>
      <c r="CJ66" s="183">
        <f>IF(AND(Input_Product=Elig!$C66,Elig_MatchAll_Ct&lt;22,$BC66=(Elig_MatchAll_Ct-1),BA66=0),AE66,0)</f>
        <v>0</v>
      </c>
    </row>
    <row r="67" spans="1:88" ht="10.15" customHeight="1" x14ac:dyDescent="0.25">
      <c r="A67" s="1419" t="s">
        <v>76</v>
      </c>
      <c r="B67" s="1419" t="s">
        <v>768</v>
      </c>
      <c r="C67" s="123" t="str">
        <f t="shared" si="1"/>
        <v>NonQM OO</v>
      </c>
      <c r="D67" s="124" t="s">
        <v>1995</v>
      </c>
      <c r="E67" s="125" t="s">
        <v>166</v>
      </c>
      <c r="F67" s="125" t="s">
        <v>330</v>
      </c>
      <c r="G67" s="125" t="s">
        <v>302</v>
      </c>
      <c r="H67" s="125" t="s">
        <v>135</v>
      </c>
      <c r="I67" s="124" t="s">
        <v>16</v>
      </c>
      <c r="J67" s="124" t="s">
        <v>1130</v>
      </c>
      <c r="K67" s="124" t="s">
        <v>1398</v>
      </c>
      <c r="L67" s="125" t="s">
        <v>2025</v>
      </c>
      <c r="M67" s="125" t="s">
        <v>2289</v>
      </c>
      <c r="N67" s="125" t="s">
        <v>82</v>
      </c>
      <c r="O67" s="125" t="s">
        <v>309</v>
      </c>
      <c r="P67" s="125" t="s">
        <v>2433</v>
      </c>
      <c r="Q67" s="125" t="s">
        <v>293</v>
      </c>
      <c r="R67" s="124">
        <v>1000000.01</v>
      </c>
      <c r="S67" s="124">
        <v>1500000</v>
      </c>
      <c r="T67" s="124">
        <v>0</v>
      </c>
      <c r="U67" s="124">
        <f t="shared" ref="U67:U72" si="29">S67</f>
        <v>1500000</v>
      </c>
      <c r="V67" s="124">
        <v>0</v>
      </c>
      <c r="W67" s="124">
        <v>55</v>
      </c>
      <c r="X67" s="124">
        <v>0</v>
      </c>
      <c r="Y67" s="124">
        <v>999</v>
      </c>
      <c r="Z67" s="126">
        <v>720</v>
      </c>
      <c r="AA67" s="126">
        <v>999</v>
      </c>
      <c r="AB67" s="1879">
        <v>0</v>
      </c>
      <c r="AC67" s="126">
        <v>999999</v>
      </c>
      <c r="AD67" s="124">
        <v>0</v>
      </c>
      <c r="AE67" s="124">
        <v>80</v>
      </c>
      <c r="AF67" s="144">
        <v>0</v>
      </c>
      <c r="AG67" s="145">
        <v>1</v>
      </c>
      <c r="AH67" s="145">
        <v>1</v>
      </c>
      <c r="AI67" s="145">
        <v>0</v>
      </c>
      <c r="AJ67" s="145">
        <v>0</v>
      </c>
      <c r="AK67" s="145">
        <v>1</v>
      </c>
      <c r="AL67" s="145">
        <v>0</v>
      </c>
      <c r="AM67" s="145">
        <v>1</v>
      </c>
      <c r="AN67" s="145">
        <v>1</v>
      </c>
      <c r="AO67" s="145">
        <v>1</v>
      </c>
      <c r="AP67" s="145">
        <v>1</v>
      </c>
      <c r="AQ67" s="145">
        <v>0</v>
      </c>
      <c r="AR67" s="145">
        <v>1</v>
      </c>
      <c r="AS67" s="145">
        <v>1</v>
      </c>
      <c r="AT67" s="145">
        <v>1</v>
      </c>
      <c r="AU67" s="145">
        <f t="shared" si="19"/>
        <v>0</v>
      </c>
      <c r="AV67" s="145">
        <f t="shared" si="20"/>
        <v>1</v>
      </c>
      <c r="AW67" s="145">
        <f t="shared" si="21"/>
        <v>1</v>
      </c>
      <c r="AX67" s="145">
        <f t="shared" si="5"/>
        <v>1</v>
      </c>
      <c r="AY67" s="145">
        <f t="shared" si="22"/>
        <v>1</v>
      </c>
      <c r="AZ67" s="145">
        <f t="shared" si="23"/>
        <v>1</v>
      </c>
      <c r="BA67" s="146">
        <f t="shared" si="24"/>
        <v>1</v>
      </c>
      <c r="BB67" s="149">
        <f t="shared" si="25"/>
        <v>16</v>
      </c>
      <c r="BC67" s="150">
        <f t="shared" si="26"/>
        <v>15</v>
      </c>
      <c r="BD67" s="150">
        <f t="shared" si="27"/>
        <v>16</v>
      </c>
      <c r="BE67" s="211" t="str">
        <f t="shared" si="28"/>
        <v/>
      </c>
      <c r="BH67" s="166">
        <f>IF(AND(Input_Product=Elig!$C67,Elig_MatchAll_Ct&lt;22,$BC67=(Elig_MatchAll_Ct-1),AF67=0),C67,0)</f>
        <v>0</v>
      </c>
      <c r="BI67" s="167">
        <f>IF(AND(Input_Product=Elig!$C67,Elig_MatchAll_Ct&lt;22,$BC67=(Elig_MatchAll_Ct-1),AG67=0),D67,0)</f>
        <v>0</v>
      </c>
      <c r="BJ67" s="167">
        <f>IF(AND(Input_Product=Elig!$C67,Elig_MatchAll_Ct&lt;22,$BC67=(Elig_MatchAll_Ct-1),AH67=0),E67,0)</f>
        <v>0</v>
      </c>
      <c r="BK67" s="167">
        <f>IF(AND(Input_Product=Elig!$C67,Elig_MatchAll_Ct&lt;22,$BC67=(Elig_MatchAll_Ct-1),AI67=0),F67,0)</f>
        <v>0</v>
      </c>
      <c r="BL67" s="167">
        <f>IF(AND(Input_Product=Elig!$C67,Elig_MatchAll_Ct&lt;22,$BC67=(Elig_MatchAll_Ct-1),AJ67=0),G67,0)</f>
        <v>0</v>
      </c>
      <c r="BM67" s="167">
        <f>IF(AND(Input_Product=Elig!$C67,Elig_MatchAll_Ct&lt;22,$BC67=(Elig_MatchAll_Ct-1),AK67=0),H67,0)</f>
        <v>0</v>
      </c>
      <c r="BN67" s="167">
        <f>IF(AND(Input_Product=Elig!$C67,Elig_MatchAll_Ct&lt;22,$BC67=(Elig_MatchAll_Ct-1),AL67=0),I67,0)</f>
        <v>0</v>
      </c>
      <c r="BO67" s="167">
        <f>IF(AND(Input_Product=Elig!$C67,Elig_MatchAll_Ct&lt;22,$BC67=(Elig_MatchAll_Ct-1),AM67=0),J67,0)</f>
        <v>0</v>
      </c>
      <c r="BP67" s="167">
        <f>IF(AND(Input_Product=Elig!$C67,Elig_MatchAll_Ct&lt;22,$BC67=(Elig_MatchAll_Ct-1),AN67=0),K67,0)</f>
        <v>0</v>
      </c>
      <c r="BQ67" s="167">
        <f>IF(AND(Input_Product=Elig!$C67,Elig_MatchAll_Ct&lt;22,$BC67=(Elig_MatchAll_Ct-1),AP67=0),L67,0)</f>
        <v>0</v>
      </c>
      <c r="BR67" s="167">
        <f>IF(AND(Input_Product=Elig!$C67,Elig_MatchAll_Ct&lt;22,$BC67=(Elig_MatchAll_Ct-1),AO67=0),M67,0)</f>
        <v>0</v>
      </c>
      <c r="BS67" s="167">
        <f>IF(AND(Input_Product=Elig!$C67,Elig_MatchAll_Ct&lt;22,$BC67=(Elig_MatchAll_Ct-1),AQ67=0),N67,0)</f>
        <v>0</v>
      </c>
      <c r="BT67" s="167">
        <f>IF(AND(Input_Product=Elig!$C67,Elig_MatchAll_Ct&lt;22,$BC67=(Elig_MatchAll_Ct-1),AR67=0),O67,0)</f>
        <v>0</v>
      </c>
      <c r="BU67" s="167">
        <f>IF(AND(Input_Product=Elig!$C67,Elig_MatchAll_Ct&lt;22,$BC67=(Elig_MatchAll_Ct-1),AS67=0),P67,0)</f>
        <v>0</v>
      </c>
      <c r="BV67" s="168">
        <f>IF(AND(Input_Product=Elig!$C67,Elig_MatchAll_Ct&lt;22,$BC67=(Elig_MatchAll_Ct-1),AT67=0),Q67,0)</f>
        <v>0</v>
      </c>
      <c r="BW67" s="169">
        <f>IF(AND(Input_Product=Elig!$C67,Elig_MatchAll_Ct&lt;22,$BC67=(Elig_MatchAll_Ct-1),AU67=0),R67,0)</f>
        <v>0</v>
      </c>
      <c r="BX67" s="170">
        <f>IF(AND(Input_Product=Elig!$C67,Elig_MatchAll_Ct&lt;22,$BC67=(Elig_MatchAll_Ct-1),AU67=0),S67,0)</f>
        <v>0</v>
      </c>
      <c r="BY67" s="169">
        <f>IF(AND(Input_Product=Elig!$C67,Elig_MatchAll_Ct&lt;22,$BC67=(Elig_MatchAll_Ct-1),AV67=0),T67,0)</f>
        <v>0</v>
      </c>
      <c r="BZ67" s="170">
        <f>IF(AND(Input_Product=Elig!$C67,Elig_MatchAll_Ct&lt;22,$BC67=(Elig_MatchAll_Ct-1),AV67=0),U67,0)</f>
        <v>0</v>
      </c>
      <c r="CA67" s="169">
        <f>IF(AND(Input_Product=Elig!$C67,Elig_MatchAll_Ct&lt;22,$BC67=(Elig_MatchAll_Ct-1),AW67=0),V67,0)</f>
        <v>0</v>
      </c>
      <c r="CB67" s="170">
        <f>IF(AND(Input_Product=Elig!$C67,Elig_MatchAll_Ct&lt;22,$BC67=(Elig_MatchAll_Ct-1),AW67=0),W67,0)</f>
        <v>0</v>
      </c>
      <c r="CC67" s="169">
        <f>IF(AND(Input_Product=Elig!$C67,Elig_MatchAll_Ct&lt;22,$BC67=(Elig_MatchAll_Ct-1),AX67=0),X67,0)</f>
        <v>0</v>
      </c>
      <c r="CD67" s="170">
        <f>IF(AND(Input_Product=Elig!$C67,Elig_MatchAll_Ct&lt;22,$BC67=(Elig_MatchAll_Ct-1),AX67=0),Y67,0)</f>
        <v>0</v>
      </c>
      <c r="CE67" s="169">
        <f>IF(AND(Input_LTV&lt;=AE67,Input_Product=Elig!$C67,Elig_MatchAll_Ct&lt;22,$BC67=(Elig_MatchAll_Ct-1),AY67=0),Z67,0)</f>
        <v>0</v>
      </c>
      <c r="CF67" s="170">
        <f>IF(AND(Input_LTV&lt;=AE67,Input_Product=Elig!$C67,Elig_MatchAll_Ct&lt;22,$BC67=(Elig_MatchAll_Ct-1),AY67=0),AA67,0)</f>
        <v>0</v>
      </c>
      <c r="CG67" s="169">
        <f>IF(AND(Input_Product=Elig!$C67,Elig_MatchAll_Ct&lt;22,$BC67=(Elig_MatchAll_Ct-1),AZ67=0),AB67,0)</f>
        <v>0</v>
      </c>
      <c r="CH67" s="170">
        <f>IF(AND(Input_Product=Elig!$C67,Elig_MatchAll_Ct&lt;22,$BC67=(Elig_MatchAll_Ct-1),AZ67=0),AC67,0)</f>
        <v>0</v>
      </c>
      <c r="CI67" s="169">
        <f>IF(AND(Input_Product=Elig!$C67,Elig_MatchAll_Ct&lt;22,$BC67=(Elig_MatchAll_Ct-1),BA67=0),AD67,0)</f>
        <v>0</v>
      </c>
      <c r="CJ67" s="171">
        <f>IF(AND(Input_Product=Elig!$C67,Elig_MatchAll_Ct&lt;22,$BC67=(Elig_MatchAll_Ct-1),BA67=0),AE67,0)</f>
        <v>0</v>
      </c>
    </row>
    <row r="68" spans="1:88" ht="10.15" customHeight="1" x14ac:dyDescent="0.25">
      <c r="A68" s="1419" t="s">
        <v>76</v>
      </c>
      <c r="B68" s="1419" t="s">
        <v>769</v>
      </c>
      <c r="C68" s="116" t="str">
        <f t="shared" si="1"/>
        <v>NonQM OO</v>
      </c>
      <c r="D68" s="117" t="s">
        <v>1995</v>
      </c>
      <c r="E68" s="117" t="s">
        <v>166</v>
      </c>
      <c r="F68" s="117" t="s">
        <v>330</v>
      </c>
      <c r="G68" s="117" t="s">
        <v>302</v>
      </c>
      <c r="H68" s="117" t="s">
        <v>135</v>
      </c>
      <c r="I68" s="118" t="s">
        <v>16</v>
      </c>
      <c r="J68" s="118" t="s">
        <v>1130</v>
      </c>
      <c r="K68" s="118" t="s">
        <v>1398</v>
      </c>
      <c r="L68" s="117" t="s">
        <v>2025</v>
      </c>
      <c r="M68" s="117" t="s">
        <v>2289</v>
      </c>
      <c r="N68" s="117" t="s">
        <v>82</v>
      </c>
      <c r="O68" s="117" t="s">
        <v>309</v>
      </c>
      <c r="P68" s="117" t="s">
        <v>2433</v>
      </c>
      <c r="Q68" s="117" t="s">
        <v>293</v>
      </c>
      <c r="R68" s="117">
        <v>1000000.01</v>
      </c>
      <c r="S68" s="117">
        <v>1500000</v>
      </c>
      <c r="T68" s="117">
        <v>0</v>
      </c>
      <c r="U68" s="117">
        <f t="shared" si="29"/>
        <v>1500000</v>
      </c>
      <c r="V68" s="117">
        <v>0</v>
      </c>
      <c r="W68" s="117">
        <v>55</v>
      </c>
      <c r="X68" s="117">
        <v>0</v>
      </c>
      <c r="Y68" s="117">
        <v>999</v>
      </c>
      <c r="Z68" s="119">
        <v>700</v>
      </c>
      <c r="AA68" s="119">
        <v>719</v>
      </c>
      <c r="AB68" s="1877">
        <v>0</v>
      </c>
      <c r="AC68" s="119">
        <v>999999</v>
      </c>
      <c r="AD68" s="117">
        <v>0</v>
      </c>
      <c r="AE68" s="117">
        <v>80</v>
      </c>
      <c r="AF68" s="144">
        <v>0</v>
      </c>
      <c r="AG68" s="145">
        <v>1</v>
      </c>
      <c r="AH68" s="145">
        <v>1</v>
      </c>
      <c r="AI68" s="145">
        <v>0</v>
      </c>
      <c r="AJ68" s="145">
        <v>0</v>
      </c>
      <c r="AK68" s="145">
        <v>1</v>
      </c>
      <c r="AL68" s="145">
        <v>0</v>
      </c>
      <c r="AM68" s="145">
        <v>1</v>
      </c>
      <c r="AN68" s="145">
        <v>1</v>
      </c>
      <c r="AO68" s="145">
        <v>1</v>
      </c>
      <c r="AP68" s="145">
        <v>1</v>
      </c>
      <c r="AQ68" s="145">
        <v>0</v>
      </c>
      <c r="AR68" s="145">
        <v>1</v>
      </c>
      <c r="AS68" s="145">
        <v>1</v>
      </c>
      <c r="AT68" s="145">
        <v>1</v>
      </c>
      <c r="AU68" s="145">
        <f t="shared" si="19"/>
        <v>0</v>
      </c>
      <c r="AV68" s="145">
        <f t="shared" si="20"/>
        <v>1</v>
      </c>
      <c r="AW68" s="145">
        <f t="shared" si="21"/>
        <v>1</v>
      </c>
      <c r="AX68" s="145">
        <f t="shared" si="5"/>
        <v>1</v>
      </c>
      <c r="AY68" s="145">
        <f t="shared" si="22"/>
        <v>0</v>
      </c>
      <c r="AZ68" s="145">
        <f t="shared" si="23"/>
        <v>1</v>
      </c>
      <c r="BA68" s="146">
        <f t="shared" si="24"/>
        <v>1</v>
      </c>
      <c r="BB68" s="149">
        <f t="shared" si="25"/>
        <v>15</v>
      </c>
      <c r="BC68" s="150">
        <f t="shared" si="26"/>
        <v>14</v>
      </c>
      <c r="BD68" s="150">
        <f t="shared" si="27"/>
        <v>15</v>
      </c>
      <c r="BE68" s="211" t="str">
        <f t="shared" si="28"/>
        <v/>
      </c>
      <c r="BH68" s="172">
        <f>IF(AND(Input_Product=Elig!$C68,Elig_MatchAll_Ct&lt;22,$BC68=(Elig_MatchAll_Ct-1),AF68=0),C68,0)</f>
        <v>0</v>
      </c>
      <c r="BI68" s="173">
        <f>IF(AND(Input_Product=Elig!$C68,Elig_MatchAll_Ct&lt;22,$BC68=(Elig_MatchAll_Ct-1),AG68=0),D68,0)</f>
        <v>0</v>
      </c>
      <c r="BJ68" s="173">
        <f>IF(AND(Input_Product=Elig!$C68,Elig_MatchAll_Ct&lt;22,$BC68=(Elig_MatchAll_Ct-1),AH68=0),E68,0)</f>
        <v>0</v>
      </c>
      <c r="BK68" s="173">
        <f>IF(AND(Input_Product=Elig!$C68,Elig_MatchAll_Ct&lt;22,$BC68=(Elig_MatchAll_Ct-1),AI68=0),F68,0)</f>
        <v>0</v>
      </c>
      <c r="BL68" s="173">
        <f>IF(AND(Input_Product=Elig!$C68,Elig_MatchAll_Ct&lt;22,$BC68=(Elig_MatchAll_Ct-1),AJ68=0),G68,0)</f>
        <v>0</v>
      </c>
      <c r="BM68" s="173">
        <f>IF(AND(Input_Product=Elig!$C68,Elig_MatchAll_Ct&lt;22,$BC68=(Elig_MatchAll_Ct-1),AK68=0),H68,0)</f>
        <v>0</v>
      </c>
      <c r="BN68" s="173">
        <f>IF(AND(Input_Product=Elig!$C68,Elig_MatchAll_Ct&lt;22,$BC68=(Elig_MatchAll_Ct-1),AL68=0),I68,0)</f>
        <v>0</v>
      </c>
      <c r="BO68" s="173">
        <f>IF(AND(Input_Product=Elig!$C68,Elig_MatchAll_Ct&lt;22,$BC68=(Elig_MatchAll_Ct-1),AM68=0),J68,0)</f>
        <v>0</v>
      </c>
      <c r="BP68" s="173">
        <f>IF(AND(Input_Product=Elig!$C68,Elig_MatchAll_Ct&lt;22,$BC68=(Elig_MatchAll_Ct-1),AN68=0),K68,0)</f>
        <v>0</v>
      </c>
      <c r="BQ68" s="173">
        <f>IF(AND(Input_Product=Elig!$C68,Elig_MatchAll_Ct&lt;22,$BC68=(Elig_MatchAll_Ct-1),AP68=0),L68,0)</f>
        <v>0</v>
      </c>
      <c r="BR68" s="173">
        <f>IF(AND(Input_Product=Elig!$C68,Elig_MatchAll_Ct&lt;22,$BC68=(Elig_MatchAll_Ct-1),AO68=0),M68,0)</f>
        <v>0</v>
      </c>
      <c r="BS68" s="173">
        <f>IF(AND(Input_Product=Elig!$C68,Elig_MatchAll_Ct&lt;22,$BC68=(Elig_MatchAll_Ct-1),AQ68=0),N68,0)</f>
        <v>0</v>
      </c>
      <c r="BT68" s="173">
        <f>IF(AND(Input_Product=Elig!$C68,Elig_MatchAll_Ct&lt;22,$BC68=(Elig_MatchAll_Ct-1),AR68=0),O68,0)</f>
        <v>0</v>
      </c>
      <c r="BU68" s="173">
        <f>IF(AND(Input_Product=Elig!$C68,Elig_MatchAll_Ct&lt;22,$BC68=(Elig_MatchAll_Ct-1),AS68=0),P68,0)</f>
        <v>0</v>
      </c>
      <c r="BV68" s="174">
        <f>IF(AND(Input_Product=Elig!$C68,Elig_MatchAll_Ct&lt;22,$BC68=(Elig_MatchAll_Ct-1),AT68=0),Q68,0)</f>
        <v>0</v>
      </c>
      <c r="BW68" s="175">
        <f>IF(AND(Input_Product=Elig!$C68,Elig_MatchAll_Ct&lt;22,$BC68=(Elig_MatchAll_Ct-1),AU68=0),R68,0)</f>
        <v>0</v>
      </c>
      <c r="BX68" s="176">
        <f>IF(AND(Input_Product=Elig!$C68,Elig_MatchAll_Ct&lt;22,$BC68=(Elig_MatchAll_Ct-1),AU68=0),S68,0)</f>
        <v>0</v>
      </c>
      <c r="BY68" s="175">
        <f>IF(AND(Input_Product=Elig!$C68,Elig_MatchAll_Ct&lt;22,$BC68=(Elig_MatchAll_Ct-1),AV68=0),T68,0)</f>
        <v>0</v>
      </c>
      <c r="BZ68" s="176">
        <f>IF(AND(Input_Product=Elig!$C68,Elig_MatchAll_Ct&lt;22,$BC68=(Elig_MatchAll_Ct-1),AV68=0),U68,0)</f>
        <v>0</v>
      </c>
      <c r="CA68" s="175">
        <f>IF(AND(Input_Product=Elig!$C68,Elig_MatchAll_Ct&lt;22,$BC68=(Elig_MatchAll_Ct-1),AW68=0),V68,0)</f>
        <v>0</v>
      </c>
      <c r="CB68" s="176">
        <f>IF(AND(Input_Product=Elig!$C68,Elig_MatchAll_Ct&lt;22,$BC68=(Elig_MatchAll_Ct-1),AW68=0),W68,0)</f>
        <v>0</v>
      </c>
      <c r="CC68" s="175">
        <f>IF(AND(Input_Product=Elig!$C68,Elig_MatchAll_Ct&lt;22,$BC68=(Elig_MatchAll_Ct-1),AX68=0),X68,0)</f>
        <v>0</v>
      </c>
      <c r="CD68" s="176">
        <f>IF(AND(Input_Product=Elig!$C68,Elig_MatchAll_Ct&lt;22,$BC68=(Elig_MatchAll_Ct-1),AX68=0),Y68,0)</f>
        <v>0</v>
      </c>
      <c r="CE68" s="175">
        <f>IF(AND(Input_LTV&lt;=AE68,Input_Product=Elig!$C68,Elig_MatchAll_Ct&lt;22,$BC68=(Elig_MatchAll_Ct-1),AY68=0),Z68,0)</f>
        <v>0</v>
      </c>
      <c r="CF68" s="176">
        <f>IF(AND(Input_LTV&lt;=AE68,Input_Product=Elig!$C68,Elig_MatchAll_Ct&lt;22,$BC68=(Elig_MatchAll_Ct-1),AY68=0),AA68,0)</f>
        <v>0</v>
      </c>
      <c r="CG68" s="175">
        <f>IF(AND(Input_Product=Elig!$C68,Elig_MatchAll_Ct&lt;22,$BC68=(Elig_MatchAll_Ct-1),AZ68=0),AB68,0)</f>
        <v>0</v>
      </c>
      <c r="CH68" s="176">
        <f>IF(AND(Input_Product=Elig!$C68,Elig_MatchAll_Ct&lt;22,$BC68=(Elig_MatchAll_Ct-1),AZ68=0),AC68,0)</f>
        <v>0</v>
      </c>
      <c r="CI68" s="175">
        <f>IF(AND(Input_Product=Elig!$C68,Elig_MatchAll_Ct&lt;22,$BC68=(Elig_MatchAll_Ct-1),BA68=0),AD68,0)</f>
        <v>0</v>
      </c>
      <c r="CJ68" s="177">
        <f>IF(AND(Input_Product=Elig!$C68,Elig_MatchAll_Ct&lt;22,$BC68=(Elig_MatchAll_Ct-1),BA68=0),AE68,0)</f>
        <v>0</v>
      </c>
    </row>
    <row r="69" spans="1:88" ht="10.15" customHeight="1" x14ac:dyDescent="0.25">
      <c r="A69" s="1419" t="s">
        <v>76</v>
      </c>
      <c r="B69" s="1419" t="s">
        <v>770</v>
      </c>
      <c r="C69" s="116" t="str">
        <f t="shared" si="1"/>
        <v>NonQM OO</v>
      </c>
      <c r="D69" s="117" t="s">
        <v>1995</v>
      </c>
      <c r="E69" s="117" t="s">
        <v>166</v>
      </c>
      <c r="F69" s="117" t="s">
        <v>330</v>
      </c>
      <c r="G69" s="117" t="s">
        <v>302</v>
      </c>
      <c r="H69" s="117" t="s">
        <v>135</v>
      </c>
      <c r="I69" s="118" t="s">
        <v>16</v>
      </c>
      <c r="J69" s="118" t="s">
        <v>1130</v>
      </c>
      <c r="K69" s="118" t="s">
        <v>1398</v>
      </c>
      <c r="L69" s="117" t="s">
        <v>2025</v>
      </c>
      <c r="M69" s="117" t="s">
        <v>2289</v>
      </c>
      <c r="N69" s="117" t="s">
        <v>82</v>
      </c>
      <c r="O69" s="117" t="s">
        <v>309</v>
      </c>
      <c r="P69" s="117" t="s">
        <v>2433</v>
      </c>
      <c r="Q69" s="117" t="s">
        <v>293</v>
      </c>
      <c r="R69" s="117">
        <v>1000000.01</v>
      </c>
      <c r="S69" s="117">
        <v>1500000</v>
      </c>
      <c r="T69" s="117">
        <v>0</v>
      </c>
      <c r="U69" s="117">
        <f t="shared" si="29"/>
        <v>1500000</v>
      </c>
      <c r="V69" s="117">
        <v>0</v>
      </c>
      <c r="W69" s="117">
        <v>55</v>
      </c>
      <c r="X69" s="117">
        <v>0</v>
      </c>
      <c r="Y69" s="117">
        <v>999</v>
      </c>
      <c r="Z69" s="119">
        <v>680</v>
      </c>
      <c r="AA69" s="119">
        <v>699</v>
      </c>
      <c r="AB69" s="1877">
        <v>0</v>
      </c>
      <c r="AC69" s="119">
        <v>999999</v>
      </c>
      <c r="AD69" s="117">
        <v>0</v>
      </c>
      <c r="AE69" s="117">
        <v>75</v>
      </c>
      <c r="AF69" s="144">
        <v>0</v>
      </c>
      <c r="AG69" s="145">
        <v>1</v>
      </c>
      <c r="AH69" s="145">
        <v>1</v>
      </c>
      <c r="AI69" s="145">
        <v>0</v>
      </c>
      <c r="AJ69" s="145">
        <v>0</v>
      </c>
      <c r="AK69" s="145">
        <v>1</v>
      </c>
      <c r="AL69" s="145">
        <v>0</v>
      </c>
      <c r="AM69" s="145">
        <v>1</v>
      </c>
      <c r="AN69" s="145">
        <v>1</v>
      </c>
      <c r="AO69" s="145">
        <v>1</v>
      </c>
      <c r="AP69" s="145">
        <v>1</v>
      </c>
      <c r="AQ69" s="145">
        <v>0</v>
      </c>
      <c r="AR69" s="145">
        <v>1</v>
      </c>
      <c r="AS69" s="145">
        <v>1</v>
      </c>
      <c r="AT69" s="145">
        <v>1</v>
      </c>
      <c r="AU69" s="145">
        <f t="shared" si="19"/>
        <v>0</v>
      </c>
      <c r="AV69" s="145">
        <f t="shared" si="20"/>
        <v>1</v>
      </c>
      <c r="AW69" s="145">
        <f t="shared" si="21"/>
        <v>1</v>
      </c>
      <c r="AX69" s="145">
        <f t="shared" si="5"/>
        <v>1</v>
      </c>
      <c r="AY69" s="145">
        <f t="shared" si="22"/>
        <v>0</v>
      </c>
      <c r="AZ69" s="145">
        <f t="shared" si="23"/>
        <v>1</v>
      </c>
      <c r="BA69" s="146">
        <f t="shared" si="24"/>
        <v>1</v>
      </c>
      <c r="BB69" s="149">
        <f t="shared" si="25"/>
        <v>15</v>
      </c>
      <c r="BC69" s="150">
        <f t="shared" si="26"/>
        <v>14</v>
      </c>
      <c r="BD69" s="150">
        <f t="shared" si="27"/>
        <v>15</v>
      </c>
      <c r="BE69" s="211" t="str">
        <f t="shared" si="28"/>
        <v/>
      </c>
      <c r="BH69" s="172">
        <f>IF(AND(Input_Product=Elig!$C69,Elig_MatchAll_Ct&lt;22,$BC69=(Elig_MatchAll_Ct-1),AF69=0),C69,0)</f>
        <v>0</v>
      </c>
      <c r="BI69" s="173">
        <f>IF(AND(Input_Product=Elig!$C69,Elig_MatchAll_Ct&lt;22,$BC69=(Elig_MatchAll_Ct-1),AG69=0),D69,0)</f>
        <v>0</v>
      </c>
      <c r="BJ69" s="173">
        <f>IF(AND(Input_Product=Elig!$C69,Elig_MatchAll_Ct&lt;22,$BC69=(Elig_MatchAll_Ct-1),AH69=0),E69,0)</f>
        <v>0</v>
      </c>
      <c r="BK69" s="173">
        <f>IF(AND(Input_Product=Elig!$C69,Elig_MatchAll_Ct&lt;22,$BC69=(Elig_MatchAll_Ct-1),AI69=0),F69,0)</f>
        <v>0</v>
      </c>
      <c r="BL69" s="173">
        <f>IF(AND(Input_Product=Elig!$C69,Elig_MatchAll_Ct&lt;22,$BC69=(Elig_MatchAll_Ct-1),AJ69=0),G69,0)</f>
        <v>0</v>
      </c>
      <c r="BM69" s="173">
        <f>IF(AND(Input_Product=Elig!$C69,Elig_MatchAll_Ct&lt;22,$BC69=(Elig_MatchAll_Ct-1),AK69=0),H69,0)</f>
        <v>0</v>
      </c>
      <c r="BN69" s="173">
        <f>IF(AND(Input_Product=Elig!$C69,Elig_MatchAll_Ct&lt;22,$BC69=(Elig_MatchAll_Ct-1),AL69=0),I69,0)</f>
        <v>0</v>
      </c>
      <c r="BO69" s="173">
        <f>IF(AND(Input_Product=Elig!$C69,Elig_MatchAll_Ct&lt;22,$BC69=(Elig_MatchAll_Ct-1),AM69=0),J69,0)</f>
        <v>0</v>
      </c>
      <c r="BP69" s="173">
        <f>IF(AND(Input_Product=Elig!$C69,Elig_MatchAll_Ct&lt;22,$BC69=(Elig_MatchAll_Ct-1),AN69=0),K69,0)</f>
        <v>0</v>
      </c>
      <c r="BQ69" s="173">
        <f>IF(AND(Input_Product=Elig!$C69,Elig_MatchAll_Ct&lt;22,$BC69=(Elig_MatchAll_Ct-1),AP69=0),L69,0)</f>
        <v>0</v>
      </c>
      <c r="BR69" s="173">
        <f>IF(AND(Input_Product=Elig!$C69,Elig_MatchAll_Ct&lt;22,$BC69=(Elig_MatchAll_Ct-1),AO69=0),M69,0)</f>
        <v>0</v>
      </c>
      <c r="BS69" s="173">
        <f>IF(AND(Input_Product=Elig!$C69,Elig_MatchAll_Ct&lt;22,$BC69=(Elig_MatchAll_Ct-1),AQ69=0),N69,0)</f>
        <v>0</v>
      </c>
      <c r="BT69" s="173">
        <f>IF(AND(Input_Product=Elig!$C69,Elig_MatchAll_Ct&lt;22,$BC69=(Elig_MatchAll_Ct-1),AR69=0),O69,0)</f>
        <v>0</v>
      </c>
      <c r="BU69" s="173">
        <f>IF(AND(Input_Product=Elig!$C69,Elig_MatchAll_Ct&lt;22,$BC69=(Elig_MatchAll_Ct-1),AS69=0),P69,0)</f>
        <v>0</v>
      </c>
      <c r="BV69" s="174">
        <f>IF(AND(Input_Product=Elig!$C69,Elig_MatchAll_Ct&lt;22,$BC69=(Elig_MatchAll_Ct-1),AT69=0),Q69,0)</f>
        <v>0</v>
      </c>
      <c r="BW69" s="175">
        <f>IF(AND(Input_Product=Elig!$C69,Elig_MatchAll_Ct&lt;22,$BC69=(Elig_MatchAll_Ct-1),AU69=0),R69,0)</f>
        <v>0</v>
      </c>
      <c r="BX69" s="176">
        <f>IF(AND(Input_Product=Elig!$C69,Elig_MatchAll_Ct&lt;22,$BC69=(Elig_MatchAll_Ct-1),AU69=0),S69,0)</f>
        <v>0</v>
      </c>
      <c r="BY69" s="175">
        <f>IF(AND(Input_Product=Elig!$C69,Elig_MatchAll_Ct&lt;22,$BC69=(Elig_MatchAll_Ct-1),AV69=0),T69,0)</f>
        <v>0</v>
      </c>
      <c r="BZ69" s="176">
        <f>IF(AND(Input_Product=Elig!$C69,Elig_MatchAll_Ct&lt;22,$BC69=(Elig_MatchAll_Ct-1),AV69=0),U69,0)</f>
        <v>0</v>
      </c>
      <c r="CA69" s="175">
        <f>IF(AND(Input_Product=Elig!$C69,Elig_MatchAll_Ct&lt;22,$BC69=(Elig_MatchAll_Ct-1),AW69=0),V69,0)</f>
        <v>0</v>
      </c>
      <c r="CB69" s="176">
        <f>IF(AND(Input_Product=Elig!$C69,Elig_MatchAll_Ct&lt;22,$BC69=(Elig_MatchAll_Ct-1),AW69=0),W69,0)</f>
        <v>0</v>
      </c>
      <c r="CC69" s="175">
        <f>IF(AND(Input_Product=Elig!$C69,Elig_MatchAll_Ct&lt;22,$BC69=(Elig_MatchAll_Ct-1),AX69=0),X69,0)</f>
        <v>0</v>
      </c>
      <c r="CD69" s="176">
        <f>IF(AND(Input_Product=Elig!$C69,Elig_MatchAll_Ct&lt;22,$BC69=(Elig_MatchAll_Ct-1),AX69=0),Y69,0)</f>
        <v>0</v>
      </c>
      <c r="CE69" s="175">
        <f>IF(AND(Input_LTV&lt;=AE69,Input_Product=Elig!$C69,Elig_MatchAll_Ct&lt;22,$BC69=(Elig_MatchAll_Ct-1),AY69=0),Z69,0)</f>
        <v>0</v>
      </c>
      <c r="CF69" s="176">
        <f>IF(AND(Input_LTV&lt;=AE69,Input_Product=Elig!$C69,Elig_MatchAll_Ct&lt;22,$BC69=(Elig_MatchAll_Ct-1),AY69=0),AA69,0)</f>
        <v>0</v>
      </c>
      <c r="CG69" s="175">
        <f>IF(AND(Input_Product=Elig!$C69,Elig_MatchAll_Ct&lt;22,$BC69=(Elig_MatchAll_Ct-1),AZ69=0),AB69,0)</f>
        <v>0</v>
      </c>
      <c r="CH69" s="176">
        <f>IF(AND(Input_Product=Elig!$C69,Elig_MatchAll_Ct&lt;22,$BC69=(Elig_MatchAll_Ct-1),AZ69=0),AC69,0)</f>
        <v>0</v>
      </c>
      <c r="CI69" s="175">
        <f>IF(AND(Input_Product=Elig!$C69,Elig_MatchAll_Ct&lt;22,$BC69=(Elig_MatchAll_Ct-1),BA69=0),AD69,0)</f>
        <v>0</v>
      </c>
      <c r="CJ69" s="177">
        <f>IF(AND(Input_Product=Elig!$C69,Elig_MatchAll_Ct&lt;22,$BC69=(Elig_MatchAll_Ct-1),BA69=0),AE69,0)</f>
        <v>0</v>
      </c>
    </row>
    <row r="70" spans="1:88" ht="10.15" customHeight="1" x14ac:dyDescent="0.25">
      <c r="A70" s="1419" t="s">
        <v>76</v>
      </c>
      <c r="B70" s="1419" t="s">
        <v>771</v>
      </c>
      <c r="C70" s="116" t="str">
        <f t="shared" si="1"/>
        <v>NonQM OO</v>
      </c>
      <c r="D70" s="117" t="s">
        <v>1995</v>
      </c>
      <c r="E70" s="117" t="s">
        <v>166</v>
      </c>
      <c r="F70" s="117" t="s">
        <v>330</v>
      </c>
      <c r="G70" s="117" t="s">
        <v>302</v>
      </c>
      <c r="H70" s="117" t="s">
        <v>135</v>
      </c>
      <c r="I70" s="117" t="s">
        <v>16</v>
      </c>
      <c r="J70" s="117" t="s">
        <v>1130</v>
      </c>
      <c r="K70" s="117" t="s">
        <v>1398</v>
      </c>
      <c r="L70" s="117" t="s">
        <v>2025</v>
      </c>
      <c r="M70" s="117" t="s">
        <v>2289</v>
      </c>
      <c r="N70" s="117" t="s">
        <v>82</v>
      </c>
      <c r="O70" s="117" t="s">
        <v>309</v>
      </c>
      <c r="P70" s="117" t="s">
        <v>2433</v>
      </c>
      <c r="Q70" s="117" t="s">
        <v>293</v>
      </c>
      <c r="R70" s="117">
        <v>1000000.01</v>
      </c>
      <c r="S70" s="117">
        <v>1500000</v>
      </c>
      <c r="T70" s="117">
        <v>0</v>
      </c>
      <c r="U70" s="117">
        <f t="shared" si="29"/>
        <v>1500000</v>
      </c>
      <c r="V70" s="117">
        <v>0</v>
      </c>
      <c r="W70" s="117">
        <v>55</v>
      </c>
      <c r="X70" s="117">
        <v>0</v>
      </c>
      <c r="Y70" s="117">
        <v>999</v>
      </c>
      <c r="Z70" s="119">
        <v>660</v>
      </c>
      <c r="AA70" s="119">
        <v>679</v>
      </c>
      <c r="AB70" s="1877">
        <v>0</v>
      </c>
      <c r="AC70" s="119">
        <v>999999</v>
      </c>
      <c r="AD70" s="117">
        <v>0</v>
      </c>
      <c r="AE70" s="117">
        <v>75</v>
      </c>
      <c r="AF70" s="144">
        <v>0</v>
      </c>
      <c r="AG70" s="145">
        <v>1</v>
      </c>
      <c r="AH70" s="145">
        <v>1</v>
      </c>
      <c r="AI70" s="145">
        <v>0</v>
      </c>
      <c r="AJ70" s="145">
        <v>0</v>
      </c>
      <c r="AK70" s="145">
        <v>1</v>
      </c>
      <c r="AL70" s="145">
        <v>0</v>
      </c>
      <c r="AM70" s="145">
        <v>1</v>
      </c>
      <c r="AN70" s="145">
        <v>1</v>
      </c>
      <c r="AO70" s="145">
        <v>1</v>
      </c>
      <c r="AP70" s="145">
        <v>1</v>
      </c>
      <c r="AQ70" s="145">
        <v>0</v>
      </c>
      <c r="AR70" s="145">
        <v>1</v>
      </c>
      <c r="AS70" s="145">
        <v>1</v>
      </c>
      <c r="AT70" s="145">
        <v>1</v>
      </c>
      <c r="AU70" s="145">
        <f t="shared" si="19"/>
        <v>0</v>
      </c>
      <c r="AV70" s="145">
        <f t="shared" si="20"/>
        <v>1</v>
      </c>
      <c r="AW70" s="145">
        <f t="shared" si="21"/>
        <v>1</v>
      </c>
      <c r="AX70" s="145">
        <f t="shared" si="5"/>
        <v>1</v>
      </c>
      <c r="AY70" s="145">
        <f t="shared" si="22"/>
        <v>0</v>
      </c>
      <c r="AZ70" s="145">
        <f t="shared" si="23"/>
        <v>1</v>
      </c>
      <c r="BA70" s="146">
        <f t="shared" si="24"/>
        <v>1</v>
      </c>
      <c r="BB70" s="149">
        <f t="shared" si="25"/>
        <v>15</v>
      </c>
      <c r="BC70" s="150">
        <f t="shared" si="26"/>
        <v>14</v>
      </c>
      <c r="BD70" s="150">
        <f t="shared" si="27"/>
        <v>15</v>
      </c>
      <c r="BE70" s="211" t="str">
        <f t="shared" si="28"/>
        <v/>
      </c>
      <c r="BH70" s="172">
        <f>IF(AND(Input_Product=Elig!$C70,Elig_MatchAll_Ct&lt;22,$BC70=(Elig_MatchAll_Ct-1),AF70=0),C70,0)</f>
        <v>0</v>
      </c>
      <c r="BI70" s="173">
        <f>IF(AND(Input_Product=Elig!$C70,Elig_MatchAll_Ct&lt;22,$BC70=(Elig_MatchAll_Ct-1),AG70=0),D70,0)</f>
        <v>0</v>
      </c>
      <c r="BJ70" s="173">
        <f>IF(AND(Input_Product=Elig!$C70,Elig_MatchAll_Ct&lt;22,$BC70=(Elig_MatchAll_Ct-1),AH70=0),E70,0)</f>
        <v>0</v>
      </c>
      <c r="BK70" s="173">
        <f>IF(AND(Input_Product=Elig!$C70,Elig_MatchAll_Ct&lt;22,$BC70=(Elig_MatchAll_Ct-1),AI70=0),F70,0)</f>
        <v>0</v>
      </c>
      <c r="BL70" s="173">
        <f>IF(AND(Input_Product=Elig!$C70,Elig_MatchAll_Ct&lt;22,$BC70=(Elig_MatchAll_Ct-1),AJ70=0),G70,0)</f>
        <v>0</v>
      </c>
      <c r="BM70" s="173">
        <f>IF(AND(Input_Product=Elig!$C70,Elig_MatchAll_Ct&lt;22,$BC70=(Elig_MatchAll_Ct-1),AK70=0),H70,0)</f>
        <v>0</v>
      </c>
      <c r="BN70" s="173">
        <f>IF(AND(Input_Product=Elig!$C70,Elig_MatchAll_Ct&lt;22,$BC70=(Elig_MatchAll_Ct-1),AL70=0),I70,0)</f>
        <v>0</v>
      </c>
      <c r="BO70" s="173">
        <f>IF(AND(Input_Product=Elig!$C70,Elig_MatchAll_Ct&lt;22,$BC70=(Elig_MatchAll_Ct-1),AM70=0),J70,0)</f>
        <v>0</v>
      </c>
      <c r="BP70" s="173">
        <f>IF(AND(Input_Product=Elig!$C70,Elig_MatchAll_Ct&lt;22,$BC70=(Elig_MatchAll_Ct-1),AN70=0),K70,0)</f>
        <v>0</v>
      </c>
      <c r="BQ70" s="173">
        <f>IF(AND(Input_Product=Elig!$C70,Elig_MatchAll_Ct&lt;22,$BC70=(Elig_MatchAll_Ct-1),AP70=0),L70,0)</f>
        <v>0</v>
      </c>
      <c r="BR70" s="173">
        <f>IF(AND(Input_Product=Elig!$C70,Elig_MatchAll_Ct&lt;22,$BC70=(Elig_MatchAll_Ct-1),AO70=0),M70,0)</f>
        <v>0</v>
      </c>
      <c r="BS70" s="173">
        <f>IF(AND(Input_Product=Elig!$C70,Elig_MatchAll_Ct&lt;22,$BC70=(Elig_MatchAll_Ct-1),AQ70=0),N70,0)</f>
        <v>0</v>
      </c>
      <c r="BT70" s="173">
        <f>IF(AND(Input_Product=Elig!$C70,Elig_MatchAll_Ct&lt;22,$BC70=(Elig_MatchAll_Ct-1),AR70=0),O70,0)</f>
        <v>0</v>
      </c>
      <c r="BU70" s="173">
        <f>IF(AND(Input_Product=Elig!$C70,Elig_MatchAll_Ct&lt;22,$BC70=(Elig_MatchAll_Ct-1),AS70=0),P70,0)</f>
        <v>0</v>
      </c>
      <c r="BV70" s="174">
        <f>IF(AND(Input_Product=Elig!$C70,Elig_MatchAll_Ct&lt;22,$BC70=(Elig_MatchAll_Ct-1),AT70=0),Q70,0)</f>
        <v>0</v>
      </c>
      <c r="BW70" s="175">
        <f>IF(AND(Input_Product=Elig!$C70,Elig_MatchAll_Ct&lt;22,$BC70=(Elig_MatchAll_Ct-1),AU70=0),R70,0)</f>
        <v>0</v>
      </c>
      <c r="BX70" s="176">
        <f>IF(AND(Input_Product=Elig!$C70,Elig_MatchAll_Ct&lt;22,$BC70=(Elig_MatchAll_Ct-1),AU70=0),S70,0)</f>
        <v>0</v>
      </c>
      <c r="BY70" s="175">
        <f>IF(AND(Input_Product=Elig!$C70,Elig_MatchAll_Ct&lt;22,$BC70=(Elig_MatchAll_Ct-1),AV70=0),T70,0)</f>
        <v>0</v>
      </c>
      <c r="BZ70" s="176">
        <f>IF(AND(Input_Product=Elig!$C70,Elig_MatchAll_Ct&lt;22,$BC70=(Elig_MatchAll_Ct-1),AV70=0),U70,0)</f>
        <v>0</v>
      </c>
      <c r="CA70" s="175">
        <f>IF(AND(Input_Product=Elig!$C70,Elig_MatchAll_Ct&lt;22,$BC70=(Elig_MatchAll_Ct-1),AW70=0),V70,0)</f>
        <v>0</v>
      </c>
      <c r="CB70" s="176">
        <f>IF(AND(Input_Product=Elig!$C70,Elig_MatchAll_Ct&lt;22,$BC70=(Elig_MatchAll_Ct-1),AW70=0),W70,0)</f>
        <v>0</v>
      </c>
      <c r="CC70" s="175">
        <f>IF(AND(Input_Product=Elig!$C70,Elig_MatchAll_Ct&lt;22,$BC70=(Elig_MatchAll_Ct-1),AX70=0),X70,0)</f>
        <v>0</v>
      </c>
      <c r="CD70" s="176">
        <f>IF(AND(Input_Product=Elig!$C70,Elig_MatchAll_Ct&lt;22,$BC70=(Elig_MatchAll_Ct-1),AX70=0),Y70,0)</f>
        <v>0</v>
      </c>
      <c r="CE70" s="175">
        <f>IF(AND(Input_LTV&lt;=AE70,Input_Product=Elig!$C70,Elig_MatchAll_Ct&lt;22,$BC70=(Elig_MatchAll_Ct-1),AY70=0),Z70,0)</f>
        <v>0</v>
      </c>
      <c r="CF70" s="176">
        <f>IF(AND(Input_LTV&lt;=AE70,Input_Product=Elig!$C70,Elig_MatchAll_Ct&lt;22,$BC70=(Elig_MatchAll_Ct-1),AY70=0),AA70,0)</f>
        <v>0</v>
      </c>
      <c r="CG70" s="175">
        <f>IF(AND(Input_Product=Elig!$C70,Elig_MatchAll_Ct&lt;22,$BC70=(Elig_MatchAll_Ct-1),AZ70=0),AB70,0)</f>
        <v>0</v>
      </c>
      <c r="CH70" s="176">
        <f>IF(AND(Input_Product=Elig!$C70,Elig_MatchAll_Ct&lt;22,$BC70=(Elig_MatchAll_Ct-1),AZ70=0),AC70,0)</f>
        <v>0</v>
      </c>
      <c r="CI70" s="175">
        <f>IF(AND(Input_Product=Elig!$C70,Elig_MatchAll_Ct&lt;22,$BC70=(Elig_MatchAll_Ct-1),BA70=0),AD70,0)</f>
        <v>0</v>
      </c>
      <c r="CJ70" s="177">
        <f>IF(AND(Input_Product=Elig!$C70,Elig_MatchAll_Ct&lt;22,$BC70=(Elig_MatchAll_Ct-1),BA70=0),AE70,0)</f>
        <v>0</v>
      </c>
    </row>
    <row r="71" spans="1:88" ht="10.15" customHeight="1" x14ac:dyDescent="0.25">
      <c r="A71" s="1419" t="s">
        <v>76</v>
      </c>
      <c r="B71" s="1419" t="s">
        <v>772</v>
      </c>
      <c r="C71" s="116" t="str">
        <f t="shared" si="1"/>
        <v>NonQM OO</v>
      </c>
      <c r="D71" s="117" t="s">
        <v>1995</v>
      </c>
      <c r="E71" s="117" t="s">
        <v>166</v>
      </c>
      <c r="F71" s="117" t="s">
        <v>330</v>
      </c>
      <c r="G71" s="117" t="s">
        <v>302</v>
      </c>
      <c r="H71" s="117" t="s">
        <v>135</v>
      </c>
      <c r="I71" s="117" t="s">
        <v>16</v>
      </c>
      <c r="J71" s="117" t="s">
        <v>1130</v>
      </c>
      <c r="K71" s="117" t="s">
        <v>1398</v>
      </c>
      <c r="L71" s="117" t="s">
        <v>2025</v>
      </c>
      <c r="M71" s="117" t="s">
        <v>2289</v>
      </c>
      <c r="N71" s="117" t="s">
        <v>82</v>
      </c>
      <c r="O71" s="117" t="s">
        <v>309</v>
      </c>
      <c r="P71" s="117" t="s">
        <v>2433</v>
      </c>
      <c r="Q71" s="117" t="s">
        <v>293</v>
      </c>
      <c r="R71" s="117">
        <v>1000000.01</v>
      </c>
      <c r="S71" s="117">
        <v>1500000</v>
      </c>
      <c r="T71" s="117">
        <v>0</v>
      </c>
      <c r="U71" s="117">
        <f t="shared" si="29"/>
        <v>1500000</v>
      </c>
      <c r="V71" s="117">
        <v>0</v>
      </c>
      <c r="W71" s="117">
        <v>55</v>
      </c>
      <c r="X71" s="117">
        <v>0</v>
      </c>
      <c r="Y71" s="117">
        <v>999</v>
      </c>
      <c r="Z71" s="119">
        <v>640</v>
      </c>
      <c r="AA71" s="119">
        <v>659</v>
      </c>
      <c r="AB71" s="1877">
        <v>0</v>
      </c>
      <c r="AC71" s="119">
        <v>999999</v>
      </c>
      <c r="AD71" s="117">
        <v>0</v>
      </c>
      <c r="AE71" s="117">
        <v>65</v>
      </c>
      <c r="AF71" s="144">
        <v>0</v>
      </c>
      <c r="AG71" s="145">
        <v>1</v>
      </c>
      <c r="AH71" s="145">
        <v>1</v>
      </c>
      <c r="AI71" s="145">
        <v>0</v>
      </c>
      <c r="AJ71" s="145">
        <v>0</v>
      </c>
      <c r="AK71" s="145">
        <v>1</v>
      </c>
      <c r="AL71" s="145">
        <v>0</v>
      </c>
      <c r="AM71" s="145">
        <v>1</v>
      </c>
      <c r="AN71" s="145">
        <v>1</v>
      </c>
      <c r="AO71" s="145">
        <v>1</v>
      </c>
      <c r="AP71" s="145">
        <v>1</v>
      </c>
      <c r="AQ71" s="145">
        <v>0</v>
      </c>
      <c r="AR71" s="145">
        <v>1</v>
      </c>
      <c r="AS71" s="145">
        <v>1</v>
      </c>
      <c r="AT71" s="145">
        <v>1</v>
      </c>
      <c r="AU71" s="145">
        <f t="shared" si="19"/>
        <v>0</v>
      </c>
      <c r="AV71" s="145">
        <f t="shared" si="20"/>
        <v>1</v>
      </c>
      <c r="AW71" s="145">
        <f t="shared" si="21"/>
        <v>1</v>
      </c>
      <c r="AX71" s="145">
        <f t="shared" si="5"/>
        <v>1</v>
      </c>
      <c r="AY71" s="145">
        <f t="shared" si="22"/>
        <v>0</v>
      </c>
      <c r="AZ71" s="145">
        <f t="shared" si="23"/>
        <v>1</v>
      </c>
      <c r="BA71" s="146">
        <f t="shared" si="24"/>
        <v>0</v>
      </c>
      <c r="BB71" s="149">
        <f t="shared" si="25"/>
        <v>14</v>
      </c>
      <c r="BC71" s="150">
        <f t="shared" si="26"/>
        <v>14</v>
      </c>
      <c r="BD71" s="150">
        <f t="shared" si="27"/>
        <v>14</v>
      </c>
      <c r="BE71" s="211" t="str">
        <f t="shared" si="28"/>
        <v/>
      </c>
      <c r="BH71" s="172">
        <f>IF(AND(Input_Product=Elig!$C71,Elig_MatchAll_Ct&lt;22,$BC71=(Elig_MatchAll_Ct-1),AF71=0),C71,0)</f>
        <v>0</v>
      </c>
      <c r="BI71" s="173">
        <f>IF(AND(Input_Product=Elig!$C71,Elig_MatchAll_Ct&lt;22,$BC71=(Elig_MatchAll_Ct-1),AG71=0),D71,0)</f>
        <v>0</v>
      </c>
      <c r="BJ71" s="173">
        <f>IF(AND(Input_Product=Elig!$C71,Elig_MatchAll_Ct&lt;22,$BC71=(Elig_MatchAll_Ct-1),AH71=0),E71,0)</f>
        <v>0</v>
      </c>
      <c r="BK71" s="173">
        <f>IF(AND(Input_Product=Elig!$C71,Elig_MatchAll_Ct&lt;22,$BC71=(Elig_MatchAll_Ct-1),AI71=0),F71,0)</f>
        <v>0</v>
      </c>
      <c r="BL71" s="173">
        <f>IF(AND(Input_Product=Elig!$C71,Elig_MatchAll_Ct&lt;22,$BC71=(Elig_MatchAll_Ct-1),AJ71=0),G71,0)</f>
        <v>0</v>
      </c>
      <c r="BM71" s="173">
        <f>IF(AND(Input_Product=Elig!$C71,Elig_MatchAll_Ct&lt;22,$BC71=(Elig_MatchAll_Ct-1),AK71=0),H71,0)</f>
        <v>0</v>
      </c>
      <c r="BN71" s="173">
        <f>IF(AND(Input_Product=Elig!$C71,Elig_MatchAll_Ct&lt;22,$BC71=(Elig_MatchAll_Ct-1),AL71=0),I71,0)</f>
        <v>0</v>
      </c>
      <c r="BO71" s="173">
        <f>IF(AND(Input_Product=Elig!$C71,Elig_MatchAll_Ct&lt;22,$BC71=(Elig_MatchAll_Ct-1),AM71=0),J71,0)</f>
        <v>0</v>
      </c>
      <c r="BP71" s="173">
        <f>IF(AND(Input_Product=Elig!$C71,Elig_MatchAll_Ct&lt;22,$BC71=(Elig_MatchAll_Ct-1),AN71=0),K71,0)</f>
        <v>0</v>
      </c>
      <c r="BQ71" s="173">
        <f>IF(AND(Input_Product=Elig!$C71,Elig_MatchAll_Ct&lt;22,$BC71=(Elig_MatchAll_Ct-1),AP71=0),L71,0)</f>
        <v>0</v>
      </c>
      <c r="BR71" s="173">
        <f>IF(AND(Input_Product=Elig!$C71,Elig_MatchAll_Ct&lt;22,$BC71=(Elig_MatchAll_Ct-1),AO71=0),M71,0)</f>
        <v>0</v>
      </c>
      <c r="BS71" s="173">
        <f>IF(AND(Input_Product=Elig!$C71,Elig_MatchAll_Ct&lt;22,$BC71=(Elig_MatchAll_Ct-1),AQ71=0),N71,0)</f>
        <v>0</v>
      </c>
      <c r="BT71" s="173">
        <f>IF(AND(Input_Product=Elig!$C71,Elig_MatchAll_Ct&lt;22,$BC71=(Elig_MatchAll_Ct-1),AR71=0),O71,0)</f>
        <v>0</v>
      </c>
      <c r="BU71" s="173">
        <f>IF(AND(Input_Product=Elig!$C71,Elig_MatchAll_Ct&lt;22,$BC71=(Elig_MatchAll_Ct-1),AS71=0),P71,0)</f>
        <v>0</v>
      </c>
      <c r="BV71" s="174">
        <f>IF(AND(Input_Product=Elig!$C71,Elig_MatchAll_Ct&lt;22,$BC71=(Elig_MatchAll_Ct-1),AT71=0),Q71,0)</f>
        <v>0</v>
      </c>
      <c r="BW71" s="175">
        <f>IF(AND(Input_Product=Elig!$C71,Elig_MatchAll_Ct&lt;22,$BC71=(Elig_MatchAll_Ct-1),AU71=0),R71,0)</f>
        <v>0</v>
      </c>
      <c r="BX71" s="176">
        <f>IF(AND(Input_Product=Elig!$C71,Elig_MatchAll_Ct&lt;22,$BC71=(Elig_MatchAll_Ct-1),AU71=0),S71,0)</f>
        <v>0</v>
      </c>
      <c r="BY71" s="175">
        <f>IF(AND(Input_Product=Elig!$C71,Elig_MatchAll_Ct&lt;22,$BC71=(Elig_MatchAll_Ct-1),AV71=0),T71,0)</f>
        <v>0</v>
      </c>
      <c r="BZ71" s="176">
        <f>IF(AND(Input_Product=Elig!$C71,Elig_MatchAll_Ct&lt;22,$BC71=(Elig_MatchAll_Ct-1),AV71=0),U71,0)</f>
        <v>0</v>
      </c>
      <c r="CA71" s="175">
        <f>IF(AND(Input_Product=Elig!$C71,Elig_MatchAll_Ct&lt;22,$BC71=(Elig_MatchAll_Ct-1),AW71=0),V71,0)</f>
        <v>0</v>
      </c>
      <c r="CB71" s="176">
        <f>IF(AND(Input_Product=Elig!$C71,Elig_MatchAll_Ct&lt;22,$BC71=(Elig_MatchAll_Ct-1),AW71=0),W71,0)</f>
        <v>0</v>
      </c>
      <c r="CC71" s="175">
        <f>IF(AND(Input_Product=Elig!$C71,Elig_MatchAll_Ct&lt;22,$BC71=(Elig_MatchAll_Ct-1),AX71=0),X71,0)</f>
        <v>0</v>
      </c>
      <c r="CD71" s="176">
        <f>IF(AND(Input_Product=Elig!$C71,Elig_MatchAll_Ct&lt;22,$BC71=(Elig_MatchAll_Ct-1),AX71=0),Y71,0)</f>
        <v>0</v>
      </c>
      <c r="CE71" s="175">
        <f>IF(AND(Input_LTV&lt;=AE71,Input_Product=Elig!$C71,Elig_MatchAll_Ct&lt;22,$BC71=(Elig_MatchAll_Ct-1),AY71=0),Z71,0)</f>
        <v>0</v>
      </c>
      <c r="CF71" s="176">
        <f>IF(AND(Input_LTV&lt;=AE71,Input_Product=Elig!$C71,Elig_MatchAll_Ct&lt;22,$BC71=(Elig_MatchAll_Ct-1),AY71=0),AA71,0)</f>
        <v>0</v>
      </c>
      <c r="CG71" s="175">
        <f>IF(AND(Input_Product=Elig!$C71,Elig_MatchAll_Ct&lt;22,$BC71=(Elig_MatchAll_Ct-1),AZ71=0),AB71,0)</f>
        <v>0</v>
      </c>
      <c r="CH71" s="176">
        <f>IF(AND(Input_Product=Elig!$C71,Elig_MatchAll_Ct&lt;22,$BC71=(Elig_MatchAll_Ct-1),AZ71=0),AC71,0)</f>
        <v>0</v>
      </c>
      <c r="CI71" s="175">
        <f>IF(AND(Input_Product=Elig!$C71,Elig_MatchAll_Ct&lt;22,$BC71=(Elig_MatchAll_Ct-1),BA71=0),AD71,0)</f>
        <v>0</v>
      </c>
      <c r="CJ71" s="177">
        <f>IF(AND(Input_Product=Elig!$C71,Elig_MatchAll_Ct&lt;22,$BC71=(Elig_MatchAll_Ct-1),BA71=0),AE71,0)</f>
        <v>0</v>
      </c>
    </row>
    <row r="72" spans="1:88" ht="10.15" customHeight="1" x14ac:dyDescent="0.25">
      <c r="A72" s="1419" t="s">
        <v>76</v>
      </c>
      <c r="B72" s="1419" t="s">
        <v>773</v>
      </c>
      <c r="C72" s="120" t="str">
        <f t="shared" si="1"/>
        <v>NonQM OO</v>
      </c>
      <c r="D72" s="121" t="s">
        <v>1995</v>
      </c>
      <c r="E72" s="121" t="s">
        <v>166</v>
      </c>
      <c r="F72" s="121" t="s">
        <v>330</v>
      </c>
      <c r="G72" s="121" t="s">
        <v>302</v>
      </c>
      <c r="H72" s="121" t="s">
        <v>135</v>
      </c>
      <c r="I72" s="121" t="s">
        <v>16</v>
      </c>
      <c r="J72" s="121" t="s">
        <v>1130</v>
      </c>
      <c r="K72" s="121" t="s">
        <v>1398</v>
      </c>
      <c r="L72" s="121" t="s">
        <v>2025</v>
      </c>
      <c r="M72" s="121" t="s">
        <v>2289</v>
      </c>
      <c r="N72" s="121" t="s">
        <v>82</v>
      </c>
      <c r="O72" s="121" t="s">
        <v>309</v>
      </c>
      <c r="P72" s="121" t="s">
        <v>2433</v>
      </c>
      <c r="Q72" s="121" t="s">
        <v>293</v>
      </c>
      <c r="R72" s="121">
        <v>1000000.01</v>
      </c>
      <c r="S72" s="121">
        <v>1500000</v>
      </c>
      <c r="T72" s="121">
        <v>0</v>
      </c>
      <c r="U72" s="121">
        <f t="shared" si="29"/>
        <v>1500000</v>
      </c>
      <c r="V72" s="121">
        <v>0</v>
      </c>
      <c r="W72" s="121">
        <v>55</v>
      </c>
      <c r="X72" s="121">
        <v>0</v>
      </c>
      <c r="Y72" s="121">
        <v>999</v>
      </c>
      <c r="Z72" s="122">
        <v>620</v>
      </c>
      <c r="AA72" s="122">
        <v>639</v>
      </c>
      <c r="AB72" s="1878">
        <v>0</v>
      </c>
      <c r="AC72" s="122">
        <v>999999</v>
      </c>
      <c r="AD72" s="121">
        <v>0</v>
      </c>
      <c r="AE72" s="121">
        <v>65</v>
      </c>
      <c r="AF72" s="144">
        <v>0</v>
      </c>
      <c r="AG72" s="145">
        <v>1</v>
      </c>
      <c r="AH72" s="145">
        <v>1</v>
      </c>
      <c r="AI72" s="145">
        <v>0</v>
      </c>
      <c r="AJ72" s="145">
        <v>0</v>
      </c>
      <c r="AK72" s="145">
        <v>1</v>
      </c>
      <c r="AL72" s="145">
        <v>0</v>
      </c>
      <c r="AM72" s="145">
        <v>1</v>
      </c>
      <c r="AN72" s="145">
        <v>1</v>
      </c>
      <c r="AO72" s="145">
        <v>1</v>
      </c>
      <c r="AP72" s="145">
        <v>1</v>
      </c>
      <c r="AQ72" s="145">
        <v>0</v>
      </c>
      <c r="AR72" s="145">
        <v>1</v>
      </c>
      <c r="AS72" s="145">
        <v>1</v>
      </c>
      <c r="AT72" s="145">
        <v>1</v>
      </c>
      <c r="AU72" s="145">
        <f t="shared" si="19"/>
        <v>0</v>
      </c>
      <c r="AV72" s="145">
        <f t="shared" si="20"/>
        <v>1</v>
      </c>
      <c r="AW72" s="145">
        <f t="shared" si="21"/>
        <v>1</v>
      </c>
      <c r="AX72" s="145">
        <f t="shared" si="5"/>
        <v>1</v>
      </c>
      <c r="AY72" s="145">
        <f t="shared" si="22"/>
        <v>0</v>
      </c>
      <c r="AZ72" s="145">
        <f t="shared" si="23"/>
        <v>1</v>
      </c>
      <c r="BA72" s="146">
        <f t="shared" si="24"/>
        <v>0</v>
      </c>
      <c r="BB72" s="149">
        <f t="shared" si="25"/>
        <v>14</v>
      </c>
      <c r="BC72" s="150">
        <f t="shared" si="26"/>
        <v>14</v>
      </c>
      <c r="BD72" s="150">
        <f t="shared" si="27"/>
        <v>14</v>
      </c>
      <c r="BE72" s="211" t="str">
        <f t="shared" si="28"/>
        <v/>
      </c>
      <c r="BH72" s="178">
        <f>IF(AND(Input_Product=Elig!$C72,Elig_MatchAll_Ct&lt;22,$BC72=(Elig_MatchAll_Ct-1),AF72=0),C72,0)</f>
        <v>0</v>
      </c>
      <c r="BI72" s="179">
        <f>IF(AND(Input_Product=Elig!$C72,Elig_MatchAll_Ct&lt;22,$BC72=(Elig_MatchAll_Ct-1),AG72=0),D72,0)</f>
        <v>0</v>
      </c>
      <c r="BJ72" s="179">
        <f>IF(AND(Input_Product=Elig!$C72,Elig_MatchAll_Ct&lt;22,$BC72=(Elig_MatchAll_Ct-1),AH72=0),E72,0)</f>
        <v>0</v>
      </c>
      <c r="BK72" s="179">
        <f>IF(AND(Input_Product=Elig!$C72,Elig_MatchAll_Ct&lt;22,$BC72=(Elig_MatchAll_Ct-1),AI72=0),F72,0)</f>
        <v>0</v>
      </c>
      <c r="BL72" s="179">
        <f>IF(AND(Input_Product=Elig!$C72,Elig_MatchAll_Ct&lt;22,$BC72=(Elig_MatchAll_Ct-1),AJ72=0),G72,0)</f>
        <v>0</v>
      </c>
      <c r="BM72" s="179">
        <f>IF(AND(Input_Product=Elig!$C72,Elig_MatchAll_Ct&lt;22,$BC72=(Elig_MatchAll_Ct-1),AK72=0),H72,0)</f>
        <v>0</v>
      </c>
      <c r="BN72" s="179">
        <f>IF(AND(Input_Product=Elig!$C72,Elig_MatchAll_Ct&lt;22,$BC72=(Elig_MatchAll_Ct-1),AL72=0),I72,0)</f>
        <v>0</v>
      </c>
      <c r="BO72" s="179">
        <f>IF(AND(Input_Product=Elig!$C72,Elig_MatchAll_Ct&lt;22,$BC72=(Elig_MatchAll_Ct-1),AM72=0),J72,0)</f>
        <v>0</v>
      </c>
      <c r="BP72" s="179">
        <f>IF(AND(Input_Product=Elig!$C72,Elig_MatchAll_Ct&lt;22,$BC72=(Elig_MatchAll_Ct-1),AN72=0),K72,0)</f>
        <v>0</v>
      </c>
      <c r="BQ72" s="179">
        <f>IF(AND(Input_Product=Elig!$C72,Elig_MatchAll_Ct&lt;22,$BC72=(Elig_MatchAll_Ct-1),AP72=0),L72,0)</f>
        <v>0</v>
      </c>
      <c r="BR72" s="179">
        <f>IF(AND(Input_Product=Elig!$C72,Elig_MatchAll_Ct&lt;22,$BC72=(Elig_MatchAll_Ct-1),AO72=0),M72,0)</f>
        <v>0</v>
      </c>
      <c r="BS72" s="179">
        <f>IF(AND(Input_Product=Elig!$C72,Elig_MatchAll_Ct&lt;22,$BC72=(Elig_MatchAll_Ct-1),AQ72=0),N72,0)</f>
        <v>0</v>
      </c>
      <c r="BT72" s="179">
        <f>IF(AND(Input_Product=Elig!$C72,Elig_MatchAll_Ct&lt;22,$BC72=(Elig_MatchAll_Ct-1),AR72=0),O72,0)</f>
        <v>0</v>
      </c>
      <c r="BU72" s="179">
        <f>IF(AND(Input_Product=Elig!$C72,Elig_MatchAll_Ct&lt;22,$BC72=(Elig_MatchAll_Ct-1),AS72=0),P72,0)</f>
        <v>0</v>
      </c>
      <c r="BV72" s="180">
        <f>IF(AND(Input_Product=Elig!$C72,Elig_MatchAll_Ct&lt;22,$BC72=(Elig_MatchAll_Ct-1),AT72=0),Q72,0)</f>
        <v>0</v>
      </c>
      <c r="BW72" s="181">
        <f>IF(AND(Input_Product=Elig!$C72,Elig_MatchAll_Ct&lt;22,$BC72=(Elig_MatchAll_Ct-1),AU72=0),R72,0)</f>
        <v>0</v>
      </c>
      <c r="BX72" s="182">
        <f>IF(AND(Input_Product=Elig!$C72,Elig_MatchAll_Ct&lt;22,$BC72=(Elig_MatchAll_Ct-1),AU72=0),S72,0)</f>
        <v>0</v>
      </c>
      <c r="BY72" s="181">
        <f>IF(AND(Input_Product=Elig!$C72,Elig_MatchAll_Ct&lt;22,$BC72=(Elig_MatchAll_Ct-1),AV72=0),T72,0)</f>
        <v>0</v>
      </c>
      <c r="BZ72" s="182">
        <f>IF(AND(Input_Product=Elig!$C72,Elig_MatchAll_Ct&lt;22,$BC72=(Elig_MatchAll_Ct-1),AV72=0),U72,0)</f>
        <v>0</v>
      </c>
      <c r="CA72" s="181">
        <f>IF(AND(Input_Product=Elig!$C72,Elig_MatchAll_Ct&lt;22,$BC72=(Elig_MatchAll_Ct-1),AW72=0),V72,0)</f>
        <v>0</v>
      </c>
      <c r="CB72" s="182">
        <f>IF(AND(Input_Product=Elig!$C72,Elig_MatchAll_Ct&lt;22,$BC72=(Elig_MatchAll_Ct-1),AW72=0),W72,0)</f>
        <v>0</v>
      </c>
      <c r="CC72" s="181">
        <f>IF(AND(Input_Product=Elig!$C72,Elig_MatchAll_Ct&lt;22,$BC72=(Elig_MatchAll_Ct-1),AX72=0),X72,0)</f>
        <v>0</v>
      </c>
      <c r="CD72" s="182">
        <f>IF(AND(Input_Product=Elig!$C72,Elig_MatchAll_Ct&lt;22,$BC72=(Elig_MatchAll_Ct-1),AX72=0),Y72,0)</f>
        <v>0</v>
      </c>
      <c r="CE72" s="181">
        <f>IF(AND(Input_LTV&lt;=AE72,Input_Product=Elig!$C72,Elig_MatchAll_Ct&lt;22,$BC72=(Elig_MatchAll_Ct-1),AY72=0),Z72,0)</f>
        <v>0</v>
      </c>
      <c r="CF72" s="182">
        <f>IF(AND(Input_LTV&lt;=AE72,Input_Product=Elig!$C72,Elig_MatchAll_Ct&lt;22,$BC72=(Elig_MatchAll_Ct-1),AY72=0),AA72,0)</f>
        <v>0</v>
      </c>
      <c r="CG72" s="181">
        <f>IF(AND(Input_Product=Elig!$C72,Elig_MatchAll_Ct&lt;22,$BC72=(Elig_MatchAll_Ct-1),AZ72=0),AB72,0)</f>
        <v>0</v>
      </c>
      <c r="CH72" s="182">
        <f>IF(AND(Input_Product=Elig!$C72,Elig_MatchAll_Ct&lt;22,$BC72=(Elig_MatchAll_Ct-1),AZ72=0),AC72,0)</f>
        <v>0</v>
      </c>
      <c r="CI72" s="181">
        <f>IF(AND(Input_Product=Elig!$C72,Elig_MatchAll_Ct&lt;22,$BC72=(Elig_MatchAll_Ct-1),BA72=0),AD72,0)</f>
        <v>0</v>
      </c>
      <c r="CJ72" s="183">
        <f>IF(AND(Input_Product=Elig!$C72,Elig_MatchAll_Ct&lt;22,$BC72=(Elig_MatchAll_Ct-1),BA72=0),AE72,0)</f>
        <v>0</v>
      </c>
    </row>
    <row r="73" spans="1:88" ht="10.15" customHeight="1" x14ac:dyDescent="0.25">
      <c r="A73" s="1419" t="s">
        <v>76</v>
      </c>
      <c r="B73" s="1419" t="s">
        <v>774</v>
      </c>
      <c r="C73" s="123" t="str">
        <f t="shared" si="1"/>
        <v>NonQM OO</v>
      </c>
      <c r="D73" s="124" t="s">
        <v>1995</v>
      </c>
      <c r="E73" s="125" t="s">
        <v>166</v>
      </c>
      <c r="F73" s="125" t="s">
        <v>330</v>
      </c>
      <c r="G73" s="125" t="s">
        <v>303</v>
      </c>
      <c r="H73" s="125" t="s">
        <v>444</v>
      </c>
      <c r="I73" s="124" t="s">
        <v>273</v>
      </c>
      <c r="J73" s="124" t="s">
        <v>1130</v>
      </c>
      <c r="K73" s="124" t="s">
        <v>1398</v>
      </c>
      <c r="L73" s="125" t="s">
        <v>2025</v>
      </c>
      <c r="M73" s="125" t="s">
        <v>2289</v>
      </c>
      <c r="N73" s="125" t="s">
        <v>82</v>
      </c>
      <c r="O73" s="125" t="s">
        <v>309</v>
      </c>
      <c r="P73" s="125" t="s">
        <v>2433</v>
      </c>
      <c r="Q73" s="125" t="s">
        <v>293</v>
      </c>
      <c r="R73" s="124">
        <v>1000000.01</v>
      </c>
      <c r="S73" s="124">
        <v>1500000</v>
      </c>
      <c r="T73" s="124">
        <v>0</v>
      </c>
      <c r="U73" s="124">
        <v>0</v>
      </c>
      <c r="V73" s="124">
        <v>0</v>
      </c>
      <c r="W73" s="124">
        <v>55</v>
      </c>
      <c r="X73" s="124">
        <v>0</v>
      </c>
      <c r="Y73" s="124">
        <v>999</v>
      </c>
      <c r="Z73" s="126">
        <v>720</v>
      </c>
      <c r="AA73" s="126">
        <v>999</v>
      </c>
      <c r="AB73" s="1879">
        <v>0</v>
      </c>
      <c r="AC73" s="126">
        <v>999999</v>
      </c>
      <c r="AD73" s="124">
        <v>0</v>
      </c>
      <c r="AE73" s="124">
        <v>90</v>
      </c>
      <c r="AF73" s="144">
        <v>0</v>
      </c>
      <c r="AG73" s="145">
        <v>1</v>
      </c>
      <c r="AH73" s="145">
        <v>1</v>
      </c>
      <c r="AI73" s="145">
        <v>0</v>
      </c>
      <c r="AJ73" s="145">
        <v>0</v>
      </c>
      <c r="AK73" s="145">
        <v>0</v>
      </c>
      <c r="AL73" s="145">
        <v>1</v>
      </c>
      <c r="AM73" s="145">
        <v>1</v>
      </c>
      <c r="AN73" s="145">
        <v>1</v>
      </c>
      <c r="AO73" s="145">
        <v>1</v>
      </c>
      <c r="AP73" s="145">
        <v>1</v>
      </c>
      <c r="AQ73" s="145">
        <v>0</v>
      </c>
      <c r="AR73" s="145">
        <v>1</v>
      </c>
      <c r="AS73" s="145">
        <v>1</v>
      </c>
      <c r="AT73" s="145">
        <v>1</v>
      </c>
      <c r="AU73" s="145">
        <f t="shared" si="19"/>
        <v>0</v>
      </c>
      <c r="AV73" s="145">
        <f t="shared" si="20"/>
        <v>1</v>
      </c>
      <c r="AW73" s="145">
        <f t="shared" si="21"/>
        <v>1</v>
      </c>
      <c r="AX73" s="145">
        <f t="shared" si="5"/>
        <v>1</v>
      </c>
      <c r="AY73" s="145">
        <f t="shared" si="22"/>
        <v>1</v>
      </c>
      <c r="AZ73" s="145">
        <f t="shared" si="23"/>
        <v>1</v>
      </c>
      <c r="BA73" s="146">
        <f t="shared" si="24"/>
        <v>1</v>
      </c>
      <c r="BB73" s="149">
        <f t="shared" si="25"/>
        <v>16</v>
      </c>
      <c r="BC73" s="150">
        <f t="shared" si="26"/>
        <v>15</v>
      </c>
      <c r="BD73" s="150">
        <f t="shared" si="27"/>
        <v>16</v>
      </c>
      <c r="BE73" s="211" t="str">
        <f t="shared" si="28"/>
        <v/>
      </c>
      <c r="BH73" s="166">
        <f>IF(AND(Input_Product=Elig!$C73,Elig_MatchAll_Ct&lt;22,$BC73=(Elig_MatchAll_Ct-1),AF73=0),C73,0)</f>
        <v>0</v>
      </c>
      <c r="BI73" s="167">
        <f>IF(AND(Input_Product=Elig!$C73,Elig_MatchAll_Ct&lt;22,$BC73=(Elig_MatchAll_Ct-1),AG73=0),D73,0)</f>
        <v>0</v>
      </c>
      <c r="BJ73" s="167">
        <f>IF(AND(Input_Product=Elig!$C73,Elig_MatchAll_Ct&lt;22,$BC73=(Elig_MatchAll_Ct-1),AH73=0),E73,0)</f>
        <v>0</v>
      </c>
      <c r="BK73" s="167">
        <f>IF(AND(Input_Product=Elig!$C73,Elig_MatchAll_Ct&lt;22,$BC73=(Elig_MatchAll_Ct-1),AI73=0),F73,0)</f>
        <v>0</v>
      </c>
      <c r="BL73" s="167">
        <f>IF(AND(Input_Product=Elig!$C73,Elig_MatchAll_Ct&lt;22,$BC73=(Elig_MatchAll_Ct-1),AJ73=0),G73,0)</f>
        <v>0</v>
      </c>
      <c r="BM73" s="167">
        <f>IF(AND(Input_Product=Elig!$C73,Elig_MatchAll_Ct&lt;22,$BC73=(Elig_MatchAll_Ct-1),AK73=0),H73,0)</f>
        <v>0</v>
      </c>
      <c r="BN73" s="167">
        <f>IF(AND(Input_Product=Elig!$C73,Elig_MatchAll_Ct&lt;22,$BC73=(Elig_MatchAll_Ct-1),AL73=0),I73,0)</f>
        <v>0</v>
      </c>
      <c r="BO73" s="167">
        <f>IF(AND(Input_Product=Elig!$C73,Elig_MatchAll_Ct&lt;22,$BC73=(Elig_MatchAll_Ct-1),AM73=0),J73,0)</f>
        <v>0</v>
      </c>
      <c r="BP73" s="167">
        <f>IF(AND(Input_Product=Elig!$C73,Elig_MatchAll_Ct&lt;22,$BC73=(Elig_MatchAll_Ct-1),AN73=0),K73,0)</f>
        <v>0</v>
      </c>
      <c r="BQ73" s="167">
        <f>IF(AND(Input_Product=Elig!$C73,Elig_MatchAll_Ct&lt;22,$BC73=(Elig_MatchAll_Ct-1),AP73=0),L73,0)</f>
        <v>0</v>
      </c>
      <c r="BR73" s="167">
        <f>IF(AND(Input_Product=Elig!$C73,Elig_MatchAll_Ct&lt;22,$BC73=(Elig_MatchAll_Ct-1),AO73=0),M73,0)</f>
        <v>0</v>
      </c>
      <c r="BS73" s="167">
        <f>IF(AND(Input_Product=Elig!$C73,Elig_MatchAll_Ct&lt;22,$BC73=(Elig_MatchAll_Ct-1),AQ73=0),N73,0)</f>
        <v>0</v>
      </c>
      <c r="BT73" s="167">
        <f>IF(AND(Input_Product=Elig!$C73,Elig_MatchAll_Ct&lt;22,$BC73=(Elig_MatchAll_Ct-1),AR73=0),O73,0)</f>
        <v>0</v>
      </c>
      <c r="BU73" s="167">
        <f>IF(AND(Input_Product=Elig!$C73,Elig_MatchAll_Ct&lt;22,$BC73=(Elig_MatchAll_Ct-1),AS73=0),P73,0)</f>
        <v>0</v>
      </c>
      <c r="BV73" s="168">
        <f>IF(AND(Input_Product=Elig!$C73,Elig_MatchAll_Ct&lt;22,$BC73=(Elig_MatchAll_Ct-1),AT73=0),Q73,0)</f>
        <v>0</v>
      </c>
      <c r="BW73" s="169">
        <f>IF(AND(Input_Product=Elig!$C73,Elig_MatchAll_Ct&lt;22,$BC73=(Elig_MatchAll_Ct-1),AU73=0),R73,0)</f>
        <v>0</v>
      </c>
      <c r="BX73" s="170">
        <f>IF(AND(Input_Product=Elig!$C73,Elig_MatchAll_Ct&lt;22,$BC73=(Elig_MatchAll_Ct-1),AU73=0),S73,0)</f>
        <v>0</v>
      </c>
      <c r="BY73" s="169">
        <f>IF(AND(Input_Product=Elig!$C73,Elig_MatchAll_Ct&lt;22,$BC73=(Elig_MatchAll_Ct-1),AV73=0),T73,0)</f>
        <v>0</v>
      </c>
      <c r="BZ73" s="170">
        <f>IF(AND(Input_Product=Elig!$C73,Elig_MatchAll_Ct&lt;22,$BC73=(Elig_MatchAll_Ct-1),AV73=0),U73,0)</f>
        <v>0</v>
      </c>
      <c r="CA73" s="169">
        <f>IF(AND(Input_Product=Elig!$C73,Elig_MatchAll_Ct&lt;22,$BC73=(Elig_MatchAll_Ct-1),AW73=0),V73,0)</f>
        <v>0</v>
      </c>
      <c r="CB73" s="170">
        <f>IF(AND(Input_Product=Elig!$C73,Elig_MatchAll_Ct&lt;22,$BC73=(Elig_MatchAll_Ct-1),AW73=0),W73,0)</f>
        <v>0</v>
      </c>
      <c r="CC73" s="169">
        <f>IF(AND(Input_Product=Elig!$C73,Elig_MatchAll_Ct&lt;22,$BC73=(Elig_MatchAll_Ct-1),AX73=0),X73,0)</f>
        <v>0</v>
      </c>
      <c r="CD73" s="170">
        <f>IF(AND(Input_Product=Elig!$C73,Elig_MatchAll_Ct&lt;22,$BC73=(Elig_MatchAll_Ct-1),AX73=0),Y73,0)</f>
        <v>0</v>
      </c>
      <c r="CE73" s="169">
        <f>IF(AND(Input_LTV&lt;=AE73,Input_Product=Elig!$C73,Elig_MatchAll_Ct&lt;22,$BC73=(Elig_MatchAll_Ct-1),AY73=0),Z73,0)</f>
        <v>0</v>
      </c>
      <c r="CF73" s="170">
        <f>IF(AND(Input_LTV&lt;=AE73,Input_Product=Elig!$C73,Elig_MatchAll_Ct&lt;22,$BC73=(Elig_MatchAll_Ct-1),AY73=0),AA73,0)</f>
        <v>0</v>
      </c>
      <c r="CG73" s="169">
        <f>IF(AND(Input_Product=Elig!$C73,Elig_MatchAll_Ct&lt;22,$BC73=(Elig_MatchAll_Ct-1),AZ73=0),AB73,0)</f>
        <v>0</v>
      </c>
      <c r="CH73" s="170">
        <f>IF(AND(Input_Product=Elig!$C73,Elig_MatchAll_Ct&lt;22,$BC73=(Elig_MatchAll_Ct-1),AZ73=0),AC73,0)</f>
        <v>0</v>
      </c>
      <c r="CI73" s="169">
        <f>IF(AND(Input_Product=Elig!$C73,Elig_MatchAll_Ct&lt;22,$BC73=(Elig_MatchAll_Ct-1),BA73=0),AD73,0)</f>
        <v>0</v>
      </c>
      <c r="CJ73" s="171">
        <f>IF(AND(Input_Product=Elig!$C73,Elig_MatchAll_Ct&lt;22,$BC73=(Elig_MatchAll_Ct-1),BA73=0),AE73,0)</f>
        <v>0</v>
      </c>
    </row>
    <row r="74" spans="1:88" ht="10.15" customHeight="1" x14ac:dyDescent="0.25">
      <c r="A74" s="1419" t="s">
        <v>76</v>
      </c>
      <c r="B74" s="1419" t="s">
        <v>775</v>
      </c>
      <c r="C74" s="116" t="str">
        <f t="shared" si="1"/>
        <v>NonQM OO</v>
      </c>
      <c r="D74" s="117" t="s">
        <v>1995</v>
      </c>
      <c r="E74" s="117" t="s">
        <v>166</v>
      </c>
      <c r="F74" s="117" t="s">
        <v>330</v>
      </c>
      <c r="G74" s="117" t="s">
        <v>303</v>
      </c>
      <c r="H74" s="117" t="s">
        <v>444</v>
      </c>
      <c r="I74" s="118" t="s">
        <v>273</v>
      </c>
      <c r="J74" s="118" t="s">
        <v>1130</v>
      </c>
      <c r="K74" s="118" t="s">
        <v>1398</v>
      </c>
      <c r="L74" s="117" t="s">
        <v>2025</v>
      </c>
      <c r="M74" s="117" t="s">
        <v>2289</v>
      </c>
      <c r="N74" s="117" t="s">
        <v>82</v>
      </c>
      <c r="O74" s="117" t="s">
        <v>309</v>
      </c>
      <c r="P74" s="117" t="s">
        <v>2433</v>
      </c>
      <c r="Q74" s="117" t="s">
        <v>293</v>
      </c>
      <c r="R74" s="117">
        <v>1000000.01</v>
      </c>
      <c r="S74" s="117">
        <v>1500000</v>
      </c>
      <c r="T74" s="117">
        <v>0</v>
      </c>
      <c r="U74" s="117">
        <v>0</v>
      </c>
      <c r="V74" s="117">
        <v>0</v>
      </c>
      <c r="W74" s="117">
        <v>55</v>
      </c>
      <c r="X74" s="117">
        <v>0</v>
      </c>
      <c r="Y74" s="117">
        <v>999</v>
      </c>
      <c r="Z74" s="119">
        <v>700</v>
      </c>
      <c r="AA74" s="119">
        <v>719</v>
      </c>
      <c r="AB74" s="1877">
        <v>0</v>
      </c>
      <c r="AC74" s="119">
        <v>999999</v>
      </c>
      <c r="AD74" s="117">
        <v>0</v>
      </c>
      <c r="AE74" s="117">
        <v>90</v>
      </c>
      <c r="AF74" s="144">
        <v>0</v>
      </c>
      <c r="AG74" s="145">
        <v>1</v>
      </c>
      <c r="AH74" s="145">
        <v>1</v>
      </c>
      <c r="AI74" s="145">
        <v>0</v>
      </c>
      <c r="AJ74" s="145">
        <v>0</v>
      </c>
      <c r="AK74" s="145">
        <v>0</v>
      </c>
      <c r="AL74" s="145">
        <v>1</v>
      </c>
      <c r="AM74" s="145">
        <v>1</v>
      </c>
      <c r="AN74" s="145">
        <v>1</v>
      </c>
      <c r="AO74" s="145">
        <v>1</v>
      </c>
      <c r="AP74" s="145">
        <v>1</v>
      </c>
      <c r="AQ74" s="145">
        <v>0</v>
      </c>
      <c r="AR74" s="145">
        <v>1</v>
      </c>
      <c r="AS74" s="145">
        <v>1</v>
      </c>
      <c r="AT74" s="145">
        <v>1</v>
      </c>
      <c r="AU74" s="145">
        <f t="shared" si="19"/>
        <v>0</v>
      </c>
      <c r="AV74" s="145">
        <f t="shared" si="20"/>
        <v>1</v>
      </c>
      <c r="AW74" s="145">
        <f t="shared" si="21"/>
        <v>1</v>
      </c>
      <c r="AX74" s="145">
        <f t="shared" si="5"/>
        <v>1</v>
      </c>
      <c r="AY74" s="145">
        <f t="shared" si="22"/>
        <v>0</v>
      </c>
      <c r="AZ74" s="145">
        <f t="shared" si="23"/>
        <v>1</v>
      </c>
      <c r="BA74" s="146">
        <f t="shared" si="24"/>
        <v>1</v>
      </c>
      <c r="BB74" s="149">
        <f t="shared" si="25"/>
        <v>15</v>
      </c>
      <c r="BC74" s="150">
        <f t="shared" si="26"/>
        <v>14</v>
      </c>
      <c r="BD74" s="150">
        <f t="shared" si="27"/>
        <v>15</v>
      </c>
      <c r="BE74" s="211" t="str">
        <f t="shared" si="28"/>
        <v/>
      </c>
      <c r="BH74" s="172">
        <f>IF(AND(Input_Product=Elig!$C74,Elig_MatchAll_Ct&lt;22,$BC74=(Elig_MatchAll_Ct-1),AF74=0),C74,0)</f>
        <v>0</v>
      </c>
      <c r="BI74" s="173">
        <f>IF(AND(Input_Product=Elig!$C74,Elig_MatchAll_Ct&lt;22,$BC74=(Elig_MatchAll_Ct-1),AG74=0),D74,0)</f>
        <v>0</v>
      </c>
      <c r="BJ74" s="173">
        <f>IF(AND(Input_Product=Elig!$C74,Elig_MatchAll_Ct&lt;22,$BC74=(Elig_MatchAll_Ct-1),AH74=0),E74,0)</f>
        <v>0</v>
      </c>
      <c r="BK74" s="173">
        <f>IF(AND(Input_Product=Elig!$C74,Elig_MatchAll_Ct&lt;22,$BC74=(Elig_MatchAll_Ct-1),AI74=0),F74,0)</f>
        <v>0</v>
      </c>
      <c r="BL74" s="173">
        <f>IF(AND(Input_Product=Elig!$C74,Elig_MatchAll_Ct&lt;22,$BC74=(Elig_MatchAll_Ct-1),AJ74=0),G74,0)</f>
        <v>0</v>
      </c>
      <c r="BM74" s="173">
        <f>IF(AND(Input_Product=Elig!$C74,Elig_MatchAll_Ct&lt;22,$BC74=(Elig_MatchAll_Ct-1),AK74=0),H74,0)</f>
        <v>0</v>
      </c>
      <c r="BN74" s="173">
        <f>IF(AND(Input_Product=Elig!$C74,Elig_MatchAll_Ct&lt;22,$BC74=(Elig_MatchAll_Ct-1),AL74=0),I74,0)</f>
        <v>0</v>
      </c>
      <c r="BO74" s="173">
        <f>IF(AND(Input_Product=Elig!$C74,Elig_MatchAll_Ct&lt;22,$BC74=(Elig_MatchAll_Ct-1),AM74=0),J74,0)</f>
        <v>0</v>
      </c>
      <c r="BP74" s="173">
        <f>IF(AND(Input_Product=Elig!$C74,Elig_MatchAll_Ct&lt;22,$BC74=(Elig_MatchAll_Ct-1),AN74=0),K74,0)</f>
        <v>0</v>
      </c>
      <c r="BQ74" s="173">
        <f>IF(AND(Input_Product=Elig!$C74,Elig_MatchAll_Ct&lt;22,$BC74=(Elig_MatchAll_Ct-1),AP74=0),L74,0)</f>
        <v>0</v>
      </c>
      <c r="BR74" s="173">
        <f>IF(AND(Input_Product=Elig!$C74,Elig_MatchAll_Ct&lt;22,$BC74=(Elig_MatchAll_Ct-1),AO74=0),M74,0)</f>
        <v>0</v>
      </c>
      <c r="BS74" s="173">
        <f>IF(AND(Input_Product=Elig!$C74,Elig_MatchAll_Ct&lt;22,$BC74=(Elig_MatchAll_Ct-1),AQ74=0),N74,0)</f>
        <v>0</v>
      </c>
      <c r="BT74" s="173">
        <f>IF(AND(Input_Product=Elig!$C74,Elig_MatchAll_Ct&lt;22,$BC74=(Elig_MatchAll_Ct-1),AR74=0),O74,0)</f>
        <v>0</v>
      </c>
      <c r="BU74" s="173">
        <f>IF(AND(Input_Product=Elig!$C74,Elig_MatchAll_Ct&lt;22,$BC74=(Elig_MatchAll_Ct-1),AS74=0),P74,0)</f>
        <v>0</v>
      </c>
      <c r="BV74" s="174">
        <f>IF(AND(Input_Product=Elig!$C74,Elig_MatchAll_Ct&lt;22,$BC74=(Elig_MatchAll_Ct-1),AT74=0),Q74,0)</f>
        <v>0</v>
      </c>
      <c r="BW74" s="175">
        <f>IF(AND(Input_Product=Elig!$C74,Elig_MatchAll_Ct&lt;22,$BC74=(Elig_MatchAll_Ct-1),AU74=0),R74,0)</f>
        <v>0</v>
      </c>
      <c r="BX74" s="176">
        <f>IF(AND(Input_Product=Elig!$C74,Elig_MatchAll_Ct&lt;22,$BC74=(Elig_MatchAll_Ct-1),AU74=0),S74,0)</f>
        <v>0</v>
      </c>
      <c r="BY74" s="175">
        <f>IF(AND(Input_Product=Elig!$C74,Elig_MatchAll_Ct&lt;22,$BC74=(Elig_MatchAll_Ct-1),AV74=0),T74,0)</f>
        <v>0</v>
      </c>
      <c r="BZ74" s="176">
        <f>IF(AND(Input_Product=Elig!$C74,Elig_MatchAll_Ct&lt;22,$BC74=(Elig_MatchAll_Ct-1),AV74=0),U74,0)</f>
        <v>0</v>
      </c>
      <c r="CA74" s="175">
        <f>IF(AND(Input_Product=Elig!$C74,Elig_MatchAll_Ct&lt;22,$BC74=(Elig_MatchAll_Ct-1),AW74=0),V74,0)</f>
        <v>0</v>
      </c>
      <c r="CB74" s="176">
        <f>IF(AND(Input_Product=Elig!$C74,Elig_MatchAll_Ct&lt;22,$BC74=(Elig_MatchAll_Ct-1),AW74=0),W74,0)</f>
        <v>0</v>
      </c>
      <c r="CC74" s="175">
        <f>IF(AND(Input_Product=Elig!$C74,Elig_MatchAll_Ct&lt;22,$BC74=(Elig_MatchAll_Ct-1),AX74=0),X74,0)</f>
        <v>0</v>
      </c>
      <c r="CD74" s="176">
        <f>IF(AND(Input_Product=Elig!$C74,Elig_MatchAll_Ct&lt;22,$BC74=(Elig_MatchAll_Ct-1),AX74=0),Y74,0)</f>
        <v>0</v>
      </c>
      <c r="CE74" s="175">
        <f>IF(AND(Input_LTV&lt;=AE74,Input_Product=Elig!$C74,Elig_MatchAll_Ct&lt;22,$BC74=(Elig_MatchAll_Ct-1),AY74=0),Z74,0)</f>
        <v>0</v>
      </c>
      <c r="CF74" s="176">
        <f>IF(AND(Input_LTV&lt;=AE74,Input_Product=Elig!$C74,Elig_MatchAll_Ct&lt;22,$BC74=(Elig_MatchAll_Ct-1),AY74=0),AA74,0)</f>
        <v>0</v>
      </c>
      <c r="CG74" s="175">
        <f>IF(AND(Input_Product=Elig!$C74,Elig_MatchAll_Ct&lt;22,$BC74=(Elig_MatchAll_Ct-1),AZ74=0),AB74,0)</f>
        <v>0</v>
      </c>
      <c r="CH74" s="176">
        <f>IF(AND(Input_Product=Elig!$C74,Elig_MatchAll_Ct&lt;22,$BC74=(Elig_MatchAll_Ct-1),AZ74=0),AC74,0)</f>
        <v>0</v>
      </c>
      <c r="CI74" s="175">
        <f>IF(AND(Input_Product=Elig!$C74,Elig_MatchAll_Ct&lt;22,$BC74=(Elig_MatchAll_Ct-1),BA74=0),AD74,0)</f>
        <v>0</v>
      </c>
      <c r="CJ74" s="177">
        <f>IF(AND(Input_Product=Elig!$C74,Elig_MatchAll_Ct&lt;22,$BC74=(Elig_MatchAll_Ct-1),BA74=0),AE74,0)</f>
        <v>0</v>
      </c>
    </row>
    <row r="75" spans="1:88" ht="10.15" customHeight="1" x14ac:dyDescent="0.25">
      <c r="A75" s="1419" t="s">
        <v>76</v>
      </c>
      <c r="B75" s="1419" t="s">
        <v>776</v>
      </c>
      <c r="C75" s="116" t="str">
        <f t="shared" si="1"/>
        <v>NonQM OO</v>
      </c>
      <c r="D75" s="117" t="s">
        <v>1995</v>
      </c>
      <c r="E75" s="117" t="s">
        <v>166</v>
      </c>
      <c r="F75" s="117" t="s">
        <v>330</v>
      </c>
      <c r="G75" s="117" t="s">
        <v>303</v>
      </c>
      <c r="H75" s="117" t="s">
        <v>444</v>
      </c>
      <c r="I75" s="118" t="s">
        <v>273</v>
      </c>
      <c r="J75" s="118" t="s">
        <v>1130</v>
      </c>
      <c r="K75" s="118" t="s">
        <v>1398</v>
      </c>
      <c r="L75" s="117" t="s">
        <v>2025</v>
      </c>
      <c r="M75" s="117" t="s">
        <v>2289</v>
      </c>
      <c r="N75" s="117" t="s">
        <v>82</v>
      </c>
      <c r="O75" s="117" t="s">
        <v>309</v>
      </c>
      <c r="P75" s="117" t="s">
        <v>2433</v>
      </c>
      <c r="Q75" s="117" t="s">
        <v>293</v>
      </c>
      <c r="R75" s="117">
        <v>1000000.01</v>
      </c>
      <c r="S75" s="117">
        <v>1500000</v>
      </c>
      <c r="T75" s="117">
        <v>0</v>
      </c>
      <c r="U75" s="117">
        <v>0</v>
      </c>
      <c r="V75" s="117">
        <v>0</v>
      </c>
      <c r="W75" s="117">
        <v>55</v>
      </c>
      <c r="X75" s="117">
        <v>0</v>
      </c>
      <c r="Y75" s="117">
        <v>999</v>
      </c>
      <c r="Z75" s="119">
        <v>680</v>
      </c>
      <c r="AA75" s="119">
        <v>699</v>
      </c>
      <c r="AB75" s="1877">
        <v>0</v>
      </c>
      <c r="AC75" s="119">
        <v>999999</v>
      </c>
      <c r="AD75" s="117">
        <v>0</v>
      </c>
      <c r="AE75" s="117">
        <v>85</v>
      </c>
      <c r="AF75" s="144">
        <v>0</v>
      </c>
      <c r="AG75" s="145">
        <v>1</v>
      </c>
      <c r="AH75" s="145">
        <v>1</v>
      </c>
      <c r="AI75" s="145">
        <v>0</v>
      </c>
      <c r="AJ75" s="145">
        <v>0</v>
      </c>
      <c r="AK75" s="145">
        <v>0</v>
      </c>
      <c r="AL75" s="145">
        <v>1</v>
      </c>
      <c r="AM75" s="145">
        <v>1</v>
      </c>
      <c r="AN75" s="145">
        <v>1</v>
      </c>
      <c r="AO75" s="145">
        <v>1</v>
      </c>
      <c r="AP75" s="145">
        <v>1</v>
      </c>
      <c r="AQ75" s="145">
        <v>0</v>
      </c>
      <c r="AR75" s="145">
        <v>1</v>
      </c>
      <c r="AS75" s="145">
        <v>1</v>
      </c>
      <c r="AT75" s="145">
        <v>1</v>
      </c>
      <c r="AU75" s="145">
        <f t="shared" si="19"/>
        <v>0</v>
      </c>
      <c r="AV75" s="145">
        <f t="shared" si="20"/>
        <v>1</v>
      </c>
      <c r="AW75" s="145">
        <f t="shared" si="21"/>
        <v>1</v>
      </c>
      <c r="AX75" s="145">
        <f t="shared" si="5"/>
        <v>1</v>
      </c>
      <c r="AY75" s="145">
        <f t="shared" si="22"/>
        <v>0</v>
      </c>
      <c r="AZ75" s="145">
        <f t="shared" si="23"/>
        <v>1</v>
      </c>
      <c r="BA75" s="146">
        <f t="shared" si="24"/>
        <v>1</v>
      </c>
      <c r="BB75" s="149">
        <f t="shared" si="25"/>
        <v>15</v>
      </c>
      <c r="BC75" s="150">
        <f t="shared" si="26"/>
        <v>14</v>
      </c>
      <c r="BD75" s="150">
        <f t="shared" si="27"/>
        <v>15</v>
      </c>
      <c r="BE75" s="211" t="str">
        <f t="shared" si="28"/>
        <v/>
      </c>
      <c r="BH75" s="172">
        <f>IF(AND(Input_Product=Elig!$C75,Elig_MatchAll_Ct&lt;22,$BC75=(Elig_MatchAll_Ct-1),AF75=0),C75,0)</f>
        <v>0</v>
      </c>
      <c r="BI75" s="173">
        <f>IF(AND(Input_Product=Elig!$C75,Elig_MatchAll_Ct&lt;22,$BC75=(Elig_MatchAll_Ct-1),AG75=0),D75,0)</f>
        <v>0</v>
      </c>
      <c r="BJ75" s="173">
        <f>IF(AND(Input_Product=Elig!$C75,Elig_MatchAll_Ct&lt;22,$BC75=(Elig_MatchAll_Ct-1),AH75=0),E75,0)</f>
        <v>0</v>
      </c>
      <c r="BK75" s="173">
        <f>IF(AND(Input_Product=Elig!$C75,Elig_MatchAll_Ct&lt;22,$BC75=(Elig_MatchAll_Ct-1),AI75=0),F75,0)</f>
        <v>0</v>
      </c>
      <c r="BL75" s="173">
        <f>IF(AND(Input_Product=Elig!$C75,Elig_MatchAll_Ct&lt;22,$BC75=(Elig_MatchAll_Ct-1),AJ75=0),G75,0)</f>
        <v>0</v>
      </c>
      <c r="BM75" s="173">
        <f>IF(AND(Input_Product=Elig!$C75,Elig_MatchAll_Ct&lt;22,$BC75=(Elig_MatchAll_Ct-1),AK75=0),H75,0)</f>
        <v>0</v>
      </c>
      <c r="BN75" s="173">
        <f>IF(AND(Input_Product=Elig!$C75,Elig_MatchAll_Ct&lt;22,$BC75=(Elig_MatchAll_Ct-1),AL75=0),I75,0)</f>
        <v>0</v>
      </c>
      <c r="BO75" s="173">
        <f>IF(AND(Input_Product=Elig!$C75,Elig_MatchAll_Ct&lt;22,$BC75=(Elig_MatchAll_Ct-1),AM75=0),J75,0)</f>
        <v>0</v>
      </c>
      <c r="BP75" s="173">
        <f>IF(AND(Input_Product=Elig!$C75,Elig_MatchAll_Ct&lt;22,$BC75=(Elig_MatchAll_Ct-1),AN75=0),K75,0)</f>
        <v>0</v>
      </c>
      <c r="BQ75" s="173">
        <f>IF(AND(Input_Product=Elig!$C75,Elig_MatchAll_Ct&lt;22,$BC75=(Elig_MatchAll_Ct-1),AP75=0),L75,0)</f>
        <v>0</v>
      </c>
      <c r="BR75" s="173">
        <f>IF(AND(Input_Product=Elig!$C75,Elig_MatchAll_Ct&lt;22,$BC75=(Elig_MatchAll_Ct-1),AO75=0),M75,0)</f>
        <v>0</v>
      </c>
      <c r="BS75" s="173">
        <f>IF(AND(Input_Product=Elig!$C75,Elig_MatchAll_Ct&lt;22,$BC75=(Elig_MatchAll_Ct-1),AQ75=0),N75,0)</f>
        <v>0</v>
      </c>
      <c r="BT75" s="173">
        <f>IF(AND(Input_Product=Elig!$C75,Elig_MatchAll_Ct&lt;22,$BC75=(Elig_MatchAll_Ct-1),AR75=0),O75,0)</f>
        <v>0</v>
      </c>
      <c r="BU75" s="173">
        <f>IF(AND(Input_Product=Elig!$C75,Elig_MatchAll_Ct&lt;22,$BC75=(Elig_MatchAll_Ct-1),AS75=0),P75,0)</f>
        <v>0</v>
      </c>
      <c r="BV75" s="174">
        <f>IF(AND(Input_Product=Elig!$C75,Elig_MatchAll_Ct&lt;22,$BC75=(Elig_MatchAll_Ct-1),AT75=0),Q75,0)</f>
        <v>0</v>
      </c>
      <c r="BW75" s="175">
        <f>IF(AND(Input_Product=Elig!$C75,Elig_MatchAll_Ct&lt;22,$BC75=(Elig_MatchAll_Ct-1),AU75=0),R75,0)</f>
        <v>0</v>
      </c>
      <c r="BX75" s="176">
        <f>IF(AND(Input_Product=Elig!$C75,Elig_MatchAll_Ct&lt;22,$BC75=(Elig_MatchAll_Ct-1),AU75=0),S75,0)</f>
        <v>0</v>
      </c>
      <c r="BY75" s="175">
        <f>IF(AND(Input_Product=Elig!$C75,Elig_MatchAll_Ct&lt;22,$BC75=(Elig_MatchAll_Ct-1),AV75=0),T75,0)</f>
        <v>0</v>
      </c>
      <c r="BZ75" s="176">
        <f>IF(AND(Input_Product=Elig!$C75,Elig_MatchAll_Ct&lt;22,$BC75=(Elig_MatchAll_Ct-1),AV75=0),U75,0)</f>
        <v>0</v>
      </c>
      <c r="CA75" s="175">
        <f>IF(AND(Input_Product=Elig!$C75,Elig_MatchAll_Ct&lt;22,$BC75=(Elig_MatchAll_Ct-1),AW75=0),V75,0)</f>
        <v>0</v>
      </c>
      <c r="CB75" s="176">
        <f>IF(AND(Input_Product=Elig!$C75,Elig_MatchAll_Ct&lt;22,$BC75=(Elig_MatchAll_Ct-1),AW75=0),W75,0)</f>
        <v>0</v>
      </c>
      <c r="CC75" s="175">
        <f>IF(AND(Input_Product=Elig!$C75,Elig_MatchAll_Ct&lt;22,$BC75=(Elig_MatchAll_Ct-1),AX75=0),X75,0)</f>
        <v>0</v>
      </c>
      <c r="CD75" s="176">
        <f>IF(AND(Input_Product=Elig!$C75,Elig_MatchAll_Ct&lt;22,$BC75=(Elig_MatchAll_Ct-1),AX75=0),Y75,0)</f>
        <v>0</v>
      </c>
      <c r="CE75" s="175">
        <f>IF(AND(Input_LTV&lt;=AE75,Input_Product=Elig!$C75,Elig_MatchAll_Ct&lt;22,$BC75=(Elig_MatchAll_Ct-1),AY75=0),Z75,0)</f>
        <v>0</v>
      </c>
      <c r="CF75" s="176">
        <f>IF(AND(Input_LTV&lt;=AE75,Input_Product=Elig!$C75,Elig_MatchAll_Ct&lt;22,$BC75=(Elig_MatchAll_Ct-1),AY75=0),AA75,0)</f>
        <v>0</v>
      </c>
      <c r="CG75" s="175">
        <f>IF(AND(Input_Product=Elig!$C75,Elig_MatchAll_Ct&lt;22,$BC75=(Elig_MatchAll_Ct-1),AZ75=0),AB75,0)</f>
        <v>0</v>
      </c>
      <c r="CH75" s="176">
        <f>IF(AND(Input_Product=Elig!$C75,Elig_MatchAll_Ct&lt;22,$BC75=(Elig_MatchAll_Ct-1),AZ75=0),AC75,0)</f>
        <v>0</v>
      </c>
      <c r="CI75" s="175">
        <f>IF(AND(Input_Product=Elig!$C75,Elig_MatchAll_Ct&lt;22,$BC75=(Elig_MatchAll_Ct-1),BA75=0),AD75,0)</f>
        <v>0</v>
      </c>
      <c r="CJ75" s="177">
        <f>IF(AND(Input_Product=Elig!$C75,Elig_MatchAll_Ct&lt;22,$BC75=(Elig_MatchAll_Ct-1),BA75=0),AE75,0)</f>
        <v>0</v>
      </c>
    </row>
    <row r="76" spans="1:88" ht="10.15" customHeight="1" x14ac:dyDescent="0.25">
      <c r="A76" s="1419" t="s">
        <v>76</v>
      </c>
      <c r="B76" s="1419" t="s">
        <v>777</v>
      </c>
      <c r="C76" s="116" t="str">
        <f t="shared" si="1"/>
        <v>NonQM OO</v>
      </c>
      <c r="D76" s="117" t="s">
        <v>1995</v>
      </c>
      <c r="E76" s="117" t="s">
        <v>166</v>
      </c>
      <c r="F76" s="117" t="s">
        <v>330</v>
      </c>
      <c r="G76" s="117" t="s">
        <v>303</v>
      </c>
      <c r="H76" s="117" t="s">
        <v>444</v>
      </c>
      <c r="I76" s="117" t="s">
        <v>273</v>
      </c>
      <c r="J76" s="117" t="s">
        <v>1130</v>
      </c>
      <c r="K76" s="117" t="s">
        <v>1398</v>
      </c>
      <c r="L76" s="117" t="s">
        <v>2025</v>
      </c>
      <c r="M76" s="117" t="s">
        <v>2289</v>
      </c>
      <c r="N76" s="117" t="s">
        <v>82</v>
      </c>
      <c r="O76" s="117" t="s">
        <v>309</v>
      </c>
      <c r="P76" s="117" t="s">
        <v>2433</v>
      </c>
      <c r="Q76" s="117" t="s">
        <v>293</v>
      </c>
      <c r="R76" s="117">
        <v>1000000.01</v>
      </c>
      <c r="S76" s="117">
        <v>1500000</v>
      </c>
      <c r="T76" s="117">
        <v>0</v>
      </c>
      <c r="U76" s="117">
        <v>0</v>
      </c>
      <c r="V76" s="117">
        <v>0</v>
      </c>
      <c r="W76" s="117">
        <v>55</v>
      </c>
      <c r="X76" s="117">
        <v>0</v>
      </c>
      <c r="Y76" s="117">
        <v>999</v>
      </c>
      <c r="Z76" s="119">
        <v>660</v>
      </c>
      <c r="AA76" s="119">
        <v>679</v>
      </c>
      <c r="AB76" s="1877">
        <v>0</v>
      </c>
      <c r="AC76" s="119">
        <v>999999</v>
      </c>
      <c r="AD76" s="117">
        <v>0</v>
      </c>
      <c r="AE76" s="117">
        <v>80</v>
      </c>
      <c r="AF76" s="144">
        <v>0</v>
      </c>
      <c r="AG76" s="145">
        <v>1</v>
      </c>
      <c r="AH76" s="145">
        <v>1</v>
      </c>
      <c r="AI76" s="145">
        <v>0</v>
      </c>
      <c r="AJ76" s="145">
        <v>0</v>
      </c>
      <c r="AK76" s="145">
        <v>0</v>
      </c>
      <c r="AL76" s="145">
        <v>1</v>
      </c>
      <c r="AM76" s="145">
        <v>1</v>
      </c>
      <c r="AN76" s="145">
        <v>1</v>
      </c>
      <c r="AO76" s="145">
        <v>1</v>
      </c>
      <c r="AP76" s="145">
        <v>1</v>
      </c>
      <c r="AQ76" s="145">
        <v>0</v>
      </c>
      <c r="AR76" s="145">
        <v>1</v>
      </c>
      <c r="AS76" s="145">
        <v>1</v>
      </c>
      <c r="AT76" s="145">
        <v>1</v>
      </c>
      <c r="AU76" s="145">
        <f t="shared" si="19"/>
        <v>0</v>
      </c>
      <c r="AV76" s="145">
        <f t="shared" si="20"/>
        <v>1</v>
      </c>
      <c r="AW76" s="145">
        <f t="shared" si="21"/>
        <v>1</v>
      </c>
      <c r="AX76" s="145">
        <f t="shared" si="5"/>
        <v>1</v>
      </c>
      <c r="AY76" s="145">
        <f t="shared" si="22"/>
        <v>0</v>
      </c>
      <c r="AZ76" s="145">
        <f t="shared" si="23"/>
        <v>1</v>
      </c>
      <c r="BA76" s="146">
        <f t="shared" si="24"/>
        <v>1</v>
      </c>
      <c r="BB76" s="149">
        <f t="shared" si="25"/>
        <v>15</v>
      </c>
      <c r="BC76" s="150">
        <f t="shared" si="26"/>
        <v>14</v>
      </c>
      <c r="BD76" s="150">
        <f t="shared" si="27"/>
        <v>15</v>
      </c>
      <c r="BE76" s="211" t="str">
        <f t="shared" si="28"/>
        <v/>
      </c>
      <c r="BH76" s="172">
        <f>IF(AND(Input_Product=Elig!$C76,Elig_MatchAll_Ct&lt;22,$BC76=(Elig_MatchAll_Ct-1),AF76=0),C76,0)</f>
        <v>0</v>
      </c>
      <c r="BI76" s="173">
        <f>IF(AND(Input_Product=Elig!$C76,Elig_MatchAll_Ct&lt;22,$BC76=(Elig_MatchAll_Ct-1),AG76=0),D76,0)</f>
        <v>0</v>
      </c>
      <c r="BJ76" s="173">
        <f>IF(AND(Input_Product=Elig!$C76,Elig_MatchAll_Ct&lt;22,$BC76=(Elig_MatchAll_Ct-1),AH76=0),E76,0)</f>
        <v>0</v>
      </c>
      <c r="BK76" s="173">
        <f>IF(AND(Input_Product=Elig!$C76,Elig_MatchAll_Ct&lt;22,$BC76=(Elig_MatchAll_Ct-1),AI76=0),F76,0)</f>
        <v>0</v>
      </c>
      <c r="BL76" s="173">
        <f>IF(AND(Input_Product=Elig!$C76,Elig_MatchAll_Ct&lt;22,$BC76=(Elig_MatchAll_Ct-1),AJ76=0),G76,0)</f>
        <v>0</v>
      </c>
      <c r="BM76" s="173">
        <f>IF(AND(Input_Product=Elig!$C76,Elig_MatchAll_Ct&lt;22,$BC76=(Elig_MatchAll_Ct-1),AK76=0),H76,0)</f>
        <v>0</v>
      </c>
      <c r="BN76" s="173">
        <f>IF(AND(Input_Product=Elig!$C76,Elig_MatchAll_Ct&lt;22,$BC76=(Elig_MatchAll_Ct-1),AL76=0),I76,0)</f>
        <v>0</v>
      </c>
      <c r="BO76" s="173">
        <f>IF(AND(Input_Product=Elig!$C76,Elig_MatchAll_Ct&lt;22,$BC76=(Elig_MatchAll_Ct-1),AM76=0),J76,0)</f>
        <v>0</v>
      </c>
      <c r="BP76" s="173">
        <f>IF(AND(Input_Product=Elig!$C76,Elig_MatchAll_Ct&lt;22,$BC76=(Elig_MatchAll_Ct-1),AN76=0),K76,0)</f>
        <v>0</v>
      </c>
      <c r="BQ76" s="173">
        <f>IF(AND(Input_Product=Elig!$C76,Elig_MatchAll_Ct&lt;22,$BC76=(Elig_MatchAll_Ct-1),AP76=0),L76,0)</f>
        <v>0</v>
      </c>
      <c r="BR76" s="173">
        <f>IF(AND(Input_Product=Elig!$C76,Elig_MatchAll_Ct&lt;22,$BC76=(Elig_MatchAll_Ct-1),AO76=0),M76,0)</f>
        <v>0</v>
      </c>
      <c r="BS76" s="173">
        <f>IF(AND(Input_Product=Elig!$C76,Elig_MatchAll_Ct&lt;22,$BC76=(Elig_MatchAll_Ct-1),AQ76=0),N76,0)</f>
        <v>0</v>
      </c>
      <c r="BT76" s="173">
        <f>IF(AND(Input_Product=Elig!$C76,Elig_MatchAll_Ct&lt;22,$BC76=(Elig_MatchAll_Ct-1),AR76=0),O76,0)</f>
        <v>0</v>
      </c>
      <c r="BU76" s="173">
        <f>IF(AND(Input_Product=Elig!$C76,Elig_MatchAll_Ct&lt;22,$BC76=(Elig_MatchAll_Ct-1),AS76=0),P76,0)</f>
        <v>0</v>
      </c>
      <c r="BV76" s="174">
        <f>IF(AND(Input_Product=Elig!$C76,Elig_MatchAll_Ct&lt;22,$BC76=(Elig_MatchAll_Ct-1),AT76=0),Q76,0)</f>
        <v>0</v>
      </c>
      <c r="BW76" s="175">
        <f>IF(AND(Input_Product=Elig!$C76,Elig_MatchAll_Ct&lt;22,$BC76=(Elig_MatchAll_Ct-1),AU76=0),R76,0)</f>
        <v>0</v>
      </c>
      <c r="BX76" s="176">
        <f>IF(AND(Input_Product=Elig!$C76,Elig_MatchAll_Ct&lt;22,$BC76=(Elig_MatchAll_Ct-1),AU76=0),S76,0)</f>
        <v>0</v>
      </c>
      <c r="BY76" s="175">
        <f>IF(AND(Input_Product=Elig!$C76,Elig_MatchAll_Ct&lt;22,$BC76=(Elig_MatchAll_Ct-1),AV76=0),T76,0)</f>
        <v>0</v>
      </c>
      <c r="BZ76" s="176">
        <f>IF(AND(Input_Product=Elig!$C76,Elig_MatchAll_Ct&lt;22,$BC76=(Elig_MatchAll_Ct-1),AV76=0),U76,0)</f>
        <v>0</v>
      </c>
      <c r="CA76" s="175">
        <f>IF(AND(Input_Product=Elig!$C76,Elig_MatchAll_Ct&lt;22,$BC76=(Elig_MatchAll_Ct-1),AW76=0),V76,0)</f>
        <v>0</v>
      </c>
      <c r="CB76" s="176">
        <f>IF(AND(Input_Product=Elig!$C76,Elig_MatchAll_Ct&lt;22,$BC76=(Elig_MatchAll_Ct-1),AW76=0),W76,0)</f>
        <v>0</v>
      </c>
      <c r="CC76" s="175">
        <f>IF(AND(Input_Product=Elig!$C76,Elig_MatchAll_Ct&lt;22,$BC76=(Elig_MatchAll_Ct-1),AX76=0),X76,0)</f>
        <v>0</v>
      </c>
      <c r="CD76" s="176">
        <f>IF(AND(Input_Product=Elig!$C76,Elig_MatchAll_Ct&lt;22,$BC76=(Elig_MatchAll_Ct-1),AX76=0),Y76,0)</f>
        <v>0</v>
      </c>
      <c r="CE76" s="175">
        <f>IF(AND(Input_LTV&lt;=AE76,Input_Product=Elig!$C76,Elig_MatchAll_Ct&lt;22,$BC76=(Elig_MatchAll_Ct-1),AY76=0),Z76,0)</f>
        <v>0</v>
      </c>
      <c r="CF76" s="176">
        <f>IF(AND(Input_LTV&lt;=AE76,Input_Product=Elig!$C76,Elig_MatchAll_Ct&lt;22,$BC76=(Elig_MatchAll_Ct-1),AY76=0),AA76,0)</f>
        <v>0</v>
      </c>
      <c r="CG76" s="175">
        <f>IF(AND(Input_Product=Elig!$C76,Elig_MatchAll_Ct&lt;22,$BC76=(Elig_MatchAll_Ct-1),AZ76=0),AB76,0)</f>
        <v>0</v>
      </c>
      <c r="CH76" s="176">
        <f>IF(AND(Input_Product=Elig!$C76,Elig_MatchAll_Ct&lt;22,$BC76=(Elig_MatchAll_Ct-1),AZ76=0),AC76,0)</f>
        <v>0</v>
      </c>
      <c r="CI76" s="175">
        <f>IF(AND(Input_Product=Elig!$C76,Elig_MatchAll_Ct&lt;22,$BC76=(Elig_MatchAll_Ct-1),BA76=0),AD76,0)</f>
        <v>0</v>
      </c>
      <c r="CJ76" s="177">
        <f>IF(AND(Input_Product=Elig!$C76,Elig_MatchAll_Ct&lt;22,$BC76=(Elig_MatchAll_Ct-1),BA76=0),AE76,0)</f>
        <v>0</v>
      </c>
    </row>
    <row r="77" spans="1:88" ht="10.15" customHeight="1" x14ac:dyDescent="0.25">
      <c r="A77" s="1419" t="s">
        <v>76</v>
      </c>
      <c r="B77" s="1419" t="s">
        <v>778</v>
      </c>
      <c r="C77" s="116" t="str">
        <f t="shared" ref="C77:C149" si="30">Input_Name_Product1</f>
        <v>NonQM OO</v>
      </c>
      <c r="D77" s="117" t="s">
        <v>1995</v>
      </c>
      <c r="E77" s="117" t="s">
        <v>166</v>
      </c>
      <c r="F77" s="117" t="s">
        <v>330</v>
      </c>
      <c r="G77" s="117" t="s">
        <v>303</v>
      </c>
      <c r="H77" s="117" t="s">
        <v>444</v>
      </c>
      <c r="I77" s="117" t="s">
        <v>273</v>
      </c>
      <c r="J77" s="117" t="s">
        <v>1130</v>
      </c>
      <c r="K77" s="117" t="s">
        <v>1398</v>
      </c>
      <c r="L77" s="117" t="s">
        <v>2025</v>
      </c>
      <c r="M77" s="117" t="s">
        <v>2289</v>
      </c>
      <c r="N77" s="117" t="s">
        <v>82</v>
      </c>
      <c r="O77" s="117" t="s">
        <v>309</v>
      </c>
      <c r="P77" s="117" t="s">
        <v>2433</v>
      </c>
      <c r="Q77" s="117" t="s">
        <v>293</v>
      </c>
      <c r="R77" s="117">
        <v>1000000.01</v>
      </c>
      <c r="S77" s="117">
        <v>1500000</v>
      </c>
      <c r="T77" s="117">
        <v>0</v>
      </c>
      <c r="U77" s="117">
        <v>0</v>
      </c>
      <c r="V77" s="117">
        <v>0</v>
      </c>
      <c r="W77" s="117">
        <v>55</v>
      </c>
      <c r="X77" s="117">
        <v>0</v>
      </c>
      <c r="Y77" s="117">
        <v>999</v>
      </c>
      <c r="Z77" s="119">
        <v>640</v>
      </c>
      <c r="AA77" s="119">
        <v>659</v>
      </c>
      <c r="AB77" s="1877">
        <v>0</v>
      </c>
      <c r="AC77" s="119">
        <v>999999</v>
      </c>
      <c r="AD77" s="117">
        <v>0</v>
      </c>
      <c r="AE77" s="117">
        <v>70</v>
      </c>
      <c r="AF77" s="144">
        <v>0</v>
      </c>
      <c r="AG77" s="145">
        <v>1</v>
      </c>
      <c r="AH77" s="145">
        <v>1</v>
      </c>
      <c r="AI77" s="145">
        <v>0</v>
      </c>
      <c r="AJ77" s="145">
        <v>0</v>
      </c>
      <c r="AK77" s="145">
        <v>0</v>
      </c>
      <c r="AL77" s="145">
        <v>1</v>
      </c>
      <c r="AM77" s="145">
        <v>1</v>
      </c>
      <c r="AN77" s="145">
        <v>1</v>
      </c>
      <c r="AO77" s="145">
        <v>1</v>
      </c>
      <c r="AP77" s="145">
        <v>1</v>
      </c>
      <c r="AQ77" s="145">
        <v>0</v>
      </c>
      <c r="AR77" s="145">
        <v>1</v>
      </c>
      <c r="AS77" s="145">
        <v>1</v>
      </c>
      <c r="AT77" s="145">
        <v>1</v>
      </c>
      <c r="AU77" s="145">
        <f t="shared" si="19"/>
        <v>0</v>
      </c>
      <c r="AV77" s="145">
        <f t="shared" si="20"/>
        <v>1</v>
      </c>
      <c r="AW77" s="145">
        <f t="shared" si="21"/>
        <v>1</v>
      </c>
      <c r="AX77" s="145">
        <f t="shared" si="5"/>
        <v>1</v>
      </c>
      <c r="AY77" s="145">
        <f t="shared" si="22"/>
        <v>0</v>
      </c>
      <c r="AZ77" s="145">
        <f t="shared" si="23"/>
        <v>1</v>
      </c>
      <c r="BA77" s="146">
        <f t="shared" si="24"/>
        <v>1</v>
      </c>
      <c r="BB77" s="149">
        <f t="shared" si="25"/>
        <v>15</v>
      </c>
      <c r="BC77" s="150">
        <f t="shared" si="26"/>
        <v>14</v>
      </c>
      <c r="BD77" s="150">
        <f t="shared" si="27"/>
        <v>15</v>
      </c>
      <c r="BE77" s="211" t="str">
        <f t="shared" si="28"/>
        <v/>
      </c>
      <c r="BH77" s="172">
        <f>IF(AND(Input_Product=Elig!$C77,Elig_MatchAll_Ct&lt;22,$BC77=(Elig_MatchAll_Ct-1),AF77=0),C77,0)</f>
        <v>0</v>
      </c>
      <c r="BI77" s="173">
        <f>IF(AND(Input_Product=Elig!$C77,Elig_MatchAll_Ct&lt;22,$BC77=(Elig_MatchAll_Ct-1),AG77=0),D77,0)</f>
        <v>0</v>
      </c>
      <c r="BJ77" s="173">
        <f>IF(AND(Input_Product=Elig!$C77,Elig_MatchAll_Ct&lt;22,$BC77=(Elig_MatchAll_Ct-1),AH77=0),E77,0)</f>
        <v>0</v>
      </c>
      <c r="BK77" s="173">
        <f>IF(AND(Input_Product=Elig!$C77,Elig_MatchAll_Ct&lt;22,$BC77=(Elig_MatchAll_Ct-1),AI77=0),F77,0)</f>
        <v>0</v>
      </c>
      <c r="BL77" s="173">
        <f>IF(AND(Input_Product=Elig!$C77,Elig_MatchAll_Ct&lt;22,$BC77=(Elig_MatchAll_Ct-1),AJ77=0),G77,0)</f>
        <v>0</v>
      </c>
      <c r="BM77" s="173">
        <f>IF(AND(Input_Product=Elig!$C77,Elig_MatchAll_Ct&lt;22,$BC77=(Elig_MatchAll_Ct-1),AK77=0),H77,0)</f>
        <v>0</v>
      </c>
      <c r="BN77" s="173">
        <f>IF(AND(Input_Product=Elig!$C77,Elig_MatchAll_Ct&lt;22,$BC77=(Elig_MatchAll_Ct-1),AL77=0),I77,0)</f>
        <v>0</v>
      </c>
      <c r="BO77" s="173">
        <f>IF(AND(Input_Product=Elig!$C77,Elig_MatchAll_Ct&lt;22,$BC77=(Elig_MatchAll_Ct-1),AM77=0),J77,0)</f>
        <v>0</v>
      </c>
      <c r="BP77" s="173">
        <f>IF(AND(Input_Product=Elig!$C77,Elig_MatchAll_Ct&lt;22,$BC77=(Elig_MatchAll_Ct-1),AN77=0),K77,0)</f>
        <v>0</v>
      </c>
      <c r="BQ77" s="173">
        <f>IF(AND(Input_Product=Elig!$C77,Elig_MatchAll_Ct&lt;22,$BC77=(Elig_MatchAll_Ct-1),AP77=0),L77,0)</f>
        <v>0</v>
      </c>
      <c r="BR77" s="173">
        <f>IF(AND(Input_Product=Elig!$C77,Elig_MatchAll_Ct&lt;22,$BC77=(Elig_MatchAll_Ct-1),AO77=0),M77,0)</f>
        <v>0</v>
      </c>
      <c r="BS77" s="173">
        <f>IF(AND(Input_Product=Elig!$C77,Elig_MatchAll_Ct&lt;22,$BC77=(Elig_MatchAll_Ct-1),AQ77=0),N77,0)</f>
        <v>0</v>
      </c>
      <c r="BT77" s="173">
        <f>IF(AND(Input_Product=Elig!$C77,Elig_MatchAll_Ct&lt;22,$BC77=(Elig_MatchAll_Ct-1),AR77=0),O77,0)</f>
        <v>0</v>
      </c>
      <c r="BU77" s="173">
        <f>IF(AND(Input_Product=Elig!$C77,Elig_MatchAll_Ct&lt;22,$BC77=(Elig_MatchAll_Ct-1),AS77=0),P77,0)</f>
        <v>0</v>
      </c>
      <c r="BV77" s="174">
        <f>IF(AND(Input_Product=Elig!$C77,Elig_MatchAll_Ct&lt;22,$BC77=(Elig_MatchAll_Ct-1),AT77=0),Q77,0)</f>
        <v>0</v>
      </c>
      <c r="BW77" s="175">
        <f>IF(AND(Input_Product=Elig!$C77,Elig_MatchAll_Ct&lt;22,$BC77=(Elig_MatchAll_Ct-1),AU77=0),R77,0)</f>
        <v>0</v>
      </c>
      <c r="BX77" s="176">
        <f>IF(AND(Input_Product=Elig!$C77,Elig_MatchAll_Ct&lt;22,$BC77=(Elig_MatchAll_Ct-1),AU77=0),S77,0)</f>
        <v>0</v>
      </c>
      <c r="BY77" s="175">
        <f>IF(AND(Input_Product=Elig!$C77,Elig_MatchAll_Ct&lt;22,$BC77=(Elig_MatchAll_Ct-1),AV77=0),T77,0)</f>
        <v>0</v>
      </c>
      <c r="BZ77" s="176">
        <f>IF(AND(Input_Product=Elig!$C77,Elig_MatchAll_Ct&lt;22,$BC77=(Elig_MatchAll_Ct-1),AV77=0),U77,0)</f>
        <v>0</v>
      </c>
      <c r="CA77" s="175">
        <f>IF(AND(Input_Product=Elig!$C77,Elig_MatchAll_Ct&lt;22,$BC77=(Elig_MatchAll_Ct-1),AW77=0),V77,0)</f>
        <v>0</v>
      </c>
      <c r="CB77" s="176">
        <f>IF(AND(Input_Product=Elig!$C77,Elig_MatchAll_Ct&lt;22,$BC77=(Elig_MatchAll_Ct-1),AW77=0),W77,0)</f>
        <v>0</v>
      </c>
      <c r="CC77" s="175">
        <f>IF(AND(Input_Product=Elig!$C77,Elig_MatchAll_Ct&lt;22,$BC77=(Elig_MatchAll_Ct-1),AX77=0),X77,0)</f>
        <v>0</v>
      </c>
      <c r="CD77" s="176">
        <f>IF(AND(Input_Product=Elig!$C77,Elig_MatchAll_Ct&lt;22,$BC77=(Elig_MatchAll_Ct-1),AX77=0),Y77,0)</f>
        <v>0</v>
      </c>
      <c r="CE77" s="175">
        <f>IF(AND(Input_LTV&lt;=AE77,Input_Product=Elig!$C77,Elig_MatchAll_Ct&lt;22,$BC77=(Elig_MatchAll_Ct-1),AY77=0),Z77,0)</f>
        <v>0</v>
      </c>
      <c r="CF77" s="176">
        <f>IF(AND(Input_LTV&lt;=AE77,Input_Product=Elig!$C77,Elig_MatchAll_Ct&lt;22,$BC77=(Elig_MatchAll_Ct-1),AY77=0),AA77,0)</f>
        <v>0</v>
      </c>
      <c r="CG77" s="175">
        <f>IF(AND(Input_Product=Elig!$C77,Elig_MatchAll_Ct&lt;22,$BC77=(Elig_MatchAll_Ct-1),AZ77=0),AB77,0)</f>
        <v>0</v>
      </c>
      <c r="CH77" s="176">
        <f>IF(AND(Input_Product=Elig!$C77,Elig_MatchAll_Ct&lt;22,$BC77=(Elig_MatchAll_Ct-1),AZ77=0),AC77,0)</f>
        <v>0</v>
      </c>
      <c r="CI77" s="175">
        <f>IF(AND(Input_Product=Elig!$C77,Elig_MatchAll_Ct&lt;22,$BC77=(Elig_MatchAll_Ct-1),BA77=0),AD77,0)</f>
        <v>0</v>
      </c>
      <c r="CJ77" s="177">
        <f>IF(AND(Input_Product=Elig!$C77,Elig_MatchAll_Ct&lt;22,$BC77=(Elig_MatchAll_Ct-1),BA77=0),AE77,0)</f>
        <v>0</v>
      </c>
    </row>
    <row r="78" spans="1:88" ht="10.15" customHeight="1" x14ac:dyDescent="0.25">
      <c r="A78" s="1419" t="s">
        <v>76</v>
      </c>
      <c r="B78" s="1419" t="s">
        <v>779</v>
      </c>
      <c r="C78" s="120" t="str">
        <f t="shared" si="30"/>
        <v>NonQM OO</v>
      </c>
      <c r="D78" s="121" t="s">
        <v>1995</v>
      </c>
      <c r="E78" s="121" t="s">
        <v>166</v>
      </c>
      <c r="F78" s="121" t="s">
        <v>330</v>
      </c>
      <c r="G78" s="121" t="s">
        <v>303</v>
      </c>
      <c r="H78" s="121" t="s">
        <v>444</v>
      </c>
      <c r="I78" s="121" t="s">
        <v>273</v>
      </c>
      <c r="J78" s="121" t="s">
        <v>1130</v>
      </c>
      <c r="K78" s="121" t="s">
        <v>1398</v>
      </c>
      <c r="L78" s="121" t="s">
        <v>2025</v>
      </c>
      <c r="M78" s="121" t="s">
        <v>2289</v>
      </c>
      <c r="N78" s="121" t="s">
        <v>82</v>
      </c>
      <c r="O78" s="121" t="s">
        <v>309</v>
      </c>
      <c r="P78" s="121" t="s">
        <v>2433</v>
      </c>
      <c r="Q78" s="121" t="s">
        <v>293</v>
      </c>
      <c r="R78" s="121">
        <v>1000000.01</v>
      </c>
      <c r="S78" s="121">
        <v>1500000</v>
      </c>
      <c r="T78" s="121">
        <v>0</v>
      </c>
      <c r="U78" s="121">
        <v>0</v>
      </c>
      <c r="V78" s="121">
        <v>0</v>
      </c>
      <c r="W78" s="121">
        <v>55</v>
      </c>
      <c r="X78" s="121">
        <v>0</v>
      </c>
      <c r="Y78" s="121">
        <v>999</v>
      </c>
      <c r="Z78" s="122">
        <v>620</v>
      </c>
      <c r="AA78" s="122">
        <v>639</v>
      </c>
      <c r="AB78" s="1878">
        <v>0</v>
      </c>
      <c r="AC78" s="122">
        <v>999999</v>
      </c>
      <c r="AD78" s="121">
        <v>0</v>
      </c>
      <c r="AE78" s="121">
        <v>70</v>
      </c>
      <c r="AF78" s="144">
        <v>0</v>
      </c>
      <c r="AG78" s="145">
        <v>1</v>
      </c>
      <c r="AH78" s="145">
        <v>1</v>
      </c>
      <c r="AI78" s="145">
        <v>0</v>
      </c>
      <c r="AJ78" s="145">
        <v>0</v>
      </c>
      <c r="AK78" s="145">
        <v>0</v>
      </c>
      <c r="AL78" s="145">
        <v>1</v>
      </c>
      <c r="AM78" s="145">
        <v>1</v>
      </c>
      <c r="AN78" s="145">
        <v>1</v>
      </c>
      <c r="AO78" s="145">
        <v>1</v>
      </c>
      <c r="AP78" s="145">
        <v>1</v>
      </c>
      <c r="AQ78" s="145">
        <v>0</v>
      </c>
      <c r="AR78" s="145">
        <v>1</v>
      </c>
      <c r="AS78" s="145">
        <v>1</v>
      </c>
      <c r="AT78" s="145">
        <v>1</v>
      </c>
      <c r="AU78" s="145">
        <f t="shared" si="19"/>
        <v>0</v>
      </c>
      <c r="AV78" s="145">
        <f t="shared" si="20"/>
        <v>1</v>
      </c>
      <c r="AW78" s="145">
        <f t="shared" si="21"/>
        <v>1</v>
      </c>
      <c r="AX78" s="145">
        <f t="shared" si="5"/>
        <v>1</v>
      </c>
      <c r="AY78" s="145">
        <f t="shared" si="22"/>
        <v>0</v>
      </c>
      <c r="AZ78" s="145">
        <f t="shared" si="23"/>
        <v>1</v>
      </c>
      <c r="BA78" s="146">
        <f t="shared" si="24"/>
        <v>1</v>
      </c>
      <c r="BB78" s="149">
        <f t="shared" si="25"/>
        <v>15</v>
      </c>
      <c r="BC78" s="150">
        <f t="shared" si="26"/>
        <v>14</v>
      </c>
      <c r="BD78" s="150">
        <f t="shared" si="27"/>
        <v>15</v>
      </c>
      <c r="BE78" s="211" t="str">
        <f t="shared" si="28"/>
        <v/>
      </c>
      <c r="BH78" s="178">
        <f>IF(AND(Input_Product=Elig!$C78,Elig_MatchAll_Ct&lt;22,$BC78=(Elig_MatchAll_Ct-1),AF78=0),C78,0)</f>
        <v>0</v>
      </c>
      <c r="BI78" s="179">
        <f>IF(AND(Input_Product=Elig!$C78,Elig_MatchAll_Ct&lt;22,$BC78=(Elig_MatchAll_Ct-1),AG78=0),D78,0)</f>
        <v>0</v>
      </c>
      <c r="BJ78" s="179">
        <f>IF(AND(Input_Product=Elig!$C78,Elig_MatchAll_Ct&lt;22,$BC78=(Elig_MatchAll_Ct-1),AH78=0),E78,0)</f>
        <v>0</v>
      </c>
      <c r="BK78" s="179">
        <f>IF(AND(Input_Product=Elig!$C78,Elig_MatchAll_Ct&lt;22,$BC78=(Elig_MatchAll_Ct-1),AI78=0),F78,0)</f>
        <v>0</v>
      </c>
      <c r="BL78" s="179">
        <f>IF(AND(Input_Product=Elig!$C78,Elig_MatchAll_Ct&lt;22,$BC78=(Elig_MatchAll_Ct-1),AJ78=0),G78,0)</f>
        <v>0</v>
      </c>
      <c r="BM78" s="179">
        <f>IF(AND(Input_Product=Elig!$C78,Elig_MatchAll_Ct&lt;22,$BC78=(Elig_MatchAll_Ct-1),AK78=0),H78,0)</f>
        <v>0</v>
      </c>
      <c r="BN78" s="179">
        <f>IF(AND(Input_Product=Elig!$C78,Elig_MatchAll_Ct&lt;22,$BC78=(Elig_MatchAll_Ct-1),AL78=0),I78,0)</f>
        <v>0</v>
      </c>
      <c r="BO78" s="179">
        <f>IF(AND(Input_Product=Elig!$C78,Elig_MatchAll_Ct&lt;22,$BC78=(Elig_MatchAll_Ct-1),AM78=0),J78,0)</f>
        <v>0</v>
      </c>
      <c r="BP78" s="179">
        <f>IF(AND(Input_Product=Elig!$C78,Elig_MatchAll_Ct&lt;22,$BC78=(Elig_MatchAll_Ct-1),AN78=0),K78,0)</f>
        <v>0</v>
      </c>
      <c r="BQ78" s="179">
        <f>IF(AND(Input_Product=Elig!$C78,Elig_MatchAll_Ct&lt;22,$BC78=(Elig_MatchAll_Ct-1),AP78=0),L78,0)</f>
        <v>0</v>
      </c>
      <c r="BR78" s="179">
        <f>IF(AND(Input_Product=Elig!$C78,Elig_MatchAll_Ct&lt;22,$BC78=(Elig_MatchAll_Ct-1),AO78=0),M78,0)</f>
        <v>0</v>
      </c>
      <c r="BS78" s="179">
        <f>IF(AND(Input_Product=Elig!$C78,Elig_MatchAll_Ct&lt;22,$BC78=(Elig_MatchAll_Ct-1),AQ78=0),N78,0)</f>
        <v>0</v>
      </c>
      <c r="BT78" s="179">
        <f>IF(AND(Input_Product=Elig!$C78,Elig_MatchAll_Ct&lt;22,$BC78=(Elig_MatchAll_Ct-1),AR78=0),O78,0)</f>
        <v>0</v>
      </c>
      <c r="BU78" s="179">
        <f>IF(AND(Input_Product=Elig!$C78,Elig_MatchAll_Ct&lt;22,$BC78=(Elig_MatchAll_Ct-1),AS78=0),P78,0)</f>
        <v>0</v>
      </c>
      <c r="BV78" s="180">
        <f>IF(AND(Input_Product=Elig!$C78,Elig_MatchAll_Ct&lt;22,$BC78=(Elig_MatchAll_Ct-1),AT78=0),Q78,0)</f>
        <v>0</v>
      </c>
      <c r="BW78" s="181">
        <f>IF(AND(Input_Product=Elig!$C78,Elig_MatchAll_Ct&lt;22,$BC78=(Elig_MatchAll_Ct-1),AU78=0),R78,0)</f>
        <v>0</v>
      </c>
      <c r="BX78" s="182">
        <f>IF(AND(Input_Product=Elig!$C78,Elig_MatchAll_Ct&lt;22,$BC78=(Elig_MatchAll_Ct-1),AU78=0),S78,0)</f>
        <v>0</v>
      </c>
      <c r="BY78" s="181">
        <f>IF(AND(Input_Product=Elig!$C78,Elig_MatchAll_Ct&lt;22,$BC78=(Elig_MatchAll_Ct-1),AV78=0),T78,0)</f>
        <v>0</v>
      </c>
      <c r="BZ78" s="182">
        <f>IF(AND(Input_Product=Elig!$C78,Elig_MatchAll_Ct&lt;22,$BC78=(Elig_MatchAll_Ct-1),AV78=0),U78,0)</f>
        <v>0</v>
      </c>
      <c r="CA78" s="181">
        <f>IF(AND(Input_Product=Elig!$C78,Elig_MatchAll_Ct&lt;22,$BC78=(Elig_MatchAll_Ct-1),AW78=0),V78,0)</f>
        <v>0</v>
      </c>
      <c r="CB78" s="182">
        <f>IF(AND(Input_Product=Elig!$C78,Elig_MatchAll_Ct&lt;22,$BC78=(Elig_MatchAll_Ct-1),AW78=0),W78,0)</f>
        <v>0</v>
      </c>
      <c r="CC78" s="181">
        <f>IF(AND(Input_Product=Elig!$C78,Elig_MatchAll_Ct&lt;22,$BC78=(Elig_MatchAll_Ct-1),AX78=0),X78,0)</f>
        <v>0</v>
      </c>
      <c r="CD78" s="182">
        <f>IF(AND(Input_Product=Elig!$C78,Elig_MatchAll_Ct&lt;22,$BC78=(Elig_MatchAll_Ct-1),AX78=0),Y78,0)</f>
        <v>0</v>
      </c>
      <c r="CE78" s="181">
        <f>IF(AND(Input_LTV&lt;=AE78,Input_Product=Elig!$C78,Elig_MatchAll_Ct&lt;22,$BC78=(Elig_MatchAll_Ct-1),AY78=0),Z78,0)</f>
        <v>0</v>
      </c>
      <c r="CF78" s="182">
        <f>IF(AND(Input_LTV&lt;=AE78,Input_Product=Elig!$C78,Elig_MatchAll_Ct&lt;22,$BC78=(Elig_MatchAll_Ct-1),AY78=0),AA78,0)</f>
        <v>0</v>
      </c>
      <c r="CG78" s="181">
        <f>IF(AND(Input_Product=Elig!$C78,Elig_MatchAll_Ct&lt;22,$BC78=(Elig_MatchAll_Ct-1),AZ78=0),AB78,0)</f>
        <v>0</v>
      </c>
      <c r="CH78" s="182">
        <f>IF(AND(Input_Product=Elig!$C78,Elig_MatchAll_Ct&lt;22,$BC78=(Elig_MatchAll_Ct-1),AZ78=0),AC78,0)</f>
        <v>0</v>
      </c>
      <c r="CI78" s="181">
        <f>IF(AND(Input_Product=Elig!$C78,Elig_MatchAll_Ct&lt;22,$BC78=(Elig_MatchAll_Ct-1),BA78=0),AD78,0)</f>
        <v>0</v>
      </c>
      <c r="CJ78" s="183">
        <f>IF(AND(Input_Product=Elig!$C78,Elig_MatchAll_Ct&lt;22,$BC78=(Elig_MatchAll_Ct-1),BA78=0),AE78,0)</f>
        <v>0</v>
      </c>
    </row>
    <row r="79" spans="1:88" ht="10.15" customHeight="1" x14ac:dyDescent="0.25">
      <c r="A79" s="1419" t="s">
        <v>76</v>
      </c>
      <c r="B79" s="1419" t="s">
        <v>780</v>
      </c>
      <c r="C79" s="123" t="str">
        <f t="shared" si="30"/>
        <v>NonQM OO</v>
      </c>
      <c r="D79" s="124" t="s">
        <v>1995</v>
      </c>
      <c r="E79" s="125" t="s">
        <v>166</v>
      </c>
      <c r="F79" s="125" t="s">
        <v>330</v>
      </c>
      <c r="G79" s="125" t="s">
        <v>303</v>
      </c>
      <c r="H79" s="125" t="s">
        <v>444</v>
      </c>
      <c r="I79" s="124" t="s">
        <v>16</v>
      </c>
      <c r="J79" s="124" t="s">
        <v>1130</v>
      </c>
      <c r="K79" s="124" t="s">
        <v>1398</v>
      </c>
      <c r="L79" s="125" t="s">
        <v>2025</v>
      </c>
      <c r="M79" s="125" t="s">
        <v>2289</v>
      </c>
      <c r="N79" s="125" t="s">
        <v>82</v>
      </c>
      <c r="O79" s="125" t="s">
        <v>309</v>
      </c>
      <c r="P79" s="125" t="s">
        <v>2433</v>
      </c>
      <c r="Q79" s="125" t="s">
        <v>293</v>
      </c>
      <c r="R79" s="124">
        <v>1000000.01</v>
      </c>
      <c r="S79" s="124">
        <v>1500000</v>
      </c>
      <c r="T79" s="124">
        <v>0</v>
      </c>
      <c r="U79" s="124">
        <f t="shared" ref="U79:U84" si="31">S79</f>
        <v>1500000</v>
      </c>
      <c r="V79" s="124">
        <v>0</v>
      </c>
      <c r="W79" s="124">
        <v>55</v>
      </c>
      <c r="X79" s="124">
        <v>0</v>
      </c>
      <c r="Y79" s="124">
        <v>999</v>
      </c>
      <c r="Z79" s="126">
        <v>720</v>
      </c>
      <c r="AA79" s="126">
        <v>999</v>
      </c>
      <c r="AB79" s="1879">
        <v>0</v>
      </c>
      <c r="AC79" s="126">
        <v>999999</v>
      </c>
      <c r="AD79" s="124">
        <v>0</v>
      </c>
      <c r="AE79" s="124">
        <v>80</v>
      </c>
      <c r="AF79" s="144">
        <v>0</v>
      </c>
      <c r="AG79" s="145">
        <v>1</v>
      </c>
      <c r="AH79" s="145">
        <v>1</v>
      </c>
      <c r="AI79" s="145">
        <v>0</v>
      </c>
      <c r="AJ79" s="145">
        <v>0</v>
      </c>
      <c r="AK79" s="145">
        <v>0</v>
      </c>
      <c r="AL79" s="145">
        <v>0</v>
      </c>
      <c r="AM79" s="145">
        <v>1</v>
      </c>
      <c r="AN79" s="145">
        <v>1</v>
      </c>
      <c r="AO79" s="145">
        <v>1</v>
      </c>
      <c r="AP79" s="145">
        <v>1</v>
      </c>
      <c r="AQ79" s="145">
        <v>0</v>
      </c>
      <c r="AR79" s="145">
        <v>1</v>
      </c>
      <c r="AS79" s="145">
        <v>1</v>
      </c>
      <c r="AT79" s="145">
        <v>1</v>
      </c>
      <c r="AU79" s="145">
        <f t="shared" si="19"/>
        <v>0</v>
      </c>
      <c r="AV79" s="145">
        <f t="shared" si="20"/>
        <v>1</v>
      </c>
      <c r="AW79" s="145">
        <f t="shared" si="21"/>
        <v>1</v>
      </c>
      <c r="AX79" s="145">
        <f t="shared" si="5"/>
        <v>1</v>
      </c>
      <c r="AY79" s="145">
        <f t="shared" si="22"/>
        <v>1</v>
      </c>
      <c r="AZ79" s="145">
        <f t="shared" si="23"/>
        <v>1</v>
      </c>
      <c r="BA79" s="146">
        <f t="shared" si="24"/>
        <v>1</v>
      </c>
      <c r="BB79" s="149">
        <f t="shared" si="25"/>
        <v>15</v>
      </c>
      <c r="BC79" s="150">
        <f t="shared" si="26"/>
        <v>14</v>
      </c>
      <c r="BD79" s="150">
        <f t="shared" si="27"/>
        <v>15</v>
      </c>
      <c r="BE79" s="211" t="str">
        <f t="shared" si="28"/>
        <v/>
      </c>
      <c r="BH79" s="166">
        <f>IF(AND(Input_Product=Elig!$C79,Elig_MatchAll_Ct&lt;22,$BC79=(Elig_MatchAll_Ct-1),AF79=0),C79,0)</f>
        <v>0</v>
      </c>
      <c r="BI79" s="167">
        <f>IF(AND(Input_Product=Elig!$C79,Elig_MatchAll_Ct&lt;22,$BC79=(Elig_MatchAll_Ct-1),AG79=0),D79,0)</f>
        <v>0</v>
      </c>
      <c r="BJ79" s="167">
        <f>IF(AND(Input_Product=Elig!$C79,Elig_MatchAll_Ct&lt;22,$BC79=(Elig_MatchAll_Ct-1),AH79=0),E79,0)</f>
        <v>0</v>
      </c>
      <c r="BK79" s="167">
        <f>IF(AND(Input_Product=Elig!$C79,Elig_MatchAll_Ct&lt;22,$BC79=(Elig_MatchAll_Ct-1),AI79=0),F79,0)</f>
        <v>0</v>
      </c>
      <c r="BL79" s="167">
        <f>IF(AND(Input_Product=Elig!$C79,Elig_MatchAll_Ct&lt;22,$BC79=(Elig_MatchAll_Ct-1),AJ79=0),G79,0)</f>
        <v>0</v>
      </c>
      <c r="BM79" s="167">
        <f>IF(AND(Input_Product=Elig!$C79,Elig_MatchAll_Ct&lt;22,$BC79=(Elig_MatchAll_Ct-1),AK79=0),H79,0)</f>
        <v>0</v>
      </c>
      <c r="BN79" s="167">
        <f>IF(AND(Input_Product=Elig!$C79,Elig_MatchAll_Ct&lt;22,$BC79=(Elig_MatchAll_Ct-1),AL79=0),I79,0)</f>
        <v>0</v>
      </c>
      <c r="BO79" s="167">
        <f>IF(AND(Input_Product=Elig!$C79,Elig_MatchAll_Ct&lt;22,$BC79=(Elig_MatchAll_Ct-1),AM79=0),J79,0)</f>
        <v>0</v>
      </c>
      <c r="BP79" s="167">
        <f>IF(AND(Input_Product=Elig!$C79,Elig_MatchAll_Ct&lt;22,$BC79=(Elig_MatchAll_Ct-1),AN79=0),K79,0)</f>
        <v>0</v>
      </c>
      <c r="BQ79" s="167">
        <f>IF(AND(Input_Product=Elig!$C79,Elig_MatchAll_Ct&lt;22,$BC79=(Elig_MatchAll_Ct-1),AP79=0),L79,0)</f>
        <v>0</v>
      </c>
      <c r="BR79" s="167">
        <f>IF(AND(Input_Product=Elig!$C79,Elig_MatchAll_Ct&lt;22,$BC79=(Elig_MatchAll_Ct-1),AO79=0),M79,0)</f>
        <v>0</v>
      </c>
      <c r="BS79" s="167">
        <f>IF(AND(Input_Product=Elig!$C79,Elig_MatchAll_Ct&lt;22,$BC79=(Elig_MatchAll_Ct-1),AQ79=0),N79,0)</f>
        <v>0</v>
      </c>
      <c r="BT79" s="167">
        <f>IF(AND(Input_Product=Elig!$C79,Elig_MatchAll_Ct&lt;22,$BC79=(Elig_MatchAll_Ct-1),AR79=0),O79,0)</f>
        <v>0</v>
      </c>
      <c r="BU79" s="167">
        <f>IF(AND(Input_Product=Elig!$C79,Elig_MatchAll_Ct&lt;22,$BC79=(Elig_MatchAll_Ct-1),AS79=0),P79,0)</f>
        <v>0</v>
      </c>
      <c r="BV79" s="168">
        <f>IF(AND(Input_Product=Elig!$C79,Elig_MatchAll_Ct&lt;22,$BC79=(Elig_MatchAll_Ct-1),AT79=0),Q79,0)</f>
        <v>0</v>
      </c>
      <c r="BW79" s="169">
        <f>IF(AND(Input_Product=Elig!$C79,Elig_MatchAll_Ct&lt;22,$BC79=(Elig_MatchAll_Ct-1),AU79=0),R79,0)</f>
        <v>0</v>
      </c>
      <c r="BX79" s="170">
        <f>IF(AND(Input_Product=Elig!$C79,Elig_MatchAll_Ct&lt;22,$BC79=(Elig_MatchAll_Ct-1),AU79=0),S79,0)</f>
        <v>0</v>
      </c>
      <c r="BY79" s="169">
        <f>IF(AND(Input_Product=Elig!$C79,Elig_MatchAll_Ct&lt;22,$BC79=(Elig_MatchAll_Ct-1),AV79=0),T79,0)</f>
        <v>0</v>
      </c>
      <c r="BZ79" s="170">
        <f>IF(AND(Input_Product=Elig!$C79,Elig_MatchAll_Ct&lt;22,$BC79=(Elig_MatchAll_Ct-1),AV79=0),U79,0)</f>
        <v>0</v>
      </c>
      <c r="CA79" s="169">
        <f>IF(AND(Input_Product=Elig!$C79,Elig_MatchAll_Ct&lt;22,$BC79=(Elig_MatchAll_Ct-1),AW79=0),V79,0)</f>
        <v>0</v>
      </c>
      <c r="CB79" s="170">
        <f>IF(AND(Input_Product=Elig!$C79,Elig_MatchAll_Ct&lt;22,$BC79=(Elig_MatchAll_Ct-1),AW79=0),W79,0)</f>
        <v>0</v>
      </c>
      <c r="CC79" s="169">
        <f>IF(AND(Input_Product=Elig!$C79,Elig_MatchAll_Ct&lt;22,$BC79=(Elig_MatchAll_Ct-1),AX79=0),X79,0)</f>
        <v>0</v>
      </c>
      <c r="CD79" s="170">
        <f>IF(AND(Input_Product=Elig!$C79,Elig_MatchAll_Ct&lt;22,$BC79=(Elig_MatchAll_Ct-1),AX79=0),Y79,0)</f>
        <v>0</v>
      </c>
      <c r="CE79" s="169">
        <f>IF(AND(Input_LTV&lt;=AE79,Input_Product=Elig!$C79,Elig_MatchAll_Ct&lt;22,$BC79=(Elig_MatchAll_Ct-1),AY79=0),Z79,0)</f>
        <v>0</v>
      </c>
      <c r="CF79" s="170">
        <f>IF(AND(Input_LTV&lt;=AE79,Input_Product=Elig!$C79,Elig_MatchAll_Ct&lt;22,$BC79=(Elig_MatchAll_Ct-1),AY79=0),AA79,0)</f>
        <v>0</v>
      </c>
      <c r="CG79" s="169">
        <f>IF(AND(Input_Product=Elig!$C79,Elig_MatchAll_Ct&lt;22,$BC79=(Elig_MatchAll_Ct-1),AZ79=0),AB79,0)</f>
        <v>0</v>
      </c>
      <c r="CH79" s="170">
        <f>IF(AND(Input_Product=Elig!$C79,Elig_MatchAll_Ct&lt;22,$BC79=(Elig_MatchAll_Ct-1),AZ79=0),AC79,0)</f>
        <v>0</v>
      </c>
      <c r="CI79" s="169">
        <f>IF(AND(Input_Product=Elig!$C79,Elig_MatchAll_Ct&lt;22,$BC79=(Elig_MatchAll_Ct-1),BA79=0),AD79,0)</f>
        <v>0</v>
      </c>
      <c r="CJ79" s="171">
        <f>IF(AND(Input_Product=Elig!$C79,Elig_MatchAll_Ct&lt;22,$BC79=(Elig_MatchAll_Ct-1),BA79=0),AE79,0)</f>
        <v>0</v>
      </c>
    </row>
    <row r="80" spans="1:88" ht="10.15" customHeight="1" x14ac:dyDescent="0.25">
      <c r="A80" s="1419" t="s">
        <v>76</v>
      </c>
      <c r="B80" s="1419" t="s">
        <v>781</v>
      </c>
      <c r="C80" s="116" t="str">
        <f t="shared" si="30"/>
        <v>NonQM OO</v>
      </c>
      <c r="D80" s="117" t="s">
        <v>1995</v>
      </c>
      <c r="E80" s="117" t="s">
        <v>166</v>
      </c>
      <c r="F80" s="117" t="s">
        <v>330</v>
      </c>
      <c r="G80" s="117" t="s">
        <v>303</v>
      </c>
      <c r="H80" s="117" t="s">
        <v>444</v>
      </c>
      <c r="I80" s="118" t="s">
        <v>16</v>
      </c>
      <c r="J80" s="118" t="s">
        <v>1130</v>
      </c>
      <c r="K80" s="118" t="s">
        <v>1398</v>
      </c>
      <c r="L80" s="117" t="s">
        <v>2025</v>
      </c>
      <c r="M80" s="117" t="s">
        <v>2289</v>
      </c>
      <c r="N80" s="117" t="s">
        <v>82</v>
      </c>
      <c r="O80" s="117" t="s">
        <v>309</v>
      </c>
      <c r="P80" s="117" t="s">
        <v>2433</v>
      </c>
      <c r="Q80" s="117" t="s">
        <v>293</v>
      </c>
      <c r="R80" s="117">
        <v>1000000.01</v>
      </c>
      <c r="S80" s="117">
        <v>1500000</v>
      </c>
      <c r="T80" s="117">
        <v>0</v>
      </c>
      <c r="U80" s="117">
        <f t="shared" si="31"/>
        <v>1500000</v>
      </c>
      <c r="V80" s="117">
        <v>0</v>
      </c>
      <c r="W80" s="117">
        <v>55</v>
      </c>
      <c r="X80" s="117">
        <v>0</v>
      </c>
      <c r="Y80" s="117">
        <v>999</v>
      </c>
      <c r="Z80" s="119">
        <v>700</v>
      </c>
      <c r="AA80" s="119">
        <v>719</v>
      </c>
      <c r="AB80" s="1877">
        <v>0</v>
      </c>
      <c r="AC80" s="119">
        <v>999999</v>
      </c>
      <c r="AD80" s="117">
        <v>0</v>
      </c>
      <c r="AE80" s="117">
        <v>80</v>
      </c>
      <c r="AF80" s="144">
        <v>0</v>
      </c>
      <c r="AG80" s="145">
        <v>1</v>
      </c>
      <c r="AH80" s="145">
        <v>1</v>
      </c>
      <c r="AI80" s="145">
        <v>0</v>
      </c>
      <c r="AJ80" s="145">
        <v>0</v>
      </c>
      <c r="AK80" s="145">
        <v>0</v>
      </c>
      <c r="AL80" s="145">
        <v>0</v>
      </c>
      <c r="AM80" s="145">
        <v>1</v>
      </c>
      <c r="AN80" s="145">
        <v>1</v>
      </c>
      <c r="AO80" s="145">
        <v>1</v>
      </c>
      <c r="AP80" s="145">
        <v>1</v>
      </c>
      <c r="AQ80" s="145">
        <v>0</v>
      </c>
      <c r="AR80" s="145">
        <v>1</v>
      </c>
      <c r="AS80" s="145">
        <v>1</v>
      </c>
      <c r="AT80" s="145">
        <v>1</v>
      </c>
      <c r="AU80" s="145">
        <f t="shared" si="19"/>
        <v>0</v>
      </c>
      <c r="AV80" s="145">
        <f t="shared" si="20"/>
        <v>1</v>
      </c>
      <c r="AW80" s="145">
        <f t="shared" si="21"/>
        <v>1</v>
      </c>
      <c r="AX80" s="145">
        <f t="shared" si="5"/>
        <v>1</v>
      </c>
      <c r="AY80" s="145">
        <f t="shared" si="22"/>
        <v>0</v>
      </c>
      <c r="AZ80" s="145">
        <f t="shared" si="23"/>
        <v>1</v>
      </c>
      <c r="BA80" s="146">
        <f t="shared" si="24"/>
        <v>1</v>
      </c>
      <c r="BB80" s="149">
        <f t="shared" si="25"/>
        <v>14</v>
      </c>
      <c r="BC80" s="150">
        <f t="shared" si="26"/>
        <v>13</v>
      </c>
      <c r="BD80" s="150">
        <f t="shared" si="27"/>
        <v>14</v>
      </c>
      <c r="BE80" s="211" t="str">
        <f t="shared" si="28"/>
        <v/>
      </c>
      <c r="BH80" s="172">
        <f>IF(AND(Input_Product=Elig!$C80,Elig_MatchAll_Ct&lt;22,$BC80=(Elig_MatchAll_Ct-1),AF80=0),C80,0)</f>
        <v>0</v>
      </c>
      <c r="BI80" s="173">
        <f>IF(AND(Input_Product=Elig!$C80,Elig_MatchAll_Ct&lt;22,$BC80=(Elig_MatchAll_Ct-1),AG80=0),D80,0)</f>
        <v>0</v>
      </c>
      <c r="BJ80" s="173">
        <f>IF(AND(Input_Product=Elig!$C80,Elig_MatchAll_Ct&lt;22,$BC80=(Elig_MatchAll_Ct-1),AH80=0),E80,0)</f>
        <v>0</v>
      </c>
      <c r="BK80" s="173">
        <f>IF(AND(Input_Product=Elig!$C80,Elig_MatchAll_Ct&lt;22,$BC80=(Elig_MatchAll_Ct-1),AI80=0),F80,0)</f>
        <v>0</v>
      </c>
      <c r="BL80" s="173">
        <f>IF(AND(Input_Product=Elig!$C80,Elig_MatchAll_Ct&lt;22,$BC80=(Elig_MatchAll_Ct-1),AJ80=0),G80,0)</f>
        <v>0</v>
      </c>
      <c r="BM80" s="173">
        <f>IF(AND(Input_Product=Elig!$C80,Elig_MatchAll_Ct&lt;22,$BC80=(Elig_MatchAll_Ct-1),AK80=0),H80,0)</f>
        <v>0</v>
      </c>
      <c r="BN80" s="173">
        <f>IF(AND(Input_Product=Elig!$C80,Elig_MatchAll_Ct&lt;22,$BC80=(Elig_MatchAll_Ct-1),AL80=0),I80,0)</f>
        <v>0</v>
      </c>
      <c r="BO80" s="173">
        <f>IF(AND(Input_Product=Elig!$C80,Elig_MatchAll_Ct&lt;22,$BC80=(Elig_MatchAll_Ct-1),AM80=0),J80,0)</f>
        <v>0</v>
      </c>
      <c r="BP80" s="173">
        <f>IF(AND(Input_Product=Elig!$C80,Elig_MatchAll_Ct&lt;22,$BC80=(Elig_MatchAll_Ct-1),AN80=0),K80,0)</f>
        <v>0</v>
      </c>
      <c r="BQ80" s="173">
        <f>IF(AND(Input_Product=Elig!$C80,Elig_MatchAll_Ct&lt;22,$BC80=(Elig_MatchAll_Ct-1),AP80=0),L80,0)</f>
        <v>0</v>
      </c>
      <c r="BR80" s="173">
        <f>IF(AND(Input_Product=Elig!$C80,Elig_MatchAll_Ct&lt;22,$BC80=(Elig_MatchAll_Ct-1),AO80=0),M80,0)</f>
        <v>0</v>
      </c>
      <c r="BS80" s="173">
        <f>IF(AND(Input_Product=Elig!$C80,Elig_MatchAll_Ct&lt;22,$BC80=(Elig_MatchAll_Ct-1),AQ80=0),N80,0)</f>
        <v>0</v>
      </c>
      <c r="BT80" s="173">
        <f>IF(AND(Input_Product=Elig!$C80,Elig_MatchAll_Ct&lt;22,$BC80=(Elig_MatchAll_Ct-1),AR80=0),O80,0)</f>
        <v>0</v>
      </c>
      <c r="BU80" s="173">
        <f>IF(AND(Input_Product=Elig!$C80,Elig_MatchAll_Ct&lt;22,$BC80=(Elig_MatchAll_Ct-1),AS80=0),P80,0)</f>
        <v>0</v>
      </c>
      <c r="BV80" s="174">
        <f>IF(AND(Input_Product=Elig!$C80,Elig_MatchAll_Ct&lt;22,$BC80=(Elig_MatchAll_Ct-1),AT80=0),Q80,0)</f>
        <v>0</v>
      </c>
      <c r="BW80" s="175">
        <f>IF(AND(Input_Product=Elig!$C80,Elig_MatchAll_Ct&lt;22,$BC80=(Elig_MatchAll_Ct-1),AU80=0),R80,0)</f>
        <v>0</v>
      </c>
      <c r="BX80" s="176">
        <f>IF(AND(Input_Product=Elig!$C80,Elig_MatchAll_Ct&lt;22,$BC80=(Elig_MatchAll_Ct-1),AU80=0),S80,0)</f>
        <v>0</v>
      </c>
      <c r="BY80" s="175">
        <f>IF(AND(Input_Product=Elig!$C80,Elig_MatchAll_Ct&lt;22,$BC80=(Elig_MatchAll_Ct-1),AV80=0),T80,0)</f>
        <v>0</v>
      </c>
      <c r="BZ80" s="176">
        <f>IF(AND(Input_Product=Elig!$C80,Elig_MatchAll_Ct&lt;22,$BC80=(Elig_MatchAll_Ct-1),AV80=0),U80,0)</f>
        <v>0</v>
      </c>
      <c r="CA80" s="175">
        <f>IF(AND(Input_Product=Elig!$C80,Elig_MatchAll_Ct&lt;22,$BC80=(Elig_MatchAll_Ct-1),AW80=0),V80,0)</f>
        <v>0</v>
      </c>
      <c r="CB80" s="176">
        <f>IF(AND(Input_Product=Elig!$C80,Elig_MatchAll_Ct&lt;22,$BC80=(Elig_MatchAll_Ct-1),AW80=0),W80,0)</f>
        <v>0</v>
      </c>
      <c r="CC80" s="175">
        <f>IF(AND(Input_Product=Elig!$C80,Elig_MatchAll_Ct&lt;22,$BC80=(Elig_MatchAll_Ct-1),AX80=0),X80,0)</f>
        <v>0</v>
      </c>
      <c r="CD80" s="176">
        <f>IF(AND(Input_Product=Elig!$C80,Elig_MatchAll_Ct&lt;22,$BC80=(Elig_MatchAll_Ct-1),AX80=0),Y80,0)</f>
        <v>0</v>
      </c>
      <c r="CE80" s="175">
        <f>IF(AND(Input_LTV&lt;=AE80,Input_Product=Elig!$C80,Elig_MatchAll_Ct&lt;22,$BC80=(Elig_MatchAll_Ct-1),AY80=0),Z80,0)</f>
        <v>0</v>
      </c>
      <c r="CF80" s="176">
        <f>IF(AND(Input_LTV&lt;=AE80,Input_Product=Elig!$C80,Elig_MatchAll_Ct&lt;22,$BC80=(Elig_MatchAll_Ct-1),AY80=0),AA80,0)</f>
        <v>0</v>
      </c>
      <c r="CG80" s="175">
        <f>IF(AND(Input_Product=Elig!$C80,Elig_MatchAll_Ct&lt;22,$BC80=(Elig_MatchAll_Ct-1),AZ80=0),AB80,0)</f>
        <v>0</v>
      </c>
      <c r="CH80" s="176">
        <f>IF(AND(Input_Product=Elig!$C80,Elig_MatchAll_Ct&lt;22,$BC80=(Elig_MatchAll_Ct-1),AZ80=0),AC80,0)</f>
        <v>0</v>
      </c>
      <c r="CI80" s="175">
        <f>IF(AND(Input_Product=Elig!$C80,Elig_MatchAll_Ct&lt;22,$BC80=(Elig_MatchAll_Ct-1),BA80=0),AD80,0)</f>
        <v>0</v>
      </c>
      <c r="CJ80" s="177">
        <f>IF(AND(Input_Product=Elig!$C80,Elig_MatchAll_Ct&lt;22,$BC80=(Elig_MatchAll_Ct-1),BA80=0),AE80,0)</f>
        <v>0</v>
      </c>
    </row>
    <row r="81" spans="1:88" ht="10.15" customHeight="1" x14ac:dyDescent="0.25">
      <c r="A81" s="1419" t="s">
        <v>76</v>
      </c>
      <c r="B81" s="1419" t="s">
        <v>782</v>
      </c>
      <c r="C81" s="116" t="str">
        <f t="shared" si="30"/>
        <v>NonQM OO</v>
      </c>
      <c r="D81" s="117" t="s">
        <v>1995</v>
      </c>
      <c r="E81" s="117" t="s">
        <v>166</v>
      </c>
      <c r="F81" s="117" t="s">
        <v>330</v>
      </c>
      <c r="G81" s="117" t="s">
        <v>303</v>
      </c>
      <c r="H81" s="117" t="s">
        <v>444</v>
      </c>
      <c r="I81" s="118" t="s">
        <v>16</v>
      </c>
      <c r="J81" s="118" t="s">
        <v>1130</v>
      </c>
      <c r="K81" s="118" t="s">
        <v>1398</v>
      </c>
      <c r="L81" s="117" t="s">
        <v>2025</v>
      </c>
      <c r="M81" s="117" t="s">
        <v>2289</v>
      </c>
      <c r="N81" s="117" t="s">
        <v>82</v>
      </c>
      <c r="O81" s="117" t="s">
        <v>309</v>
      </c>
      <c r="P81" s="117" t="s">
        <v>2433</v>
      </c>
      <c r="Q81" s="117" t="s">
        <v>293</v>
      </c>
      <c r="R81" s="117">
        <v>1000000.01</v>
      </c>
      <c r="S81" s="117">
        <v>1500000</v>
      </c>
      <c r="T81" s="117">
        <v>0</v>
      </c>
      <c r="U81" s="117">
        <f t="shared" si="31"/>
        <v>1500000</v>
      </c>
      <c r="V81" s="117">
        <v>0</v>
      </c>
      <c r="W81" s="117">
        <v>55</v>
      </c>
      <c r="X81" s="117">
        <v>0</v>
      </c>
      <c r="Y81" s="117">
        <v>999</v>
      </c>
      <c r="Z81" s="119">
        <v>680</v>
      </c>
      <c r="AA81" s="119">
        <v>699</v>
      </c>
      <c r="AB81" s="1877">
        <v>0</v>
      </c>
      <c r="AC81" s="119">
        <v>999999</v>
      </c>
      <c r="AD81" s="117">
        <v>0</v>
      </c>
      <c r="AE81" s="117">
        <v>75</v>
      </c>
      <c r="AF81" s="144">
        <v>0</v>
      </c>
      <c r="AG81" s="145">
        <v>1</v>
      </c>
      <c r="AH81" s="145">
        <v>1</v>
      </c>
      <c r="AI81" s="145">
        <v>0</v>
      </c>
      <c r="AJ81" s="145">
        <v>0</v>
      </c>
      <c r="AK81" s="145">
        <v>0</v>
      </c>
      <c r="AL81" s="145">
        <v>0</v>
      </c>
      <c r="AM81" s="145">
        <v>1</v>
      </c>
      <c r="AN81" s="145">
        <v>1</v>
      </c>
      <c r="AO81" s="145">
        <v>1</v>
      </c>
      <c r="AP81" s="145">
        <v>1</v>
      </c>
      <c r="AQ81" s="145">
        <v>0</v>
      </c>
      <c r="AR81" s="145">
        <v>1</v>
      </c>
      <c r="AS81" s="145">
        <v>1</v>
      </c>
      <c r="AT81" s="145">
        <v>1</v>
      </c>
      <c r="AU81" s="145">
        <f t="shared" si="19"/>
        <v>0</v>
      </c>
      <c r="AV81" s="145">
        <f t="shared" si="20"/>
        <v>1</v>
      </c>
      <c r="AW81" s="145">
        <f t="shared" si="21"/>
        <v>1</v>
      </c>
      <c r="AX81" s="145">
        <f t="shared" si="5"/>
        <v>1</v>
      </c>
      <c r="AY81" s="145">
        <f t="shared" si="22"/>
        <v>0</v>
      </c>
      <c r="AZ81" s="145">
        <f t="shared" si="23"/>
        <v>1</v>
      </c>
      <c r="BA81" s="146">
        <f t="shared" si="24"/>
        <v>1</v>
      </c>
      <c r="BB81" s="149">
        <f t="shared" si="25"/>
        <v>14</v>
      </c>
      <c r="BC81" s="150">
        <f t="shared" si="26"/>
        <v>13</v>
      </c>
      <c r="BD81" s="150">
        <f t="shared" si="27"/>
        <v>14</v>
      </c>
      <c r="BE81" s="211" t="str">
        <f t="shared" si="28"/>
        <v/>
      </c>
      <c r="BH81" s="172">
        <f>IF(AND(Input_Product=Elig!$C81,Elig_MatchAll_Ct&lt;22,$BC81=(Elig_MatchAll_Ct-1),AF81=0),C81,0)</f>
        <v>0</v>
      </c>
      <c r="BI81" s="173">
        <f>IF(AND(Input_Product=Elig!$C81,Elig_MatchAll_Ct&lt;22,$BC81=(Elig_MatchAll_Ct-1),AG81=0),D81,0)</f>
        <v>0</v>
      </c>
      <c r="BJ81" s="173">
        <f>IF(AND(Input_Product=Elig!$C81,Elig_MatchAll_Ct&lt;22,$BC81=(Elig_MatchAll_Ct-1),AH81=0),E81,0)</f>
        <v>0</v>
      </c>
      <c r="BK81" s="173">
        <f>IF(AND(Input_Product=Elig!$C81,Elig_MatchAll_Ct&lt;22,$BC81=(Elig_MatchAll_Ct-1),AI81=0),F81,0)</f>
        <v>0</v>
      </c>
      <c r="BL81" s="173">
        <f>IF(AND(Input_Product=Elig!$C81,Elig_MatchAll_Ct&lt;22,$BC81=(Elig_MatchAll_Ct-1),AJ81=0),G81,0)</f>
        <v>0</v>
      </c>
      <c r="BM81" s="173">
        <f>IF(AND(Input_Product=Elig!$C81,Elig_MatchAll_Ct&lt;22,$BC81=(Elig_MatchAll_Ct-1),AK81=0),H81,0)</f>
        <v>0</v>
      </c>
      <c r="BN81" s="173">
        <f>IF(AND(Input_Product=Elig!$C81,Elig_MatchAll_Ct&lt;22,$BC81=(Elig_MatchAll_Ct-1),AL81=0),I81,0)</f>
        <v>0</v>
      </c>
      <c r="BO81" s="173">
        <f>IF(AND(Input_Product=Elig!$C81,Elig_MatchAll_Ct&lt;22,$BC81=(Elig_MatchAll_Ct-1),AM81=0),J81,0)</f>
        <v>0</v>
      </c>
      <c r="BP81" s="173">
        <f>IF(AND(Input_Product=Elig!$C81,Elig_MatchAll_Ct&lt;22,$BC81=(Elig_MatchAll_Ct-1),AN81=0),K81,0)</f>
        <v>0</v>
      </c>
      <c r="BQ81" s="173">
        <f>IF(AND(Input_Product=Elig!$C81,Elig_MatchAll_Ct&lt;22,$BC81=(Elig_MatchAll_Ct-1),AP81=0),L81,0)</f>
        <v>0</v>
      </c>
      <c r="BR81" s="173">
        <f>IF(AND(Input_Product=Elig!$C81,Elig_MatchAll_Ct&lt;22,$BC81=(Elig_MatchAll_Ct-1),AO81=0),M81,0)</f>
        <v>0</v>
      </c>
      <c r="BS81" s="173">
        <f>IF(AND(Input_Product=Elig!$C81,Elig_MatchAll_Ct&lt;22,$BC81=(Elig_MatchAll_Ct-1),AQ81=0),N81,0)</f>
        <v>0</v>
      </c>
      <c r="BT81" s="173">
        <f>IF(AND(Input_Product=Elig!$C81,Elig_MatchAll_Ct&lt;22,$BC81=(Elig_MatchAll_Ct-1),AR81=0),O81,0)</f>
        <v>0</v>
      </c>
      <c r="BU81" s="173">
        <f>IF(AND(Input_Product=Elig!$C81,Elig_MatchAll_Ct&lt;22,$BC81=(Elig_MatchAll_Ct-1),AS81=0),P81,0)</f>
        <v>0</v>
      </c>
      <c r="BV81" s="174">
        <f>IF(AND(Input_Product=Elig!$C81,Elig_MatchAll_Ct&lt;22,$BC81=(Elig_MatchAll_Ct-1),AT81=0),Q81,0)</f>
        <v>0</v>
      </c>
      <c r="BW81" s="175">
        <f>IF(AND(Input_Product=Elig!$C81,Elig_MatchAll_Ct&lt;22,$BC81=(Elig_MatchAll_Ct-1),AU81=0),R81,0)</f>
        <v>0</v>
      </c>
      <c r="BX81" s="176">
        <f>IF(AND(Input_Product=Elig!$C81,Elig_MatchAll_Ct&lt;22,$BC81=(Elig_MatchAll_Ct-1),AU81=0),S81,0)</f>
        <v>0</v>
      </c>
      <c r="BY81" s="175">
        <f>IF(AND(Input_Product=Elig!$C81,Elig_MatchAll_Ct&lt;22,$BC81=(Elig_MatchAll_Ct-1),AV81=0),T81,0)</f>
        <v>0</v>
      </c>
      <c r="BZ81" s="176">
        <f>IF(AND(Input_Product=Elig!$C81,Elig_MatchAll_Ct&lt;22,$BC81=(Elig_MatchAll_Ct-1),AV81=0),U81,0)</f>
        <v>0</v>
      </c>
      <c r="CA81" s="175">
        <f>IF(AND(Input_Product=Elig!$C81,Elig_MatchAll_Ct&lt;22,$BC81=(Elig_MatchAll_Ct-1),AW81=0),V81,0)</f>
        <v>0</v>
      </c>
      <c r="CB81" s="176">
        <f>IF(AND(Input_Product=Elig!$C81,Elig_MatchAll_Ct&lt;22,$BC81=(Elig_MatchAll_Ct-1),AW81=0),W81,0)</f>
        <v>0</v>
      </c>
      <c r="CC81" s="175">
        <f>IF(AND(Input_Product=Elig!$C81,Elig_MatchAll_Ct&lt;22,$BC81=(Elig_MatchAll_Ct-1),AX81=0),X81,0)</f>
        <v>0</v>
      </c>
      <c r="CD81" s="176">
        <f>IF(AND(Input_Product=Elig!$C81,Elig_MatchAll_Ct&lt;22,$BC81=(Elig_MatchAll_Ct-1),AX81=0),Y81,0)</f>
        <v>0</v>
      </c>
      <c r="CE81" s="175">
        <f>IF(AND(Input_LTV&lt;=AE81,Input_Product=Elig!$C81,Elig_MatchAll_Ct&lt;22,$BC81=(Elig_MatchAll_Ct-1),AY81=0),Z81,0)</f>
        <v>0</v>
      </c>
      <c r="CF81" s="176">
        <f>IF(AND(Input_LTV&lt;=AE81,Input_Product=Elig!$C81,Elig_MatchAll_Ct&lt;22,$BC81=(Elig_MatchAll_Ct-1),AY81=0),AA81,0)</f>
        <v>0</v>
      </c>
      <c r="CG81" s="175">
        <f>IF(AND(Input_Product=Elig!$C81,Elig_MatchAll_Ct&lt;22,$BC81=(Elig_MatchAll_Ct-1),AZ81=0),AB81,0)</f>
        <v>0</v>
      </c>
      <c r="CH81" s="176">
        <f>IF(AND(Input_Product=Elig!$C81,Elig_MatchAll_Ct&lt;22,$BC81=(Elig_MatchAll_Ct-1),AZ81=0),AC81,0)</f>
        <v>0</v>
      </c>
      <c r="CI81" s="175">
        <f>IF(AND(Input_Product=Elig!$C81,Elig_MatchAll_Ct&lt;22,$BC81=(Elig_MatchAll_Ct-1),BA81=0),AD81,0)</f>
        <v>0</v>
      </c>
      <c r="CJ81" s="177">
        <f>IF(AND(Input_Product=Elig!$C81,Elig_MatchAll_Ct&lt;22,$BC81=(Elig_MatchAll_Ct-1),BA81=0),AE81,0)</f>
        <v>0</v>
      </c>
    </row>
    <row r="82" spans="1:88" ht="10.15" customHeight="1" x14ac:dyDescent="0.25">
      <c r="A82" s="1419" t="s">
        <v>76</v>
      </c>
      <c r="B82" s="1419" t="s">
        <v>783</v>
      </c>
      <c r="C82" s="116" t="str">
        <f t="shared" si="30"/>
        <v>NonQM OO</v>
      </c>
      <c r="D82" s="117" t="s">
        <v>1995</v>
      </c>
      <c r="E82" s="117" t="s">
        <v>166</v>
      </c>
      <c r="F82" s="117" t="s">
        <v>330</v>
      </c>
      <c r="G82" s="117" t="s">
        <v>303</v>
      </c>
      <c r="H82" s="117" t="s">
        <v>444</v>
      </c>
      <c r="I82" s="117" t="s">
        <v>16</v>
      </c>
      <c r="J82" s="117" t="s">
        <v>1130</v>
      </c>
      <c r="K82" s="117" t="s">
        <v>1398</v>
      </c>
      <c r="L82" s="117" t="s">
        <v>2025</v>
      </c>
      <c r="M82" s="117" t="s">
        <v>2289</v>
      </c>
      <c r="N82" s="117" t="s">
        <v>82</v>
      </c>
      <c r="O82" s="117" t="s">
        <v>309</v>
      </c>
      <c r="P82" s="117" t="s">
        <v>2433</v>
      </c>
      <c r="Q82" s="117" t="s">
        <v>293</v>
      </c>
      <c r="R82" s="117">
        <v>1000000.01</v>
      </c>
      <c r="S82" s="117">
        <v>1500000</v>
      </c>
      <c r="T82" s="117">
        <v>0</v>
      </c>
      <c r="U82" s="117">
        <f t="shared" si="31"/>
        <v>1500000</v>
      </c>
      <c r="V82" s="117">
        <v>0</v>
      </c>
      <c r="W82" s="117">
        <v>55</v>
      </c>
      <c r="X82" s="117">
        <v>0</v>
      </c>
      <c r="Y82" s="117">
        <v>999</v>
      </c>
      <c r="Z82" s="119">
        <v>660</v>
      </c>
      <c r="AA82" s="119">
        <v>679</v>
      </c>
      <c r="AB82" s="1877">
        <v>0</v>
      </c>
      <c r="AC82" s="119">
        <v>999999</v>
      </c>
      <c r="AD82" s="117">
        <v>0</v>
      </c>
      <c r="AE82" s="117">
        <v>75</v>
      </c>
      <c r="AF82" s="144">
        <v>0</v>
      </c>
      <c r="AG82" s="145">
        <v>1</v>
      </c>
      <c r="AH82" s="145">
        <v>1</v>
      </c>
      <c r="AI82" s="145">
        <v>0</v>
      </c>
      <c r="AJ82" s="145">
        <v>0</v>
      </c>
      <c r="AK82" s="145">
        <v>0</v>
      </c>
      <c r="AL82" s="145">
        <v>0</v>
      </c>
      <c r="AM82" s="145">
        <v>1</v>
      </c>
      <c r="AN82" s="145">
        <v>1</v>
      </c>
      <c r="AO82" s="145">
        <v>1</v>
      </c>
      <c r="AP82" s="145">
        <v>1</v>
      </c>
      <c r="AQ82" s="145">
        <v>0</v>
      </c>
      <c r="AR82" s="145">
        <v>1</v>
      </c>
      <c r="AS82" s="145">
        <v>1</v>
      </c>
      <c r="AT82" s="145">
        <v>1</v>
      </c>
      <c r="AU82" s="145">
        <f t="shared" si="19"/>
        <v>0</v>
      </c>
      <c r="AV82" s="145">
        <f t="shared" si="20"/>
        <v>1</v>
      </c>
      <c r="AW82" s="145">
        <f t="shared" si="21"/>
        <v>1</v>
      </c>
      <c r="AX82" s="145">
        <f t="shared" si="5"/>
        <v>1</v>
      </c>
      <c r="AY82" s="145">
        <f t="shared" si="22"/>
        <v>0</v>
      </c>
      <c r="AZ82" s="145">
        <f t="shared" si="23"/>
        <v>1</v>
      </c>
      <c r="BA82" s="146">
        <f t="shared" si="24"/>
        <v>1</v>
      </c>
      <c r="BB82" s="149">
        <f t="shared" si="25"/>
        <v>14</v>
      </c>
      <c r="BC82" s="150">
        <f t="shared" si="26"/>
        <v>13</v>
      </c>
      <c r="BD82" s="150">
        <f t="shared" si="27"/>
        <v>14</v>
      </c>
      <c r="BE82" s="211" t="str">
        <f t="shared" si="28"/>
        <v/>
      </c>
      <c r="BH82" s="172">
        <f>IF(AND(Input_Product=Elig!$C82,Elig_MatchAll_Ct&lt;22,$BC82=(Elig_MatchAll_Ct-1),AF82=0),C82,0)</f>
        <v>0</v>
      </c>
      <c r="BI82" s="173">
        <f>IF(AND(Input_Product=Elig!$C82,Elig_MatchAll_Ct&lt;22,$BC82=(Elig_MatchAll_Ct-1),AG82=0),D82,0)</f>
        <v>0</v>
      </c>
      <c r="BJ82" s="173">
        <f>IF(AND(Input_Product=Elig!$C82,Elig_MatchAll_Ct&lt;22,$BC82=(Elig_MatchAll_Ct-1),AH82=0),E82,0)</f>
        <v>0</v>
      </c>
      <c r="BK82" s="173">
        <f>IF(AND(Input_Product=Elig!$C82,Elig_MatchAll_Ct&lt;22,$BC82=(Elig_MatchAll_Ct-1),AI82=0),F82,0)</f>
        <v>0</v>
      </c>
      <c r="BL82" s="173">
        <f>IF(AND(Input_Product=Elig!$C82,Elig_MatchAll_Ct&lt;22,$BC82=(Elig_MatchAll_Ct-1),AJ82=0),G82,0)</f>
        <v>0</v>
      </c>
      <c r="BM82" s="173">
        <f>IF(AND(Input_Product=Elig!$C82,Elig_MatchAll_Ct&lt;22,$BC82=(Elig_MatchAll_Ct-1),AK82=0),H82,0)</f>
        <v>0</v>
      </c>
      <c r="BN82" s="173">
        <f>IF(AND(Input_Product=Elig!$C82,Elig_MatchAll_Ct&lt;22,$BC82=(Elig_MatchAll_Ct-1),AL82=0),I82,0)</f>
        <v>0</v>
      </c>
      <c r="BO82" s="173">
        <f>IF(AND(Input_Product=Elig!$C82,Elig_MatchAll_Ct&lt;22,$BC82=(Elig_MatchAll_Ct-1),AM82=0),J82,0)</f>
        <v>0</v>
      </c>
      <c r="BP82" s="173">
        <f>IF(AND(Input_Product=Elig!$C82,Elig_MatchAll_Ct&lt;22,$BC82=(Elig_MatchAll_Ct-1),AN82=0),K82,0)</f>
        <v>0</v>
      </c>
      <c r="BQ82" s="173">
        <f>IF(AND(Input_Product=Elig!$C82,Elig_MatchAll_Ct&lt;22,$BC82=(Elig_MatchAll_Ct-1),AP82=0),L82,0)</f>
        <v>0</v>
      </c>
      <c r="BR82" s="173">
        <f>IF(AND(Input_Product=Elig!$C82,Elig_MatchAll_Ct&lt;22,$BC82=(Elig_MatchAll_Ct-1),AO82=0),M82,0)</f>
        <v>0</v>
      </c>
      <c r="BS82" s="173">
        <f>IF(AND(Input_Product=Elig!$C82,Elig_MatchAll_Ct&lt;22,$BC82=(Elig_MatchAll_Ct-1),AQ82=0),N82,0)</f>
        <v>0</v>
      </c>
      <c r="BT82" s="173">
        <f>IF(AND(Input_Product=Elig!$C82,Elig_MatchAll_Ct&lt;22,$BC82=(Elig_MatchAll_Ct-1),AR82=0),O82,0)</f>
        <v>0</v>
      </c>
      <c r="BU82" s="173">
        <f>IF(AND(Input_Product=Elig!$C82,Elig_MatchAll_Ct&lt;22,$BC82=(Elig_MatchAll_Ct-1),AS82=0),P82,0)</f>
        <v>0</v>
      </c>
      <c r="BV82" s="174">
        <f>IF(AND(Input_Product=Elig!$C82,Elig_MatchAll_Ct&lt;22,$BC82=(Elig_MatchAll_Ct-1),AT82=0),Q82,0)</f>
        <v>0</v>
      </c>
      <c r="BW82" s="175">
        <f>IF(AND(Input_Product=Elig!$C82,Elig_MatchAll_Ct&lt;22,$BC82=(Elig_MatchAll_Ct-1),AU82=0),R82,0)</f>
        <v>0</v>
      </c>
      <c r="BX82" s="176">
        <f>IF(AND(Input_Product=Elig!$C82,Elig_MatchAll_Ct&lt;22,$BC82=(Elig_MatchAll_Ct-1),AU82=0),S82,0)</f>
        <v>0</v>
      </c>
      <c r="BY82" s="175">
        <f>IF(AND(Input_Product=Elig!$C82,Elig_MatchAll_Ct&lt;22,$BC82=(Elig_MatchAll_Ct-1),AV82=0),T82,0)</f>
        <v>0</v>
      </c>
      <c r="BZ82" s="176">
        <f>IF(AND(Input_Product=Elig!$C82,Elig_MatchAll_Ct&lt;22,$BC82=(Elig_MatchAll_Ct-1),AV82=0),U82,0)</f>
        <v>0</v>
      </c>
      <c r="CA82" s="175">
        <f>IF(AND(Input_Product=Elig!$C82,Elig_MatchAll_Ct&lt;22,$BC82=(Elig_MatchAll_Ct-1),AW82=0),V82,0)</f>
        <v>0</v>
      </c>
      <c r="CB82" s="176">
        <f>IF(AND(Input_Product=Elig!$C82,Elig_MatchAll_Ct&lt;22,$BC82=(Elig_MatchAll_Ct-1),AW82=0),W82,0)</f>
        <v>0</v>
      </c>
      <c r="CC82" s="175">
        <f>IF(AND(Input_Product=Elig!$C82,Elig_MatchAll_Ct&lt;22,$BC82=(Elig_MatchAll_Ct-1),AX82=0),X82,0)</f>
        <v>0</v>
      </c>
      <c r="CD82" s="176">
        <f>IF(AND(Input_Product=Elig!$C82,Elig_MatchAll_Ct&lt;22,$BC82=(Elig_MatchAll_Ct-1),AX82=0),Y82,0)</f>
        <v>0</v>
      </c>
      <c r="CE82" s="175">
        <f>IF(AND(Input_LTV&lt;=AE82,Input_Product=Elig!$C82,Elig_MatchAll_Ct&lt;22,$BC82=(Elig_MatchAll_Ct-1),AY82=0),Z82,0)</f>
        <v>0</v>
      </c>
      <c r="CF82" s="176">
        <f>IF(AND(Input_LTV&lt;=AE82,Input_Product=Elig!$C82,Elig_MatchAll_Ct&lt;22,$BC82=(Elig_MatchAll_Ct-1),AY82=0),AA82,0)</f>
        <v>0</v>
      </c>
      <c r="CG82" s="175">
        <f>IF(AND(Input_Product=Elig!$C82,Elig_MatchAll_Ct&lt;22,$BC82=(Elig_MatchAll_Ct-1),AZ82=0),AB82,0)</f>
        <v>0</v>
      </c>
      <c r="CH82" s="176">
        <f>IF(AND(Input_Product=Elig!$C82,Elig_MatchAll_Ct&lt;22,$BC82=(Elig_MatchAll_Ct-1),AZ82=0),AC82,0)</f>
        <v>0</v>
      </c>
      <c r="CI82" s="175">
        <f>IF(AND(Input_Product=Elig!$C82,Elig_MatchAll_Ct&lt;22,$BC82=(Elig_MatchAll_Ct-1),BA82=0),AD82,0)</f>
        <v>0</v>
      </c>
      <c r="CJ82" s="177">
        <f>IF(AND(Input_Product=Elig!$C82,Elig_MatchAll_Ct&lt;22,$BC82=(Elig_MatchAll_Ct-1),BA82=0),AE82,0)</f>
        <v>0</v>
      </c>
    </row>
    <row r="83" spans="1:88" ht="10.15" customHeight="1" x14ac:dyDescent="0.25">
      <c r="A83" s="1419" t="s">
        <v>76</v>
      </c>
      <c r="B83" s="1419" t="s">
        <v>784</v>
      </c>
      <c r="C83" s="116" t="str">
        <f t="shared" si="30"/>
        <v>NonQM OO</v>
      </c>
      <c r="D83" s="117" t="s">
        <v>1995</v>
      </c>
      <c r="E83" s="117" t="s">
        <v>166</v>
      </c>
      <c r="F83" s="117" t="s">
        <v>330</v>
      </c>
      <c r="G83" s="117" t="s">
        <v>303</v>
      </c>
      <c r="H83" s="117" t="s">
        <v>444</v>
      </c>
      <c r="I83" s="117" t="s">
        <v>16</v>
      </c>
      <c r="J83" s="117" t="s">
        <v>1130</v>
      </c>
      <c r="K83" s="117" t="s">
        <v>1398</v>
      </c>
      <c r="L83" s="117" t="s">
        <v>2025</v>
      </c>
      <c r="M83" s="117" t="s">
        <v>2289</v>
      </c>
      <c r="N83" s="117" t="s">
        <v>82</v>
      </c>
      <c r="O83" s="117" t="s">
        <v>309</v>
      </c>
      <c r="P83" s="117" t="s">
        <v>2433</v>
      </c>
      <c r="Q83" s="117" t="s">
        <v>293</v>
      </c>
      <c r="R83" s="117">
        <v>1000000.01</v>
      </c>
      <c r="S83" s="117">
        <v>1500000</v>
      </c>
      <c r="T83" s="117">
        <v>0</v>
      </c>
      <c r="U83" s="117">
        <f t="shared" si="31"/>
        <v>1500000</v>
      </c>
      <c r="V83" s="117">
        <v>0</v>
      </c>
      <c r="W83" s="117">
        <v>55</v>
      </c>
      <c r="X83" s="117">
        <v>0</v>
      </c>
      <c r="Y83" s="117">
        <v>999</v>
      </c>
      <c r="Z83" s="119">
        <v>640</v>
      </c>
      <c r="AA83" s="119">
        <v>659</v>
      </c>
      <c r="AB83" s="1877">
        <v>0</v>
      </c>
      <c r="AC83" s="119">
        <v>999999</v>
      </c>
      <c r="AD83" s="117">
        <v>0</v>
      </c>
      <c r="AE83" s="117">
        <v>65</v>
      </c>
      <c r="AF83" s="144">
        <v>0</v>
      </c>
      <c r="AG83" s="145">
        <v>1</v>
      </c>
      <c r="AH83" s="145">
        <v>1</v>
      </c>
      <c r="AI83" s="145">
        <v>0</v>
      </c>
      <c r="AJ83" s="145">
        <v>0</v>
      </c>
      <c r="AK83" s="145">
        <v>0</v>
      </c>
      <c r="AL83" s="145">
        <v>0</v>
      </c>
      <c r="AM83" s="145">
        <v>1</v>
      </c>
      <c r="AN83" s="145">
        <v>1</v>
      </c>
      <c r="AO83" s="145">
        <v>1</v>
      </c>
      <c r="AP83" s="145">
        <v>1</v>
      </c>
      <c r="AQ83" s="145">
        <v>0</v>
      </c>
      <c r="AR83" s="145">
        <v>1</v>
      </c>
      <c r="AS83" s="145">
        <v>1</v>
      </c>
      <c r="AT83" s="145">
        <v>1</v>
      </c>
      <c r="AU83" s="145">
        <f t="shared" si="19"/>
        <v>0</v>
      </c>
      <c r="AV83" s="145">
        <f t="shared" si="20"/>
        <v>1</v>
      </c>
      <c r="AW83" s="145">
        <f t="shared" si="21"/>
        <v>1</v>
      </c>
      <c r="AX83" s="145">
        <f t="shared" ref="AX83:AX130" si="32">IF(AND(Input_DSCR&gt;=Elig_DSCR_Min,Input_DSCR&lt;=Elig_DSCR_Max),1,0)</f>
        <v>1</v>
      </c>
      <c r="AY83" s="145">
        <f t="shared" si="22"/>
        <v>0</v>
      </c>
      <c r="AZ83" s="145">
        <f t="shared" si="23"/>
        <v>1</v>
      </c>
      <c r="BA83" s="146">
        <f t="shared" si="24"/>
        <v>0</v>
      </c>
      <c r="BB83" s="149">
        <f t="shared" si="25"/>
        <v>13</v>
      </c>
      <c r="BC83" s="150">
        <f t="shared" si="26"/>
        <v>13</v>
      </c>
      <c r="BD83" s="150">
        <f t="shared" si="27"/>
        <v>13</v>
      </c>
      <c r="BE83" s="211" t="str">
        <f t="shared" si="28"/>
        <v/>
      </c>
      <c r="BH83" s="172">
        <f>IF(AND(Input_Product=Elig!$C83,Elig_MatchAll_Ct&lt;22,$BC83=(Elig_MatchAll_Ct-1),AF83=0),C83,0)</f>
        <v>0</v>
      </c>
      <c r="BI83" s="173">
        <f>IF(AND(Input_Product=Elig!$C83,Elig_MatchAll_Ct&lt;22,$BC83=(Elig_MatchAll_Ct-1),AG83=0),D83,0)</f>
        <v>0</v>
      </c>
      <c r="BJ83" s="173">
        <f>IF(AND(Input_Product=Elig!$C83,Elig_MatchAll_Ct&lt;22,$BC83=(Elig_MatchAll_Ct-1),AH83=0),E83,0)</f>
        <v>0</v>
      </c>
      <c r="BK83" s="173">
        <f>IF(AND(Input_Product=Elig!$C83,Elig_MatchAll_Ct&lt;22,$BC83=(Elig_MatchAll_Ct-1),AI83=0),F83,0)</f>
        <v>0</v>
      </c>
      <c r="BL83" s="173">
        <f>IF(AND(Input_Product=Elig!$C83,Elig_MatchAll_Ct&lt;22,$BC83=(Elig_MatchAll_Ct-1),AJ83=0),G83,0)</f>
        <v>0</v>
      </c>
      <c r="BM83" s="173">
        <f>IF(AND(Input_Product=Elig!$C83,Elig_MatchAll_Ct&lt;22,$BC83=(Elig_MatchAll_Ct-1),AK83=0),H83,0)</f>
        <v>0</v>
      </c>
      <c r="BN83" s="173">
        <f>IF(AND(Input_Product=Elig!$C83,Elig_MatchAll_Ct&lt;22,$BC83=(Elig_MatchAll_Ct-1),AL83=0),I83,0)</f>
        <v>0</v>
      </c>
      <c r="BO83" s="173">
        <f>IF(AND(Input_Product=Elig!$C83,Elig_MatchAll_Ct&lt;22,$BC83=(Elig_MatchAll_Ct-1),AM83=0),J83,0)</f>
        <v>0</v>
      </c>
      <c r="BP83" s="173">
        <f>IF(AND(Input_Product=Elig!$C83,Elig_MatchAll_Ct&lt;22,$BC83=(Elig_MatchAll_Ct-1),AN83=0),K83,0)</f>
        <v>0</v>
      </c>
      <c r="BQ83" s="173">
        <f>IF(AND(Input_Product=Elig!$C83,Elig_MatchAll_Ct&lt;22,$BC83=(Elig_MatchAll_Ct-1),AP83=0),L83,0)</f>
        <v>0</v>
      </c>
      <c r="BR83" s="173">
        <f>IF(AND(Input_Product=Elig!$C83,Elig_MatchAll_Ct&lt;22,$BC83=(Elig_MatchAll_Ct-1),AO83=0),M83,0)</f>
        <v>0</v>
      </c>
      <c r="BS83" s="173">
        <f>IF(AND(Input_Product=Elig!$C83,Elig_MatchAll_Ct&lt;22,$BC83=(Elig_MatchAll_Ct-1),AQ83=0),N83,0)</f>
        <v>0</v>
      </c>
      <c r="BT83" s="173">
        <f>IF(AND(Input_Product=Elig!$C83,Elig_MatchAll_Ct&lt;22,$BC83=(Elig_MatchAll_Ct-1),AR83=0),O83,0)</f>
        <v>0</v>
      </c>
      <c r="BU83" s="173">
        <f>IF(AND(Input_Product=Elig!$C83,Elig_MatchAll_Ct&lt;22,$BC83=(Elig_MatchAll_Ct-1),AS83=0),P83,0)</f>
        <v>0</v>
      </c>
      <c r="BV83" s="174">
        <f>IF(AND(Input_Product=Elig!$C83,Elig_MatchAll_Ct&lt;22,$BC83=(Elig_MatchAll_Ct-1),AT83=0),Q83,0)</f>
        <v>0</v>
      </c>
      <c r="BW83" s="175">
        <f>IF(AND(Input_Product=Elig!$C83,Elig_MatchAll_Ct&lt;22,$BC83=(Elig_MatchAll_Ct-1),AU83=0),R83,0)</f>
        <v>0</v>
      </c>
      <c r="BX83" s="176">
        <f>IF(AND(Input_Product=Elig!$C83,Elig_MatchAll_Ct&lt;22,$BC83=(Elig_MatchAll_Ct-1),AU83=0),S83,0)</f>
        <v>0</v>
      </c>
      <c r="BY83" s="175">
        <f>IF(AND(Input_Product=Elig!$C83,Elig_MatchAll_Ct&lt;22,$BC83=(Elig_MatchAll_Ct-1),AV83=0),T83,0)</f>
        <v>0</v>
      </c>
      <c r="BZ83" s="176">
        <f>IF(AND(Input_Product=Elig!$C83,Elig_MatchAll_Ct&lt;22,$BC83=(Elig_MatchAll_Ct-1),AV83=0),U83,0)</f>
        <v>0</v>
      </c>
      <c r="CA83" s="175">
        <f>IF(AND(Input_Product=Elig!$C83,Elig_MatchAll_Ct&lt;22,$BC83=(Elig_MatchAll_Ct-1),AW83=0),V83,0)</f>
        <v>0</v>
      </c>
      <c r="CB83" s="176">
        <f>IF(AND(Input_Product=Elig!$C83,Elig_MatchAll_Ct&lt;22,$BC83=(Elig_MatchAll_Ct-1),AW83=0),W83,0)</f>
        <v>0</v>
      </c>
      <c r="CC83" s="175">
        <f>IF(AND(Input_Product=Elig!$C83,Elig_MatchAll_Ct&lt;22,$BC83=(Elig_MatchAll_Ct-1),AX83=0),X83,0)</f>
        <v>0</v>
      </c>
      <c r="CD83" s="176">
        <f>IF(AND(Input_Product=Elig!$C83,Elig_MatchAll_Ct&lt;22,$BC83=(Elig_MatchAll_Ct-1),AX83=0),Y83,0)</f>
        <v>0</v>
      </c>
      <c r="CE83" s="175">
        <f>IF(AND(Input_LTV&lt;=AE83,Input_Product=Elig!$C83,Elig_MatchAll_Ct&lt;22,$BC83=(Elig_MatchAll_Ct-1),AY83=0),Z83,0)</f>
        <v>0</v>
      </c>
      <c r="CF83" s="176">
        <f>IF(AND(Input_LTV&lt;=AE83,Input_Product=Elig!$C83,Elig_MatchAll_Ct&lt;22,$BC83=(Elig_MatchAll_Ct-1),AY83=0),AA83,0)</f>
        <v>0</v>
      </c>
      <c r="CG83" s="175">
        <f>IF(AND(Input_Product=Elig!$C83,Elig_MatchAll_Ct&lt;22,$BC83=(Elig_MatchAll_Ct-1),AZ83=0),AB83,0)</f>
        <v>0</v>
      </c>
      <c r="CH83" s="176">
        <f>IF(AND(Input_Product=Elig!$C83,Elig_MatchAll_Ct&lt;22,$BC83=(Elig_MatchAll_Ct-1),AZ83=0),AC83,0)</f>
        <v>0</v>
      </c>
      <c r="CI83" s="175">
        <f>IF(AND(Input_Product=Elig!$C83,Elig_MatchAll_Ct&lt;22,$BC83=(Elig_MatchAll_Ct-1),BA83=0),AD83,0)</f>
        <v>0</v>
      </c>
      <c r="CJ83" s="177">
        <f>IF(AND(Input_Product=Elig!$C83,Elig_MatchAll_Ct&lt;22,$BC83=(Elig_MatchAll_Ct-1),BA83=0),AE83,0)</f>
        <v>0</v>
      </c>
    </row>
    <row r="84" spans="1:88" ht="10.15" customHeight="1" x14ac:dyDescent="0.25">
      <c r="A84" s="1419" t="s">
        <v>76</v>
      </c>
      <c r="B84" s="1419" t="s">
        <v>785</v>
      </c>
      <c r="C84" s="120" t="str">
        <f t="shared" si="30"/>
        <v>NonQM OO</v>
      </c>
      <c r="D84" s="121" t="s">
        <v>1995</v>
      </c>
      <c r="E84" s="121" t="s">
        <v>166</v>
      </c>
      <c r="F84" s="121" t="s">
        <v>330</v>
      </c>
      <c r="G84" s="121" t="s">
        <v>303</v>
      </c>
      <c r="H84" s="121" t="s">
        <v>444</v>
      </c>
      <c r="I84" s="121" t="s">
        <v>16</v>
      </c>
      <c r="J84" s="121" t="s">
        <v>1130</v>
      </c>
      <c r="K84" s="121" t="s">
        <v>1398</v>
      </c>
      <c r="L84" s="121" t="s">
        <v>2025</v>
      </c>
      <c r="M84" s="121" t="s">
        <v>2289</v>
      </c>
      <c r="N84" s="121" t="s">
        <v>82</v>
      </c>
      <c r="O84" s="121" t="s">
        <v>309</v>
      </c>
      <c r="P84" s="121" t="s">
        <v>2433</v>
      </c>
      <c r="Q84" s="121" t="s">
        <v>293</v>
      </c>
      <c r="R84" s="121">
        <v>1000000.01</v>
      </c>
      <c r="S84" s="121">
        <v>1500000</v>
      </c>
      <c r="T84" s="121">
        <v>0</v>
      </c>
      <c r="U84" s="121">
        <f t="shared" si="31"/>
        <v>1500000</v>
      </c>
      <c r="V84" s="121">
        <v>0</v>
      </c>
      <c r="W84" s="121">
        <v>55</v>
      </c>
      <c r="X84" s="121">
        <v>0</v>
      </c>
      <c r="Y84" s="121">
        <v>999</v>
      </c>
      <c r="Z84" s="122">
        <v>620</v>
      </c>
      <c r="AA84" s="122">
        <v>639</v>
      </c>
      <c r="AB84" s="1878">
        <v>0</v>
      </c>
      <c r="AC84" s="122">
        <v>999999</v>
      </c>
      <c r="AD84" s="121">
        <v>0</v>
      </c>
      <c r="AE84" s="121">
        <v>65</v>
      </c>
      <c r="AF84" s="144">
        <v>0</v>
      </c>
      <c r="AG84" s="145">
        <v>1</v>
      </c>
      <c r="AH84" s="145">
        <v>1</v>
      </c>
      <c r="AI84" s="145">
        <v>0</v>
      </c>
      <c r="AJ84" s="145">
        <v>0</v>
      </c>
      <c r="AK84" s="145">
        <v>0</v>
      </c>
      <c r="AL84" s="145">
        <v>0</v>
      </c>
      <c r="AM84" s="145">
        <v>1</v>
      </c>
      <c r="AN84" s="145">
        <v>1</v>
      </c>
      <c r="AO84" s="145">
        <v>1</v>
      </c>
      <c r="AP84" s="145">
        <v>1</v>
      </c>
      <c r="AQ84" s="145">
        <v>0</v>
      </c>
      <c r="AR84" s="145">
        <v>1</v>
      </c>
      <c r="AS84" s="145">
        <v>1</v>
      </c>
      <c r="AT84" s="145">
        <v>1</v>
      </c>
      <c r="AU84" s="145">
        <f t="shared" si="19"/>
        <v>0</v>
      </c>
      <c r="AV84" s="145">
        <f t="shared" si="20"/>
        <v>1</v>
      </c>
      <c r="AW84" s="145">
        <f t="shared" si="21"/>
        <v>1</v>
      </c>
      <c r="AX84" s="145">
        <f t="shared" si="32"/>
        <v>1</v>
      </c>
      <c r="AY84" s="145">
        <f t="shared" si="22"/>
        <v>0</v>
      </c>
      <c r="AZ84" s="145">
        <f t="shared" si="23"/>
        <v>1</v>
      </c>
      <c r="BA84" s="146">
        <f t="shared" si="24"/>
        <v>0</v>
      </c>
      <c r="BB84" s="149">
        <f t="shared" si="25"/>
        <v>13</v>
      </c>
      <c r="BC84" s="150">
        <f t="shared" si="26"/>
        <v>13</v>
      </c>
      <c r="BD84" s="150">
        <f t="shared" si="27"/>
        <v>13</v>
      </c>
      <c r="BE84" s="211" t="str">
        <f t="shared" si="28"/>
        <v/>
      </c>
      <c r="BH84" s="178">
        <f>IF(AND(Input_Product=Elig!$C84,Elig_MatchAll_Ct&lt;22,$BC84=(Elig_MatchAll_Ct-1),AF84=0),C84,0)</f>
        <v>0</v>
      </c>
      <c r="BI84" s="179">
        <f>IF(AND(Input_Product=Elig!$C84,Elig_MatchAll_Ct&lt;22,$BC84=(Elig_MatchAll_Ct-1),AG84=0),D84,0)</f>
        <v>0</v>
      </c>
      <c r="BJ84" s="179">
        <f>IF(AND(Input_Product=Elig!$C84,Elig_MatchAll_Ct&lt;22,$BC84=(Elig_MatchAll_Ct-1),AH84=0),E84,0)</f>
        <v>0</v>
      </c>
      <c r="BK84" s="179">
        <f>IF(AND(Input_Product=Elig!$C84,Elig_MatchAll_Ct&lt;22,$BC84=(Elig_MatchAll_Ct-1),AI84=0),F84,0)</f>
        <v>0</v>
      </c>
      <c r="BL84" s="179">
        <f>IF(AND(Input_Product=Elig!$C84,Elig_MatchAll_Ct&lt;22,$BC84=(Elig_MatchAll_Ct-1),AJ84=0),G84,0)</f>
        <v>0</v>
      </c>
      <c r="BM84" s="179">
        <f>IF(AND(Input_Product=Elig!$C84,Elig_MatchAll_Ct&lt;22,$BC84=(Elig_MatchAll_Ct-1),AK84=0),H84,0)</f>
        <v>0</v>
      </c>
      <c r="BN84" s="179">
        <f>IF(AND(Input_Product=Elig!$C84,Elig_MatchAll_Ct&lt;22,$BC84=(Elig_MatchAll_Ct-1),AL84=0),I84,0)</f>
        <v>0</v>
      </c>
      <c r="BO84" s="179">
        <f>IF(AND(Input_Product=Elig!$C84,Elig_MatchAll_Ct&lt;22,$BC84=(Elig_MatchAll_Ct-1),AM84=0),J84,0)</f>
        <v>0</v>
      </c>
      <c r="BP84" s="179">
        <f>IF(AND(Input_Product=Elig!$C84,Elig_MatchAll_Ct&lt;22,$BC84=(Elig_MatchAll_Ct-1),AN84=0),K84,0)</f>
        <v>0</v>
      </c>
      <c r="BQ84" s="179">
        <f>IF(AND(Input_Product=Elig!$C84,Elig_MatchAll_Ct&lt;22,$BC84=(Elig_MatchAll_Ct-1),AP84=0),L84,0)</f>
        <v>0</v>
      </c>
      <c r="BR84" s="179">
        <f>IF(AND(Input_Product=Elig!$C84,Elig_MatchAll_Ct&lt;22,$BC84=(Elig_MatchAll_Ct-1),AO84=0),M84,0)</f>
        <v>0</v>
      </c>
      <c r="BS84" s="179">
        <f>IF(AND(Input_Product=Elig!$C84,Elig_MatchAll_Ct&lt;22,$BC84=(Elig_MatchAll_Ct-1),AQ84=0),N84,0)</f>
        <v>0</v>
      </c>
      <c r="BT84" s="179">
        <f>IF(AND(Input_Product=Elig!$C84,Elig_MatchAll_Ct&lt;22,$BC84=(Elig_MatchAll_Ct-1),AR84=0),O84,0)</f>
        <v>0</v>
      </c>
      <c r="BU84" s="179">
        <f>IF(AND(Input_Product=Elig!$C84,Elig_MatchAll_Ct&lt;22,$BC84=(Elig_MatchAll_Ct-1),AS84=0),P84,0)</f>
        <v>0</v>
      </c>
      <c r="BV84" s="180">
        <f>IF(AND(Input_Product=Elig!$C84,Elig_MatchAll_Ct&lt;22,$BC84=(Elig_MatchAll_Ct-1),AT84=0),Q84,0)</f>
        <v>0</v>
      </c>
      <c r="BW84" s="181">
        <f>IF(AND(Input_Product=Elig!$C84,Elig_MatchAll_Ct&lt;22,$BC84=(Elig_MatchAll_Ct-1),AU84=0),R84,0)</f>
        <v>0</v>
      </c>
      <c r="BX84" s="182">
        <f>IF(AND(Input_Product=Elig!$C84,Elig_MatchAll_Ct&lt;22,$BC84=(Elig_MatchAll_Ct-1),AU84=0),S84,0)</f>
        <v>0</v>
      </c>
      <c r="BY84" s="181">
        <f>IF(AND(Input_Product=Elig!$C84,Elig_MatchAll_Ct&lt;22,$BC84=(Elig_MatchAll_Ct-1),AV84=0),T84,0)</f>
        <v>0</v>
      </c>
      <c r="BZ84" s="182">
        <f>IF(AND(Input_Product=Elig!$C84,Elig_MatchAll_Ct&lt;22,$BC84=(Elig_MatchAll_Ct-1),AV84=0),U84,0)</f>
        <v>0</v>
      </c>
      <c r="CA84" s="181">
        <f>IF(AND(Input_Product=Elig!$C84,Elig_MatchAll_Ct&lt;22,$BC84=(Elig_MatchAll_Ct-1),AW84=0),V84,0)</f>
        <v>0</v>
      </c>
      <c r="CB84" s="182">
        <f>IF(AND(Input_Product=Elig!$C84,Elig_MatchAll_Ct&lt;22,$BC84=(Elig_MatchAll_Ct-1),AW84=0),W84,0)</f>
        <v>0</v>
      </c>
      <c r="CC84" s="181">
        <f>IF(AND(Input_Product=Elig!$C84,Elig_MatchAll_Ct&lt;22,$BC84=(Elig_MatchAll_Ct-1),AX84=0),X84,0)</f>
        <v>0</v>
      </c>
      <c r="CD84" s="182">
        <f>IF(AND(Input_Product=Elig!$C84,Elig_MatchAll_Ct&lt;22,$BC84=(Elig_MatchAll_Ct-1),AX84=0),Y84,0)</f>
        <v>0</v>
      </c>
      <c r="CE84" s="181">
        <f>IF(AND(Input_LTV&lt;=AE84,Input_Product=Elig!$C84,Elig_MatchAll_Ct&lt;22,$BC84=(Elig_MatchAll_Ct-1),AY84=0),Z84,0)</f>
        <v>0</v>
      </c>
      <c r="CF84" s="182">
        <f>IF(AND(Input_LTV&lt;=AE84,Input_Product=Elig!$C84,Elig_MatchAll_Ct&lt;22,$BC84=(Elig_MatchAll_Ct-1),AY84=0),AA84,0)</f>
        <v>0</v>
      </c>
      <c r="CG84" s="181">
        <f>IF(AND(Input_Product=Elig!$C84,Elig_MatchAll_Ct&lt;22,$BC84=(Elig_MatchAll_Ct-1),AZ84=0),AB84,0)</f>
        <v>0</v>
      </c>
      <c r="CH84" s="182">
        <f>IF(AND(Input_Product=Elig!$C84,Elig_MatchAll_Ct&lt;22,$BC84=(Elig_MatchAll_Ct-1),AZ84=0),AC84,0)</f>
        <v>0</v>
      </c>
      <c r="CI84" s="181">
        <f>IF(AND(Input_Product=Elig!$C84,Elig_MatchAll_Ct&lt;22,$BC84=(Elig_MatchAll_Ct-1),BA84=0),AD84,0)</f>
        <v>0</v>
      </c>
      <c r="CJ84" s="183">
        <f>IF(AND(Input_Product=Elig!$C84,Elig_MatchAll_Ct&lt;22,$BC84=(Elig_MatchAll_Ct-1),BA84=0),AE84,0)</f>
        <v>0</v>
      </c>
    </row>
    <row r="85" spans="1:88" ht="10.15" customHeight="1" x14ac:dyDescent="0.25">
      <c r="A85" s="1419" t="s">
        <v>76</v>
      </c>
      <c r="B85" s="1419" t="s">
        <v>786</v>
      </c>
      <c r="C85" s="123" t="str">
        <f t="shared" si="30"/>
        <v>NonQM OO</v>
      </c>
      <c r="D85" s="124" t="s">
        <v>1995</v>
      </c>
      <c r="E85" s="125" t="s">
        <v>166</v>
      </c>
      <c r="F85" s="125" t="s">
        <v>330</v>
      </c>
      <c r="G85" s="125" t="s">
        <v>465</v>
      </c>
      <c r="H85" s="125" t="s">
        <v>135</v>
      </c>
      <c r="I85" s="124" t="s">
        <v>273</v>
      </c>
      <c r="J85" s="124" t="s">
        <v>1130</v>
      </c>
      <c r="K85" s="124" t="s">
        <v>1398</v>
      </c>
      <c r="L85" s="125" t="s">
        <v>2025</v>
      </c>
      <c r="M85" s="125" t="s">
        <v>2289</v>
      </c>
      <c r="N85" s="125" t="s">
        <v>82</v>
      </c>
      <c r="O85" s="125" t="s">
        <v>309</v>
      </c>
      <c r="P85" s="125" t="s">
        <v>2433</v>
      </c>
      <c r="Q85" s="125" t="s">
        <v>293</v>
      </c>
      <c r="R85" s="124">
        <v>1000000.01</v>
      </c>
      <c r="S85" s="124">
        <v>1500000</v>
      </c>
      <c r="T85" s="124">
        <v>0</v>
      </c>
      <c r="U85" s="124">
        <v>0</v>
      </c>
      <c r="V85" s="124">
        <v>0</v>
      </c>
      <c r="W85" s="124">
        <v>55</v>
      </c>
      <c r="X85" s="124">
        <v>0</v>
      </c>
      <c r="Y85" s="124">
        <v>999</v>
      </c>
      <c r="Z85" s="126">
        <v>720</v>
      </c>
      <c r="AA85" s="126">
        <v>999</v>
      </c>
      <c r="AB85" s="1879">
        <v>0</v>
      </c>
      <c r="AC85" s="126">
        <v>999999</v>
      </c>
      <c r="AD85" s="124">
        <v>0</v>
      </c>
      <c r="AE85" s="124">
        <v>90</v>
      </c>
      <c r="AF85" s="144">
        <v>0</v>
      </c>
      <c r="AG85" s="145">
        <v>1</v>
      </c>
      <c r="AH85" s="145">
        <v>1</v>
      </c>
      <c r="AI85" s="145">
        <v>0</v>
      </c>
      <c r="AJ85" s="145">
        <v>0</v>
      </c>
      <c r="AK85" s="145">
        <v>1</v>
      </c>
      <c r="AL85" s="145">
        <v>1</v>
      </c>
      <c r="AM85" s="145">
        <v>1</v>
      </c>
      <c r="AN85" s="145">
        <v>1</v>
      </c>
      <c r="AO85" s="145">
        <v>1</v>
      </c>
      <c r="AP85" s="145">
        <v>1</v>
      </c>
      <c r="AQ85" s="145">
        <v>0</v>
      </c>
      <c r="AR85" s="145">
        <v>1</v>
      </c>
      <c r="AS85" s="145">
        <v>1</v>
      </c>
      <c r="AT85" s="145">
        <v>1</v>
      </c>
      <c r="AU85" s="145">
        <f t="shared" si="19"/>
        <v>0</v>
      </c>
      <c r="AV85" s="145">
        <f t="shared" si="20"/>
        <v>1</v>
      </c>
      <c r="AW85" s="145">
        <f t="shared" si="21"/>
        <v>1</v>
      </c>
      <c r="AX85" s="145">
        <f t="shared" si="32"/>
        <v>1</v>
      </c>
      <c r="AY85" s="145">
        <f t="shared" si="22"/>
        <v>1</v>
      </c>
      <c r="AZ85" s="145">
        <f t="shared" si="23"/>
        <v>1</v>
      </c>
      <c r="BA85" s="146">
        <f t="shared" si="24"/>
        <v>1</v>
      </c>
      <c r="BB85" s="149">
        <f t="shared" si="25"/>
        <v>17</v>
      </c>
      <c r="BC85" s="150">
        <f t="shared" si="26"/>
        <v>16</v>
      </c>
      <c r="BD85" s="150">
        <f t="shared" si="27"/>
        <v>17</v>
      </c>
      <c r="BE85" s="211" t="str">
        <f t="shared" si="28"/>
        <v/>
      </c>
      <c r="BH85" s="166">
        <f>IF(AND(Input_Product=Elig!$C85,Elig_MatchAll_Ct&lt;22,$BC85=(Elig_MatchAll_Ct-1),AF85=0),C85,0)</f>
        <v>0</v>
      </c>
      <c r="BI85" s="167">
        <f>IF(AND(Input_Product=Elig!$C85,Elig_MatchAll_Ct&lt;22,$BC85=(Elig_MatchAll_Ct-1),AG85=0),D85,0)</f>
        <v>0</v>
      </c>
      <c r="BJ85" s="167">
        <f>IF(AND(Input_Product=Elig!$C85,Elig_MatchAll_Ct&lt;22,$BC85=(Elig_MatchAll_Ct-1),AH85=0),E85,0)</f>
        <v>0</v>
      </c>
      <c r="BK85" s="167">
        <f>IF(AND(Input_Product=Elig!$C85,Elig_MatchAll_Ct&lt;22,$BC85=(Elig_MatchAll_Ct-1),AI85=0),F85,0)</f>
        <v>0</v>
      </c>
      <c r="BL85" s="167">
        <f>IF(AND(Input_Product=Elig!$C85,Elig_MatchAll_Ct&lt;22,$BC85=(Elig_MatchAll_Ct-1),AJ85=0),G85,0)</f>
        <v>0</v>
      </c>
      <c r="BM85" s="167">
        <f>IF(AND(Input_Product=Elig!$C85,Elig_MatchAll_Ct&lt;22,$BC85=(Elig_MatchAll_Ct-1),AK85=0),H85,0)</f>
        <v>0</v>
      </c>
      <c r="BN85" s="167">
        <f>IF(AND(Input_Product=Elig!$C85,Elig_MatchAll_Ct&lt;22,$BC85=(Elig_MatchAll_Ct-1),AL85=0),I85,0)</f>
        <v>0</v>
      </c>
      <c r="BO85" s="167">
        <f>IF(AND(Input_Product=Elig!$C85,Elig_MatchAll_Ct&lt;22,$BC85=(Elig_MatchAll_Ct-1),AM85=0),J85,0)</f>
        <v>0</v>
      </c>
      <c r="BP85" s="167">
        <f>IF(AND(Input_Product=Elig!$C85,Elig_MatchAll_Ct&lt;22,$BC85=(Elig_MatchAll_Ct-1),AN85=0),K85,0)</f>
        <v>0</v>
      </c>
      <c r="BQ85" s="167">
        <f>IF(AND(Input_Product=Elig!$C85,Elig_MatchAll_Ct&lt;22,$BC85=(Elig_MatchAll_Ct-1),AP85=0),L85,0)</f>
        <v>0</v>
      </c>
      <c r="BR85" s="167">
        <f>IF(AND(Input_Product=Elig!$C85,Elig_MatchAll_Ct&lt;22,$BC85=(Elig_MatchAll_Ct-1),AO85=0),M85,0)</f>
        <v>0</v>
      </c>
      <c r="BS85" s="167">
        <f>IF(AND(Input_Product=Elig!$C85,Elig_MatchAll_Ct&lt;22,$BC85=(Elig_MatchAll_Ct-1),AQ85=0),N85,0)</f>
        <v>0</v>
      </c>
      <c r="BT85" s="167">
        <f>IF(AND(Input_Product=Elig!$C85,Elig_MatchAll_Ct&lt;22,$BC85=(Elig_MatchAll_Ct-1),AR85=0),O85,0)</f>
        <v>0</v>
      </c>
      <c r="BU85" s="167">
        <f>IF(AND(Input_Product=Elig!$C85,Elig_MatchAll_Ct&lt;22,$BC85=(Elig_MatchAll_Ct-1),AS85=0),P85,0)</f>
        <v>0</v>
      </c>
      <c r="BV85" s="168">
        <f>IF(AND(Input_Product=Elig!$C85,Elig_MatchAll_Ct&lt;22,$BC85=(Elig_MatchAll_Ct-1),AT85=0),Q85,0)</f>
        <v>0</v>
      </c>
      <c r="BW85" s="169">
        <f>IF(AND(Input_Product=Elig!$C85,Elig_MatchAll_Ct&lt;22,$BC85=(Elig_MatchAll_Ct-1),AU85=0),R85,0)</f>
        <v>0</v>
      </c>
      <c r="BX85" s="170">
        <f>IF(AND(Input_Product=Elig!$C85,Elig_MatchAll_Ct&lt;22,$BC85=(Elig_MatchAll_Ct-1),AU85=0),S85,0)</f>
        <v>0</v>
      </c>
      <c r="BY85" s="169">
        <f>IF(AND(Input_Product=Elig!$C85,Elig_MatchAll_Ct&lt;22,$BC85=(Elig_MatchAll_Ct-1),AV85=0),T85,0)</f>
        <v>0</v>
      </c>
      <c r="BZ85" s="170">
        <f>IF(AND(Input_Product=Elig!$C85,Elig_MatchAll_Ct&lt;22,$BC85=(Elig_MatchAll_Ct-1),AV85=0),U85,0)</f>
        <v>0</v>
      </c>
      <c r="CA85" s="169">
        <f>IF(AND(Input_Product=Elig!$C85,Elig_MatchAll_Ct&lt;22,$BC85=(Elig_MatchAll_Ct-1),AW85=0),V85,0)</f>
        <v>0</v>
      </c>
      <c r="CB85" s="170">
        <f>IF(AND(Input_Product=Elig!$C85,Elig_MatchAll_Ct&lt;22,$BC85=(Elig_MatchAll_Ct-1),AW85=0),W85,0)</f>
        <v>0</v>
      </c>
      <c r="CC85" s="169">
        <f>IF(AND(Input_Product=Elig!$C85,Elig_MatchAll_Ct&lt;22,$BC85=(Elig_MatchAll_Ct-1),AX85=0),X85,0)</f>
        <v>0</v>
      </c>
      <c r="CD85" s="170">
        <f>IF(AND(Input_Product=Elig!$C85,Elig_MatchAll_Ct&lt;22,$BC85=(Elig_MatchAll_Ct-1),AX85=0),Y85,0)</f>
        <v>0</v>
      </c>
      <c r="CE85" s="169">
        <f>IF(AND(Input_LTV&lt;=AE85,Input_Product=Elig!$C85,Elig_MatchAll_Ct&lt;22,$BC85=(Elig_MatchAll_Ct-1),AY85=0),Z85,0)</f>
        <v>0</v>
      </c>
      <c r="CF85" s="170">
        <f>IF(AND(Input_LTV&lt;=AE85,Input_Product=Elig!$C85,Elig_MatchAll_Ct&lt;22,$BC85=(Elig_MatchAll_Ct-1),AY85=0),AA85,0)</f>
        <v>0</v>
      </c>
      <c r="CG85" s="169">
        <f>IF(AND(Input_Product=Elig!$C85,Elig_MatchAll_Ct&lt;22,$BC85=(Elig_MatchAll_Ct-1),AZ85=0),AB85,0)</f>
        <v>0</v>
      </c>
      <c r="CH85" s="170">
        <f>IF(AND(Input_Product=Elig!$C85,Elig_MatchAll_Ct&lt;22,$BC85=(Elig_MatchAll_Ct-1),AZ85=0),AC85,0)</f>
        <v>0</v>
      </c>
      <c r="CI85" s="169">
        <f>IF(AND(Input_Product=Elig!$C85,Elig_MatchAll_Ct&lt;22,$BC85=(Elig_MatchAll_Ct-1),BA85=0),AD85,0)</f>
        <v>0</v>
      </c>
      <c r="CJ85" s="171">
        <f>IF(AND(Input_Product=Elig!$C85,Elig_MatchAll_Ct&lt;22,$BC85=(Elig_MatchAll_Ct-1),BA85=0),AE85,0)</f>
        <v>0</v>
      </c>
    </row>
    <row r="86" spans="1:88" ht="10.15" customHeight="1" x14ac:dyDescent="0.25">
      <c r="A86" s="1419" t="s">
        <v>76</v>
      </c>
      <c r="B86" s="1419" t="s">
        <v>787</v>
      </c>
      <c r="C86" s="116" t="str">
        <f t="shared" si="30"/>
        <v>NonQM OO</v>
      </c>
      <c r="D86" s="117" t="s">
        <v>1995</v>
      </c>
      <c r="E86" s="117" t="s">
        <v>166</v>
      </c>
      <c r="F86" s="117" t="s">
        <v>330</v>
      </c>
      <c r="G86" s="117" t="s">
        <v>465</v>
      </c>
      <c r="H86" s="117" t="s">
        <v>135</v>
      </c>
      <c r="I86" s="118" t="s">
        <v>273</v>
      </c>
      <c r="J86" s="118" t="s">
        <v>1130</v>
      </c>
      <c r="K86" s="118" t="s">
        <v>1398</v>
      </c>
      <c r="L86" s="117" t="s">
        <v>2025</v>
      </c>
      <c r="M86" s="117" t="s">
        <v>2289</v>
      </c>
      <c r="N86" s="117" t="s">
        <v>82</v>
      </c>
      <c r="O86" s="117" t="s">
        <v>309</v>
      </c>
      <c r="P86" s="117" t="s">
        <v>2433</v>
      </c>
      <c r="Q86" s="117" t="s">
        <v>293</v>
      </c>
      <c r="R86" s="117">
        <v>1000000.01</v>
      </c>
      <c r="S86" s="117">
        <v>1500000</v>
      </c>
      <c r="T86" s="117">
        <v>0</v>
      </c>
      <c r="U86" s="117">
        <v>0</v>
      </c>
      <c r="V86" s="117">
        <v>0</v>
      </c>
      <c r="W86" s="117">
        <v>55</v>
      </c>
      <c r="X86" s="117">
        <v>0</v>
      </c>
      <c r="Y86" s="117">
        <v>999</v>
      </c>
      <c r="Z86" s="119">
        <v>700</v>
      </c>
      <c r="AA86" s="119">
        <v>719</v>
      </c>
      <c r="AB86" s="1877">
        <v>0</v>
      </c>
      <c r="AC86" s="119">
        <v>999999</v>
      </c>
      <c r="AD86" s="117">
        <v>0</v>
      </c>
      <c r="AE86" s="117">
        <v>90</v>
      </c>
      <c r="AF86" s="144">
        <v>0</v>
      </c>
      <c r="AG86" s="145">
        <v>1</v>
      </c>
      <c r="AH86" s="145">
        <v>1</v>
      </c>
      <c r="AI86" s="145">
        <v>0</v>
      </c>
      <c r="AJ86" s="145">
        <v>0</v>
      </c>
      <c r="AK86" s="145">
        <v>1</v>
      </c>
      <c r="AL86" s="145">
        <v>1</v>
      </c>
      <c r="AM86" s="145">
        <v>1</v>
      </c>
      <c r="AN86" s="145">
        <v>1</v>
      </c>
      <c r="AO86" s="145">
        <v>1</v>
      </c>
      <c r="AP86" s="145">
        <v>1</v>
      </c>
      <c r="AQ86" s="145">
        <v>0</v>
      </c>
      <c r="AR86" s="145">
        <v>1</v>
      </c>
      <c r="AS86" s="145">
        <v>1</v>
      </c>
      <c r="AT86" s="145">
        <v>1</v>
      </c>
      <c r="AU86" s="145">
        <f t="shared" si="19"/>
        <v>0</v>
      </c>
      <c r="AV86" s="145">
        <f t="shared" si="20"/>
        <v>1</v>
      </c>
      <c r="AW86" s="145">
        <f t="shared" si="21"/>
        <v>1</v>
      </c>
      <c r="AX86" s="145">
        <f t="shared" si="32"/>
        <v>1</v>
      </c>
      <c r="AY86" s="145">
        <f t="shared" si="22"/>
        <v>0</v>
      </c>
      <c r="AZ86" s="145">
        <f t="shared" si="23"/>
        <v>1</v>
      </c>
      <c r="BA86" s="146">
        <f t="shared" si="24"/>
        <v>1</v>
      </c>
      <c r="BB86" s="149">
        <f t="shared" si="25"/>
        <v>16</v>
      </c>
      <c r="BC86" s="150">
        <f t="shared" si="26"/>
        <v>15</v>
      </c>
      <c r="BD86" s="150">
        <f t="shared" si="27"/>
        <v>16</v>
      </c>
      <c r="BE86" s="211" t="str">
        <f t="shared" si="28"/>
        <v/>
      </c>
      <c r="BH86" s="172">
        <f>IF(AND(Input_Product=Elig!$C86,Elig_MatchAll_Ct&lt;22,$BC86=(Elig_MatchAll_Ct-1),AF86=0),C86,0)</f>
        <v>0</v>
      </c>
      <c r="BI86" s="173">
        <f>IF(AND(Input_Product=Elig!$C86,Elig_MatchAll_Ct&lt;22,$BC86=(Elig_MatchAll_Ct-1),AG86=0),D86,0)</f>
        <v>0</v>
      </c>
      <c r="BJ86" s="173">
        <f>IF(AND(Input_Product=Elig!$C86,Elig_MatchAll_Ct&lt;22,$BC86=(Elig_MatchAll_Ct-1),AH86=0),E86,0)</f>
        <v>0</v>
      </c>
      <c r="BK86" s="173">
        <f>IF(AND(Input_Product=Elig!$C86,Elig_MatchAll_Ct&lt;22,$BC86=(Elig_MatchAll_Ct-1),AI86=0),F86,0)</f>
        <v>0</v>
      </c>
      <c r="BL86" s="173">
        <f>IF(AND(Input_Product=Elig!$C86,Elig_MatchAll_Ct&lt;22,$BC86=(Elig_MatchAll_Ct-1),AJ86=0),G86,0)</f>
        <v>0</v>
      </c>
      <c r="BM86" s="173">
        <f>IF(AND(Input_Product=Elig!$C86,Elig_MatchAll_Ct&lt;22,$BC86=(Elig_MatchAll_Ct-1),AK86=0),H86,0)</f>
        <v>0</v>
      </c>
      <c r="BN86" s="173">
        <f>IF(AND(Input_Product=Elig!$C86,Elig_MatchAll_Ct&lt;22,$BC86=(Elig_MatchAll_Ct-1),AL86=0),I86,0)</f>
        <v>0</v>
      </c>
      <c r="BO86" s="173">
        <f>IF(AND(Input_Product=Elig!$C86,Elig_MatchAll_Ct&lt;22,$BC86=(Elig_MatchAll_Ct-1),AM86=0),J86,0)</f>
        <v>0</v>
      </c>
      <c r="BP86" s="173">
        <f>IF(AND(Input_Product=Elig!$C86,Elig_MatchAll_Ct&lt;22,$BC86=(Elig_MatchAll_Ct-1),AN86=0),K86,0)</f>
        <v>0</v>
      </c>
      <c r="BQ86" s="173">
        <f>IF(AND(Input_Product=Elig!$C86,Elig_MatchAll_Ct&lt;22,$BC86=(Elig_MatchAll_Ct-1),AP86=0),L86,0)</f>
        <v>0</v>
      </c>
      <c r="BR86" s="173">
        <f>IF(AND(Input_Product=Elig!$C86,Elig_MatchAll_Ct&lt;22,$BC86=(Elig_MatchAll_Ct-1),AO86=0),M86,0)</f>
        <v>0</v>
      </c>
      <c r="BS86" s="173">
        <f>IF(AND(Input_Product=Elig!$C86,Elig_MatchAll_Ct&lt;22,$BC86=(Elig_MatchAll_Ct-1),AQ86=0),N86,0)</f>
        <v>0</v>
      </c>
      <c r="BT86" s="173">
        <f>IF(AND(Input_Product=Elig!$C86,Elig_MatchAll_Ct&lt;22,$BC86=(Elig_MatchAll_Ct-1),AR86=0),O86,0)</f>
        <v>0</v>
      </c>
      <c r="BU86" s="173">
        <f>IF(AND(Input_Product=Elig!$C86,Elig_MatchAll_Ct&lt;22,$BC86=(Elig_MatchAll_Ct-1),AS86=0),P86,0)</f>
        <v>0</v>
      </c>
      <c r="BV86" s="174">
        <f>IF(AND(Input_Product=Elig!$C86,Elig_MatchAll_Ct&lt;22,$BC86=(Elig_MatchAll_Ct-1),AT86=0),Q86,0)</f>
        <v>0</v>
      </c>
      <c r="BW86" s="175">
        <f>IF(AND(Input_Product=Elig!$C86,Elig_MatchAll_Ct&lt;22,$BC86=(Elig_MatchAll_Ct-1),AU86=0),R86,0)</f>
        <v>0</v>
      </c>
      <c r="BX86" s="176">
        <f>IF(AND(Input_Product=Elig!$C86,Elig_MatchAll_Ct&lt;22,$BC86=(Elig_MatchAll_Ct-1),AU86=0),S86,0)</f>
        <v>0</v>
      </c>
      <c r="BY86" s="175">
        <f>IF(AND(Input_Product=Elig!$C86,Elig_MatchAll_Ct&lt;22,$BC86=(Elig_MatchAll_Ct-1),AV86=0),T86,0)</f>
        <v>0</v>
      </c>
      <c r="BZ86" s="176">
        <f>IF(AND(Input_Product=Elig!$C86,Elig_MatchAll_Ct&lt;22,$BC86=(Elig_MatchAll_Ct-1),AV86=0),U86,0)</f>
        <v>0</v>
      </c>
      <c r="CA86" s="175">
        <f>IF(AND(Input_Product=Elig!$C86,Elig_MatchAll_Ct&lt;22,$BC86=(Elig_MatchAll_Ct-1),AW86=0),V86,0)</f>
        <v>0</v>
      </c>
      <c r="CB86" s="176">
        <f>IF(AND(Input_Product=Elig!$C86,Elig_MatchAll_Ct&lt;22,$BC86=(Elig_MatchAll_Ct-1),AW86=0),W86,0)</f>
        <v>0</v>
      </c>
      <c r="CC86" s="175">
        <f>IF(AND(Input_Product=Elig!$C86,Elig_MatchAll_Ct&lt;22,$BC86=(Elig_MatchAll_Ct-1),AX86=0),X86,0)</f>
        <v>0</v>
      </c>
      <c r="CD86" s="176">
        <f>IF(AND(Input_Product=Elig!$C86,Elig_MatchAll_Ct&lt;22,$BC86=(Elig_MatchAll_Ct-1),AX86=0),Y86,0)</f>
        <v>0</v>
      </c>
      <c r="CE86" s="175">
        <f>IF(AND(Input_LTV&lt;=AE86,Input_Product=Elig!$C86,Elig_MatchAll_Ct&lt;22,$BC86=(Elig_MatchAll_Ct-1),AY86=0),Z86,0)</f>
        <v>0</v>
      </c>
      <c r="CF86" s="176">
        <f>IF(AND(Input_LTV&lt;=AE86,Input_Product=Elig!$C86,Elig_MatchAll_Ct&lt;22,$BC86=(Elig_MatchAll_Ct-1),AY86=0),AA86,0)</f>
        <v>0</v>
      </c>
      <c r="CG86" s="175">
        <f>IF(AND(Input_Product=Elig!$C86,Elig_MatchAll_Ct&lt;22,$BC86=(Elig_MatchAll_Ct-1),AZ86=0),AB86,0)</f>
        <v>0</v>
      </c>
      <c r="CH86" s="176">
        <f>IF(AND(Input_Product=Elig!$C86,Elig_MatchAll_Ct&lt;22,$BC86=(Elig_MatchAll_Ct-1),AZ86=0),AC86,0)</f>
        <v>0</v>
      </c>
      <c r="CI86" s="175">
        <f>IF(AND(Input_Product=Elig!$C86,Elig_MatchAll_Ct&lt;22,$BC86=(Elig_MatchAll_Ct-1),BA86=0),AD86,0)</f>
        <v>0</v>
      </c>
      <c r="CJ86" s="177">
        <f>IF(AND(Input_Product=Elig!$C86,Elig_MatchAll_Ct&lt;22,$BC86=(Elig_MatchAll_Ct-1),BA86=0),AE86,0)</f>
        <v>0</v>
      </c>
    </row>
    <row r="87" spans="1:88" ht="10.15" customHeight="1" x14ac:dyDescent="0.25">
      <c r="A87" s="1419" t="s">
        <v>76</v>
      </c>
      <c r="B87" s="1419" t="s">
        <v>788</v>
      </c>
      <c r="C87" s="116" t="str">
        <f t="shared" si="30"/>
        <v>NonQM OO</v>
      </c>
      <c r="D87" s="117" t="s">
        <v>1995</v>
      </c>
      <c r="E87" s="117" t="s">
        <v>166</v>
      </c>
      <c r="F87" s="117" t="s">
        <v>330</v>
      </c>
      <c r="G87" s="117" t="s">
        <v>465</v>
      </c>
      <c r="H87" s="117" t="s">
        <v>135</v>
      </c>
      <c r="I87" s="118" t="s">
        <v>273</v>
      </c>
      <c r="J87" s="118" t="s">
        <v>1130</v>
      </c>
      <c r="K87" s="118" t="s">
        <v>1398</v>
      </c>
      <c r="L87" s="117" t="s">
        <v>2025</v>
      </c>
      <c r="M87" s="117" t="s">
        <v>2289</v>
      </c>
      <c r="N87" s="117" t="s">
        <v>82</v>
      </c>
      <c r="O87" s="117" t="s">
        <v>309</v>
      </c>
      <c r="P87" s="117" t="s">
        <v>2433</v>
      </c>
      <c r="Q87" s="117" t="s">
        <v>293</v>
      </c>
      <c r="R87" s="117">
        <v>1000000.01</v>
      </c>
      <c r="S87" s="117">
        <v>1500000</v>
      </c>
      <c r="T87" s="117">
        <v>0</v>
      </c>
      <c r="U87" s="117">
        <v>0</v>
      </c>
      <c r="V87" s="117">
        <v>0</v>
      </c>
      <c r="W87" s="117">
        <v>55</v>
      </c>
      <c r="X87" s="117">
        <v>0</v>
      </c>
      <c r="Y87" s="117">
        <v>999</v>
      </c>
      <c r="Z87" s="119">
        <v>680</v>
      </c>
      <c r="AA87" s="119">
        <v>699</v>
      </c>
      <c r="AB87" s="1877">
        <v>0</v>
      </c>
      <c r="AC87" s="119">
        <v>999999</v>
      </c>
      <c r="AD87" s="117">
        <v>0</v>
      </c>
      <c r="AE87" s="117">
        <v>85</v>
      </c>
      <c r="AF87" s="144">
        <v>0</v>
      </c>
      <c r="AG87" s="145">
        <v>1</v>
      </c>
      <c r="AH87" s="145">
        <v>1</v>
      </c>
      <c r="AI87" s="145">
        <v>0</v>
      </c>
      <c r="AJ87" s="145">
        <v>0</v>
      </c>
      <c r="AK87" s="145">
        <v>1</v>
      </c>
      <c r="AL87" s="145">
        <v>1</v>
      </c>
      <c r="AM87" s="145">
        <v>1</v>
      </c>
      <c r="AN87" s="145">
        <v>1</v>
      </c>
      <c r="AO87" s="145">
        <v>1</v>
      </c>
      <c r="AP87" s="145">
        <v>1</v>
      </c>
      <c r="AQ87" s="145">
        <v>0</v>
      </c>
      <c r="AR87" s="145">
        <v>1</v>
      </c>
      <c r="AS87" s="145">
        <v>1</v>
      </c>
      <c r="AT87" s="145">
        <v>1</v>
      </c>
      <c r="AU87" s="145">
        <f t="shared" si="19"/>
        <v>0</v>
      </c>
      <c r="AV87" s="145">
        <f t="shared" si="20"/>
        <v>1</v>
      </c>
      <c r="AW87" s="145">
        <f t="shared" si="21"/>
        <v>1</v>
      </c>
      <c r="AX87" s="145">
        <f t="shared" si="32"/>
        <v>1</v>
      </c>
      <c r="AY87" s="145">
        <f t="shared" si="22"/>
        <v>0</v>
      </c>
      <c r="AZ87" s="145">
        <f t="shared" si="23"/>
        <v>1</v>
      </c>
      <c r="BA87" s="146">
        <f t="shared" si="24"/>
        <v>1</v>
      </c>
      <c r="BB87" s="149">
        <f t="shared" si="25"/>
        <v>16</v>
      </c>
      <c r="BC87" s="150">
        <f t="shared" si="26"/>
        <v>15</v>
      </c>
      <c r="BD87" s="150">
        <f t="shared" si="27"/>
        <v>16</v>
      </c>
      <c r="BE87" s="211" t="str">
        <f t="shared" si="28"/>
        <v/>
      </c>
      <c r="BH87" s="172">
        <f>IF(AND(Input_Product=Elig!$C87,Elig_MatchAll_Ct&lt;22,$BC87=(Elig_MatchAll_Ct-1),AF87=0),C87,0)</f>
        <v>0</v>
      </c>
      <c r="BI87" s="173">
        <f>IF(AND(Input_Product=Elig!$C87,Elig_MatchAll_Ct&lt;22,$BC87=(Elig_MatchAll_Ct-1),AG87=0),D87,0)</f>
        <v>0</v>
      </c>
      <c r="BJ87" s="173">
        <f>IF(AND(Input_Product=Elig!$C87,Elig_MatchAll_Ct&lt;22,$BC87=(Elig_MatchAll_Ct-1),AH87=0),E87,0)</f>
        <v>0</v>
      </c>
      <c r="BK87" s="173">
        <f>IF(AND(Input_Product=Elig!$C87,Elig_MatchAll_Ct&lt;22,$BC87=(Elig_MatchAll_Ct-1),AI87=0),F87,0)</f>
        <v>0</v>
      </c>
      <c r="BL87" s="173">
        <f>IF(AND(Input_Product=Elig!$C87,Elig_MatchAll_Ct&lt;22,$BC87=(Elig_MatchAll_Ct-1),AJ87=0),G87,0)</f>
        <v>0</v>
      </c>
      <c r="BM87" s="173">
        <f>IF(AND(Input_Product=Elig!$C87,Elig_MatchAll_Ct&lt;22,$BC87=(Elig_MatchAll_Ct-1),AK87=0),H87,0)</f>
        <v>0</v>
      </c>
      <c r="BN87" s="173">
        <f>IF(AND(Input_Product=Elig!$C87,Elig_MatchAll_Ct&lt;22,$BC87=(Elig_MatchAll_Ct-1),AL87=0),I87,0)</f>
        <v>0</v>
      </c>
      <c r="BO87" s="173">
        <f>IF(AND(Input_Product=Elig!$C87,Elig_MatchAll_Ct&lt;22,$BC87=(Elig_MatchAll_Ct-1),AM87=0),J87,0)</f>
        <v>0</v>
      </c>
      <c r="BP87" s="173">
        <f>IF(AND(Input_Product=Elig!$C87,Elig_MatchAll_Ct&lt;22,$BC87=(Elig_MatchAll_Ct-1),AN87=0),K87,0)</f>
        <v>0</v>
      </c>
      <c r="BQ87" s="173">
        <f>IF(AND(Input_Product=Elig!$C87,Elig_MatchAll_Ct&lt;22,$BC87=(Elig_MatchAll_Ct-1),AP87=0),L87,0)</f>
        <v>0</v>
      </c>
      <c r="BR87" s="173">
        <f>IF(AND(Input_Product=Elig!$C87,Elig_MatchAll_Ct&lt;22,$BC87=(Elig_MatchAll_Ct-1),AO87=0),M87,0)</f>
        <v>0</v>
      </c>
      <c r="BS87" s="173">
        <f>IF(AND(Input_Product=Elig!$C87,Elig_MatchAll_Ct&lt;22,$BC87=(Elig_MatchAll_Ct-1),AQ87=0),N87,0)</f>
        <v>0</v>
      </c>
      <c r="BT87" s="173">
        <f>IF(AND(Input_Product=Elig!$C87,Elig_MatchAll_Ct&lt;22,$BC87=(Elig_MatchAll_Ct-1),AR87=0),O87,0)</f>
        <v>0</v>
      </c>
      <c r="BU87" s="173">
        <f>IF(AND(Input_Product=Elig!$C87,Elig_MatchAll_Ct&lt;22,$BC87=(Elig_MatchAll_Ct-1),AS87=0),P87,0)</f>
        <v>0</v>
      </c>
      <c r="BV87" s="174">
        <f>IF(AND(Input_Product=Elig!$C87,Elig_MatchAll_Ct&lt;22,$BC87=(Elig_MatchAll_Ct-1),AT87=0),Q87,0)</f>
        <v>0</v>
      </c>
      <c r="BW87" s="175">
        <f>IF(AND(Input_Product=Elig!$C87,Elig_MatchAll_Ct&lt;22,$BC87=(Elig_MatchAll_Ct-1),AU87=0),R87,0)</f>
        <v>0</v>
      </c>
      <c r="BX87" s="176">
        <f>IF(AND(Input_Product=Elig!$C87,Elig_MatchAll_Ct&lt;22,$BC87=(Elig_MatchAll_Ct-1),AU87=0),S87,0)</f>
        <v>0</v>
      </c>
      <c r="BY87" s="175">
        <f>IF(AND(Input_Product=Elig!$C87,Elig_MatchAll_Ct&lt;22,$BC87=(Elig_MatchAll_Ct-1),AV87=0),T87,0)</f>
        <v>0</v>
      </c>
      <c r="BZ87" s="176">
        <f>IF(AND(Input_Product=Elig!$C87,Elig_MatchAll_Ct&lt;22,$BC87=(Elig_MatchAll_Ct-1),AV87=0),U87,0)</f>
        <v>0</v>
      </c>
      <c r="CA87" s="175">
        <f>IF(AND(Input_Product=Elig!$C87,Elig_MatchAll_Ct&lt;22,$BC87=(Elig_MatchAll_Ct-1),AW87=0),V87,0)</f>
        <v>0</v>
      </c>
      <c r="CB87" s="176">
        <f>IF(AND(Input_Product=Elig!$C87,Elig_MatchAll_Ct&lt;22,$BC87=(Elig_MatchAll_Ct-1),AW87=0),W87,0)</f>
        <v>0</v>
      </c>
      <c r="CC87" s="175">
        <f>IF(AND(Input_Product=Elig!$C87,Elig_MatchAll_Ct&lt;22,$BC87=(Elig_MatchAll_Ct-1),AX87=0),X87,0)</f>
        <v>0</v>
      </c>
      <c r="CD87" s="176">
        <f>IF(AND(Input_Product=Elig!$C87,Elig_MatchAll_Ct&lt;22,$BC87=(Elig_MatchAll_Ct-1),AX87=0),Y87,0)</f>
        <v>0</v>
      </c>
      <c r="CE87" s="175">
        <f>IF(AND(Input_LTV&lt;=AE87,Input_Product=Elig!$C87,Elig_MatchAll_Ct&lt;22,$BC87=(Elig_MatchAll_Ct-1),AY87=0),Z87,0)</f>
        <v>0</v>
      </c>
      <c r="CF87" s="176">
        <f>IF(AND(Input_LTV&lt;=AE87,Input_Product=Elig!$C87,Elig_MatchAll_Ct&lt;22,$BC87=(Elig_MatchAll_Ct-1),AY87=0),AA87,0)</f>
        <v>0</v>
      </c>
      <c r="CG87" s="175">
        <f>IF(AND(Input_Product=Elig!$C87,Elig_MatchAll_Ct&lt;22,$BC87=(Elig_MatchAll_Ct-1),AZ87=0),AB87,0)</f>
        <v>0</v>
      </c>
      <c r="CH87" s="176">
        <f>IF(AND(Input_Product=Elig!$C87,Elig_MatchAll_Ct&lt;22,$BC87=(Elig_MatchAll_Ct-1),AZ87=0),AC87,0)</f>
        <v>0</v>
      </c>
      <c r="CI87" s="175">
        <f>IF(AND(Input_Product=Elig!$C87,Elig_MatchAll_Ct&lt;22,$BC87=(Elig_MatchAll_Ct-1),BA87=0),AD87,0)</f>
        <v>0</v>
      </c>
      <c r="CJ87" s="177">
        <f>IF(AND(Input_Product=Elig!$C87,Elig_MatchAll_Ct&lt;22,$BC87=(Elig_MatchAll_Ct-1),BA87=0),AE87,0)</f>
        <v>0</v>
      </c>
    </row>
    <row r="88" spans="1:88" ht="10.15" customHeight="1" x14ac:dyDescent="0.25">
      <c r="A88" s="1419" t="s">
        <v>76</v>
      </c>
      <c r="B88" s="1419" t="s">
        <v>789</v>
      </c>
      <c r="C88" s="116" t="str">
        <f t="shared" si="30"/>
        <v>NonQM OO</v>
      </c>
      <c r="D88" s="117" t="s">
        <v>1995</v>
      </c>
      <c r="E88" s="117" t="s">
        <v>166</v>
      </c>
      <c r="F88" s="117" t="s">
        <v>330</v>
      </c>
      <c r="G88" s="117" t="s">
        <v>465</v>
      </c>
      <c r="H88" s="117" t="s">
        <v>135</v>
      </c>
      <c r="I88" s="117" t="s">
        <v>273</v>
      </c>
      <c r="J88" s="117" t="s">
        <v>1130</v>
      </c>
      <c r="K88" s="117" t="s">
        <v>1398</v>
      </c>
      <c r="L88" s="117" t="s">
        <v>2025</v>
      </c>
      <c r="M88" s="117" t="s">
        <v>2289</v>
      </c>
      <c r="N88" s="117" t="s">
        <v>82</v>
      </c>
      <c r="O88" s="117" t="s">
        <v>309</v>
      </c>
      <c r="P88" s="117" t="s">
        <v>2433</v>
      </c>
      <c r="Q88" s="117" t="s">
        <v>293</v>
      </c>
      <c r="R88" s="117">
        <v>1000000.01</v>
      </c>
      <c r="S88" s="117">
        <v>1500000</v>
      </c>
      <c r="T88" s="117">
        <v>0</v>
      </c>
      <c r="U88" s="117">
        <v>0</v>
      </c>
      <c r="V88" s="117">
        <v>0</v>
      </c>
      <c r="W88" s="117">
        <v>55</v>
      </c>
      <c r="X88" s="117">
        <v>0</v>
      </c>
      <c r="Y88" s="117">
        <v>999</v>
      </c>
      <c r="Z88" s="119">
        <v>660</v>
      </c>
      <c r="AA88" s="119">
        <v>679</v>
      </c>
      <c r="AB88" s="1877">
        <v>0</v>
      </c>
      <c r="AC88" s="119">
        <v>999999</v>
      </c>
      <c r="AD88" s="117">
        <v>0</v>
      </c>
      <c r="AE88" s="117">
        <v>80</v>
      </c>
      <c r="AF88" s="144">
        <v>0</v>
      </c>
      <c r="AG88" s="145">
        <v>1</v>
      </c>
      <c r="AH88" s="145">
        <v>1</v>
      </c>
      <c r="AI88" s="145">
        <v>0</v>
      </c>
      <c r="AJ88" s="145">
        <v>0</v>
      </c>
      <c r="AK88" s="145">
        <v>1</v>
      </c>
      <c r="AL88" s="145">
        <v>1</v>
      </c>
      <c r="AM88" s="145">
        <v>1</v>
      </c>
      <c r="AN88" s="145">
        <v>1</v>
      </c>
      <c r="AO88" s="145">
        <v>1</v>
      </c>
      <c r="AP88" s="145">
        <v>1</v>
      </c>
      <c r="AQ88" s="145">
        <v>0</v>
      </c>
      <c r="AR88" s="145">
        <v>1</v>
      </c>
      <c r="AS88" s="145">
        <v>1</v>
      </c>
      <c r="AT88" s="145">
        <v>1</v>
      </c>
      <c r="AU88" s="145">
        <f t="shared" si="19"/>
        <v>0</v>
      </c>
      <c r="AV88" s="145">
        <f t="shared" si="20"/>
        <v>1</v>
      </c>
      <c r="AW88" s="145">
        <f t="shared" si="21"/>
        <v>1</v>
      </c>
      <c r="AX88" s="145">
        <f t="shared" si="32"/>
        <v>1</v>
      </c>
      <c r="AY88" s="145">
        <f t="shared" si="22"/>
        <v>0</v>
      </c>
      <c r="AZ88" s="145">
        <f t="shared" si="23"/>
        <v>1</v>
      </c>
      <c r="BA88" s="146">
        <f t="shared" si="24"/>
        <v>1</v>
      </c>
      <c r="BB88" s="149">
        <f t="shared" si="25"/>
        <v>16</v>
      </c>
      <c r="BC88" s="150">
        <f t="shared" si="26"/>
        <v>15</v>
      </c>
      <c r="BD88" s="150">
        <f t="shared" si="27"/>
        <v>16</v>
      </c>
      <c r="BE88" s="211" t="str">
        <f t="shared" si="28"/>
        <v/>
      </c>
      <c r="BH88" s="172">
        <f>IF(AND(Input_Product=Elig!$C88,Elig_MatchAll_Ct&lt;22,$BC88=(Elig_MatchAll_Ct-1),AF88=0),C88,0)</f>
        <v>0</v>
      </c>
      <c r="BI88" s="173">
        <f>IF(AND(Input_Product=Elig!$C88,Elig_MatchAll_Ct&lt;22,$BC88=(Elig_MatchAll_Ct-1),AG88=0),D88,0)</f>
        <v>0</v>
      </c>
      <c r="BJ88" s="173">
        <f>IF(AND(Input_Product=Elig!$C88,Elig_MatchAll_Ct&lt;22,$BC88=(Elig_MatchAll_Ct-1),AH88=0),E88,0)</f>
        <v>0</v>
      </c>
      <c r="BK88" s="173">
        <f>IF(AND(Input_Product=Elig!$C88,Elig_MatchAll_Ct&lt;22,$BC88=(Elig_MatchAll_Ct-1),AI88=0),F88,0)</f>
        <v>0</v>
      </c>
      <c r="BL88" s="173">
        <f>IF(AND(Input_Product=Elig!$C88,Elig_MatchAll_Ct&lt;22,$BC88=(Elig_MatchAll_Ct-1),AJ88=0),G88,0)</f>
        <v>0</v>
      </c>
      <c r="BM88" s="173">
        <f>IF(AND(Input_Product=Elig!$C88,Elig_MatchAll_Ct&lt;22,$BC88=(Elig_MatchAll_Ct-1),AK88=0),H88,0)</f>
        <v>0</v>
      </c>
      <c r="BN88" s="173">
        <f>IF(AND(Input_Product=Elig!$C88,Elig_MatchAll_Ct&lt;22,$BC88=(Elig_MatchAll_Ct-1),AL88=0),I88,0)</f>
        <v>0</v>
      </c>
      <c r="BO88" s="173">
        <f>IF(AND(Input_Product=Elig!$C88,Elig_MatchAll_Ct&lt;22,$BC88=(Elig_MatchAll_Ct-1),AM88=0),J88,0)</f>
        <v>0</v>
      </c>
      <c r="BP88" s="173">
        <f>IF(AND(Input_Product=Elig!$C88,Elig_MatchAll_Ct&lt;22,$BC88=(Elig_MatchAll_Ct-1),AN88=0),K88,0)</f>
        <v>0</v>
      </c>
      <c r="BQ88" s="173">
        <f>IF(AND(Input_Product=Elig!$C88,Elig_MatchAll_Ct&lt;22,$BC88=(Elig_MatchAll_Ct-1),AP88=0),L88,0)</f>
        <v>0</v>
      </c>
      <c r="BR88" s="173">
        <f>IF(AND(Input_Product=Elig!$C88,Elig_MatchAll_Ct&lt;22,$BC88=(Elig_MatchAll_Ct-1),AO88=0),M88,0)</f>
        <v>0</v>
      </c>
      <c r="BS88" s="173">
        <f>IF(AND(Input_Product=Elig!$C88,Elig_MatchAll_Ct&lt;22,$BC88=(Elig_MatchAll_Ct-1),AQ88=0),N88,0)</f>
        <v>0</v>
      </c>
      <c r="BT88" s="173">
        <f>IF(AND(Input_Product=Elig!$C88,Elig_MatchAll_Ct&lt;22,$BC88=(Elig_MatchAll_Ct-1),AR88=0),O88,0)</f>
        <v>0</v>
      </c>
      <c r="BU88" s="173">
        <f>IF(AND(Input_Product=Elig!$C88,Elig_MatchAll_Ct&lt;22,$BC88=(Elig_MatchAll_Ct-1),AS88=0),P88,0)</f>
        <v>0</v>
      </c>
      <c r="BV88" s="174">
        <f>IF(AND(Input_Product=Elig!$C88,Elig_MatchAll_Ct&lt;22,$BC88=(Elig_MatchAll_Ct-1),AT88=0),Q88,0)</f>
        <v>0</v>
      </c>
      <c r="BW88" s="175">
        <f>IF(AND(Input_Product=Elig!$C88,Elig_MatchAll_Ct&lt;22,$BC88=(Elig_MatchAll_Ct-1),AU88=0),R88,0)</f>
        <v>0</v>
      </c>
      <c r="BX88" s="176">
        <f>IF(AND(Input_Product=Elig!$C88,Elig_MatchAll_Ct&lt;22,$BC88=(Elig_MatchAll_Ct-1),AU88=0),S88,0)</f>
        <v>0</v>
      </c>
      <c r="BY88" s="175">
        <f>IF(AND(Input_Product=Elig!$C88,Elig_MatchAll_Ct&lt;22,$BC88=(Elig_MatchAll_Ct-1),AV88=0),T88,0)</f>
        <v>0</v>
      </c>
      <c r="BZ88" s="176">
        <f>IF(AND(Input_Product=Elig!$C88,Elig_MatchAll_Ct&lt;22,$BC88=(Elig_MatchAll_Ct-1),AV88=0),U88,0)</f>
        <v>0</v>
      </c>
      <c r="CA88" s="175">
        <f>IF(AND(Input_Product=Elig!$C88,Elig_MatchAll_Ct&lt;22,$BC88=(Elig_MatchAll_Ct-1),AW88=0),V88,0)</f>
        <v>0</v>
      </c>
      <c r="CB88" s="176">
        <f>IF(AND(Input_Product=Elig!$C88,Elig_MatchAll_Ct&lt;22,$BC88=(Elig_MatchAll_Ct-1),AW88=0),W88,0)</f>
        <v>0</v>
      </c>
      <c r="CC88" s="175">
        <f>IF(AND(Input_Product=Elig!$C88,Elig_MatchAll_Ct&lt;22,$BC88=(Elig_MatchAll_Ct-1),AX88=0),X88,0)</f>
        <v>0</v>
      </c>
      <c r="CD88" s="176">
        <f>IF(AND(Input_Product=Elig!$C88,Elig_MatchAll_Ct&lt;22,$BC88=(Elig_MatchAll_Ct-1),AX88=0),Y88,0)</f>
        <v>0</v>
      </c>
      <c r="CE88" s="175">
        <f>IF(AND(Input_LTV&lt;=AE88,Input_Product=Elig!$C88,Elig_MatchAll_Ct&lt;22,$BC88=(Elig_MatchAll_Ct-1),AY88=0),Z88,0)</f>
        <v>0</v>
      </c>
      <c r="CF88" s="176">
        <f>IF(AND(Input_LTV&lt;=AE88,Input_Product=Elig!$C88,Elig_MatchAll_Ct&lt;22,$BC88=(Elig_MatchAll_Ct-1),AY88=0),AA88,0)</f>
        <v>0</v>
      </c>
      <c r="CG88" s="175">
        <f>IF(AND(Input_Product=Elig!$C88,Elig_MatchAll_Ct&lt;22,$BC88=(Elig_MatchAll_Ct-1),AZ88=0),AB88,0)</f>
        <v>0</v>
      </c>
      <c r="CH88" s="176">
        <f>IF(AND(Input_Product=Elig!$C88,Elig_MatchAll_Ct&lt;22,$BC88=(Elig_MatchAll_Ct-1),AZ88=0),AC88,0)</f>
        <v>0</v>
      </c>
      <c r="CI88" s="175">
        <f>IF(AND(Input_Product=Elig!$C88,Elig_MatchAll_Ct&lt;22,$BC88=(Elig_MatchAll_Ct-1),BA88=0),AD88,0)</f>
        <v>0</v>
      </c>
      <c r="CJ88" s="177">
        <f>IF(AND(Input_Product=Elig!$C88,Elig_MatchAll_Ct&lt;22,$BC88=(Elig_MatchAll_Ct-1),BA88=0),AE88,0)</f>
        <v>0</v>
      </c>
    </row>
    <row r="89" spans="1:88" ht="10.15" customHeight="1" x14ac:dyDescent="0.25">
      <c r="A89" s="1419" t="s">
        <v>76</v>
      </c>
      <c r="B89" s="1419" t="s">
        <v>790</v>
      </c>
      <c r="C89" s="116" t="str">
        <f t="shared" si="30"/>
        <v>NonQM OO</v>
      </c>
      <c r="D89" s="117" t="s">
        <v>1995</v>
      </c>
      <c r="E89" s="117" t="s">
        <v>166</v>
      </c>
      <c r="F89" s="117" t="s">
        <v>330</v>
      </c>
      <c r="G89" s="117" t="s">
        <v>465</v>
      </c>
      <c r="H89" s="117" t="s">
        <v>135</v>
      </c>
      <c r="I89" s="117" t="s">
        <v>273</v>
      </c>
      <c r="J89" s="117" t="s">
        <v>1130</v>
      </c>
      <c r="K89" s="117" t="s">
        <v>1398</v>
      </c>
      <c r="L89" s="117" t="s">
        <v>2025</v>
      </c>
      <c r="M89" s="117" t="s">
        <v>2289</v>
      </c>
      <c r="N89" s="117" t="s">
        <v>82</v>
      </c>
      <c r="O89" s="117" t="s">
        <v>309</v>
      </c>
      <c r="P89" s="117" t="s">
        <v>2433</v>
      </c>
      <c r="Q89" s="117" t="s">
        <v>293</v>
      </c>
      <c r="R89" s="117">
        <v>1000000.01</v>
      </c>
      <c r="S89" s="117">
        <v>1500000</v>
      </c>
      <c r="T89" s="117">
        <v>0</v>
      </c>
      <c r="U89" s="117">
        <v>0</v>
      </c>
      <c r="V89" s="117">
        <v>0</v>
      </c>
      <c r="W89" s="117">
        <v>55</v>
      </c>
      <c r="X89" s="117">
        <v>0</v>
      </c>
      <c r="Y89" s="117">
        <v>999</v>
      </c>
      <c r="Z89" s="119">
        <v>640</v>
      </c>
      <c r="AA89" s="119">
        <v>659</v>
      </c>
      <c r="AB89" s="1877">
        <v>0</v>
      </c>
      <c r="AC89" s="119">
        <v>999999</v>
      </c>
      <c r="AD89" s="117">
        <v>0</v>
      </c>
      <c r="AE89" s="117">
        <v>70</v>
      </c>
      <c r="AF89" s="144">
        <v>0</v>
      </c>
      <c r="AG89" s="145">
        <v>1</v>
      </c>
      <c r="AH89" s="145">
        <v>1</v>
      </c>
      <c r="AI89" s="145">
        <v>0</v>
      </c>
      <c r="AJ89" s="145">
        <v>0</v>
      </c>
      <c r="AK89" s="145">
        <v>1</v>
      </c>
      <c r="AL89" s="145">
        <v>1</v>
      </c>
      <c r="AM89" s="145">
        <v>1</v>
      </c>
      <c r="AN89" s="145">
        <v>1</v>
      </c>
      <c r="AO89" s="145">
        <v>1</v>
      </c>
      <c r="AP89" s="145">
        <v>1</v>
      </c>
      <c r="AQ89" s="145">
        <v>0</v>
      </c>
      <c r="AR89" s="145">
        <v>1</v>
      </c>
      <c r="AS89" s="145">
        <v>1</v>
      </c>
      <c r="AT89" s="145">
        <v>1</v>
      </c>
      <c r="AU89" s="145">
        <f t="shared" si="19"/>
        <v>0</v>
      </c>
      <c r="AV89" s="145">
        <f t="shared" si="20"/>
        <v>1</v>
      </c>
      <c r="AW89" s="145">
        <f t="shared" si="21"/>
        <v>1</v>
      </c>
      <c r="AX89" s="145">
        <f t="shared" si="32"/>
        <v>1</v>
      </c>
      <c r="AY89" s="145">
        <f t="shared" si="22"/>
        <v>0</v>
      </c>
      <c r="AZ89" s="145">
        <f t="shared" si="23"/>
        <v>1</v>
      </c>
      <c r="BA89" s="146">
        <f t="shared" si="24"/>
        <v>1</v>
      </c>
      <c r="BB89" s="149">
        <f t="shared" si="25"/>
        <v>16</v>
      </c>
      <c r="BC89" s="150">
        <f t="shared" si="26"/>
        <v>15</v>
      </c>
      <c r="BD89" s="150">
        <f t="shared" si="27"/>
        <v>16</v>
      </c>
      <c r="BE89" s="211" t="str">
        <f t="shared" si="28"/>
        <v/>
      </c>
      <c r="BH89" s="172">
        <f>IF(AND(Input_Product=Elig!$C89,Elig_MatchAll_Ct&lt;22,$BC89=(Elig_MatchAll_Ct-1),AF89=0),C89,0)</f>
        <v>0</v>
      </c>
      <c r="BI89" s="173">
        <f>IF(AND(Input_Product=Elig!$C89,Elig_MatchAll_Ct&lt;22,$BC89=(Elig_MatchAll_Ct-1),AG89=0),D89,0)</f>
        <v>0</v>
      </c>
      <c r="BJ89" s="173">
        <f>IF(AND(Input_Product=Elig!$C89,Elig_MatchAll_Ct&lt;22,$BC89=(Elig_MatchAll_Ct-1),AH89=0),E89,0)</f>
        <v>0</v>
      </c>
      <c r="BK89" s="173">
        <f>IF(AND(Input_Product=Elig!$C89,Elig_MatchAll_Ct&lt;22,$BC89=(Elig_MatchAll_Ct-1),AI89=0),F89,0)</f>
        <v>0</v>
      </c>
      <c r="BL89" s="173">
        <f>IF(AND(Input_Product=Elig!$C89,Elig_MatchAll_Ct&lt;22,$BC89=(Elig_MatchAll_Ct-1),AJ89=0),G89,0)</f>
        <v>0</v>
      </c>
      <c r="BM89" s="173">
        <f>IF(AND(Input_Product=Elig!$C89,Elig_MatchAll_Ct&lt;22,$BC89=(Elig_MatchAll_Ct-1),AK89=0),H89,0)</f>
        <v>0</v>
      </c>
      <c r="BN89" s="173">
        <f>IF(AND(Input_Product=Elig!$C89,Elig_MatchAll_Ct&lt;22,$BC89=(Elig_MatchAll_Ct-1),AL89=0),I89,0)</f>
        <v>0</v>
      </c>
      <c r="BO89" s="173">
        <f>IF(AND(Input_Product=Elig!$C89,Elig_MatchAll_Ct&lt;22,$BC89=(Elig_MatchAll_Ct-1),AM89=0),J89,0)</f>
        <v>0</v>
      </c>
      <c r="BP89" s="173">
        <f>IF(AND(Input_Product=Elig!$C89,Elig_MatchAll_Ct&lt;22,$BC89=(Elig_MatchAll_Ct-1),AN89=0),K89,0)</f>
        <v>0</v>
      </c>
      <c r="BQ89" s="173">
        <f>IF(AND(Input_Product=Elig!$C89,Elig_MatchAll_Ct&lt;22,$BC89=(Elig_MatchAll_Ct-1),AP89=0),L89,0)</f>
        <v>0</v>
      </c>
      <c r="BR89" s="173">
        <f>IF(AND(Input_Product=Elig!$C89,Elig_MatchAll_Ct&lt;22,$BC89=(Elig_MatchAll_Ct-1),AO89=0),M89,0)</f>
        <v>0</v>
      </c>
      <c r="BS89" s="173">
        <f>IF(AND(Input_Product=Elig!$C89,Elig_MatchAll_Ct&lt;22,$BC89=(Elig_MatchAll_Ct-1),AQ89=0),N89,0)</f>
        <v>0</v>
      </c>
      <c r="BT89" s="173">
        <f>IF(AND(Input_Product=Elig!$C89,Elig_MatchAll_Ct&lt;22,$BC89=(Elig_MatchAll_Ct-1),AR89=0),O89,0)</f>
        <v>0</v>
      </c>
      <c r="BU89" s="173">
        <f>IF(AND(Input_Product=Elig!$C89,Elig_MatchAll_Ct&lt;22,$BC89=(Elig_MatchAll_Ct-1),AS89=0),P89,0)</f>
        <v>0</v>
      </c>
      <c r="BV89" s="174">
        <f>IF(AND(Input_Product=Elig!$C89,Elig_MatchAll_Ct&lt;22,$BC89=(Elig_MatchAll_Ct-1),AT89=0),Q89,0)</f>
        <v>0</v>
      </c>
      <c r="BW89" s="175">
        <f>IF(AND(Input_Product=Elig!$C89,Elig_MatchAll_Ct&lt;22,$BC89=(Elig_MatchAll_Ct-1),AU89=0),R89,0)</f>
        <v>0</v>
      </c>
      <c r="BX89" s="176">
        <f>IF(AND(Input_Product=Elig!$C89,Elig_MatchAll_Ct&lt;22,$BC89=(Elig_MatchAll_Ct-1),AU89=0),S89,0)</f>
        <v>0</v>
      </c>
      <c r="BY89" s="175">
        <f>IF(AND(Input_Product=Elig!$C89,Elig_MatchAll_Ct&lt;22,$BC89=(Elig_MatchAll_Ct-1),AV89=0),T89,0)</f>
        <v>0</v>
      </c>
      <c r="BZ89" s="176">
        <f>IF(AND(Input_Product=Elig!$C89,Elig_MatchAll_Ct&lt;22,$BC89=(Elig_MatchAll_Ct-1),AV89=0),U89,0)</f>
        <v>0</v>
      </c>
      <c r="CA89" s="175">
        <f>IF(AND(Input_Product=Elig!$C89,Elig_MatchAll_Ct&lt;22,$BC89=(Elig_MatchAll_Ct-1),AW89=0),V89,0)</f>
        <v>0</v>
      </c>
      <c r="CB89" s="176">
        <f>IF(AND(Input_Product=Elig!$C89,Elig_MatchAll_Ct&lt;22,$BC89=(Elig_MatchAll_Ct-1),AW89=0),W89,0)</f>
        <v>0</v>
      </c>
      <c r="CC89" s="175">
        <f>IF(AND(Input_Product=Elig!$C89,Elig_MatchAll_Ct&lt;22,$BC89=(Elig_MatchAll_Ct-1),AX89=0),X89,0)</f>
        <v>0</v>
      </c>
      <c r="CD89" s="176">
        <f>IF(AND(Input_Product=Elig!$C89,Elig_MatchAll_Ct&lt;22,$BC89=(Elig_MatchAll_Ct-1),AX89=0),Y89,0)</f>
        <v>0</v>
      </c>
      <c r="CE89" s="175">
        <f>IF(AND(Input_LTV&lt;=AE89,Input_Product=Elig!$C89,Elig_MatchAll_Ct&lt;22,$BC89=(Elig_MatchAll_Ct-1),AY89=0),Z89,0)</f>
        <v>0</v>
      </c>
      <c r="CF89" s="176">
        <f>IF(AND(Input_LTV&lt;=AE89,Input_Product=Elig!$C89,Elig_MatchAll_Ct&lt;22,$BC89=(Elig_MatchAll_Ct-1),AY89=0),AA89,0)</f>
        <v>0</v>
      </c>
      <c r="CG89" s="175">
        <f>IF(AND(Input_Product=Elig!$C89,Elig_MatchAll_Ct&lt;22,$BC89=(Elig_MatchAll_Ct-1),AZ89=0),AB89,0)</f>
        <v>0</v>
      </c>
      <c r="CH89" s="176">
        <f>IF(AND(Input_Product=Elig!$C89,Elig_MatchAll_Ct&lt;22,$BC89=(Elig_MatchAll_Ct-1),AZ89=0),AC89,0)</f>
        <v>0</v>
      </c>
      <c r="CI89" s="175">
        <f>IF(AND(Input_Product=Elig!$C89,Elig_MatchAll_Ct&lt;22,$BC89=(Elig_MatchAll_Ct-1),BA89=0),AD89,0)</f>
        <v>0</v>
      </c>
      <c r="CJ89" s="177">
        <f>IF(AND(Input_Product=Elig!$C89,Elig_MatchAll_Ct&lt;22,$BC89=(Elig_MatchAll_Ct-1),BA89=0),AE89,0)</f>
        <v>0</v>
      </c>
    </row>
    <row r="90" spans="1:88" ht="10.15" customHeight="1" x14ac:dyDescent="0.25">
      <c r="A90" s="1419" t="s">
        <v>76</v>
      </c>
      <c r="B90" s="1419" t="s">
        <v>791</v>
      </c>
      <c r="C90" s="120" t="str">
        <f t="shared" si="30"/>
        <v>NonQM OO</v>
      </c>
      <c r="D90" s="121" t="s">
        <v>1995</v>
      </c>
      <c r="E90" s="121" t="s">
        <v>166</v>
      </c>
      <c r="F90" s="121" t="s">
        <v>330</v>
      </c>
      <c r="G90" s="121" t="s">
        <v>465</v>
      </c>
      <c r="H90" s="121" t="s">
        <v>135</v>
      </c>
      <c r="I90" s="121" t="s">
        <v>273</v>
      </c>
      <c r="J90" s="121" t="s">
        <v>1130</v>
      </c>
      <c r="K90" s="121" t="s">
        <v>1398</v>
      </c>
      <c r="L90" s="121" t="s">
        <v>2025</v>
      </c>
      <c r="M90" s="121" t="s">
        <v>2289</v>
      </c>
      <c r="N90" s="121" t="s">
        <v>82</v>
      </c>
      <c r="O90" s="121" t="s">
        <v>309</v>
      </c>
      <c r="P90" s="121" t="s">
        <v>2433</v>
      </c>
      <c r="Q90" s="121" t="s">
        <v>293</v>
      </c>
      <c r="R90" s="121">
        <v>1000000.01</v>
      </c>
      <c r="S90" s="121">
        <v>1500000</v>
      </c>
      <c r="T90" s="121">
        <v>0</v>
      </c>
      <c r="U90" s="121">
        <v>0</v>
      </c>
      <c r="V90" s="121">
        <v>0</v>
      </c>
      <c r="W90" s="121">
        <v>55</v>
      </c>
      <c r="X90" s="121">
        <v>0</v>
      </c>
      <c r="Y90" s="121">
        <v>999</v>
      </c>
      <c r="Z90" s="122">
        <v>620</v>
      </c>
      <c r="AA90" s="122">
        <v>639</v>
      </c>
      <c r="AB90" s="1878">
        <v>0</v>
      </c>
      <c r="AC90" s="122">
        <v>999999</v>
      </c>
      <c r="AD90" s="121">
        <v>0</v>
      </c>
      <c r="AE90" s="121">
        <v>70</v>
      </c>
      <c r="AF90" s="144">
        <v>0</v>
      </c>
      <c r="AG90" s="145">
        <v>1</v>
      </c>
      <c r="AH90" s="145">
        <v>1</v>
      </c>
      <c r="AI90" s="145">
        <v>0</v>
      </c>
      <c r="AJ90" s="145">
        <v>0</v>
      </c>
      <c r="AK90" s="145">
        <v>1</v>
      </c>
      <c r="AL90" s="145">
        <v>1</v>
      </c>
      <c r="AM90" s="145">
        <v>1</v>
      </c>
      <c r="AN90" s="145">
        <v>1</v>
      </c>
      <c r="AO90" s="145">
        <v>1</v>
      </c>
      <c r="AP90" s="145">
        <v>1</v>
      </c>
      <c r="AQ90" s="145">
        <v>0</v>
      </c>
      <c r="AR90" s="145">
        <v>1</v>
      </c>
      <c r="AS90" s="145">
        <v>1</v>
      </c>
      <c r="AT90" s="145">
        <v>1</v>
      </c>
      <c r="AU90" s="145">
        <f t="shared" si="19"/>
        <v>0</v>
      </c>
      <c r="AV90" s="145">
        <f t="shared" si="20"/>
        <v>1</v>
      </c>
      <c r="AW90" s="145">
        <f t="shared" si="21"/>
        <v>1</v>
      </c>
      <c r="AX90" s="145">
        <f t="shared" si="32"/>
        <v>1</v>
      </c>
      <c r="AY90" s="145">
        <f t="shared" si="22"/>
        <v>0</v>
      </c>
      <c r="AZ90" s="145">
        <f t="shared" si="23"/>
        <v>1</v>
      </c>
      <c r="BA90" s="146">
        <f t="shared" si="24"/>
        <v>1</v>
      </c>
      <c r="BB90" s="149">
        <f t="shared" si="25"/>
        <v>16</v>
      </c>
      <c r="BC90" s="150">
        <f t="shared" si="26"/>
        <v>15</v>
      </c>
      <c r="BD90" s="150">
        <f t="shared" si="27"/>
        <v>16</v>
      </c>
      <c r="BE90" s="211" t="str">
        <f t="shared" si="28"/>
        <v/>
      </c>
      <c r="BH90" s="178">
        <f>IF(AND(Input_Product=Elig!$C90,Elig_MatchAll_Ct&lt;22,$BC90=(Elig_MatchAll_Ct-1),AF90=0),C90,0)</f>
        <v>0</v>
      </c>
      <c r="BI90" s="179">
        <f>IF(AND(Input_Product=Elig!$C90,Elig_MatchAll_Ct&lt;22,$BC90=(Elig_MatchAll_Ct-1),AG90=0),D90,0)</f>
        <v>0</v>
      </c>
      <c r="BJ90" s="179">
        <f>IF(AND(Input_Product=Elig!$C90,Elig_MatchAll_Ct&lt;22,$BC90=(Elig_MatchAll_Ct-1),AH90=0),E90,0)</f>
        <v>0</v>
      </c>
      <c r="BK90" s="179">
        <f>IF(AND(Input_Product=Elig!$C90,Elig_MatchAll_Ct&lt;22,$BC90=(Elig_MatchAll_Ct-1),AI90=0),F90,0)</f>
        <v>0</v>
      </c>
      <c r="BL90" s="179">
        <f>IF(AND(Input_Product=Elig!$C90,Elig_MatchAll_Ct&lt;22,$BC90=(Elig_MatchAll_Ct-1),AJ90=0),G90,0)</f>
        <v>0</v>
      </c>
      <c r="BM90" s="179">
        <f>IF(AND(Input_Product=Elig!$C90,Elig_MatchAll_Ct&lt;22,$BC90=(Elig_MatchAll_Ct-1),AK90=0),H90,0)</f>
        <v>0</v>
      </c>
      <c r="BN90" s="179">
        <f>IF(AND(Input_Product=Elig!$C90,Elig_MatchAll_Ct&lt;22,$BC90=(Elig_MatchAll_Ct-1),AL90=0),I90,0)</f>
        <v>0</v>
      </c>
      <c r="BO90" s="179">
        <f>IF(AND(Input_Product=Elig!$C90,Elig_MatchAll_Ct&lt;22,$BC90=(Elig_MatchAll_Ct-1),AM90=0),J90,0)</f>
        <v>0</v>
      </c>
      <c r="BP90" s="179">
        <f>IF(AND(Input_Product=Elig!$C90,Elig_MatchAll_Ct&lt;22,$BC90=(Elig_MatchAll_Ct-1),AN90=0),K90,0)</f>
        <v>0</v>
      </c>
      <c r="BQ90" s="179">
        <f>IF(AND(Input_Product=Elig!$C90,Elig_MatchAll_Ct&lt;22,$BC90=(Elig_MatchAll_Ct-1),AP90=0),L90,0)</f>
        <v>0</v>
      </c>
      <c r="BR90" s="179">
        <f>IF(AND(Input_Product=Elig!$C90,Elig_MatchAll_Ct&lt;22,$BC90=(Elig_MatchAll_Ct-1),AO90=0),M90,0)</f>
        <v>0</v>
      </c>
      <c r="BS90" s="179">
        <f>IF(AND(Input_Product=Elig!$C90,Elig_MatchAll_Ct&lt;22,$BC90=(Elig_MatchAll_Ct-1),AQ90=0),N90,0)</f>
        <v>0</v>
      </c>
      <c r="BT90" s="179">
        <f>IF(AND(Input_Product=Elig!$C90,Elig_MatchAll_Ct&lt;22,$BC90=(Elig_MatchAll_Ct-1),AR90=0),O90,0)</f>
        <v>0</v>
      </c>
      <c r="BU90" s="179">
        <f>IF(AND(Input_Product=Elig!$C90,Elig_MatchAll_Ct&lt;22,$BC90=(Elig_MatchAll_Ct-1),AS90=0),P90,0)</f>
        <v>0</v>
      </c>
      <c r="BV90" s="180">
        <f>IF(AND(Input_Product=Elig!$C90,Elig_MatchAll_Ct&lt;22,$BC90=(Elig_MatchAll_Ct-1),AT90=0),Q90,0)</f>
        <v>0</v>
      </c>
      <c r="BW90" s="181">
        <f>IF(AND(Input_Product=Elig!$C90,Elig_MatchAll_Ct&lt;22,$BC90=(Elig_MatchAll_Ct-1),AU90=0),R90,0)</f>
        <v>0</v>
      </c>
      <c r="BX90" s="182">
        <f>IF(AND(Input_Product=Elig!$C90,Elig_MatchAll_Ct&lt;22,$BC90=(Elig_MatchAll_Ct-1),AU90=0),S90,0)</f>
        <v>0</v>
      </c>
      <c r="BY90" s="181">
        <f>IF(AND(Input_Product=Elig!$C90,Elig_MatchAll_Ct&lt;22,$BC90=(Elig_MatchAll_Ct-1),AV90=0),T90,0)</f>
        <v>0</v>
      </c>
      <c r="BZ90" s="182">
        <f>IF(AND(Input_Product=Elig!$C90,Elig_MatchAll_Ct&lt;22,$BC90=(Elig_MatchAll_Ct-1),AV90=0),U90,0)</f>
        <v>0</v>
      </c>
      <c r="CA90" s="181">
        <f>IF(AND(Input_Product=Elig!$C90,Elig_MatchAll_Ct&lt;22,$BC90=(Elig_MatchAll_Ct-1),AW90=0),V90,0)</f>
        <v>0</v>
      </c>
      <c r="CB90" s="182">
        <f>IF(AND(Input_Product=Elig!$C90,Elig_MatchAll_Ct&lt;22,$BC90=(Elig_MatchAll_Ct-1),AW90=0),W90,0)</f>
        <v>0</v>
      </c>
      <c r="CC90" s="181">
        <f>IF(AND(Input_Product=Elig!$C90,Elig_MatchAll_Ct&lt;22,$BC90=(Elig_MatchAll_Ct-1),AX90=0),X90,0)</f>
        <v>0</v>
      </c>
      <c r="CD90" s="182">
        <f>IF(AND(Input_Product=Elig!$C90,Elig_MatchAll_Ct&lt;22,$BC90=(Elig_MatchAll_Ct-1),AX90=0),Y90,0)</f>
        <v>0</v>
      </c>
      <c r="CE90" s="181">
        <f>IF(AND(Input_LTV&lt;=AE90,Input_Product=Elig!$C90,Elig_MatchAll_Ct&lt;22,$BC90=(Elig_MatchAll_Ct-1),AY90=0),Z90,0)</f>
        <v>0</v>
      </c>
      <c r="CF90" s="182">
        <f>IF(AND(Input_LTV&lt;=AE90,Input_Product=Elig!$C90,Elig_MatchAll_Ct&lt;22,$BC90=(Elig_MatchAll_Ct-1),AY90=0),AA90,0)</f>
        <v>0</v>
      </c>
      <c r="CG90" s="181">
        <f>IF(AND(Input_Product=Elig!$C90,Elig_MatchAll_Ct&lt;22,$BC90=(Elig_MatchAll_Ct-1),AZ90=0),AB90,0)</f>
        <v>0</v>
      </c>
      <c r="CH90" s="182">
        <f>IF(AND(Input_Product=Elig!$C90,Elig_MatchAll_Ct&lt;22,$BC90=(Elig_MatchAll_Ct-1),AZ90=0),AC90,0)</f>
        <v>0</v>
      </c>
      <c r="CI90" s="181">
        <f>IF(AND(Input_Product=Elig!$C90,Elig_MatchAll_Ct&lt;22,$BC90=(Elig_MatchAll_Ct-1),BA90=0),AD90,0)</f>
        <v>0</v>
      </c>
      <c r="CJ90" s="183">
        <f>IF(AND(Input_Product=Elig!$C90,Elig_MatchAll_Ct&lt;22,$BC90=(Elig_MatchAll_Ct-1),BA90=0),AE90,0)</f>
        <v>0</v>
      </c>
    </row>
    <row r="91" spans="1:88" ht="10.15" customHeight="1" x14ac:dyDescent="0.25">
      <c r="A91" s="1419" t="s">
        <v>76</v>
      </c>
      <c r="B91" s="1419" t="s">
        <v>792</v>
      </c>
      <c r="C91" s="123" t="str">
        <f t="shared" si="30"/>
        <v>NonQM OO</v>
      </c>
      <c r="D91" s="124" t="s">
        <v>1995</v>
      </c>
      <c r="E91" s="125" t="s">
        <v>166</v>
      </c>
      <c r="F91" s="125" t="s">
        <v>330</v>
      </c>
      <c r="G91" s="125" t="s">
        <v>465</v>
      </c>
      <c r="H91" s="125" t="s">
        <v>135</v>
      </c>
      <c r="I91" s="124" t="s">
        <v>16</v>
      </c>
      <c r="J91" s="124" t="s">
        <v>1130</v>
      </c>
      <c r="K91" s="124" t="s">
        <v>1398</v>
      </c>
      <c r="L91" s="125" t="s">
        <v>2025</v>
      </c>
      <c r="M91" s="125" t="s">
        <v>2289</v>
      </c>
      <c r="N91" s="125" t="s">
        <v>82</v>
      </c>
      <c r="O91" s="125" t="s">
        <v>309</v>
      </c>
      <c r="P91" s="125" t="s">
        <v>2433</v>
      </c>
      <c r="Q91" s="125" t="s">
        <v>293</v>
      </c>
      <c r="R91" s="124">
        <v>1000000.01</v>
      </c>
      <c r="S91" s="124">
        <v>1500000</v>
      </c>
      <c r="T91" s="124">
        <v>0</v>
      </c>
      <c r="U91" s="124">
        <f t="shared" ref="U91:U96" si="33">S91</f>
        <v>1500000</v>
      </c>
      <c r="V91" s="124">
        <v>0</v>
      </c>
      <c r="W91" s="124">
        <v>55</v>
      </c>
      <c r="X91" s="124">
        <v>0</v>
      </c>
      <c r="Y91" s="124">
        <v>999</v>
      </c>
      <c r="Z91" s="126">
        <v>720</v>
      </c>
      <c r="AA91" s="126">
        <v>999</v>
      </c>
      <c r="AB91" s="1879">
        <v>0</v>
      </c>
      <c r="AC91" s="126">
        <v>999999</v>
      </c>
      <c r="AD91" s="124">
        <v>0</v>
      </c>
      <c r="AE91" s="124">
        <v>80</v>
      </c>
      <c r="AF91" s="144">
        <v>0</v>
      </c>
      <c r="AG91" s="145">
        <v>1</v>
      </c>
      <c r="AH91" s="145">
        <v>1</v>
      </c>
      <c r="AI91" s="145">
        <v>0</v>
      </c>
      <c r="AJ91" s="145">
        <v>0</v>
      </c>
      <c r="AK91" s="145">
        <v>1</v>
      </c>
      <c r="AL91" s="145">
        <v>0</v>
      </c>
      <c r="AM91" s="145">
        <v>1</v>
      </c>
      <c r="AN91" s="145">
        <v>1</v>
      </c>
      <c r="AO91" s="145">
        <v>1</v>
      </c>
      <c r="AP91" s="145">
        <v>1</v>
      </c>
      <c r="AQ91" s="145">
        <v>0</v>
      </c>
      <c r="AR91" s="145">
        <v>1</v>
      </c>
      <c r="AS91" s="145">
        <v>1</v>
      </c>
      <c r="AT91" s="145">
        <v>1</v>
      </c>
      <c r="AU91" s="145">
        <f t="shared" si="19"/>
        <v>0</v>
      </c>
      <c r="AV91" s="145">
        <f t="shared" si="20"/>
        <v>1</v>
      </c>
      <c r="AW91" s="145">
        <f t="shared" si="21"/>
        <v>1</v>
      </c>
      <c r="AX91" s="145">
        <f t="shared" si="32"/>
        <v>1</v>
      </c>
      <c r="AY91" s="145">
        <f t="shared" si="22"/>
        <v>1</v>
      </c>
      <c r="AZ91" s="145">
        <f t="shared" si="23"/>
        <v>1</v>
      </c>
      <c r="BA91" s="146">
        <f t="shared" si="24"/>
        <v>1</v>
      </c>
      <c r="BB91" s="149">
        <f t="shared" si="25"/>
        <v>16</v>
      </c>
      <c r="BC91" s="150">
        <f t="shared" si="26"/>
        <v>15</v>
      </c>
      <c r="BD91" s="150">
        <f t="shared" si="27"/>
        <v>16</v>
      </c>
      <c r="BE91" s="211" t="str">
        <f t="shared" si="28"/>
        <v/>
      </c>
      <c r="BH91" s="166">
        <f>IF(AND(Input_Product=Elig!$C91,Elig_MatchAll_Ct&lt;22,$BC91=(Elig_MatchAll_Ct-1),AF91=0),C91,0)</f>
        <v>0</v>
      </c>
      <c r="BI91" s="167">
        <f>IF(AND(Input_Product=Elig!$C91,Elig_MatchAll_Ct&lt;22,$BC91=(Elig_MatchAll_Ct-1),AG91=0),D91,0)</f>
        <v>0</v>
      </c>
      <c r="BJ91" s="167">
        <f>IF(AND(Input_Product=Elig!$C91,Elig_MatchAll_Ct&lt;22,$BC91=(Elig_MatchAll_Ct-1),AH91=0),E91,0)</f>
        <v>0</v>
      </c>
      <c r="BK91" s="167">
        <f>IF(AND(Input_Product=Elig!$C91,Elig_MatchAll_Ct&lt;22,$BC91=(Elig_MatchAll_Ct-1),AI91=0),F91,0)</f>
        <v>0</v>
      </c>
      <c r="BL91" s="167">
        <f>IF(AND(Input_Product=Elig!$C91,Elig_MatchAll_Ct&lt;22,$BC91=(Elig_MatchAll_Ct-1),AJ91=0),G91,0)</f>
        <v>0</v>
      </c>
      <c r="BM91" s="167">
        <f>IF(AND(Input_Product=Elig!$C91,Elig_MatchAll_Ct&lt;22,$BC91=(Elig_MatchAll_Ct-1),AK91=0),H91,0)</f>
        <v>0</v>
      </c>
      <c r="BN91" s="167">
        <f>IF(AND(Input_Product=Elig!$C91,Elig_MatchAll_Ct&lt;22,$BC91=(Elig_MatchAll_Ct-1),AL91=0),I91,0)</f>
        <v>0</v>
      </c>
      <c r="BO91" s="167">
        <f>IF(AND(Input_Product=Elig!$C91,Elig_MatchAll_Ct&lt;22,$BC91=(Elig_MatchAll_Ct-1),AM91=0),J91,0)</f>
        <v>0</v>
      </c>
      <c r="BP91" s="167">
        <f>IF(AND(Input_Product=Elig!$C91,Elig_MatchAll_Ct&lt;22,$BC91=(Elig_MatchAll_Ct-1),AN91=0),K91,0)</f>
        <v>0</v>
      </c>
      <c r="BQ91" s="167">
        <f>IF(AND(Input_Product=Elig!$C91,Elig_MatchAll_Ct&lt;22,$BC91=(Elig_MatchAll_Ct-1),AP91=0),L91,0)</f>
        <v>0</v>
      </c>
      <c r="BR91" s="167">
        <f>IF(AND(Input_Product=Elig!$C91,Elig_MatchAll_Ct&lt;22,$BC91=(Elig_MatchAll_Ct-1),AO91=0),M91,0)</f>
        <v>0</v>
      </c>
      <c r="BS91" s="167">
        <f>IF(AND(Input_Product=Elig!$C91,Elig_MatchAll_Ct&lt;22,$BC91=(Elig_MatchAll_Ct-1),AQ91=0),N91,0)</f>
        <v>0</v>
      </c>
      <c r="BT91" s="167">
        <f>IF(AND(Input_Product=Elig!$C91,Elig_MatchAll_Ct&lt;22,$BC91=(Elig_MatchAll_Ct-1),AR91=0),O91,0)</f>
        <v>0</v>
      </c>
      <c r="BU91" s="167">
        <f>IF(AND(Input_Product=Elig!$C91,Elig_MatchAll_Ct&lt;22,$BC91=(Elig_MatchAll_Ct-1),AS91=0),P91,0)</f>
        <v>0</v>
      </c>
      <c r="BV91" s="168">
        <f>IF(AND(Input_Product=Elig!$C91,Elig_MatchAll_Ct&lt;22,$BC91=(Elig_MatchAll_Ct-1),AT91=0),Q91,0)</f>
        <v>0</v>
      </c>
      <c r="BW91" s="169">
        <f>IF(AND(Input_Product=Elig!$C91,Elig_MatchAll_Ct&lt;22,$BC91=(Elig_MatchAll_Ct-1),AU91=0),R91,0)</f>
        <v>0</v>
      </c>
      <c r="BX91" s="170">
        <f>IF(AND(Input_Product=Elig!$C91,Elig_MatchAll_Ct&lt;22,$BC91=(Elig_MatchAll_Ct-1),AU91=0),S91,0)</f>
        <v>0</v>
      </c>
      <c r="BY91" s="169">
        <f>IF(AND(Input_Product=Elig!$C91,Elig_MatchAll_Ct&lt;22,$BC91=(Elig_MatchAll_Ct-1),AV91=0),T91,0)</f>
        <v>0</v>
      </c>
      <c r="BZ91" s="170">
        <f>IF(AND(Input_Product=Elig!$C91,Elig_MatchAll_Ct&lt;22,$BC91=(Elig_MatchAll_Ct-1),AV91=0),U91,0)</f>
        <v>0</v>
      </c>
      <c r="CA91" s="169">
        <f>IF(AND(Input_Product=Elig!$C91,Elig_MatchAll_Ct&lt;22,$BC91=(Elig_MatchAll_Ct-1),AW91=0),V91,0)</f>
        <v>0</v>
      </c>
      <c r="CB91" s="170">
        <f>IF(AND(Input_Product=Elig!$C91,Elig_MatchAll_Ct&lt;22,$BC91=(Elig_MatchAll_Ct-1),AW91=0),W91,0)</f>
        <v>0</v>
      </c>
      <c r="CC91" s="169">
        <f>IF(AND(Input_Product=Elig!$C91,Elig_MatchAll_Ct&lt;22,$BC91=(Elig_MatchAll_Ct-1),AX91=0),X91,0)</f>
        <v>0</v>
      </c>
      <c r="CD91" s="170">
        <f>IF(AND(Input_Product=Elig!$C91,Elig_MatchAll_Ct&lt;22,$BC91=(Elig_MatchAll_Ct-1),AX91=0),Y91,0)</f>
        <v>0</v>
      </c>
      <c r="CE91" s="169">
        <f>IF(AND(Input_LTV&lt;=AE91,Input_Product=Elig!$C91,Elig_MatchAll_Ct&lt;22,$BC91=(Elig_MatchAll_Ct-1),AY91=0),Z91,0)</f>
        <v>0</v>
      </c>
      <c r="CF91" s="170">
        <f>IF(AND(Input_LTV&lt;=AE91,Input_Product=Elig!$C91,Elig_MatchAll_Ct&lt;22,$BC91=(Elig_MatchAll_Ct-1),AY91=0),AA91,0)</f>
        <v>0</v>
      </c>
      <c r="CG91" s="169">
        <f>IF(AND(Input_Product=Elig!$C91,Elig_MatchAll_Ct&lt;22,$BC91=(Elig_MatchAll_Ct-1),AZ91=0),AB91,0)</f>
        <v>0</v>
      </c>
      <c r="CH91" s="170">
        <f>IF(AND(Input_Product=Elig!$C91,Elig_MatchAll_Ct&lt;22,$BC91=(Elig_MatchAll_Ct-1),AZ91=0),AC91,0)</f>
        <v>0</v>
      </c>
      <c r="CI91" s="169">
        <f>IF(AND(Input_Product=Elig!$C91,Elig_MatchAll_Ct&lt;22,$BC91=(Elig_MatchAll_Ct-1),BA91=0),AD91,0)</f>
        <v>0</v>
      </c>
      <c r="CJ91" s="171">
        <f>IF(AND(Input_Product=Elig!$C91,Elig_MatchAll_Ct&lt;22,$BC91=(Elig_MatchAll_Ct-1),BA91=0),AE91,0)</f>
        <v>0</v>
      </c>
    </row>
    <row r="92" spans="1:88" ht="10.15" customHeight="1" x14ac:dyDescent="0.25">
      <c r="A92" s="1419" t="s">
        <v>76</v>
      </c>
      <c r="B92" s="1419" t="s">
        <v>793</v>
      </c>
      <c r="C92" s="116" t="str">
        <f t="shared" si="30"/>
        <v>NonQM OO</v>
      </c>
      <c r="D92" s="117" t="s">
        <v>1995</v>
      </c>
      <c r="E92" s="117" t="s">
        <v>166</v>
      </c>
      <c r="F92" s="117" t="s">
        <v>330</v>
      </c>
      <c r="G92" s="117" t="s">
        <v>465</v>
      </c>
      <c r="H92" s="117" t="s">
        <v>135</v>
      </c>
      <c r="I92" s="118" t="s">
        <v>16</v>
      </c>
      <c r="J92" s="118" t="s">
        <v>1130</v>
      </c>
      <c r="K92" s="118" t="s">
        <v>1398</v>
      </c>
      <c r="L92" s="117" t="s">
        <v>2025</v>
      </c>
      <c r="M92" s="117" t="s">
        <v>2289</v>
      </c>
      <c r="N92" s="117" t="s">
        <v>82</v>
      </c>
      <c r="O92" s="117" t="s">
        <v>309</v>
      </c>
      <c r="P92" s="117" t="s">
        <v>2433</v>
      </c>
      <c r="Q92" s="117" t="s">
        <v>293</v>
      </c>
      <c r="R92" s="117">
        <v>1000000.01</v>
      </c>
      <c r="S92" s="117">
        <v>1500000</v>
      </c>
      <c r="T92" s="117">
        <v>0</v>
      </c>
      <c r="U92" s="117">
        <f t="shared" si="33"/>
        <v>1500000</v>
      </c>
      <c r="V92" s="117">
        <v>0</v>
      </c>
      <c r="W92" s="117">
        <v>55</v>
      </c>
      <c r="X92" s="117">
        <v>0</v>
      </c>
      <c r="Y92" s="117">
        <v>999</v>
      </c>
      <c r="Z92" s="119">
        <v>700</v>
      </c>
      <c r="AA92" s="119">
        <v>719</v>
      </c>
      <c r="AB92" s="1877">
        <v>0</v>
      </c>
      <c r="AC92" s="119">
        <v>999999</v>
      </c>
      <c r="AD92" s="117">
        <v>0</v>
      </c>
      <c r="AE92" s="117">
        <v>80</v>
      </c>
      <c r="AF92" s="144">
        <v>0</v>
      </c>
      <c r="AG92" s="145">
        <v>1</v>
      </c>
      <c r="AH92" s="145">
        <v>1</v>
      </c>
      <c r="AI92" s="145">
        <v>0</v>
      </c>
      <c r="AJ92" s="145">
        <v>0</v>
      </c>
      <c r="AK92" s="145">
        <v>1</v>
      </c>
      <c r="AL92" s="145">
        <v>0</v>
      </c>
      <c r="AM92" s="145">
        <v>1</v>
      </c>
      <c r="AN92" s="145">
        <v>1</v>
      </c>
      <c r="AO92" s="145">
        <v>1</v>
      </c>
      <c r="AP92" s="145">
        <v>1</v>
      </c>
      <c r="AQ92" s="145">
        <v>0</v>
      </c>
      <c r="AR92" s="145">
        <v>1</v>
      </c>
      <c r="AS92" s="145">
        <v>1</v>
      </c>
      <c r="AT92" s="145">
        <v>1</v>
      </c>
      <c r="AU92" s="145">
        <f t="shared" si="19"/>
        <v>0</v>
      </c>
      <c r="AV92" s="145">
        <f t="shared" si="20"/>
        <v>1</v>
      </c>
      <c r="AW92" s="145">
        <f t="shared" si="21"/>
        <v>1</v>
      </c>
      <c r="AX92" s="145">
        <f t="shared" si="32"/>
        <v>1</v>
      </c>
      <c r="AY92" s="145">
        <f t="shared" si="22"/>
        <v>0</v>
      </c>
      <c r="AZ92" s="145">
        <f t="shared" si="23"/>
        <v>1</v>
      </c>
      <c r="BA92" s="146">
        <f t="shared" si="24"/>
        <v>1</v>
      </c>
      <c r="BB92" s="149">
        <f t="shared" si="25"/>
        <v>15</v>
      </c>
      <c r="BC92" s="150">
        <f t="shared" si="26"/>
        <v>14</v>
      </c>
      <c r="BD92" s="150">
        <f t="shared" si="27"/>
        <v>15</v>
      </c>
      <c r="BE92" s="211" t="str">
        <f t="shared" si="28"/>
        <v/>
      </c>
      <c r="BH92" s="172">
        <f>IF(AND(Input_Product=Elig!$C92,Elig_MatchAll_Ct&lt;22,$BC92=(Elig_MatchAll_Ct-1),AF92=0),C92,0)</f>
        <v>0</v>
      </c>
      <c r="BI92" s="173">
        <f>IF(AND(Input_Product=Elig!$C92,Elig_MatchAll_Ct&lt;22,$BC92=(Elig_MatchAll_Ct-1),AG92=0),D92,0)</f>
        <v>0</v>
      </c>
      <c r="BJ92" s="173">
        <f>IF(AND(Input_Product=Elig!$C92,Elig_MatchAll_Ct&lt;22,$BC92=(Elig_MatchAll_Ct-1),AH92=0),E92,0)</f>
        <v>0</v>
      </c>
      <c r="BK92" s="173">
        <f>IF(AND(Input_Product=Elig!$C92,Elig_MatchAll_Ct&lt;22,$BC92=(Elig_MatchAll_Ct-1),AI92=0),F92,0)</f>
        <v>0</v>
      </c>
      <c r="BL92" s="173">
        <f>IF(AND(Input_Product=Elig!$C92,Elig_MatchAll_Ct&lt;22,$BC92=(Elig_MatchAll_Ct-1),AJ92=0),G92,0)</f>
        <v>0</v>
      </c>
      <c r="BM92" s="173">
        <f>IF(AND(Input_Product=Elig!$C92,Elig_MatchAll_Ct&lt;22,$BC92=(Elig_MatchAll_Ct-1),AK92=0),H92,0)</f>
        <v>0</v>
      </c>
      <c r="BN92" s="173">
        <f>IF(AND(Input_Product=Elig!$C92,Elig_MatchAll_Ct&lt;22,$BC92=(Elig_MatchAll_Ct-1),AL92=0),I92,0)</f>
        <v>0</v>
      </c>
      <c r="BO92" s="173">
        <f>IF(AND(Input_Product=Elig!$C92,Elig_MatchAll_Ct&lt;22,$BC92=(Elig_MatchAll_Ct-1),AM92=0),J92,0)</f>
        <v>0</v>
      </c>
      <c r="BP92" s="173">
        <f>IF(AND(Input_Product=Elig!$C92,Elig_MatchAll_Ct&lt;22,$BC92=(Elig_MatchAll_Ct-1),AN92=0),K92,0)</f>
        <v>0</v>
      </c>
      <c r="BQ92" s="173">
        <f>IF(AND(Input_Product=Elig!$C92,Elig_MatchAll_Ct&lt;22,$BC92=(Elig_MatchAll_Ct-1),AP92=0),L92,0)</f>
        <v>0</v>
      </c>
      <c r="BR92" s="173">
        <f>IF(AND(Input_Product=Elig!$C92,Elig_MatchAll_Ct&lt;22,$BC92=(Elig_MatchAll_Ct-1),AO92=0),M92,0)</f>
        <v>0</v>
      </c>
      <c r="BS92" s="173">
        <f>IF(AND(Input_Product=Elig!$C92,Elig_MatchAll_Ct&lt;22,$BC92=(Elig_MatchAll_Ct-1),AQ92=0),N92,0)</f>
        <v>0</v>
      </c>
      <c r="BT92" s="173">
        <f>IF(AND(Input_Product=Elig!$C92,Elig_MatchAll_Ct&lt;22,$BC92=(Elig_MatchAll_Ct-1),AR92=0),O92,0)</f>
        <v>0</v>
      </c>
      <c r="BU92" s="173">
        <f>IF(AND(Input_Product=Elig!$C92,Elig_MatchAll_Ct&lt;22,$BC92=(Elig_MatchAll_Ct-1),AS92=0),P92,0)</f>
        <v>0</v>
      </c>
      <c r="BV92" s="174">
        <f>IF(AND(Input_Product=Elig!$C92,Elig_MatchAll_Ct&lt;22,$BC92=(Elig_MatchAll_Ct-1),AT92=0),Q92,0)</f>
        <v>0</v>
      </c>
      <c r="BW92" s="175">
        <f>IF(AND(Input_Product=Elig!$C92,Elig_MatchAll_Ct&lt;22,$BC92=(Elig_MatchAll_Ct-1),AU92=0),R92,0)</f>
        <v>0</v>
      </c>
      <c r="BX92" s="176">
        <f>IF(AND(Input_Product=Elig!$C92,Elig_MatchAll_Ct&lt;22,$BC92=(Elig_MatchAll_Ct-1),AU92=0),S92,0)</f>
        <v>0</v>
      </c>
      <c r="BY92" s="175">
        <f>IF(AND(Input_Product=Elig!$C92,Elig_MatchAll_Ct&lt;22,$BC92=(Elig_MatchAll_Ct-1),AV92=0),T92,0)</f>
        <v>0</v>
      </c>
      <c r="BZ92" s="176">
        <f>IF(AND(Input_Product=Elig!$C92,Elig_MatchAll_Ct&lt;22,$BC92=(Elig_MatchAll_Ct-1),AV92=0),U92,0)</f>
        <v>0</v>
      </c>
      <c r="CA92" s="175">
        <f>IF(AND(Input_Product=Elig!$C92,Elig_MatchAll_Ct&lt;22,$BC92=(Elig_MatchAll_Ct-1),AW92=0),V92,0)</f>
        <v>0</v>
      </c>
      <c r="CB92" s="176">
        <f>IF(AND(Input_Product=Elig!$C92,Elig_MatchAll_Ct&lt;22,$BC92=(Elig_MatchAll_Ct-1),AW92=0),W92,0)</f>
        <v>0</v>
      </c>
      <c r="CC92" s="175">
        <f>IF(AND(Input_Product=Elig!$C92,Elig_MatchAll_Ct&lt;22,$BC92=(Elig_MatchAll_Ct-1),AX92=0),X92,0)</f>
        <v>0</v>
      </c>
      <c r="CD92" s="176">
        <f>IF(AND(Input_Product=Elig!$C92,Elig_MatchAll_Ct&lt;22,$BC92=(Elig_MatchAll_Ct-1),AX92=0),Y92,0)</f>
        <v>0</v>
      </c>
      <c r="CE92" s="175">
        <f>IF(AND(Input_LTV&lt;=AE92,Input_Product=Elig!$C92,Elig_MatchAll_Ct&lt;22,$BC92=(Elig_MatchAll_Ct-1),AY92=0),Z92,0)</f>
        <v>0</v>
      </c>
      <c r="CF92" s="176">
        <f>IF(AND(Input_LTV&lt;=AE92,Input_Product=Elig!$C92,Elig_MatchAll_Ct&lt;22,$BC92=(Elig_MatchAll_Ct-1),AY92=0),AA92,0)</f>
        <v>0</v>
      </c>
      <c r="CG92" s="175">
        <f>IF(AND(Input_Product=Elig!$C92,Elig_MatchAll_Ct&lt;22,$BC92=(Elig_MatchAll_Ct-1),AZ92=0),AB92,0)</f>
        <v>0</v>
      </c>
      <c r="CH92" s="176">
        <f>IF(AND(Input_Product=Elig!$C92,Elig_MatchAll_Ct&lt;22,$BC92=(Elig_MatchAll_Ct-1),AZ92=0),AC92,0)</f>
        <v>0</v>
      </c>
      <c r="CI92" s="175">
        <f>IF(AND(Input_Product=Elig!$C92,Elig_MatchAll_Ct&lt;22,$BC92=(Elig_MatchAll_Ct-1),BA92=0),AD92,0)</f>
        <v>0</v>
      </c>
      <c r="CJ92" s="177">
        <f>IF(AND(Input_Product=Elig!$C92,Elig_MatchAll_Ct&lt;22,$BC92=(Elig_MatchAll_Ct-1),BA92=0),AE92,0)</f>
        <v>0</v>
      </c>
    </row>
    <row r="93" spans="1:88" ht="10.15" customHeight="1" x14ac:dyDescent="0.25">
      <c r="A93" s="1419" t="s">
        <v>76</v>
      </c>
      <c r="B93" s="1419" t="s">
        <v>794</v>
      </c>
      <c r="C93" s="116" t="str">
        <f t="shared" si="30"/>
        <v>NonQM OO</v>
      </c>
      <c r="D93" s="117" t="s">
        <v>1995</v>
      </c>
      <c r="E93" s="117" t="s">
        <v>166</v>
      </c>
      <c r="F93" s="117" t="s">
        <v>330</v>
      </c>
      <c r="G93" s="117" t="s">
        <v>465</v>
      </c>
      <c r="H93" s="117" t="s">
        <v>135</v>
      </c>
      <c r="I93" s="118" t="s">
        <v>16</v>
      </c>
      <c r="J93" s="118" t="s">
        <v>1130</v>
      </c>
      <c r="K93" s="118" t="s">
        <v>1398</v>
      </c>
      <c r="L93" s="117" t="s">
        <v>2025</v>
      </c>
      <c r="M93" s="117" t="s">
        <v>2289</v>
      </c>
      <c r="N93" s="117" t="s">
        <v>82</v>
      </c>
      <c r="O93" s="117" t="s">
        <v>309</v>
      </c>
      <c r="P93" s="117" t="s">
        <v>2433</v>
      </c>
      <c r="Q93" s="117" t="s">
        <v>293</v>
      </c>
      <c r="R93" s="117">
        <v>1000000.01</v>
      </c>
      <c r="S93" s="117">
        <v>1500000</v>
      </c>
      <c r="T93" s="117">
        <v>0</v>
      </c>
      <c r="U93" s="117">
        <f t="shared" si="33"/>
        <v>1500000</v>
      </c>
      <c r="V93" s="117">
        <v>0</v>
      </c>
      <c r="W93" s="117">
        <v>55</v>
      </c>
      <c r="X93" s="117">
        <v>0</v>
      </c>
      <c r="Y93" s="117">
        <v>999</v>
      </c>
      <c r="Z93" s="119">
        <v>680</v>
      </c>
      <c r="AA93" s="119">
        <v>699</v>
      </c>
      <c r="AB93" s="1877">
        <v>0</v>
      </c>
      <c r="AC93" s="119">
        <v>999999</v>
      </c>
      <c r="AD93" s="117">
        <v>0</v>
      </c>
      <c r="AE93" s="117">
        <v>75</v>
      </c>
      <c r="AF93" s="144">
        <v>0</v>
      </c>
      <c r="AG93" s="145">
        <v>1</v>
      </c>
      <c r="AH93" s="145">
        <v>1</v>
      </c>
      <c r="AI93" s="145">
        <v>0</v>
      </c>
      <c r="AJ93" s="145">
        <v>0</v>
      </c>
      <c r="AK93" s="145">
        <v>1</v>
      </c>
      <c r="AL93" s="145">
        <v>0</v>
      </c>
      <c r="AM93" s="145">
        <v>1</v>
      </c>
      <c r="AN93" s="145">
        <v>1</v>
      </c>
      <c r="AO93" s="145">
        <v>1</v>
      </c>
      <c r="AP93" s="145">
        <v>1</v>
      </c>
      <c r="AQ93" s="145">
        <v>0</v>
      </c>
      <c r="AR93" s="145">
        <v>1</v>
      </c>
      <c r="AS93" s="145">
        <v>1</v>
      </c>
      <c r="AT93" s="145">
        <v>1</v>
      </c>
      <c r="AU93" s="145">
        <f t="shared" si="19"/>
        <v>0</v>
      </c>
      <c r="AV93" s="145">
        <f t="shared" si="20"/>
        <v>1</v>
      </c>
      <c r="AW93" s="145">
        <f t="shared" si="21"/>
        <v>1</v>
      </c>
      <c r="AX93" s="145">
        <f t="shared" si="32"/>
        <v>1</v>
      </c>
      <c r="AY93" s="145">
        <f t="shared" si="22"/>
        <v>0</v>
      </c>
      <c r="AZ93" s="145">
        <f t="shared" si="23"/>
        <v>1</v>
      </c>
      <c r="BA93" s="146">
        <f t="shared" si="24"/>
        <v>1</v>
      </c>
      <c r="BB93" s="149">
        <f t="shared" si="25"/>
        <v>15</v>
      </c>
      <c r="BC93" s="150">
        <f t="shared" si="26"/>
        <v>14</v>
      </c>
      <c r="BD93" s="150">
        <f t="shared" si="27"/>
        <v>15</v>
      </c>
      <c r="BE93" s="211" t="str">
        <f t="shared" si="28"/>
        <v/>
      </c>
      <c r="BH93" s="172">
        <f>IF(AND(Input_Product=Elig!$C93,Elig_MatchAll_Ct&lt;22,$BC93=(Elig_MatchAll_Ct-1),AF93=0),C93,0)</f>
        <v>0</v>
      </c>
      <c r="BI93" s="173">
        <f>IF(AND(Input_Product=Elig!$C93,Elig_MatchAll_Ct&lt;22,$BC93=(Elig_MatchAll_Ct-1),AG93=0),D93,0)</f>
        <v>0</v>
      </c>
      <c r="BJ93" s="173">
        <f>IF(AND(Input_Product=Elig!$C93,Elig_MatchAll_Ct&lt;22,$BC93=(Elig_MatchAll_Ct-1),AH93=0),E93,0)</f>
        <v>0</v>
      </c>
      <c r="BK93" s="173">
        <f>IF(AND(Input_Product=Elig!$C93,Elig_MatchAll_Ct&lt;22,$BC93=(Elig_MatchAll_Ct-1),AI93=0),F93,0)</f>
        <v>0</v>
      </c>
      <c r="BL93" s="173">
        <f>IF(AND(Input_Product=Elig!$C93,Elig_MatchAll_Ct&lt;22,$BC93=(Elig_MatchAll_Ct-1),AJ93=0),G93,0)</f>
        <v>0</v>
      </c>
      <c r="BM93" s="173">
        <f>IF(AND(Input_Product=Elig!$C93,Elig_MatchAll_Ct&lt;22,$BC93=(Elig_MatchAll_Ct-1),AK93=0),H93,0)</f>
        <v>0</v>
      </c>
      <c r="BN93" s="173">
        <f>IF(AND(Input_Product=Elig!$C93,Elig_MatchAll_Ct&lt;22,$BC93=(Elig_MatchAll_Ct-1),AL93=0),I93,0)</f>
        <v>0</v>
      </c>
      <c r="BO93" s="173">
        <f>IF(AND(Input_Product=Elig!$C93,Elig_MatchAll_Ct&lt;22,$BC93=(Elig_MatchAll_Ct-1),AM93=0),J93,0)</f>
        <v>0</v>
      </c>
      <c r="BP93" s="173">
        <f>IF(AND(Input_Product=Elig!$C93,Elig_MatchAll_Ct&lt;22,$BC93=(Elig_MatchAll_Ct-1),AN93=0),K93,0)</f>
        <v>0</v>
      </c>
      <c r="BQ93" s="173">
        <f>IF(AND(Input_Product=Elig!$C93,Elig_MatchAll_Ct&lt;22,$BC93=(Elig_MatchAll_Ct-1),AP93=0),L93,0)</f>
        <v>0</v>
      </c>
      <c r="BR93" s="173">
        <f>IF(AND(Input_Product=Elig!$C93,Elig_MatchAll_Ct&lt;22,$BC93=(Elig_MatchAll_Ct-1),AO93=0),M93,0)</f>
        <v>0</v>
      </c>
      <c r="BS93" s="173">
        <f>IF(AND(Input_Product=Elig!$C93,Elig_MatchAll_Ct&lt;22,$BC93=(Elig_MatchAll_Ct-1),AQ93=0),N93,0)</f>
        <v>0</v>
      </c>
      <c r="BT93" s="173">
        <f>IF(AND(Input_Product=Elig!$C93,Elig_MatchAll_Ct&lt;22,$BC93=(Elig_MatchAll_Ct-1),AR93=0),O93,0)</f>
        <v>0</v>
      </c>
      <c r="BU93" s="173">
        <f>IF(AND(Input_Product=Elig!$C93,Elig_MatchAll_Ct&lt;22,$BC93=(Elig_MatchAll_Ct-1),AS93=0),P93,0)</f>
        <v>0</v>
      </c>
      <c r="BV93" s="174">
        <f>IF(AND(Input_Product=Elig!$C93,Elig_MatchAll_Ct&lt;22,$BC93=(Elig_MatchAll_Ct-1),AT93=0),Q93,0)</f>
        <v>0</v>
      </c>
      <c r="BW93" s="175">
        <f>IF(AND(Input_Product=Elig!$C93,Elig_MatchAll_Ct&lt;22,$BC93=(Elig_MatchAll_Ct-1),AU93=0),R93,0)</f>
        <v>0</v>
      </c>
      <c r="BX93" s="176">
        <f>IF(AND(Input_Product=Elig!$C93,Elig_MatchAll_Ct&lt;22,$BC93=(Elig_MatchAll_Ct-1),AU93=0),S93,0)</f>
        <v>0</v>
      </c>
      <c r="BY93" s="175">
        <f>IF(AND(Input_Product=Elig!$C93,Elig_MatchAll_Ct&lt;22,$BC93=(Elig_MatchAll_Ct-1),AV93=0),T93,0)</f>
        <v>0</v>
      </c>
      <c r="BZ93" s="176">
        <f>IF(AND(Input_Product=Elig!$C93,Elig_MatchAll_Ct&lt;22,$BC93=(Elig_MatchAll_Ct-1),AV93=0),U93,0)</f>
        <v>0</v>
      </c>
      <c r="CA93" s="175">
        <f>IF(AND(Input_Product=Elig!$C93,Elig_MatchAll_Ct&lt;22,$BC93=(Elig_MatchAll_Ct-1),AW93=0),V93,0)</f>
        <v>0</v>
      </c>
      <c r="CB93" s="176">
        <f>IF(AND(Input_Product=Elig!$C93,Elig_MatchAll_Ct&lt;22,$BC93=(Elig_MatchAll_Ct-1),AW93=0),W93,0)</f>
        <v>0</v>
      </c>
      <c r="CC93" s="175">
        <f>IF(AND(Input_Product=Elig!$C93,Elig_MatchAll_Ct&lt;22,$BC93=(Elig_MatchAll_Ct-1),AX93=0),X93,0)</f>
        <v>0</v>
      </c>
      <c r="CD93" s="176">
        <f>IF(AND(Input_Product=Elig!$C93,Elig_MatchAll_Ct&lt;22,$BC93=(Elig_MatchAll_Ct-1),AX93=0),Y93,0)</f>
        <v>0</v>
      </c>
      <c r="CE93" s="175">
        <f>IF(AND(Input_LTV&lt;=AE93,Input_Product=Elig!$C93,Elig_MatchAll_Ct&lt;22,$BC93=(Elig_MatchAll_Ct-1),AY93=0),Z93,0)</f>
        <v>0</v>
      </c>
      <c r="CF93" s="176">
        <f>IF(AND(Input_LTV&lt;=AE93,Input_Product=Elig!$C93,Elig_MatchAll_Ct&lt;22,$BC93=(Elig_MatchAll_Ct-1),AY93=0),AA93,0)</f>
        <v>0</v>
      </c>
      <c r="CG93" s="175">
        <f>IF(AND(Input_Product=Elig!$C93,Elig_MatchAll_Ct&lt;22,$BC93=(Elig_MatchAll_Ct-1),AZ93=0),AB93,0)</f>
        <v>0</v>
      </c>
      <c r="CH93" s="176">
        <f>IF(AND(Input_Product=Elig!$C93,Elig_MatchAll_Ct&lt;22,$BC93=(Elig_MatchAll_Ct-1),AZ93=0),AC93,0)</f>
        <v>0</v>
      </c>
      <c r="CI93" s="175">
        <f>IF(AND(Input_Product=Elig!$C93,Elig_MatchAll_Ct&lt;22,$BC93=(Elig_MatchAll_Ct-1),BA93=0),AD93,0)</f>
        <v>0</v>
      </c>
      <c r="CJ93" s="177">
        <f>IF(AND(Input_Product=Elig!$C93,Elig_MatchAll_Ct&lt;22,$BC93=(Elig_MatchAll_Ct-1),BA93=0),AE93,0)</f>
        <v>0</v>
      </c>
    </row>
    <row r="94" spans="1:88" ht="10.15" customHeight="1" x14ac:dyDescent="0.25">
      <c r="A94" s="1419" t="s">
        <v>76</v>
      </c>
      <c r="B94" s="1419" t="s">
        <v>795</v>
      </c>
      <c r="C94" s="116" t="str">
        <f t="shared" si="30"/>
        <v>NonQM OO</v>
      </c>
      <c r="D94" s="117" t="s">
        <v>1995</v>
      </c>
      <c r="E94" s="117" t="s">
        <v>166</v>
      </c>
      <c r="F94" s="117" t="s">
        <v>330</v>
      </c>
      <c r="G94" s="117" t="s">
        <v>465</v>
      </c>
      <c r="H94" s="117" t="s">
        <v>135</v>
      </c>
      <c r="I94" s="117" t="s">
        <v>16</v>
      </c>
      <c r="J94" s="117" t="s">
        <v>1130</v>
      </c>
      <c r="K94" s="117" t="s">
        <v>1398</v>
      </c>
      <c r="L94" s="117" t="s">
        <v>2025</v>
      </c>
      <c r="M94" s="117" t="s">
        <v>2289</v>
      </c>
      <c r="N94" s="117" t="s">
        <v>82</v>
      </c>
      <c r="O94" s="117" t="s">
        <v>309</v>
      </c>
      <c r="P94" s="117" t="s">
        <v>2433</v>
      </c>
      <c r="Q94" s="117" t="s">
        <v>293</v>
      </c>
      <c r="R94" s="117">
        <v>1000000.01</v>
      </c>
      <c r="S94" s="117">
        <v>1500000</v>
      </c>
      <c r="T94" s="117">
        <v>0</v>
      </c>
      <c r="U94" s="117">
        <f t="shared" si="33"/>
        <v>1500000</v>
      </c>
      <c r="V94" s="117">
        <v>0</v>
      </c>
      <c r="W94" s="117">
        <v>55</v>
      </c>
      <c r="X94" s="117">
        <v>0</v>
      </c>
      <c r="Y94" s="117">
        <v>999</v>
      </c>
      <c r="Z94" s="119">
        <v>660</v>
      </c>
      <c r="AA94" s="119">
        <v>679</v>
      </c>
      <c r="AB94" s="1877">
        <v>0</v>
      </c>
      <c r="AC94" s="119">
        <v>999999</v>
      </c>
      <c r="AD94" s="117">
        <v>0</v>
      </c>
      <c r="AE94" s="117">
        <v>75</v>
      </c>
      <c r="AF94" s="144">
        <v>0</v>
      </c>
      <c r="AG94" s="145">
        <v>1</v>
      </c>
      <c r="AH94" s="145">
        <v>1</v>
      </c>
      <c r="AI94" s="145">
        <v>0</v>
      </c>
      <c r="AJ94" s="145">
        <v>0</v>
      </c>
      <c r="AK94" s="145">
        <v>1</v>
      </c>
      <c r="AL94" s="145">
        <v>0</v>
      </c>
      <c r="AM94" s="145">
        <v>1</v>
      </c>
      <c r="AN94" s="145">
        <v>1</v>
      </c>
      <c r="AO94" s="145">
        <v>1</v>
      </c>
      <c r="AP94" s="145">
        <v>1</v>
      </c>
      <c r="AQ94" s="145">
        <v>0</v>
      </c>
      <c r="AR94" s="145">
        <v>1</v>
      </c>
      <c r="AS94" s="145">
        <v>1</v>
      </c>
      <c r="AT94" s="145">
        <v>1</v>
      </c>
      <c r="AU94" s="145">
        <f t="shared" si="19"/>
        <v>0</v>
      </c>
      <c r="AV94" s="145">
        <f t="shared" si="20"/>
        <v>1</v>
      </c>
      <c r="AW94" s="145">
        <f t="shared" si="21"/>
        <v>1</v>
      </c>
      <c r="AX94" s="145">
        <f t="shared" si="32"/>
        <v>1</v>
      </c>
      <c r="AY94" s="145">
        <f t="shared" si="22"/>
        <v>0</v>
      </c>
      <c r="AZ94" s="145">
        <f t="shared" si="23"/>
        <v>1</v>
      </c>
      <c r="BA94" s="146">
        <f t="shared" si="24"/>
        <v>1</v>
      </c>
      <c r="BB94" s="149">
        <f t="shared" si="25"/>
        <v>15</v>
      </c>
      <c r="BC94" s="150">
        <f t="shared" si="26"/>
        <v>14</v>
      </c>
      <c r="BD94" s="150">
        <f t="shared" si="27"/>
        <v>15</v>
      </c>
      <c r="BE94" s="211" t="str">
        <f t="shared" si="28"/>
        <v/>
      </c>
      <c r="BH94" s="172">
        <f>IF(AND(Input_Product=Elig!$C94,Elig_MatchAll_Ct&lt;22,$BC94=(Elig_MatchAll_Ct-1),AF94=0),C94,0)</f>
        <v>0</v>
      </c>
      <c r="BI94" s="173">
        <f>IF(AND(Input_Product=Elig!$C94,Elig_MatchAll_Ct&lt;22,$BC94=(Elig_MatchAll_Ct-1),AG94=0),D94,0)</f>
        <v>0</v>
      </c>
      <c r="BJ94" s="173">
        <f>IF(AND(Input_Product=Elig!$C94,Elig_MatchAll_Ct&lt;22,$BC94=(Elig_MatchAll_Ct-1),AH94=0),E94,0)</f>
        <v>0</v>
      </c>
      <c r="BK94" s="173">
        <f>IF(AND(Input_Product=Elig!$C94,Elig_MatchAll_Ct&lt;22,$BC94=(Elig_MatchAll_Ct-1),AI94=0),F94,0)</f>
        <v>0</v>
      </c>
      <c r="BL94" s="173">
        <f>IF(AND(Input_Product=Elig!$C94,Elig_MatchAll_Ct&lt;22,$BC94=(Elig_MatchAll_Ct-1),AJ94=0),G94,0)</f>
        <v>0</v>
      </c>
      <c r="BM94" s="173">
        <f>IF(AND(Input_Product=Elig!$C94,Elig_MatchAll_Ct&lt;22,$BC94=(Elig_MatchAll_Ct-1),AK94=0),H94,0)</f>
        <v>0</v>
      </c>
      <c r="BN94" s="173">
        <f>IF(AND(Input_Product=Elig!$C94,Elig_MatchAll_Ct&lt;22,$BC94=(Elig_MatchAll_Ct-1),AL94=0),I94,0)</f>
        <v>0</v>
      </c>
      <c r="BO94" s="173">
        <f>IF(AND(Input_Product=Elig!$C94,Elig_MatchAll_Ct&lt;22,$BC94=(Elig_MatchAll_Ct-1),AM94=0),J94,0)</f>
        <v>0</v>
      </c>
      <c r="BP94" s="173">
        <f>IF(AND(Input_Product=Elig!$C94,Elig_MatchAll_Ct&lt;22,$BC94=(Elig_MatchAll_Ct-1),AN94=0),K94,0)</f>
        <v>0</v>
      </c>
      <c r="BQ94" s="173">
        <f>IF(AND(Input_Product=Elig!$C94,Elig_MatchAll_Ct&lt;22,$BC94=(Elig_MatchAll_Ct-1),AP94=0),L94,0)</f>
        <v>0</v>
      </c>
      <c r="BR94" s="173">
        <f>IF(AND(Input_Product=Elig!$C94,Elig_MatchAll_Ct&lt;22,$BC94=(Elig_MatchAll_Ct-1),AO94=0),M94,0)</f>
        <v>0</v>
      </c>
      <c r="BS94" s="173">
        <f>IF(AND(Input_Product=Elig!$C94,Elig_MatchAll_Ct&lt;22,$BC94=(Elig_MatchAll_Ct-1),AQ94=0),N94,0)</f>
        <v>0</v>
      </c>
      <c r="BT94" s="173">
        <f>IF(AND(Input_Product=Elig!$C94,Elig_MatchAll_Ct&lt;22,$BC94=(Elig_MatchAll_Ct-1),AR94=0),O94,0)</f>
        <v>0</v>
      </c>
      <c r="BU94" s="173">
        <f>IF(AND(Input_Product=Elig!$C94,Elig_MatchAll_Ct&lt;22,$BC94=(Elig_MatchAll_Ct-1),AS94=0),P94,0)</f>
        <v>0</v>
      </c>
      <c r="BV94" s="174">
        <f>IF(AND(Input_Product=Elig!$C94,Elig_MatchAll_Ct&lt;22,$BC94=(Elig_MatchAll_Ct-1),AT94=0),Q94,0)</f>
        <v>0</v>
      </c>
      <c r="BW94" s="175">
        <f>IF(AND(Input_Product=Elig!$C94,Elig_MatchAll_Ct&lt;22,$BC94=(Elig_MatchAll_Ct-1),AU94=0),R94,0)</f>
        <v>0</v>
      </c>
      <c r="BX94" s="176">
        <f>IF(AND(Input_Product=Elig!$C94,Elig_MatchAll_Ct&lt;22,$BC94=(Elig_MatchAll_Ct-1),AU94=0),S94,0)</f>
        <v>0</v>
      </c>
      <c r="BY94" s="175">
        <f>IF(AND(Input_Product=Elig!$C94,Elig_MatchAll_Ct&lt;22,$BC94=(Elig_MatchAll_Ct-1),AV94=0),T94,0)</f>
        <v>0</v>
      </c>
      <c r="BZ94" s="176">
        <f>IF(AND(Input_Product=Elig!$C94,Elig_MatchAll_Ct&lt;22,$BC94=(Elig_MatchAll_Ct-1),AV94=0),U94,0)</f>
        <v>0</v>
      </c>
      <c r="CA94" s="175">
        <f>IF(AND(Input_Product=Elig!$C94,Elig_MatchAll_Ct&lt;22,$BC94=(Elig_MatchAll_Ct-1),AW94=0),V94,0)</f>
        <v>0</v>
      </c>
      <c r="CB94" s="176">
        <f>IF(AND(Input_Product=Elig!$C94,Elig_MatchAll_Ct&lt;22,$BC94=(Elig_MatchAll_Ct-1),AW94=0),W94,0)</f>
        <v>0</v>
      </c>
      <c r="CC94" s="175">
        <f>IF(AND(Input_Product=Elig!$C94,Elig_MatchAll_Ct&lt;22,$BC94=(Elig_MatchAll_Ct-1),AX94=0),X94,0)</f>
        <v>0</v>
      </c>
      <c r="CD94" s="176">
        <f>IF(AND(Input_Product=Elig!$C94,Elig_MatchAll_Ct&lt;22,$BC94=(Elig_MatchAll_Ct-1),AX94=0),Y94,0)</f>
        <v>0</v>
      </c>
      <c r="CE94" s="175">
        <f>IF(AND(Input_LTV&lt;=AE94,Input_Product=Elig!$C94,Elig_MatchAll_Ct&lt;22,$BC94=(Elig_MatchAll_Ct-1),AY94=0),Z94,0)</f>
        <v>0</v>
      </c>
      <c r="CF94" s="176">
        <f>IF(AND(Input_LTV&lt;=AE94,Input_Product=Elig!$C94,Elig_MatchAll_Ct&lt;22,$BC94=(Elig_MatchAll_Ct-1),AY94=0),AA94,0)</f>
        <v>0</v>
      </c>
      <c r="CG94" s="175">
        <f>IF(AND(Input_Product=Elig!$C94,Elig_MatchAll_Ct&lt;22,$BC94=(Elig_MatchAll_Ct-1),AZ94=0),AB94,0)</f>
        <v>0</v>
      </c>
      <c r="CH94" s="176">
        <f>IF(AND(Input_Product=Elig!$C94,Elig_MatchAll_Ct&lt;22,$BC94=(Elig_MatchAll_Ct-1),AZ94=0),AC94,0)</f>
        <v>0</v>
      </c>
      <c r="CI94" s="175">
        <f>IF(AND(Input_Product=Elig!$C94,Elig_MatchAll_Ct&lt;22,$BC94=(Elig_MatchAll_Ct-1),BA94=0),AD94,0)</f>
        <v>0</v>
      </c>
      <c r="CJ94" s="177">
        <f>IF(AND(Input_Product=Elig!$C94,Elig_MatchAll_Ct&lt;22,$BC94=(Elig_MatchAll_Ct-1),BA94=0),AE94,0)</f>
        <v>0</v>
      </c>
    </row>
    <row r="95" spans="1:88" ht="10.15" customHeight="1" x14ac:dyDescent="0.25">
      <c r="A95" s="1419" t="s">
        <v>76</v>
      </c>
      <c r="B95" s="1419" t="s">
        <v>796</v>
      </c>
      <c r="C95" s="116" t="str">
        <f t="shared" si="30"/>
        <v>NonQM OO</v>
      </c>
      <c r="D95" s="117" t="s">
        <v>1995</v>
      </c>
      <c r="E95" s="117" t="s">
        <v>166</v>
      </c>
      <c r="F95" s="117" t="s">
        <v>330</v>
      </c>
      <c r="G95" s="117" t="s">
        <v>465</v>
      </c>
      <c r="H95" s="117" t="s">
        <v>135</v>
      </c>
      <c r="I95" s="117" t="s">
        <v>16</v>
      </c>
      <c r="J95" s="117" t="s">
        <v>1130</v>
      </c>
      <c r="K95" s="117" t="s">
        <v>1398</v>
      </c>
      <c r="L95" s="117" t="s">
        <v>2025</v>
      </c>
      <c r="M95" s="117" t="s">
        <v>2289</v>
      </c>
      <c r="N95" s="117" t="s">
        <v>82</v>
      </c>
      <c r="O95" s="117" t="s">
        <v>309</v>
      </c>
      <c r="P95" s="117" t="s">
        <v>2433</v>
      </c>
      <c r="Q95" s="117" t="s">
        <v>293</v>
      </c>
      <c r="R95" s="117">
        <v>1000000.01</v>
      </c>
      <c r="S95" s="117">
        <v>1500000</v>
      </c>
      <c r="T95" s="117">
        <v>0</v>
      </c>
      <c r="U95" s="117">
        <f t="shared" si="33"/>
        <v>1500000</v>
      </c>
      <c r="V95" s="117">
        <v>0</v>
      </c>
      <c r="W95" s="117">
        <v>55</v>
      </c>
      <c r="X95" s="117">
        <v>0</v>
      </c>
      <c r="Y95" s="117">
        <v>999</v>
      </c>
      <c r="Z95" s="119">
        <v>640</v>
      </c>
      <c r="AA95" s="119">
        <v>659</v>
      </c>
      <c r="AB95" s="1877">
        <v>0</v>
      </c>
      <c r="AC95" s="119">
        <v>999999</v>
      </c>
      <c r="AD95" s="117">
        <v>0</v>
      </c>
      <c r="AE95" s="117">
        <v>65</v>
      </c>
      <c r="AF95" s="144">
        <v>0</v>
      </c>
      <c r="AG95" s="145">
        <v>1</v>
      </c>
      <c r="AH95" s="145">
        <v>1</v>
      </c>
      <c r="AI95" s="145">
        <v>0</v>
      </c>
      <c r="AJ95" s="145">
        <v>0</v>
      </c>
      <c r="AK95" s="145">
        <v>1</v>
      </c>
      <c r="AL95" s="145">
        <v>0</v>
      </c>
      <c r="AM95" s="145">
        <v>1</v>
      </c>
      <c r="AN95" s="145">
        <v>1</v>
      </c>
      <c r="AO95" s="145">
        <v>1</v>
      </c>
      <c r="AP95" s="145">
        <v>1</v>
      </c>
      <c r="AQ95" s="145">
        <v>0</v>
      </c>
      <c r="AR95" s="145">
        <v>1</v>
      </c>
      <c r="AS95" s="145">
        <v>1</v>
      </c>
      <c r="AT95" s="145">
        <v>1</v>
      </c>
      <c r="AU95" s="145">
        <f t="shared" si="19"/>
        <v>0</v>
      </c>
      <c r="AV95" s="145">
        <f t="shared" si="20"/>
        <v>1</v>
      </c>
      <c r="AW95" s="145">
        <f t="shared" si="21"/>
        <v>1</v>
      </c>
      <c r="AX95" s="145">
        <f t="shared" si="32"/>
        <v>1</v>
      </c>
      <c r="AY95" s="145">
        <f t="shared" si="22"/>
        <v>0</v>
      </c>
      <c r="AZ95" s="145">
        <f t="shared" si="23"/>
        <v>1</v>
      </c>
      <c r="BA95" s="146">
        <f t="shared" si="24"/>
        <v>0</v>
      </c>
      <c r="BB95" s="149">
        <f t="shared" si="25"/>
        <v>14</v>
      </c>
      <c r="BC95" s="150">
        <f t="shared" si="26"/>
        <v>14</v>
      </c>
      <c r="BD95" s="150">
        <f t="shared" si="27"/>
        <v>14</v>
      </c>
      <c r="BE95" s="211" t="str">
        <f t="shared" si="28"/>
        <v/>
      </c>
      <c r="BH95" s="172">
        <f>IF(AND(Input_Product=Elig!$C95,Elig_MatchAll_Ct&lt;22,$BC95=(Elig_MatchAll_Ct-1),AF95=0),C95,0)</f>
        <v>0</v>
      </c>
      <c r="BI95" s="173">
        <f>IF(AND(Input_Product=Elig!$C95,Elig_MatchAll_Ct&lt;22,$BC95=(Elig_MatchAll_Ct-1),AG95=0),D95,0)</f>
        <v>0</v>
      </c>
      <c r="BJ95" s="173">
        <f>IF(AND(Input_Product=Elig!$C95,Elig_MatchAll_Ct&lt;22,$BC95=(Elig_MatchAll_Ct-1),AH95=0),E95,0)</f>
        <v>0</v>
      </c>
      <c r="BK95" s="173">
        <f>IF(AND(Input_Product=Elig!$C95,Elig_MatchAll_Ct&lt;22,$BC95=(Elig_MatchAll_Ct-1),AI95=0),F95,0)</f>
        <v>0</v>
      </c>
      <c r="BL95" s="173">
        <f>IF(AND(Input_Product=Elig!$C95,Elig_MatchAll_Ct&lt;22,$BC95=(Elig_MatchAll_Ct-1),AJ95=0),G95,0)</f>
        <v>0</v>
      </c>
      <c r="BM95" s="173">
        <f>IF(AND(Input_Product=Elig!$C95,Elig_MatchAll_Ct&lt;22,$BC95=(Elig_MatchAll_Ct-1),AK95=0),H95,0)</f>
        <v>0</v>
      </c>
      <c r="BN95" s="173">
        <f>IF(AND(Input_Product=Elig!$C95,Elig_MatchAll_Ct&lt;22,$BC95=(Elig_MatchAll_Ct-1),AL95=0),I95,0)</f>
        <v>0</v>
      </c>
      <c r="BO95" s="173">
        <f>IF(AND(Input_Product=Elig!$C95,Elig_MatchAll_Ct&lt;22,$BC95=(Elig_MatchAll_Ct-1),AM95=0),J95,0)</f>
        <v>0</v>
      </c>
      <c r="BP95" s="173">
        <f>IF(AND(Input_Product=Elig!$C95,Elig_MatchAll_Ct&lt;22,$BC95=(Elig_MatchAll_Ct-1),AN95=0),K95,0)</f>
        <v>0</v>
      </c>
      <c r="BQ95" s="173">
        <f>IF(AND(Input_Product=Elig!$C95,Elig_MatchAll_Ct&lt;22,$BC95=(Elig_MatchAll_Ct-1),AP95=0),L95,0)</f>
        <v>0</v>
      </c>
      <c r="BR95" s="173">
        <f>IF(AND(Input_Product=Elig!$C95,Elig_MatchAll_Ct&lt;22,$BC95=(Elig_MatchAll_Ct-1),AO95=0),M95,0)</f>
        <v>0</v>
      </c>
      <c r="BS95" s="173">
        <f>IF(AND(Input_Product=Elig!$C95,Elig_MatchAll_Ct&lt;22,$BC95=(Elig_MatchAll_Ct-1),AQ95=0),N95,0)</f>
        <v>0</v>
      </c>
      <c r="BT95" s="173">
        <f>IF(AND(Input_Product=Elig!$C95,Elig_MatchAll_Ct&lt;22,$BC95=(Elig_MatchAll_Ct-1),AR95=0),O95,0)</f>
        <v>0</v>
      </c>
      <c r="BU95" s="173">
        <f>IF(AND(Input_Product=Elig!$C95,Elig_MatchAll_Ct&lt;22,$BC95=(Elig_MatchAll_Ct-1),AS95=0),P95,0)</f>
        <v>0</v>
      </c>
      <c r="BV95" s="174">
        <f>IF(AND(Input_Product=Elig!$C95,Elig_MatchAll_Ct&lt;22,$BC95=(Elig_MatchAll_Ct-1),AT95=0),Q95,0)</f>
        <v>0</v>
      </c>
      <c r="BW95" s="175">
        <f>IF(AND(Input_Product=Elig!$C95,Elig_MatchAll_Ct&lt;22,$BC95=(Elig_MatchAll_Ct-1),AU95=0),R95,0)</f>
        <v>0</v>
      </c>
      <c r="BX95" s="176">
        <f>IF(AND(Input_Product=Elig!$C95,Elig_MatchAll_Ct&lt;22,$BC95=(Elig_MatchAll_Ct-1),AU95=0),S95,0)</f>
        <v>0</v>
      </c>
      <c r="BY95" s="175">
        <f>IF(AND(Input_Product=Elig!$C95,Elig_MatchAll_Ct&lt;22,$BC95=(Elig_MatchAll_Ct-1),AV95=0),T95,0)</f>
        <v>0</v>
      </c>
      <c r="BZ95" s="176">
        <f>IF(AND(Input_Product=Elig!$C95,Elig_MatchAll_Ct&lt;22,$BC95=(Elig_MatchAll_Ct-1),AV95=0),U95,0)</f>
        <v>0</v>
      </c>
      <c r="CA95" s="175">
        <f>IF(AND(Input_Product=Elig!$C95,Elig_MatchAll_Ct&lt;22,$BC95=(Elig_MatchAll_Ct-1),AW95=0),V95,0)</f>
        <v>0</v>
      </c>
      <c r="CB95" s="176">
        <f>IF(AND(Input_Product=Elig!$C95,Elig_MatchAll_Ct&lt;22,$BC95=(Elig_MatchAll_Ct-1),AW95=0),W95,0)</f>
        <v>0</v>
      </c>
      <c r="CC95" s="175">
        <f>IF(AND(Input_Product=Elig!$C95,Elig_MatchAll_Ct&lt;22,$BC95=(Elig_MatchAll_Ct-1),AX95=0),X95,0)</f>
        <v>0</v>
      </c>
      <c r="CD95" s="176">
        <f>IF(AND(Input_Product=Elig!$C95,Elig_MatchAll_Ct&lt;22,$BC95=(Elig_MatchAll_Ct-1),AX95=0),Y95,0)</f>
        <v>0</v>
      </c>
      <c r="CE95" s="175">
        <f>IF(AND(Input_LTV&lt;=AE95,Input_Product=Elig!$C95,Elig_MatchAll_Ct&lt;22,$BC95=(Elig_MatchAll_Ct-1),AY95=0),Z95,0)</f>
        <v>0</v>
      </c>
      <c r="CF95" s="176">
        <f>IF(AND(Input_LTV&lt;=AE95,Input_Product=Elig!$C95,Elig_MatchAll_Ct&lt;22,$BC95=(Elig_MatchAll_Ct-1),AY95=0),AA95,0)</f>
        <v>0</v>
      </c>
      <c r="CG95" s="175">
        <f>IF(AND(Input_Product=Elig!$C95,Elig_MatchAll_Ct&lt;22,$BC95=(Elig_MatchAll_Ct-1),AZ95=0),AB95,0)</f>
        <v>0</v>
      </c>
      <c r="CH95" s="176">
        <f>IF(AND(Input_Product=Elig!$C95,Elig_MatchAll_Ct&lt;22,$BC95=(Elig_MatchAll_Ct-1),AZ95=0),AC95,0)</f>
        <v>0</v>
      </c>
      <c r="CI95" s="175">
        <f>IF(AND(Input_Product=Elig!$C95,Elig_MatchAll_Ct&lt;22,$BC95=(Elig_MatchAll_Ct-1),BA95=0),AD95,0)</f>
        <v>0</v>
      </c>
      <c r="CJ95" s="177">
        <f>IF(AND(Input_Product=Elig!$C95,Elig_MatchAll_Ct&lt;22,$BC95=(Elig_MatchAll_Ct-1),BA95=0),AE95,0)</f>
        <v>0</v>
      </c>
    </row>
    <row r="96" spans="1:88" ht="10.15" customHeight="1" x14ac:dyDescent="0.25">
      <c r="A96" s="1419" t="s">
        <v>76</v>
      </c>
      <c r="B96" s="1419" t="s">
        <v>797</v>
      </c>
      <c r="C96" s="120" t="str">
        <f t="shared" si="30"/>
        <v>NonQM OO</v>
      </c>
      <c r="D96" s="121" t="s">
        <v>1995</v>
      </c>
      <c r="E96" s="121" t="s">
        <v>166</v>
      </c>
      <c r="F96" s="121" t="s">
        <v>330</v>
      </c>
      <c r="G96" s="121" t="s">
        <v>465</v>
      </c>
      <c r="H96" s="121" t="s">
        <v>135</v>
      </c>
      <c r="I96" s="121" t="s">
        <v>16</v>
      </c>
      <c r="J96" s="121" t="s">
        <v>1130</v>
      </c>
      <c r="K96" s="121" t="s">
        <v>1398</v>
      </c>
      <c r="L96" s="121" t="s">
        <v>2025</v>
      </c>
      <c r="M96" s="121" t="s">
        <v>2289</v>
      </c>
      <c r="N96" s="121" t="s">
        <v>82</v>
      </c>
      <c r="O96" s="121" t="s">
        <v>309</v>
      </c>
      <c r="P96" s="121" t="s">
        <v>2433</v>
      </c>
      <c r="Q96" s="121" t="s">
        <v>293</v>
      </c>
      <c r="R96" s="121">
        <v>1000000.01</v>
      </c>
      <c r="S96" s="121">
        <v>1500000</v>
      </c>
      <c r="T96" s="121">
        <v>0</v>
      </c>
      <c r="U96" s="121">
        <f t="shared" si="33"/>
        <v>1500000</v>
      </c>
      <c r="V96" s="121">
        <v>0</v>
      </c>
      <c r="W96" s="121">
        <v>55</v>
      </c>
      <c r="X96" s="121">
        <v>0</v>
      </c>
      <c r="Y96" s="121">
        <v>999</v>
      </c>
      <c r="Z96" s="122">
        <v>620</v>
      </c>
      <c r="AA96" s="122">
        <v>639</v>
      </c>
      <c r="AB96" s="1878">
        <v>0</v>
      </c>
      <c r="AC96" s="122">
        <v>999999</v>
      </c>
      <c r="AD96" s="121">
        <v>0</v>
      </c>
      <c r="AE96" s="121">
        <v>65</v>
      </c>
      <c r="AF96" s="144">
        <v>0</v>
      </c>
      <c r="AG96" s="145">
        <v>1</v>
      </c>
      <c r="AH96" s="145">
        <v>1</v>
      </c>
      <c r="AI96" s="145">
        <v>0</v>
      </c>
      <c r="AJ96" s="145">
        <v>0</v>
      </c>
      <c r="AK96" s="145">
        <v>1</v>
      </c>
      <c r="AL96" s="145">
        <v>0</v>
      </c>
      <c r="AM96" s="145">
        <v>1</v>
      </c>
      <c r="AN96" s="145">
        <v>1</v>
      </c>
      <c r="AO96" s="145">
        <v>1</v>
      </c>
      <c r="AP96" s="145">
        <v>1</v>
      </c>
      <c r="AQ96" s="145">
        <v>0</v>
      </c>
      <c r="AR96" s="145">
        <v>1</v>
      </c>
      <c r="AS96" s="145">
        <v>1</v>
      </c>
      <c r="AT96" s="145">
        <v>1</v>
      </c>
      <c r="AU96" s="145">
        <f t="shared" si="19"/>
        <v>0</v>
      </c>
      <c r="AV96" s="145">
        <f t="shared" si="20"/>
        <v>1</v>
      </c>
      <c r="AW96" s="145">
        <f t="shared" si="21"/>
        <v>1</v>
      </c>
      <c r="AX96" s="145">
        <f t="shared" si="32"/>
        <v>1</v>
      </c>
      <c r="AY96" s="145">
        <f t="shared" si="22"/>
        <v>0</v>
      </c>
      <c r="AZ96" s="145">
        <f t="shared" si="23"/>
        <v>1</v>
      </c>
      <c r="BA96" s="146">
        <f t="shared" si="24"/>
        <v>0</v>
      </c>
      <c r="BB96" s="149">
        <f t="shared" si="25"/>
        <v>14</v>
      </c>
      <c r="BC96" s="150">
        <f t="shared" si="26"/>
        <v>14</v>
      </c>
      <c r="BD96" s="150">
        <f t="shared" si="27"/>
        <v>14</v>
      </c>
      <c r="BE96" s="211" t="str">
        <f t="shared" si="28"/>
        <v/>
      </c>
      <c r="BH96" s="178">
        <f>IF(AND(Input_Product=Elig!$C96,Elig_MatchAll_Ct&lt;22,$BC96=(Elig_MatchAll_Ct-1),AF96=0),C96,0)</f>
        <v>0</v>
      </c>
      <c r="BI96" s="179">
        <f>IF(AND(Input_Product=Elig!$C96,Elig_MatchAll_Ct&lt;22,$BC96=(Elig_MatchAll_Ct-1),AG96=0),D96,0)</f>
        <v>0</v>
      </c>
      <c r="BJ96" s="179">
        <f>IF(AND(Input_Product=Elig!$C96,Elig_MatchAll_Ct&lt;22,$BC96=(Elig_MatchAll_Ct-1),AH96=0),E96,0)</f>
        <v>0</v>
      </c>
      <c r="BK96" s="179">
        <f>IF(AND(Input_Product=Elig!$C96,Elig_MatchAll_Ct&lt;22,$BC96=(Elig_MatchAll_Ct-1),AI96=0),F96,0)</f>
        <v>0</v>
      </c>
      <c r="BL96" s="179">
        <f>IF(AND(Input_Product=Elig!$C96,Elig_MatchAll_Ct&lt;22,$BC96=(Elig_MatchAll_Ct-1),AJ96=0),G96,0)</f>
        <v>0</v>
      </c>
      <c r="BM96" s="179">
        <f>IF(AND(Input_Product=Elig!$C96,Elig_MatchAll_Ct&lt;22,$BC96=(Elig_MatchAll_Ct-1),AK96=0),H96,0)</f>
        <v>0</v>
      </c>
      <c r="BN96" s="179">
        <f>IF(AND(Input_Product=Elig!$C96,Elig_MatchAll_Ct&lt;22,$BC96=(Elig_MatchAll_Ct-1),AL96=0),I96,0)</f>
        <v>0</v>
      </c>
      <c r="BO96" s="179">
        <f>IF(AND(Input_Product=Elig!$C96,Elig_MatchAll_Ct&lt;22,$BC96=(Elig_MatchAll_Ct-1),AM96=0),J96,0)</f>
        <v>0</v>
      </c>
      <c r="BP96" s="179">
        <f>IF(AND(Input_Product=Elig!$C96,Elig_MatchAll_Ct&lt;22,$BC96=(Elig_MatchAll_Ct-1),AN96=0),K96,0)</f>
        <v>0</v>
      </c>
      <c r="BQ96" s="179">
        <f>IF(AND(Input_Product=Elig!$C96,Elig_MatchAll_Ct&lt;22,$BC96=(Elig_MatchAll_Ct-1),AP96=0),L96,0)</f>
        <v>0</v>
      </c>
      <c r="BR96" s="179">
        <f>IF(AND(Input_Product=Elig!$C96,Elig_MatchAll_Ct&lt;22,$BC96=(Elig_MatchAll_Ct-1),AO96=0),M96,0)</f>
        <v>0</v>
      </c>
      <c r="BS96" s="179">
        <f>IF(AND(Input_Product=Elig!$C96,Elig_MatchAll_Ct&lt;22,$BC96=(Elig_MatchAll_Ct-1),AQ96=0),N96,0)</f>
        <v>0</v>
      </c>
      <c r="BT96" s="179">
        <f>IF(AND(Input_Product=Elig!$C96,Elig_MatchAll_Ct&lt;22,$BC96=(Elig_MatchAll_Ct-1),AR96=0),O96,0)</f>
        <v>0</v>
      </c>
      <c r="BU96" s="179">
        <f>IF(AND(Input_Product=Elig!$C96,Elig_MatchAll_Ct&lt;22,$BC96=(Elig_MatchAll_Ct-1),AS96=0),P96,0)</f>
        <v>0</v>
      </c>
      <c r="BV96" s="180">
        <f>IF(AND(Input_Product=Elig!$C96,Elig_MatchAll_Ct&lt;22,$BC96=(Elig_MatchAll_Ct-1),AT96=0),Q96,0)</f>
        <v>0</v>
      </c>
      <c r="BW96" s="181">
        <f>IF(AND(Input_Product=Elig!$C96,Elig_MatchAll_Ct&lt;22,$BC96=(Elig_MatchAll_Ct-1),AU96=0),R96,0)</f>
        <v>0</v>
      </c>
      <c r="BX96" s="182">
        <f>IF(AND(Input_Product=Elig!$C96,Elig_MatchAll_Ct&lt;22,$BC96=(Elig_MatchAll_Ct-1),AU96=0),S96,0)</f>
        <v>0</v>
      </c>
      <c r="BY96" s="181">
        <f>IF(AND(Input_Product=Elig!$C96,Elig_MatchAll_Ct&lt;22,$BC96=(Elig_MatchAll_Ct-1),AV96=0),T96,0)</f>
        <v>0</v>
      </c>
      <c r="BZ96" s="182">
        <f>IF(AND(Input_Product=Elig!$C96,Elig_MatchAll_Ct&lt;22,$BC96=(Elig_MatchAll_Ct-1),AV96=0),U96,0)</f>
        <v>0</v>
      </c>
      <c r="CA96" s="181">
        <f>IF(AND(Input_Product=Elig!$C96,Elig_MatchAll_Ct&lt;22,$BC96=(Elig_MatchAll_Ct-1),AW96=0),V96,0)</f>
        <v>0</v>
      </c>
      <c r="CB96" s="182">
        <f>IF(AND(Input_Product=Elig!$C96,Elig_MatchAll_Ct&lt;22,$BC96=(Elig_MatchAll_Ct-1),AW96=0),W96,0)</f>
        <v>0</v>
      </c>
      <c r="CC96" s="181">
        <f>IF(AND(Input_Product=Elig!$C96,Elig_MatchAll_Ct&lt;22,$BC96=(Elig_MatchAll_Ct-1),AX96=0),X96,0)</f>
        <v>0</v>
      </c>
      <c r="CD96" s="182">
        <f>IF(AND(Input_Product=Elig!$C96,Elig_MatchAll_Ct&lt;22,$BC96=(Elig_MatchAll_Ct-1),AX96=0),Y96,0)</f>
        <v>0</v>
      </c>
      <c r="CE96" s="181">
        <f>IF(AND(Input_LTV&lt;=AE96,Input_Product=Elig!$C96,Elig_MatchAll_Ct&lt;22,$BC96=(Elig_MatchAll_Ct-1),AY96=0),Z96,0)</f>
        <v>0</v>
      </c>
      <c r="CF96" s="182">
        <f>IF(AND(Input_LTV&lt;=AE96,Input_Product=Elig!$C96,Elig_MatchAll_Ct&lt;22,$BC96=(Elig_MatchAll_Ct-1),AY96=0),AA96,0)</f>
        <v>0</v>
      </c>
      <c r="CG96" s="181">
        <f>IF(AND(Input_Product=Elig!$C96,Elig_MatchAll_Ct&lt;22,$BC96=(Elig_MatchAll_Ct-1),AZ96=0),AB96,0)</f>
        <v>0</v>
      </c>
      <c r="CH96" s="182">
        <f>IF(AND(Input_Product=Elig!$C96,Elig_MatchAll_Ct&lt;22,$BC96=(Elig_MatchAll_Ct-1),AZ96=0),AC96,0)</f>
        <v>0</v>
      </c>
      <c r="CI96" s="181">
        <f>IF(AND(Input_Product=Elig!$C96,Elig_MatchAll_Ct&lt;22,$BC96=(Elig_MatchAll_Ct-1),BA96=0),AD96,0)</f>
        <v>0</v>
      </c>
      <c r="CJ96" s="183">
        <f>IF(AND(Input_Product=Elig!$C96,Elig_MatchAll_Ct&lt;22,$BC96=(Elig_MatchAll_Ct-1),BA96=0),AE96,0)</f>
        <v>0</v>
      </c>
    </row>
    <row r="97" spans="1:88" ht="10.15" customHeight="1" x14ac:dyDescent="0.25">
      <c r="A97" s="1923" t="s">
        <v>2507</v>
      </c>
      <c r="B97" s="1923" t="s">
        <v>2477</v>
      </c>
      <c r="C97" s="1927" t="str">
        <f t="shared" si="30"/>
        <v>NonQM OO</v>
      </c>
      <c r="D97" s="1928" t="s">
        <v>1995</v>
      </c>
      <c r="E97" s="1929" t="s">
        <v>166</v>
      </c>
      <c r="F97" s="1929" t="s">
        <v>330</v>
      </c>
      <c r="G97" s="1929" t="s">
        <v>178</v>
      </c>
      <c r="H97" s="1929" t="s">
        <v>135</v>
      </c>
      <c r="I97" s="1928" t="s">
        <v>273</v>
      </c>
      <c r="J97" s="1928" t="s">
        <v>1130</v>
      </c>
      <c r="K97" s="1928" t="s">
        <v>1398</v>
      </c>
      <c r="L97" s="1929" t="s">
        <v>2025</v>
      </c>
      <c r="M97" s="1929" t="s">
        <v>2289</v>
      </c>
      <c r="N97" s="1929" t="s">
        <v>82</v>
      </c>
      <c r="O97" s="1929" t="s">
        <v>309</v>
      </c>
      <c r="P97" s="1929" t="s">
        <v>2433</v>
      </c>
      <c r="Q97" s="1929" t="s">
        <v>293</v>
      </c>
      <c r="R97" s="1928">
        <v>1000000.01</v>
      </c>
      <c r="S97" s="1928">
        <v>1500000</v>
      </c>
      <c r="T97" s="1928">
        <v>0</v>
      </c>
      <c r="U97" s="1928">
        <v>0</v>
      </c>
      <c r="V97" s="1928">
        <v>0</v>
      </c>
      <c r="W97" s="1928">
        <v>55</v>
      </c>
      <c r="X97" s="1928">
        <v>0</v>
      </c>
      <c r="Y97" s="1928">
        <v>999</v>
      </c>
      <c r="Z97" s="1879">
        <v>720</v>
      </c>
      <c r="AA97" s="1879">
        <v>999</v>
      </c>
      <c r="AB97" s="1879">
        <v>0</v>
      </c>
      <c r="AC97" s="1879">
        <v>999999</v>
      </c>
      <c r="AD97" s="1928">
        <v>80.010000000000005</v>
      </c>
      <c r="AE97" s="1928">
        <v>85</v>
      </c>
      <c r="AF97" s="144">
        <v>0</v>
      </c>
      <c r="AG97" s="145">
        <v>1</v>
      </c>
      <c r="AH97" s="145">
        <v>1</v>
      </c>
      <c r="AI97" s="145">
        <v>0</v>
      </c>
      <c r="AJ97" s="145">
        <v>0</v>
      </c>
      <c r="AK97" s="145">
        <v>1</v>
      </c>
      <c r="AL97" s="145">
        <v>1</v>
      </c>
      <c r="AM97" s="145">
        <v>1</v>
      </c>
      <c r="AN97" s="145">
        <v>1</v>
      </c>
      <c r="AO97" s="145">
        <v>1</v>
      </c>
      <c r="AP97" s="145">
        <v>1</v>
      </c>
      <c r="AQ97" s="145">
        <v>0</v>
      </c>
      <c r="AR97" s="145">
        <v>1</v>
      </c>
      <c r="AS97" s="145">
        <v>1</v>
      </c>
      <c r="AT97" s="145">
        <v>1</v>
      </c>
      <c r="AU97" s="145">
        <f t="shared" si="19"/>
        <v>0</v>
      </c>
      <c r="AV97" s="145">
        <f t="shared" si="20"/>
        <v>1</v>
      </c>
      <c r="AW97" s="145">
        <f t="shared" si="21"/>
        <v>1</v>
      </c>
      <c r="AX97" s="145">
        <f t="shared" si="32"/>
        <v>1</v>
      </c>
      <c r="AY97" s="145">
        <f t="shared" si="22"/>
        <v>1</v>
      </c>
      <c r="AZ97" s="145">
        <f t="shared" si="23"/>
        <v>1</v>
      </c>
      <c r="BA97" s="146">
        <f t="shared" si="24"/>
        <v>0</v>
      </c>
      <c r="BB97" s="149">
        <f t="shared" si="25"/>
        <v>16</v>
      </c>
      <c r="BC97" s="150">
        <f t="shared" si="26"/>
        <v>16</v>
      </c>
      <c r="BD97" s="150">
        <f t="shared" si="27"/>
        <v>16</v>
      </c>
      <c r="BE97" s="211" t="str">
        <f t="shared" si="28"/>
        <v/>
      </c>
      <c r="BH97" s="166">
        <f>IF(AND(Input_Product=Elig!$C97,Elig_MatchAll_Ct&lt;22,$BC97=(Elig_MatchAll_Ct-1),AF97=0),C97,0)</f>
        <v>0</v>
      </c>
      <c r="BI97" s="167">
        <f>IF(AND(Input_Product=Elig!$C97,Elig_MatchAll_Ct&lt;22,$BC97=(Elig_MatchAll_Ct-1),AG97=0),D97,0)</f>
        <v>0</v>
      </c>
      <c r="BJ97" s="167">
        <f>IF(AND(Input_Product=Elig!$C97,Elig_MatchAll_Ct&lt;22,$BC97=(Elig_MatchAll_Ct-1),AH97=0),E97,0)</f>
        <v>0</v>
      </c>
      <c r="BK97" s="167">
        <f>IF(AND(Input_Product=Elig!$C97,Elig_MatchAll_Ct&lt;22,$BC97=(Elig_MatchAll_Ct-1),AI97=0),F97,0)</f>
        <v>0</v>
      </c>
      <c r="BL97" s="167">
        <f>IF(AND(Input_Product=Elig!$C97,Elig_MatchAll_Ct&lt;22,$BC97=(Elig_MatchAll_Ct-1),AJ97=0),G97,0)</f>
        <v>0</v>
      </c>
      <c r="BM97" s="167">
        <f>IF(AND(Input_Product=Elig!$C97,Elig_MatchAll_Ct&lt;22,$BC97=(Elig_MatchAll_Ct-1),AK97=0),H97,0)</f>
        <v>0</v>
      </c>
      <c r="BN97" s="167">
        <f>IF(AND(Input_Product=Elig!$C97,Elig_MatchAll_Ct&lt;22,$BC97=(Elig_MatchAll_Ct-1),AL97=0),I97,0)</f>
        <v>0</v>
      </c>
      <c r="BO97" s="167">
        <f>IF(AND(Input_Product=Elig!$C97,Elig_MatchAll_Ct&lt;22,$BC97=(Elig_MatchAll_Ct-1),AM97=0),J97,0)</f>
        <v>0</v>
      </c>
      <c r="BP97" s="167">
        <f>IF(AND(Input_Product=Elig!$C97,Elig_MatchAll_Ct&lt;22,$BC97=(Elig_MatchAll_Ct-1),AN97=0),K97,0)</f>
        <v>0</v>
      </c>
      <c r="BQ97" s="167">
        <f>IF(AND(Input_Product=Elig!$C97,Elig_MatchAll_Ct&lt;22,$BC97=(Elig_MatchAll_Ct-1),AP97=0),L97,0)</f>
        <v>0</v>
      </c>
      <c r="BR97" s="167">
        <f>IF(AND(Input_Product=Elig!$C97,Elig_MatchAll_Ct&lt;22,$BC97=(Elig_MatchAll_Ct-1),AO97=0),M97,0)</f>
        <v>0</v>
      </c>
      <c r="BS97" s="167">
        <f>IF(AND(Input_Product=Elig!$C97,Elig_MatchAll_Ct&lt;22,$BC97=(Elig_MatchAll_Ct-1),AQ97=0),N97,0)</f>
        <v>0</v>
      </c>
      <c r="BT97" s="167">
        <f>IF(AND(Input_Product=Elig!$C97,Elig_MatchAll_Ct&lt;22,$BC97=(Elig_MatchAll_Ct-1),AR97=0),O97,0)</f>
        <v>0</v>
      </c>
      <c r="BU97" s="167">
        <f>IF(AND(Input_Product=Elig!$C97,Elig_MatchAll_Ct&lt;22,$BC97=(Elig_MatchAll_Ct-1),AS97=0),P97,0)</f>
        <v>0</v>
      </c>
      <c r="BV97" s="168">
        <f>IF(AND(Input_Product=Elig!$C97,Elig_MatchAll_Ct&lt;22,$BC97=(Elig_MatchAll_Ct-1),AT97=0),Q97,0)</f>
        <v>0</v>
      </c>
      <c r="BW97" s="169">
        <f>IF(AND(Input_Product=Elig!$C97,Elig_MatchAll_Ct&lt;22,$BC97=(Elig_MatchAll_Ct-1),AU97=0),R97,0)</f>
        <v>0</v>
      </c>
      <c r="BX97" s="170">
        <f>IF(AND(Input_Product=Elig!$C97,Elig_MatchAll_Ct&lt;22,$BC97=(Elig_MatchAll_Ct-1),AU97=0),S97,0)</f>
        <v>0</v>
      </c>
      <c r="BY97" s="169">
        <f>IF(AND(Input_Product=Elig!$C97,Elig_MatchAll_Ct&lt;22,$BC97=(Elig_MatchAll_Ct-1),AV97=0),T97,0)</f>
        <v>0</v>
      </c>
      <c r="BZ97" s="170">
        <f>IF(AND(Input_Product=Elig!$C97,Elig_MatchAll_Ct&lt;22,$BC97=(Elig_MatchAll_Ct-1),AV97=0),U97,0)</f>
        <v>0</v>
      </c>
      <c r="CA97" s="169">
        <f>IF(AND(Input_Product=Elig!$C97,Elig_MatchAll_Ct&lt;22,$BC97=(Elig_MatchAll_Ct-1),AW97=0),V97,0)</f>
        <v>0</v>
      </c>
      <c r="CB97" s="170">
        <f>IF(AND(Input_Product=Elig!$C97,Elig_MatchAll_Ct&lt;22,$BC97=(Elig_MatchAll_Ct-1),AW97=0),W97,0)</f>
        <v>0</v>
      </c>
      <c r="CC97" s="169">
        <f>IF(AND(Input_Product=Elig!$C97,Elig_MatchAll_Ct&lt;22,$BC97=(Elig_MatchAll_Ct-1),AX97=0),X97,0)</f>
        <v>0</v>
      </c>
      <c r="CD97" s="170">
        <f>IF(AND(Input_Product=Elig!$C97,Elig_MatchAll_Ct&lt;22,$BC97=(Elig_MatchAll_Ct-1),AX97=0),Y97,0)</f>
        <v>0</v>
      </c>
      <c r="CE97" s="169">
        <f>IF(AND(Input_LTV&lt;=AE97,Input_Product=Elig!$C97,Elig_MatchAll_Ct&lt;22,$BC97=(Elig_MatchAll_Ct-1),AY97=0),Z97,0)</f>
        <v>0</v>
      </c>
      <c r="CF97" s="170">
        <f>IF(AND(Input_LTV&lt;=AE97,Input_Product=Elig!$C97,Elig_MatchAll_Ct&lt;22,$BC97=(Elig_MatchAll_Ct-1),AY97=0),AA97,0)</f>
        <v>0</v>
      </c>
      <c r="CG97" s="169">
        <f>IF(AND(Input_Product=Elig!$C97,Elig_MatchAll_Ct&lt;22,$BC97=(Elig_MatchAll_Ct-1),AZ97=0),AB97,0)</f>
        <v>0</v>
      </c>
      <c r="CH97" s="170">
        <f>IF(AND(Input_Product=Elig!$C97,Elig_MatchAll_Ct&lt;22,$BC97=(Elig_MatchAll_Ct-1),AZ97=0),AC97,0)</f>
        <v>0</v>
      </c>
      <c r="CI97" s="169">
        <f>IF(AND(Input_Product=Elig!$C97,Elig_MatchAll_Ct&lt;22,$BC97=(Elig_MatchAll_Ct-1),BA97=0),AD97,0)</f>
        <v>0</v>
      </c>
      <c r="CJ97" s="171">
        <f>IF(AND(Input_Product=Elig!$C97,Elig_MatchAll_Ct&lt;22,$BC97=(Elig_MatchAll_Ct-1),BA97=0),AE97,0)</f>
        <v>0</v>
      </c>
    </row>
    <row r="98" spans="1:88" ht="10.15" customHeight="1" x14ac:dyDescent="0.25">
      <c r="A98" s="1419" t="s">
        <v>76</v>
      </c>
      <c r="B98" s="1419" t="s">
        <v>798</v>
      </c>
      <c r="C98" s="123" t="str">
        <f t="shared" si="30"/>
        <v>NonQM OO</v>
      </c>
      <c r="D98" s="124" t="s">
        <v>1995</v>
      </c>
      <c r="E98" s="125" t="s">
        <v>166</v>
      </c>
      <c r="F98" s="125" t="s">
        <v>330</v>
      </c>
      <c r="G98" s="125" t="s">
        <v>178</v>
      </c>
      <c r="H98" s="125" t="s">
        <v>135</v>
      </c>
      <c r="I98" s="124" t="s">
        <v>273</v>
      </c>
      <c r="J98" s="124" t="s">
        <v>1130</v>
      </c>
      <c r="K98" s="124" t="s">
        <v>1398</v>
      </c>
      <c r="L98" s="125" t="s">
        <v>2025</v>
      </c>
      <c r="M98" s="125" t="s">
        <v>2289</v>
      </c>
      <c r="N98" s="125" t="s">
        <v>82</v>
      </c>
      <c r="O98" s="125" t="s">
        <v>309</v>
      </c>
      <c r="P98" s="125" t="s">
        <v>2433</v>
      </c>
      <c r="Q98" s="125" t="s">
        <v>293</v>
      </c>
      <c r="R98" s="124">
        <v>1000000.01</v>
      </c>
      <c r="S98" s="124">
        <v>1500000</v>
      </c>
      <c r="T98" s="124">
        <v>0</v>
      </c>
      <c r="U98" s="124">
        <v>0</v>
      </c>
      <c r="V98" s="124">
        <v>0</v>
      </c>
      <c r="W98" s="124">
        <v>55</v>
      </c>
      <c r="X98" s="124">
        <v>0</v>
      </c>
      <c r="Y98" s="124">
        <v>999</v>
      </c>
      <c r="Z98" s="126">
        <v>720</v>
      </c>
      <c r="AA98" s="126">
        <v>999</v>
      </c>
      <c r="AB98" s="1879">
        <v>0</v>
      </c>
      <c r="AC98" s="126">
        <v>999999</v>
      </c>
      <c r="AD98" s="124">
        <v>0</v>
      </c>
      <c r="AE98" s="124">
        <v>80</v>
      </c>
      <c r="AF98" s="144">
        <v>0</v>
      </c>
      <c r="AG98" s="145">
        <v>1</v>
      </c>
      <c r="AH98" s="145">
        <v>1</v>
      </c>
      <c r="AI98" s="145">
        <v>0</v>
      </c>
      <c r="AJ98" s="145">
        <v>0</v>
      </c>
      <c r="AK98" s="145">
        <v>1</v>
      </c>
      <c r="AL98" s="145">
        <v>1</v>
      </c>
      <c r="AM98" s="145">
        <v>1</v>
      </c>
      <c r="AN98" s="145">
        <v>1</v>
      </c>
      <c r="AO98" s="145">
        <v>1</v>
      </c>
      <c r="AP98" s="145">
        <v>1</v>
      </c>
      <c r="AQ98" s="145">
        <v>0</v>
      </c>
      <c r="AR98" s="145">
        <v>1</v>
      </c>
      <c r="AS98" s="145">
        <v>1</v>
      </c>
      <c r="AT98" s="145">
        <v>1</v>
      </c>
      <c r="AU98" s="145">
        <f t="shared" si="19"/>
        <v>0</v>
      </c>
      <c r="AV98" s="145">
        <f t="shared" si="20"/>
        <v>1</v>
      </c>
      <c r="AW98" s="145">
        <f t="shared" si="21"/>
        <v>1</v>
      </c>
      <c r="AX98" s="145">
        <f t="shared" si="32"/>
        <v>1</v>
      </c>
      <c r="AY98" s="145">
        <f t="shared" si="22"/>
        <v>1</v>
      </c>
      <c r="AZ98" s="145">
        <f t="shared" si="23"/>
        <v>1</v>
      </c>
      <c r="BA98" s="146">
        <f t="shared" si="24"/>
        <v>1</v>
      </c>
      <c r="BB98" s="149">
        <f t="shared" si="25"/>
        <v>17</v>
      </c>
      <c r="BC98" s="150">
        <f t="shared" si="26"/>
        <v>16</v>
      </c>
      <c r="BD98" s="150">
        <f t="shared" si="27"/>
        <v>17</v>
      </c>
      <c r="BE98" s="211" t="str">
        <f t="shared" si="28"/>
        <v/>
      </c>
      <c r="BH98" s="166">
        <f>IF(AND(Input_Product=Elig!$C98,Elig_MatchAll_Ct&lt;22,$BC98=(Elig_MatchAll_Ct-1),AF98=0),C98,0)</f>
        <v>0</v>
      </c>
      <c r="BI98" s="167">
        <f>IF(AND(Input_Product=Elig!$C98,Elig_MatchAll_Ct&lt;22,$BC98=(Elig_MatchAll_Ct-1),AG98=0),D98,0)</f>
        <v>0</v>
      </c>
      <c r="BJ98" s="167">
        <f>IF(AND(Input_Product=Elig!$C98,Elig_MatchAll_Ct&lt;22,$BC98=(Elig_MatchAll_Ct-1),AH98=0),E98,0)</f>
        <v>0</v>
      </c>
      <c r="BK98" s="167">
        <f>IF(AND(Input_Product=Elig!$C98,Elig_MatchAll_Ct&lt;22,$BC98=(Elig_MatchAll_Ct-1),AI98=0),F98,0)</f>
        <v>0</v>
      </c>
      <c r="BL98" s="167">
        <f>IF(AND(Input_Product=Elig!$C98,Elig_MatchAll_Ct&lt;22,$BC98=(Elig_MatchAll_Ct-1),AJ98=0),G98,0)</f>
        <v>0</v>
      </c>
      <c r="BM98" s="167">
        <f>IF(AND(Input_Product=Elig!$C98,Elig_MatchAll_Ct&lt;22,$BC98=(Elig_MatchAll_Ct-1),AK98=0),H98,0)</f>
        <v>0</v>
      </c>
      <c r="BN98" s="167">
        <f>IF(AND(Input_Product=Elig!$C98,Elig_MatchAll_Ct&lt;22,$BC98=(Elig_MatchAll_Ct-1),AL98=0),I98,0)</f>
        <v>0</v>
      </c>
      <c r="BO98" s="167">
        <f>IF(AND(Input_Product=Elig!$C98,Elig_MatchAll_Ct&lt;22,$BC98=(Elig_MatchAll_Ct-1),AM98=0),J98,0)</f>
        <v>0</v>
      </c>
      <c r="BP98" s="167">
        <f>IF(AND(Input_Product=Elig!$C98,Elig_MatchAll_Ct&lt;22,$BC98=(Elig_MatchAll_Ct-1),AN98=0),K98,0)</f>
        <v>0</v>
      </c>
      <c r="BQ98" s="167">
        <f>IF(AND(Input_Product=Elig!$C98,Elig_MatchAll_Ct&lt;22,$BC98=(Elig_MatchAll_Ct-1),AP98=0),L98,0)</f>
        <v>0</v>
      </c>
      <c r="BR98" s="167">
        <f>IF(AND(Input_Product=Elig!$C98,Elig_MatchAll_Ct&lt;22,$BC98=(Elig_MatchAll_Ct-1),AO98=0),M98,0)</f>
        <v>0</v>
      </c>
      <c r="BS98" s="167">
        <f>IF(AND(Input_Product=Elig!$C98,Elig_MatchAll_Ct&lt;22,$BC98=(Elig_MatchAll_Ct-1),AQ98=0),N98,0)</f>
        <v>0</v>
      </c>
      <c r="BT98" s="167">
        <f>IF(AND(Input_Product=Elig!$C98,Elig_MatchAll_Ct&lt;22,$BC98=(Elig_MatchAll_Ct-1),AR98=0),O98,0)</f>
        <v>0</v>
      </c>
      <c r="BU98" s="167">
        <f>IF(AND(Input_Product=Elig!$C98,Elig_MatchAll_Ct&lt;22,$BC98=(Elig_MatchAll_Ct-1),AS98=0),P98,0)</f>
        <v>0</v>
      </c>
      <c r="BV98" s="168">
        <f>IF(AND(Input_Product=Elig!$C98,Elig_MatchAll_Ct&lt;22,$BC98=(Elig_MatchAll_Ct-1),AT98=0),Q98,0)</f>
        <v>0</v>
      </c>
      <c r="BW98" s="169">
        <f>IF(AND(Input_Product=Elig!$C98,Elig_MatchAll_Ct&lt;22,$BC98=(Elig_MatchAll_Ct-1),AU98=0),R98,0)</f>
        <v>0</v>
      </c>
      <c r="BX98" s="170">
        <f>IF(AND(Input_Product=Elig!$C98,Elig_MatchAll_Ct&lt;22,$BC98=(Elig_MatchAll_Ct-1),AU98=0),S98,0)</f>
        <v>0</v>
      </c>
      <c r="BY98" s="169">
        <f>IF(AND(Input_Product=Elig!$C98,Elig_MatchAll_Ct&lt;22,$BC98=(Elig_MatchAll_Ct-1),AV98=0),T98,0)</f>
        <v>0</v>
      </c>
      <c r="BZ98" s="170">
        <f>IF(AND(Input_Product=Elig!$C98,Elig_MatchAll_Ct&lt;22,$BC98=(Elig_MatchAll_Ct-1),AV98=0),U98,0)</f>
        <v>0</v>
      </c>
      <c r="CA98" s="169">
        <f>IF(AND(Input_Product=Elig!$C98,Elig_MatchAll_Ct&lt;22,$BC98=(Elig_MatchAll_Ct-1),AW98=0),V98,0)</f>
        <v>0</v>
      </c>
      <c r="CB98" s="170">
        <f>IF(AND(Input_Product=Elig!$C98,Elig_MatchAll_Ct&lt;22,$BC98=(Elig_MatchAll_Ct-1),AW98=0),W98,0)</f>
        <v>0</v>
      </c>
      <c r="CC98" s="169">
        <f>IF(AND(Input_Product=Elig!$C98,Elig_MatchAll_Ct&lt;22,$BC98=(Elig_MatchAll_Ct-1),AX98=0),X98,0)</f>
        <v>0</v>
      </c>
      <c r="CD98" s="170">
        <f>IF(AND(Input_Product=Elig!$C98,Elig_MatchAll_Ct&lt;22,$BC98=(Elig_MatchAll_Ct-1),AX98=0),Y98,0)</f>
        <v>0</v>
      </c>
      <c r="CE98" s="169">
        <f>IF(AND(Input_LTV&lt;=AE98,Input_Product=Elig!$C98,Elig_MatchAll_Ct&lt;22,$BC98=(Elig_MatchAll_Ct-1),AY98=0),Z98,0)</f>
        <v>0</v>
      </c>
      <c r="CF98" s="170">
        <f>IF(AND(Input_LTV&lt;=AE98,Input_Product=Elig!$C98,Elig_MatchAll_Ct&lt;22,$BC98=(Elig_MatchAll_Ct-1),AY98=0),AA98,0)</f>
        <v>0</v>
      </c>
      <c r="CG98" s="169">
        <f>IF(AND(Input_Product=Elig!$C98,Elig_MatchAll_Ct&lt;22,$BC98=(Elig_MatchAll_Ct-1),AZ98=0),AB98,0)</f>
        <v>0</v>
      </c>
      <c r="CH98" s="170">
        <f>IF(AND(Input_Product=Elig!$C98,Elig_MatchAll_Ct&lt;22,$BC98=(Elig_MatchAll_Ct-1),AZ98=0),AC98,0)</f>
        <v>0</v>
      </c>
      <c r="CI98" s="169">
        <f>IF(AND(Input_Product=Elig!$C98,Elig_MatchAll_Ct&lt;22,$BC98=(Elig_MatchAll_Ct-1),BA98=0),AD98,0)</f>
        <v>0</v>
      </c>
      <c r="CJ98" s="171">
        <f>IF(AND(Input_Product=Elig!$C98,Elig_MatchAll_Ct&lt;22,$BC98=(Elig_MatchAll_Ct-1),BA98=0),AE98,0)</f>
        <v>0</v>
      </c>
    </row>
    <row r="99" spans="1:88" ht="10.15" customHeight="1" x14ac:dyDescent="0.25">
      <c r="A99" s="1419" t="s">
        <v>76</v>
      </c>
      <c r="B99" s="1419" t="s">
        <v>799</v>
      </c>
      <c r="C99" s="116" t="str">
        <f t="shared" si="30"/>
        <v>NonQM OO</v>
      </c>
      <c r="D99" s="117" t="s">
        <v>1995</v>
      </c>
      <c r="E99" s="117" t="s">
        <v>166</v>
      </c>
      <c r="F99" s="117" t="s">
        <v>330</v>
      </c>
      <c r="G99" s="117" t="s">
        <v>178</v>
      </c>
      <c r="H99" s="117" t="s">
        <v>135</v>
      </c>
      <c r="I99" s="118" t="s">
        <v>273</v>
      </c>
      <c r="J99" s="118" t="s">
        <v>1130</v>
      </c>
      <c r="K99" s="118" t="s">
        <v>1398</v>
      </c>
      <c r="L99" s="117" t="s">
        <v>2025</v>
      </c>
      <c r="M99" s="117" t="s">
        <v>2289</v>
      </c>
      <c r="N99" s="117" t="s">
        <v>82</v>
      </c>
      <c r="O99" s="117" t="s">
        <v>309</v>
      </c>
      <c r="P99" s="117" t="s">
        <v>2433</v>
      </c>
      <c r="Q99" s="117" t="s">
        <v>293</v>
      </c>
      <c r="R99" s="117">
        <v>1000000.01</v>
      </c>
      <c r="S99" s="117">
        <v>1500000</v>
      </c>
      <c r="T99" s="117">
        <v>0</v>
      </c>
      <c r="U99" s="117">
        <v>0</v>
      </c>
      <c r="V99" s="117">
        <v>0</v>
      </c>
      <c r="W99" s="117">
        <v>55</v>
      </c>
      <c r="X99" s="117">
        <v>0</v>
      </c>
      <c r="Y99" s="117">
        <v>999</v>
      </c>
      <c r="Z99" s="119">
        <v>700</v>
      </c>
      <c r="AA99" s="119">
        <v>719</v>
      </c>
      <c r="AB99" s="1877">
        <v>0</v>
      </c>
      <c r="AC99" s="119">
        <v>999999</v>
      </c>
      <c r="AD99" s="117">
        <v>0</v>
      </c>
      <c r="AE99" s="117">
        <v>80</v>
      </c>
      <c r="AF99" s="144">
        <v>0</v>
      </c>
      <c r="AG99" s="145">
        <v>1</v>
      </c>
      <c r="AH99" s="145">
        <v>1</v>
      </c>
      <c r="AI99" s="145">
        <v>0</v>
      </c>
      <c r="AJ99" s="145">
        <v>0</v>
      </c>
      <c r="AK99" s="145">
        <v>1</v>
      </c>
      <c r="AL99" s="145">
        <v>1</v>
      </c>
      <c r="AM99" s="145">
        <v>1</v>
      </c>
      <c r="AN99" s="145">
        <v>1</v>
      </c>
      <c r="AO99" s="145">
        <v>1</v>
      </c>
      <c r="AP99" s="145">
        <v>1</v>
      </c>
      <c r="AQ99" s="145">
        <v>0</v>
      </c>
      <c r="AR99" s="145">
        <v>1</v>
      </c>
      <c r="AS99" s="145">
        <v>1</v>
      </c>
      <c r="AT99" s="145">
        <v>1</v>
      </c>
      <c r="AU99" s="145">
        <f t="shared" si="19"/>
        <v>0</v>
      </c>
      <c r="AV99" s="145">
        <f t="shared" si="20"/>
        <v>1</v>
      </c>
      <c r="AW99" s="145">
        <f t="shared" si="21"/>
        <v>1</v>
      </c>
      <c r="AX99" s="145">
        <f t="shared" si="32"/>
        <v>1</v>
      </c>
      <c r="AY99" s="145">
        <f t="shared" si="22"/>
        <v>0</v>
      </c>
      <c r="AZ99" s="145">
        <f t="shared" si="23"/>
        <v>1</v>
      </c>
      <c r="BA99" s="146">
        <f t="shared" si="24"/>
        <v>1</v>
      </c>
      <c r="BB99" s="149">
        <f t="shared" si="25"/>
        <v>16</v>
      </c>
      <c r="BC99" s="150">
        <f t="shared" si="26"/>
        <v>15</v>
      </c>
      <c r="BD99" s="150">
        <f t="shared" si="27"/>
        <v>16</v>
      </c>
      <c r="BE99" s="211" t="str">
        <f t="shared" si="28"/>
        <v/>
      </c>
      <c r="BH99" s="172">
        <f>IF(AND(Input_Product=Elig!$C99,Elig_MatchAll_Ct&lt;22,$BC99=(Elig_MatchAll_Ct-1),AF99=0),C99,0)</f>
        <v>0</v>
      </c>
      <c r="BI99" s="173">
        <f>IF(AND(Input_Product=Elig!$C99,Elig_MatchAll_Ct&lt;22,$BC99=(Elig_MatchAll_Ct-1),AG99=0),D99,0)</f>
        <v>0</v>
      </c>
      <c r="BJ99" s="173">
        <f>IF(AND(Input_Product=Elig!$C99,Elig_MatchAll_Ct&lt;22,$BC99=(Elig_MatchAll_Ct-1),AH99=0),E99,0)</f>
        <v>0</v>
      </c>
      <c r="BK99" s="173">
        <f>IF(AND(Input_Product=Elig!$C99,Elig_MatchAll_Ct&lt;22,$BC99=(Elig_MatchAll_Ct-1),AI99=0),F99,0)</f>
        <v>0</v>
      </c>
      <c r="BL99" s="173">
        <f>IF(AND(Input_Product=Elig!$C99,Elig_MatchAll_Ct&lt;22,$BC99=(Elig_MatchAll_Ct-1),AJ99=0),G99,0)</f>
        <v>0</v>
      </c>
      <c r="BM99" s="173">
        <f>IF(AND(Input_Product=Elig!$C99,Elig_MatchAll_Ct&lt;22,$BC99=(Elig_MatchAll_Ct-1),AK99=0),H99,0)</f>
        <v>0</v>
      </c>
      <c r="BN99" s="173">
        <f>IF(AND(Input_Product=Elig!$C99,Elig_MatchAll_Ct&lt;22,$BC99=(Elig_MatchAll_Ct-1),AL99=0),I99,0)</f>
        <v>0</v>
      </c>
      <c r="BO99" s="173">
        <f>IF(AND(Input_Product=Elig!$C99,Elig_MatchAll_Ct&lt;22,$BC99=(Elig_MatchAll_Ct-1),AM99=0),J99,0)</f>
        <v>0</v>
      </c>
      <c r="BP99" s="173">
        <f>IF(AND(Input_Product=Elig!$C99,Elig_MatchAll_Ct&lt;22,$BC99=(Elig_MatchAll_Ct-1),AN99=0),K99,0)</f>
        <v>0</v>
      </c>
      <c r="BQ99" s="173">
        <f>IF(AND(Input_Product=Elig!$C99,Elig_MatchAll_Ct&lt;22,$BC99=(Elig_MatchAll_Ct-1),AP99=0),L99,0)</f>
        <v>0</v>
      </c>
      <c r="BR99" s="173">
        <f>IF(AND(Input_Product=Elig!$C99,Elig_MatchAll_Ct&lt;22,$BC99=(Elig_MatchAll_Ct-1),AO99=0),M99,0)</f>
        <v>0</v>
      </c>
      <c r="BS99" s="173">
        <f>IF(AND(Input_Product=Elig!$C99,Elig_MatchAll_Ct&lt;22,$BC99=(Elig_MatchAll_Ct-1),AQ99=0),N99,0)</f>
        <v>0</v>
      </c>
      <c r="BT99" s="173">
        <f>IF(AND(Input_Product=Elig!$C99,Elig_MatchAll_Ct&lt;22,$BC99=(Elig_MatchAll_Ct-1),AR99=0),O99,0)</f>
        <v>0</v>
      </c>
      <c r="BU99" s="173">
        <f>IF(AND(Input_Product=Elig!$C99,Elig_MatchAll_Ct&lt;22,$BC99=(Elig_MatchAll_Ct-1),AS99=0),P99,0)</f>
        <v>0</v>
      </c>
      <c r="BV99" s="174">
        <f>IF(AND(Input_Product=Elig!$C99,Elig_MatchAll_Ct&lt;22,$BC99=(Elig_MatchAll_Ct-1),AT99=0),Q99,0)</f>
        <v>0</v>
      </c>
      <c r="BW99" s="175">
        <f>IF(AND(Input_Product=Elig!$C99,Elig_MatchAll_Ct&lt;22,$BC99=(Elig_MatchAll_Ct-1),AU99=0),R99,0)</f>
        <v>0</v>
      </c>
      <c r="BX99" s="176">
        <f>IF(AND(Input_Product=Elig!$C99,Elig_MatchAll_Ct&lt;22,$BC99=(Elig_MatchAll_Ct-1),AU99=0),S99,0)</f>
        <v>0</v>
      </c>
      <c r="BY99" s="175">
        <f>IF(AND(Input_Product=Elig!$C99,Elig_MatchAll_Ct&lt;22,$BC99=(Elig_MatchAll_Ct-1),AV99=0),T99,0)</f>
        <v>0</v>
      </c>
      <c r="BZ99" s="176">
        <f>IF(AND(Input_Product=Elig!$C99,Elig_MatchAll_Ct&lt;22,$BC99=(Elig_MatchAll_Ct-1),AV99=0),U99,0)</f>
        <v>0</v>
      </c>
      <c r="CA99" s="175">
        <f>IF(AND(Input_Product=Elig!$C99,Elig_MatchAll_Ct&lt;22,$BC99=(Elig_MatchAll_Ct-1),AW99=0),V99,0)</f>
        <v>0</v>
      </c>
      <c r="CB99" s="176">
        <f>IF(AND(Input_Product=Elig!$C99,Elig_MatchAll_Ct&lt;22,$BC99=(Elig_MatchAll_Ct-1),AW99=0),W99,0)</f>
        <v>0</v>
      </c>
      <c r="CC99" s="175">
        <f>IF(AND(Input_Product=Elig!$C99,Elig_MatchAll_Ct&lt;22,$BC99=(Elig_MatchAll_Ct-1),AX99=0),X99,0)</f>
        <v>0</v>
      </c>
      <c r="CD99" s="176">
        <f>IF(AND(Input_Product=Elig!$C99,Elig_MatchAll_Ct&lt;22,$BC99=(Elig_MatchAll_Ct-1),AX99=0),Y99,0)</f>
        <v>0</v>
      </c>
      <c r="CE99" s="175">
        <f>IF(AND(Input_LTV&lt;=AE99,Input_Product=Elig!$C99,Elig_MatchAll_Ct&lt;22,$BC99=(Elig_MatchAll_Ct-1),AY99=0),Z99,0)</f>
        <v>0</v>
      </c>
      <c r="CF99" s="176">
        <f>IF(AND(Input_LTV&lt;=AE99,Input_Product=Elig!$C99,Elig_MatchAll_Ct&lt;22,$BC99=(Elig_MatchAll_Ct-1),AY99=0),AA99,0)</f>
        <v>0</v>
      </c>
      <c r="CG99" s="175">
        <f>IF(AND(Input_Product=Elig!$C99,Elig_MatchAll_Ct&lt;22,$BC99=(Elig_MatchAll_Ct-1),AZ99=0),AB99,0)</f>
        <v>0</v>
      </c>
      <c r="CH99" s="176">
        <f>IF(AND(Input_Product=Elig!$C99,Elig_MatchAll_Ct&lt;22,$BC99=(Elig_MatchAll_Ct-1),AZ99=0),AC99,0)</f>
        <v>0</v>
      </c>
      <c r="CI99" s="175">
        <f>IF(AND(Input_Product=Elig!$C99,Elig_MatchAll_Ct&lt;22,$BC99=(Elig_MatchAll_Ct-1),BA99=0),AD99,0)</f>
        <v>0</v>
      </c>
      <c r="CJ99" s="177">
        <f>IF(AND(Input_Product=Elig!$C99,Elig_MatchAll_Ct&lt;22,$BC99=(Elig_MatchAll_Ct-1),BA99=0),AE99,0)</f>
        <v>0</v>
      </c>
    </row>
    <row r="100" spans="1:88" ht="10.15" customHeight="1" x14ac:dyDescent="0.25">
      <c r="A100" s="1419" t="s">
        <v>76</v>
      </c>
      <c r="B100" s="1419" t="s">
        <v>800</v>
      </c>
      <c r="C100" s="116" t="str">
        <f t="shared" si="30"/>
        <v>NonQM OO</v>
      </c>
      <c r="D100" s="117" t="s">
        <v>1995</v>
      </c>
      <c r="E100" s="117" t="s">
        <v>166</v>
      </c>
      <c r="F100" s="117" t="s">
        <v>330</v>
      </c>
      <c r="G100" s="117" t="s">
        <v>178</v>
      </c>
      <c r="H100" s="117" t="s">
        <v>135</v>
      </c>
      <c r="I100" s="118" t="s">
        <v>273</v>
      </c>
      <c r="J100" s="118" t="s">
        <v>1130</v>
      </c>
      <c r="K100" s="118" t="s">
        <v>1398</v>
      </c>
      <c r="L100" s="117" t="s">
        <v>2025</v>
      </c>
      <c r="M100" s="117" t="s">
        <v>2289</v>
      </c>
      <c r="N100" s="117" t="s">
        <v>82</v>
      </c>
      <c r="O100" s="117" t="s">
        <v>309</v>
      </c>
      <c r="P100" s="117" t="s">
        <v>2433</v>
      </c>
      <c r="Q100" s="117" t="s">
        <v>293</v>
      </c>
      <c r="R100" s="117">
        <v>1000000.01</v>
      </c>
      <c r="S100" s="117">
        <v>1500000</v>
      </c>
      <c r="T100" s="117">
        <v>0</v>
      </c>
      <c r="U100" s="117">
        <v>0</v>
      </c>
      <c r="V100" s="117">
        <v>0</v>
      </c>
      <c r="W100" s="117">
        <v>55</v>
      </c>
      <c r="X100" s="117">
        <v>0</v>
      </c>
      <c r="Y100" s="117">
        <v>999</v>
      </c>
      <c r="Z100" s="119">
        <v>680</v>
      </c>
      <c r="AA100" s="119">
        <v>699</v>
      </c>
      <c r="AB100" s="1877">
        <v>0</v>
      </c>
      <c r="AC100" s="119">
        <v>999999</v>
      </c>
      <c r="AD100" s="117">
        <v>0</v>
      </c>
      <c r="AE100" s="117">
        <v>75</v>
      </c>
      <c r="AF100" s="144">
        <v>0</v>
      </c>
      <c r="AG100" s="145">
        <v>1</v>
      </c>
      <c r="AH100" s="145">
        <v>1</v>
      </c>
      <c r="AI100" s="145">
        <v>0</v>
      </c>
      <c r="AJ100" s="145">
        <v>0</v>
      </c>
      <c r="AK100" s="145">
        <v>1</v>
      </c>
      <c r="AL100" s="145">
        <v>1</v>
      </c>
      <c r="AM100" s="145">
        <v>1</v>
      </c>
      <c r="AN100" s="145">
        <v>1</v>
      </c>
      <c r="AO100" s="145">
        <v>1</v>
      </c>
      <c r="AP100" s="145">
        <v>1</v>
      </c>
      <c r="AQ100" s="145">
        <v>0</v>
      </c>
      <c r="AR100" s="145">
        <v>1</v>
      </c>
      <c r="AS100" s="145">
        <v>1</v>
      </c>
      <c r="AT100" s="145">
        <v>1</v>
      </c>
      <c r="AU100" s="145">
        <f t="shared" si="19"/>
        <v>0</v>
      </c>
      <c r="AV100" s="145">
        <f t="shared" si="20"/>
        <v>1</v>
      </c>
      <c r="AW100" s="145">
        <f t="shared" si="21"/>
        <v>1</v>
      </c>
      <c r="AX100" s="145">
        <f t="shared" si="32"/>
        <v>1</v>
      </c>
      <c r="AY100" s="145">
        <f t="shared" si="22"/>
        <v>0</v>
      </c>
      <c r="AZ100" s="145">
        <f t="shared" si="23"/>
        <v>1</v>
      </c>
      <c r="BA100" s="146">
        <f t="shared" si="24"/>
        <v>1</v>
      </c>
      <c r="BB100" s="149">
        <f t="shared" si="25"/>
        <v>16</v>
      </c>
      <c r="BC100" s="150">
        <f t="shared" si="26"/>
        <v>15</v>
      </c>
      <c r="BD100" s="150">
        <f t="shared" si="27"/>
        <v>16</v>
      </c>
      <c r="BE100" s="211" t="str">
        <f t="shared" si="28"/>
        <v/>
      </c>
      <c r="BH100" s="172">
        <f>IF(AND(Input_Product=Elig!$C100,Elig_MatchAll_Ct&lt;22,$BC100=(Elig_MatchAll_Ct-1),AF100=0),C100,0)</f>
        <v>0</v>
      </c>
      <c r="BI100" s="173">
        <f>IF(AND(Input_Product=Elig!$C100,Elig_MatchAll_Ct&lt;22,$BC100=(Elig_MatchAll_Ct-1),AG100=0),D100,0)</f>
        <v>0</v>
      </c>
      <c r="BJ100" s="173">
        <f>IF(AND(Input_Product=Elig!$C100,Elig_MatchAll_Ct&lt;22,$BC100=(Elig_MatchAll_Ct-1),AH100=0),E100,0)</f>
        <v>0</v>
      </c>
      <c r="BK100" s="173">
        <f>IF(AND(Input_Product=Elig!$C100,Elig_MatchAll_Ct&lt;22,$BC100=(Elig_MatchAll_Ct-1),AI100=0),F100,0)</f>
        <v>0</v>
      </c>
      <c r="BL100" s="173">
        <f>IF(AND(Input_Product=Elig!$C100,Elig_MatchAll_Ct&lt;22,$BC100=(Elig_MatchAll_Ct-1),AJ100=0),G100,0)</f>
        <v>0</v>
      </c>
      <c r="BM100" s="173">
        <f>IF(AND(Input_Product=Elig!$C100,Elig_MatchAll_Ct&lt;22,$BC100=(Elig_MatchAll_Ct-1),AK100=0),H100,0)</f>
        <v>0</v>
      </c>
      <c r="BN100" s="173">
        <f>IF(AND(Input_Product=Elig!$C100,Elig_MatchAll_Ct&lt;22,$BC100=(Elig_MatchAll_Ct-1),AL100=0),I100,0)</f>
        <v>0</v>
      </c>
      <c r="BO100" s="173">
        <f>IF(AND(Input_Product=Elig!$C100,Elig_MatchAll_Ct&lt;22,$BC100=(Elig_MatchAll_Ct-1),AM100=0),J100,0)</f>
        <v>0</v>
      </c>
      <c r="BP100" s="173">
        <f>IF(AND(Input_Product=Elig!$C100,Elig_MatchAll_Ct&lt;22,$BC100=(Elig_MatchAll_Ct-1),AN100=0),K100,0)</f>
        <v>0</v>
      </c>
      <c r="BQ100" s="173">
        <f>IF(AND(Input_Product=Elig!$C100,Elig_MatchAll_Ct&lt;22,$BC100=(Elig_MatchAll_Ct-1),AP100=0),L100,0)</f>
        <v>0</v>
      </c>
      <c r="BR100" s="173">
        <f>IF(AND(Input_Product=Elig!$C100,Elig_MatchAll_Ct&lt;22,$BC100=(Elig_MatchAll_Ct-1),AO100=0),M100,0)</f>
        <v>0</v>
      </c>
      <c r="BS100" s="173">
        <f>IF(AND(Input_Product=Elig!$C100,Elig_MatchAll_Ct&lt;22,$BC100=(Elig_MatchAll_Ct-1),AQ100=0),N100,0)</f>
        <v>0</v>
      </c>
      <c r="BT100" s="173">
        <f>IF(AND(Input_Product=Elig!$C100,Elig_MatchAll_Ct&lt;22,$BC100=(Elig_MatchAll_Ct-1),AR100=0),O100,0)</f>
        <v>0</v>
      </c>
      <c r="BU100" s="173">
        <f>IF(AND(Input_Product=Elig!$C100,Elig_MatchAll_Ct&lt;22,$BC100=(Elig_MatchAll_Ct-1),AS100=0),P100,0)</f>
        <v>0</v>
      </c>
      <c r="BV100" s="174">
        <f>IF(AND(Input_Product=Elig!$C100,Elig_MatchAll_Ct&lt;22,$BC100=(Elig_MatchAll_Ct-1),AT100=0),Q100,0)</f>
        <v>0</v>
      </c>
      <c r="BW100" s="175">
        <f>IF(AND(Input_Product=Elig!$C100,Elig_MatchAll_Ct&lt;22,$BC100=(Elig_MatchAll_Ct-1),AU100=0),R100,0)</f>
        <v>0</v>
      </c>
      <c r="BX100" s="176">
        <f>IF(AND(Input_Product=Elig!$C100,Elig_MatchAll_Ct&lt;22,$BC100=(Elig_MatchAll_Ct-1),AU100=0),S100,0)</f>
        <v>0</v>
      </c>
      <c r="BY100" s="175">
        <f>IF(AND(Input_Product=Elig!$C100,Elig_MatchAll_Ct&lt;22,$BC100=(Elig_MatchAll_Ct-1),AV100=0),T100,0)</f>
        <v>0</v>
      </c>
      <c r="BZ100" s="176">
        <f>IF(AND(Input_Product=Elig!$C100,Elig_MatchAll_Ct&lt;22,$BC100=(Elig_MatchAll_Ct-1),AV100=0),U100,0)</f>
        <v>0</v>
      </c>
      <c r="CA100" s="175">
        <f>IF(AND(Input_Product=Elig!$C100,Elig_MatchAll_Ct&lt;22,$BC100=(Elig_MatchAll_Ct-1),AW100=0),V100,0)</f>
        <v>0</v>
      </c>
      <c r="CB100" s="176">
        <f>IF(AND(Input_Product=Elig!$C100,Elig_MatchAll_Ct&lt;22,$BC100=(Elig_MatchAll_Ct-1),AW100=0),W100,0)</f>
        <v>0</v>
      </c>
      <c r="CC100" s="175">
        <f>IF(AND(Input_Product=Elig!$C100,Elig_MatchAll_Ct&lt;22,$BC100=(Elig_MatchAll_Ct-1),AX100=0),X100,0)</f>
        <v>0</v>
      </c>
      <c r="CD100" s="176">
        <f>IF(AND(Input_Product=Elig!$C100,Elig_MatchAll_Ct&lt;22,$BC100=(Elig_MatchAll_Ct-1),AX100=0),Y100,0)</f>
        <v>0</v>
      </c>
      <c r="CE100" s="175">
        <f>IF(AND(Input_LTV&lt;=AE100,Input_Product=Elig!$C100,Elig_MatchAll_Ct&lt;22,$BC100=(Elig_MatchAll_Ct-1),AY100=0),Z100,0)</f>
        <v>0</v>
      </c>
      <c r="CF100" s="176">
        <f>IF(AND(Input_LTV&lt;=AE100,Input_Product=Elig!$C100,Elig_MatchAll_Ct&lt;22,$BC100=(Elig_MatchAll_Ct-1),AY100=0),AA100,0)</f>
        <v>0</v>
      </c>
      <c r="CG100" s="175">
        <f>IF(AND(Input_Product=Elig!$C100,Elig_MatchAll_Ct&lt;22,$BC100=(Elig_MatchAll_Ct-1),AZ100=0),AB100,0)</f>
        <v>0</v>
      </c>
      <c r="CH100" s="176">
        <f>IF(AND(Input_Product=Elig!$C100,Elig_MatchAll_Ct&lt;22,$BC100=(Elig_MatchAll_Ct-1),AZ100=0),AC100,0)</f>
        <v>0</v>
      </c>
      <c r="CI100" s="175">
        <f>IF(AND(Input_Product=Elig!$C100,Elig_MatchAll_Ct&lt;22,$BC100=(Elig_MatchAll_Ct-1),BA100=0),AD100,0)</f>
        <v>0</v>
      </c>
      <c r="CJ100" s="177">
        <f>IF(AND(Input_Product=Elig!$C100,Elig_MatchAll_Ct&lt;22,$BC100=(Elig_MatchAll_Ct-1),BA100=0),AE100,0)</f>
        <v>0</v>
      </c>
    </row>
    <row r="101" spans="1:88" ht="10.15" customHeight="1" x14ac:dyDescent="0.25">
      <c r="A101" s="1419" t="s">
        <v>76</v>
      </c>
      <c r="B101" s="1419" t="s">
        <v>801</v>
      </c>
      <c r="C101" s="129" t="str">
        <f t="shared" si="30"/>
        <v>NonQM OO</v>
      </c>
      <c r="D101" s="130" t="s">
        <v>1995</v>
      </c>
      <c r="E101" s="130" t="s">
        <v>166</v>
      </c>
      <c r="F101" s="130" t="s">
        <v>330</v>
      </c>
      <c r="G101" s="117" t="s">
        <v>178</v>
      </c>
      <c r="H101" s="130" t="s">
        <v>135</v>
      </c>
      <c r="I101" s="131" t="s">
        <v>273</v>
      </c>
      <c r="J101" s="131" t="s">
        <v>1130</v>
      </c>
      <c r="K101" s="131" t="s">
        <v>1398</v>
      </c>
      <c r="L101" s="130" t="s">
        <v>2025</v>
      </c>
      <c r="M101" s="130" t="s">
        <v>2289</v>
      </c>
      <c r="N101" s="130" t="s">
        <v>82</v>
      </c>
      <c r="O101" s="130" t="s">
        <v>309</v>
      </c>
      <c r="P101" s="130" t="s">
        <v>2433</v>
      </c>
      <c r="Q101" s="130" t="s">
        <v>293</v>
      </c>
      <c r="R101" s="117">
        <v>1000000.01</v>
      </c>
      <c r="S101" s="117">
        <v>1500000</v>
      </c>
      <c r="T101" s="130">
        <v>0</v>
      </c>
      <c r="U101" s="130">
        <v>0</v>
      </c>
      <c r="V101" s="130">
        <v>0</v>
      </c>
      <c r="W101" s="130">
        <v>55</v>
      </c>
      <c r="X101" s="130">
        <v>0</v>
      </c>
      <c r="Y101" s="130">
        <v>999</v>
      </c>
      <c r="Z101" s="119">
        <v>660</v>
      </c>
      <c r="AA101" s="119">
        <v>679</v>
      </c>
      <c r="AB101" s="1877">
        <v>0</v>
      </c>
      <c r="AC101" s="119">
        <v>999999</v>
      </c>
      <c r="AD101" s="117">
        <v>0</v>
      </c>
      <c r="AE101" s="117">
        <v>75</v>
      </c>
      <c r="AF101" s="144">
        <v>0</v>
      </c>
      <c r="AG101" s="145">
        <v>1</v>
      </c>
      <c r="AH101" s="145">
        <v>1</v>
      </c>
      <c r="AI101" s="145">
        <v>0</v>
      </c>
      <c r="AJ101" s="145">
        <v>0</v>
      </c>
      <c r="AK101" s="145">
        <v>1</v>
      </c>
      <c r="AL101" s="145">
        <v>1</v>
      </c>
      <c r="AM101" s="145">
        <v>1</v>
      </c>
      <c r="AN101" s="145">
        <v>1</v>
      </c>
      <c r="AO101" s="145">
        <v>1</v>
      </c>
      <c r="AP101" s="145">
        <v>1</v>
      </c>
      <c r="AQ101" s="145">
        <v>0</v>
      </c>
      <c r="AR101" s="145">
        <v>1</v>
      </c>
      <c r="AS101" s="145">
        <v>1</v>
      </c>
      <c r="AT101" s="145">
        <v>1</v>
      </c>
      <c r="AU101" s="145">
        <f t="shared" si="19"/>
        <v>0</v>
      </c>
      <c r="AV101" s="145">
        <f t="shared" si="20"/>
        <v>1</v>
      </c>
      <c r="AW101" s="145">
        <f t="shared" si="21"/>
        <v>1</v>
      </c>
      <c r="AX101" s="145">
        <f t="shared" si="32"/>
        <v>1</v>
      </c>
      <c r="AY101" s="145">
        <f t="shared" si="22"/>
        <v>0</v>
      </c>
      <c r="AZ101" s="145">
        <f t="shared" si="23"/>
        <v>1</v>
      </c>
      <c r="BA101" s="146">
        <f t="shared" si="24"/>
        <v>1</v>
      </c>
      <c r="BB101" s="149">
        <f t="shared" si="25"/>
        <v>16</v>
      </c>
      <c r="BC101" s="150">
        <f t="shared" si="26"/>
        <v>15</v>
      </c>
      <c r="BD101" s="150">
        <f t="shared" si="27"/>
        <v>16</v>
      </c>
      <c r="BE101" s="211" t="str">
        <f t="shared" si="28"/>
        <v/>
      </c>
      <c r="BH101" s="172">
        <f>IF(AND(Input_Product=Elig!$C101,Elig_MatchAll_Ct&lt;22,$BC101=(Elig_MatchAll_Ct-1),AF101=0),C101,0)</f>
        <v>0</v>
      </c>
      <c r="BI101" s="173">
        <f>IF(AND(Input_Product=Elig!$C101,Elig_MatchAll_Ct&lt;22,$BC101=(Elig_MatchAll_Ct-1),AG101=0),D101,0)</f>
        <v>0</v>
      </c>
      <c r="BJ101" s="173">
        <f>IF(AND(Input_Product=Elig!$C101,Elig_MatchAll_Ct&lt;22,$BC101=(Elig_MatchAll_Ct-1),AH101=0),E101,0)</f>
        <v>0</v>
      </c>
      <c r="BK101" s="173">
        <f>IF(AND(Input_Product=Elig!$C101,Elig_MatchAll_Ct&lt;22,$BC101=(Elig_MatchAll_Ct-1),AI101=0),F101,0)</f>
        <v>0</v>
      </c>
      <c r="BL101" s="173">
        <f>IF(AND(Input_Product=Elig!$C101,Elig_MatchAll_Ct&lt;22,$BC101=(Elig_MatchAll_Ct-1),AJ101=0),G101,0)</f>
        <v>0</v>
      </c>
      <c r="BM101" s="173">
        <f>IF(AND(Input_Product=Elig!$C101,Elig_MatchAll_Ct&lt;22,$BC101=(Elig_MatchAll_Ct-1),AK101=0),H101,0)</f>
        <v>0</v>
      </c>
      <c r="BN101" s="173">
        <f>IF(AND(Input_Product=Elig!$C101,Elig_MatchAll_Ct&lt;22,$BC101=(Elig_MatchAll_Ct-1),AL101=0),I101,0)</f>
        <v>0</v>
      </c>
      <c r="BO101" s="173">
        <f>IF(AND(Input_Product=Elig!$C101,Elig_MatchAll_Ct&lt;22,$BC101=(Elig_MatchAll_Ct-1),AM101=0),J101,0)</f>
        <v>0</v>
      </c>
      <c r="BP101" s="173">
        <f>IF(AND(Input_Product=Elig!$C101,Elig_MatchAll_Ct&lt;22,$BC101=(Elig_MatchAll_Ct-1),AN101=0),K101,0)</f>
        <v>0</v>
      </c>
      <c r="BQ101" s="173">
        <f>IF(AND(Input_Product=Elig!$C101,Elig_MatchAll_Ct&lt;22,$BC101=(Elig_MatchAll_Ct-1),AP101=0),L101,0)</f>
        <v>0</v>
      </c>
      <c r="BR101" s="173">
        <f>IF(AND(Input_Product=Elig!$C101,Elig_MatchAll_Ct&lt;22,$BC101=(Elig_MatchAll_Ct-1),AO101=0),M101,0)</f>
        <v>0</v>
      </c>
      <c r="BS101" s="173">
        <f>IF(AND(Input_Product=Elig!$C101,Elig_MatchAll_Ct&lt;22,$BC101=(Elig_MatchAll_Ct-1),AQ101=0),N101,0)</f>
        <v>0</v>
      </c>
      <c r="BT101" s="173">
        <f>IF(AND(Input_Product=Elig!$C101,Elig_MatchAll_Ct&lt;22,$BC101=(Elig_MatchAll_Ct-1),AR101=0),O101,0)</f>
        <v>0</v>
      </c>
      <c r="BU101" s="173">
        <f>IF(AND(Input_Product=Elig!$C101,Elig_MatchAll_Ct&lt;22,$BC101=(Elig_MatchAll_Ct-1),AS101=0),P101,0)</f>
        <v>0</v>
      </c>
      <c r="BV101" s="174">
        <f>IF(AND(Input_Product=Elig!$C101,Elig_MatchAll_Ct&lt;22,$BC101=(Elig_MatchAll_Ct-1),AT101=0),Q101,0)</f>
        <v>0</v>
      </c>
      <c r="BW101" s="175">
        <f>IF(AND(Input_Product=Elig!$C101,Elig_MatchAll_Ct&lt;22,$BC101=(Elig_MatchAll_Ct-1),AU101=0),R101,0)</f>
        <v>0</v>
      </c>
      <c r="BX101" s="176">
        <f>IF(AND(Input_Product=Elig!$C101,Elig_MatchAll_Ct&lt;22,$BC101=(Elig_MatchAll_Ct-1),AU101=0),S101,0)</f>
        <v>0</v>
      </c>
      <c r="BY101" s="175">
        <f>IF(AND(Input_Product=Elig!$C101,Elig_MatchAll_Ct&lt;22,$BC101=(Elig_MatchAll_Ct-1),AV101=0),T101,0)</f>
        <v>0</v>
      </c>
      <c r="BZ101" s="176">
        <f>IF(AND(Input_Product=Elig!$C101,Elig_MatchAll_Ct&lt;22,$BC101=(Elig_MatchAll_Ct-1),AV101=0),U101,0)</f>
        <v>0</v>
      </c>
      <c r="CA101" s="175">
        <f>IF(AND(Input_Product=Elig!$C101,Elig_MatchAll_Ct&lt;22,$BC101=(Elig_MatchAll_Ct-1),AW101=0),V101,0)</f>
        <v>0</v>
      </c>
      <c r="CB101" s="176">
        <f>IF(AND(Input_Product=Elig!$C101,Elig_MatchAll_Ct&lt;22,$BC101=(Elig_MatchAll_Ct-1),AW101=0),W101,0)</f>
        <v>0</v>
      </c>
      <c r="CC101" s="175">
        <f>IF(AND(Input_Product=Elig!$C101,Elig_MatchAll_Ct&lt;22,$BC101=(Elig_MatchAll_Ct-1),AX101=0),X101,0)</f>
        <v>0</v>
      </c>
      <c r="CD101" s="176">
        <f>IF(AND(Input_Product=Elig!$C101,Elig_MatchAll_Ct&lt;22,$BC101=(Elig_MatchAll_Ct-1),AX101=0),Y101,0)</f>
        <v>0</v>
      </c>
      <c r="CE101" s="175">
        <f>IF(AND(Input_LTV&lt;=AE101,Input_Product=Elig!$C101,Elig_MatchAll_Ct&lt;22,$BC101=(Elig_MatchAll_Ct-1),AY101=0),Z101,0)</f>
        <v>0</v>
      </c>
      <c r="CF101" s="176">
        <f>IF(AND(Input_LTV&lt;=AE101,Input_Product=Elig!$C101,Elig_MatchAll_Ct&lt;22,$BC101=(Elig_MatchAll_Ct-1),AY101=0),AA101,0)</f>
        <v>0</v>
      </c>
      <c r="CG101" s="175">
        <f>IF(AND(Input_Product=Elig!$C101,Elig_MatchAll_Ct&lt;22,$BC101=(Elig_MatchAll_Ct-1),AZ101=0),AB101,0)</f>
        <v>0</v>
      </c>
      <c r="CH101" s="176">
        <f>IF(AND(Input_Product=Elig!$C101,Elig_MatchAll_Ct&lt;22,$BC101=(Elig_MatchAll_Ct-1),AZ101=0),AC101,0)</f>
        <v>0</v>
      </c>
      <c r="CI101" s="175">
        <f>IF(AND(Input_Product=Elig!$C101,Elig_MatchAll_Ct&lt;22,$BC101=(Elig_MatchAll_Ct-1),BA101=0),AD101,0)</f>
        <v>0</v>
      </c>
      <c r="CJ101" s="177">
        <f>IF(AND(Input_Product=Elig!$C101,Elig_MatchAll_Ct&lt;22,$BC101=(Elig_MatchAll_Ct-1),BA101=0),AE101,0)</f>
        <v>0</v>
      </c>
    </row>
    <row r="102" spans="1:88" ht="10.15" customHeight="1" x14ac:dyDescent="0.25">
      <c r="A102" s="1923" t="s">
        <v>2507</v>
      </c>
      <c r="B102" s="1923" t="s">
        <v>2478</v>
      </c>
      <c r="C102" s="1927" t="str">
        <f t="shared" si="30"/>
        <v>NonQM OO</v>
      </c>
      <c r="D102" s="1928" t="s">
        <v>1995</v>
      </c>
      <c r="E102" s="1929" t="s">
        <v>166</v>
      </c>
      <c r="F102" s="1929" t="s">
        <v>330</v>
      </c>
      <c r="G102" s="1929" t="s">
        <v>178</v>
      </c>
      <c r="H102" s="1929" t="s">
        <v>135</v>
      </c>
      <c r="I102" s="1928" t="s">
        <v>16</v>
      </c>
      <c r="J102" s="1928" t="s">
        <v>1130</v>
      </c>
      <c r="K102" s="1928" t="s">
        <v>1398</v>
      </c>
      <c r="L102" s="1929" t="s">
        <v>2025</v>
      </c>
      <c r="M102" s="1929" t="s">
        <v>2289</v>
      </c>
      <c r="N102" s="1929" t="s">
        <v>82</v>
      </c>
      <c r="O102" s="1929" t="s">
        <v>309</v>
      </c>
      <c r="P102" s="1929" t="s">
        <v>2433</v>
      </c>
      <c r="Q102" s="1929" t="s">
        <v>293</v>
      </c>
      <c r="R102" s="1928">
        <v>1000000.01</v>
      </c>
      <c r="S102" s="1928">
        <v>1500000</v>
      </c>
      <c r="T102" s="1928">
        <v>0</v>
      </c>
      <c r="U102" s="1928">
        <f t="shared" ref="U102" si="34">S102</f>
        <v>1500000</v>
      </c>
      <c r="V102" s="1928">
        <v>0</v>
      </c>
      <c r="W102" s="1928">
        <v>55</v>
      </c>
      <c r="X102" s="1928">
        <v>0</v>
      </c>
      <c r="Y102" s="1928">
        <v>999</v>
      </c>
      <c r="Z102" s="1879">
        <v>720</v>
      </c>
      <c r="AA102" s="1879">
        <v>999</v>
      </c>
      <c r="AB102" s="1879">
        <v>0</v>
      </c>
      <c r="AC102" s="1879">
        <v>999999</v>
      </c>
      <c r="AD102" s="1928">
        <v>75.010000000000005</v>
      </c>
      <c r="AE102" s="1928">
        <v>80</v>
      </c>
      <c r="AF102" s="144">
        <v>0</v>
      </c>
      <c r="AG102" s="145">
        <v>1</v>
      </c>
      <c r="AH102" s="145">
        <v>1</v>
      </c>
      <c r="AI102" s="145">
        <v>0</v>
      </c>
      <c r="AJ102" s="145">
        <v>0</v>
      </c>
      <c r="AK102" s="145">
        <v>1</v>
      </c>
      <c r="AL102" s="145">
        <v>0</v>
      </c>
      <c r="AM102" s="145">
        <v>1</v>
      </c>
      <c r="AN102" s="145">
        <v>1</v>
      </c>
      <c r="AO102" s="145">
        <v>1</v>
      </c>
      <c r="AP102" s="145">
        <v>1</v>
      </c>
      <c r="AQ102" s="145">
        <v>0</v>
      </c>
      <c r="AR102" s="145">
        <v>1</v>
      </c>
      <c r="AS102" s="145">
        <v>1</v>
      </c>
      <c r="AT102" s="145">
        <v>1</v>
      </c>
      <c r="AU102" s="145">
        <f t="shared" si="19"/>
        <v>0</v>
      </c>
      <c r="AV102" s="145">
        <f t="shared" si="20"/>
        <v>1</v>
      </c>
      <c r="AW102" s="145">
        <f t="shared" si="21"/>
        <v>1</v>
      </c>
      <c r="AX102" s="145">
        <f t="shared" si="32"/>
        <v>1</v>
      </c>
      <c r="AY102" s="145">
        <f t="shared" si="22"/>
        <v>1</v>
      </c>
      <c r="AZ102" s="145">
        <f t="shared" si="23"/>
        <v>1</v>
      </c>
      <c r="BA102" s="146">
        <f t="shared" si="24"/>
        <v>0</v>
      </c>
      <c r="BB102" s="149">
        <f t="shared" si="25"/>
        <v>15</v>
      </c>
      <c r="BC102" s="150">
        <f t="shared" si="26"/>
        <v>15</v>
      </c>
      <c r="BD102" s="150">
        <f t="shared" si="27"/>
        <v>15</v>
      </c>
      <c r="BE102" s="211" t="str">
        <f t="shared" si="28"/>
        <v/>
      </c>
      <c r="BH102" s="166">
        <f>IF(AND(Input_Product=Elig!$C102,Elig_MatchAll_Ct&lt;22,$BC102=(Elig_MatchAll_Ct-1),AF102=0),C102,0)</f>
        <v>0</v>
      </c>
      <c r="BI102" s="167">
        <f>IF(AND(Input_Product=Elig!$C102,Elig_MatchAll_Ct&lt;22,$BC102=(Elig_MatchAll_Ct-1),AG102=0),D102,0)</f>
        <v>0</v>
      </c>
      <c r="BJ102" s="167">
        <f>IF(AND(Input_Product=Elig!$C102,Elig_MatchAll_Ct&lt;22,$BC102=(Elig_MatchAll_Ct-1),AH102=0),E102,0)</f>
        <v>0</v>
      </c>
      <c r="BK102" s="167">
        <f>IF(AND(Input_Product=Elig!$C102,Elig_MatchAll_Ct&lt;22,$BC102=(Elig_MatchAll_Ct-1),AI102=0),F102,0)</f>
        <v>0</v>
      </c>
      <c r="BL102" s="167">
        <f>IF(AND(Input_Product=Elig!$C102,Elig_MatchAll_Ct&lt;22,$BC102=(Elig_MatchAll_Ct-1),AJ102=0),G102,0)</f>
        <v>0</v>
      </c>
      <c r="BM102" s="167">
        <f>IF(AND(Input_Product=Elig!$C102,Elig_MatchAll_Ct&lt;22,$BC102=(Elig_MatchAll_Ct-1),AK102=0),H102,0)</f>
        <v>0</v>
      </c>
      <c r="BN102" s="167">
        <f>IF(AND(Input_Product=Elig!$C102,Elig_MatchAll_Ct&lt;22,$BC102=(Elig_MatchAll_Ct-1),AL102=0),I102,0)</f>
        <v>0</v>
      </c>
      <c r="BO102" s="167">
        <f>IF(AND(Input_Product=Elig!$C102,Elig_MatchAll_Ct&lt;22,$BC102=(Elig_MatchAll_Ct-1),AM102=0),J102,0)</f>
        <v>0</v>
      </c>
      <c r="BP102" s="167">
        <f>IF(AND(Input_Product=Elig!$C102,Elig_MatchAll_Ct&lt;22,$BC102=(Elig_MatchAll_Ct-1),AN102=0),K102,0)</f>
        <v>0</v>
      </c>
      <c r="BQ102" s="167">
        <f>IF(AND(Input_Product=Elig!$C102,Elig_MatchAll_Ct&lt;22,$BC102=(Elig_MatchAll_Ct-1),AP102=0),L102,0)</f>
        <v>0</v>
      </c>
      <c r="BR102" s="167">
        <f>IF(AND(Input_Product=Elig!$C102,Elig_MatchAll_Ct&lt;22,$BC102=(Elig_MatchAll_Ct-1),AO102=0),M102,0)</f>
        <v>0</v>
      </c>
      <c r="BS102" s="167">
        <f>IF(AND(Input_Product=Elig!$C102,Elig_MatchAll_Ct&lt;22,$BC102=(Elig_MatchAll_Ct-1),AQ102=0),N102,0)</f>
        <v>0</v>
      </c>
      <c r="BT102" s="167">
        <f>IF(AND(Input_Product=Elig!$C102,Elig_MatchAll_Ct&lt;22,$BC102=(Elig_MatchAll_Ct-1),AR102=0),O102,0)</f>
        <v>0</v>
      </c>
      <c r="BU102" s="167">
        <f>IF(AND(Input_Product=Elig!$C102,Elig_MatchAll_Ct&lt;22,$BC102=(Elig_MatchAll_Ct-1),AS102=0),P102,0)</f>
        <v>0</v>
      </c>
      <c r="BV102" s="168">
        <f>IF(AND(Input_Product=Elig!$C102,Elig_MatchAll_Ct&lt;22,$BC102=(Elig_MatchAll_Ct-1),AT102=0),Q102,0)</f>
        <v>0</v>
      </c>
      <c r="BW102" s="169">
        <f>IF(AND(Input_Product=Elig!$C102,Elig_MatchAll_Ct&lt;22,$BC102=(Elig_MatchAll_Ct-1),AU102=0),R102,0)</f>
        <v>0</v>
      </c>
      <c r="BX102" s="170">
        <f>IF(AND(Input_Product=Elig!$C102,Elig_MatchAll_Ct&lt;22,$BC102=(Elig_MatchAll_Ct-1),AU102=0),S102,0)</f>
        <v>0</v>
      </c>
      <c r="BY102" s="169">
        <f>IF(AND(Input_Product=Elig!$C102,Elig_MatchAll_Ct&lt;22,$BC102=(Elig_MatchAll_Ct-1),AV102=0),T102,0)</f>
        <v>0</v>
      </c>
      <c r="BZ102" s="170">
        <f>IF(AND(Input_Product=Elig!$C102,Elig_MatchAll_Ct&lt;22,$BC102=(Elig_MatchAll_Ct-1),AV102=0),U102,0)</f>
        <v>0</v>
      </c>
      <c r="CA102" s="169">
        <f>IF(AND(Input_Product=Elig!$C102,Elig_MatchAll_Ct&lt;22,$BC102=(Elig_MatchAll_Ct-1),AW102=0),V102,0)</f>
        <v>0</v>
      </c>
      <c r="CB102" s="170">
        <f>IF(AND(Input_Product=Elig!$C102,Elig_MatchAll_Ct&lt;22,$BC102=(Elig_MatchAll_Ct-1),AW102=0),W102,0)</f>
        <v>0</v>
      </c>
      <c r="CC102" s="169">
        <f>IF(AND(Input_Product=Elig!$C102,Elig_MatchAll_Ct&lt;22,$BC102=(Elig_MatchAll_Ct-1),AX102=0),X102,0)</f>
        <v>0</v>
      </c>
      <c r="CD102" s="170">
        <f>IF(AND(Input_Product=Elig!$C102,Elig_MatchAll_Ct&lt;22,$BC102=(Elig_MatchAll_Ct-1),AX102=0),Y102,0)</f>
        <v>0</v>
      </c>
      <c r="CE102" s="169">
        <f>IF(AND(Input_LTV&lt;=AE102,Input_Product=Elig!$C102,Elig_MatchAll_Ct&lt;22,$BC102=(Elig_MatchAll_Ct-1),AY102=0),Z102,0)</f>
        <v>0</v>
      </c>
      <c r="CF102" s="170">
        <f>IF(AND(Input_LTV&lt;=AE102,Input_Product=Elig!$C102,Elig_MatchAll_Ct&lt;22,$BC102=(Elig_MatchAll_Ct-1),AY102=0),AA102,0)</f>
        <v>0</v>
      </c>
      <c r="CG102" s="169">
        <f>IF(AND(Input_Product=Elig!$C102,Elig_MatchAll_Ct&lt;22,$BC102=(Elig_MatchAll_Ct-1),AZ102=0),AB102,0)</f>
        <v>0</v>
      </c>
      <c r="CH102" s="170">
        <f>IF(AND(Input_Product=Elig!$C102,Elig_MatchAll_Ct&lt;22,$BC102=(Elig_MatchAll_Ct-1),AZ102=0),AC102,0)</f>
        <v>0</v>
      </c>
      <c r="CI102" s="169">
        <f>IF(AND(Input_Product=Elig!$C102,Elig_MatchAll_Ct&lt;22,$BC102=(Elig_MatchAll_Ct-1),BA102=0),AD102,0)</f>
        <v>0</v>
      </c>
      <c r="CJ102" s="171">
        <f>IF(AND(Input_Product=Elig!$C102,Elig_MatchAll_Ct&lt;22,$BC102=(Elig_MatchAll_Ct-1),BA102=0),AE102,0)</f>
        <v>0</v>
      </c>
    </row>
    <row r="103" spans="1:88" ht="10.15" customHeight="1" x14ac:dyDescent="0.25">
      <c r="A103" s="1419" t="s">
        <v>76</v>
      </c>
      <c r="B103" s="1419" t="s">
        <v>2031</v>
      </c>
      <c r="C103" s="123" t="str">
        <f t="shared" si="30"/>
        <v>NonQM OO</v>
      </c>
      <c r="D103" s="124" t="s">
        <v>1995</v>
      </c>
      <c r="E103" s="125" t="s">
        <v>166</v>
      </c>
      <c r="F103" s="125" t="s">
        <v>330</v>
      </c>
      <c r="G103" s="125" t="s">
        <v>178</v>
      </c>
      <c r="H103" s="125" t="s">
        <v>135</v>
      </c>
      <c r="I103" s="124" t="s">
        <v>16</v>
      </c>
      <c r="J103" s="124" t="s">
        <v>1130</v>
      </c>
      <c r="K103" s="124" t="s">
        <v>1398</v>
      </c>
      <c r="L103" s="125" t="s">
        <v>2025</v>
      </c>
      <c r="M103" s="125" t="s">
        <v>2289</v>
      </c>
      <c r="N103" s="125" t="s">
        <v>82</v>
      </c>
      <c r="O103" s="125" t="s">
        <v>309</v>
      </c>
      <c r="P103" s="125" t="s">
        <v>2433</v>
      </c>
      <c r="Q103" s="125" t="s">
        <v>293</v>
      </c>
      <c r="R103" s="124">
        <v>1000000.01</v>
      </c>
      <c r="S103" s="124">
        <v>1500000</v>
      </c>
      <c r="T103" s="124">
        <v>0</v>
      </c>
      <c r="U103" s="124">
        <f t="shared" ref="U103:U106" si="35">S103</f>
        <v>1500000</v>
      </c>
      <c r="V103" s="124">
        <v>0</v>
      </c>
      <c r="W103" s="124">
        <v>55</v>
      </c>
      <c r="X103" s="124">
        <v>0</v>
      </c>
      <c r="Y103" s="124">
        <v>999</v>
      </c>
      <c r="Z103" s="126">
        <v>720</v>
      </c>
      <c r="AA103" s="126">
        <v>999</v>
      </c>
      <c r="AB103" s="1879">
        <v>0</v>
      </c>
      <c r="AC103" s="126">
        <v>999999</v>
      </c>
      <c r="AD103" s="124">
        <v>0</v>
      </c>
      <c r="AE103" s="124">
        <v>75</v>
      </c>
      <c r="AF103" s="144">
        <v>0</v>
      </c>
      <c r="AG103" s="145">
        <v>1</v>
      </c>
      <c r="AH103" s="145">
        <v>1</v>
      </c>
      <c r="AI103" s="145">
        <v>0</v>
      </c>
      <c r="AJ103" s="145">
        <v>0</v>
      </c>
      <c r="AK103" s="145">
        <v>1</v>
      </c>
      <c r="AL103" s="145">
        <v>0</v>
      </c>
      <c r="AM103" s="145">
        <v>1</v>
      </c>
      <c r="AN103" s="145">
        <v>1</v>
      </c>
      <c r="AO103" s="145">
        <v>1</v>
      </c>
      <c r="AP103" s="145">
        <v>1</v>
      </c>
      <c r="AQ103" s="145">
        <v>0</v>
      </c>
      <c r="AR103" s="145">
        <v>1</v>
      </c>
      <c r="AS103" s="145">
        <v>1</v>
      </c>
      <c r="AT103" s="145">
        <v>1</v>
      </c>
      <c r="AU103" s="145">
        <f t="shared" si="19"/>
        <v>0</v>
      </c>
      <c r="AV103" s="145">
        <f t="shared" si="20"/>
        <v>1</v>
      </c>
      <c r="AW103" s="145">
        <f t="shared" si="21"/>
        <v>1</v>
      </c>
      <c r="AX103" s="145">
        <f t="shared" si="32"/>
        <v>1</v>
      </c>
      <c r="AY103" s="145">
        <f t="shared" si="22"/>
        <v>1</v>
      </c>
      <c r="AZ103" s="145">
        <f t="shared" si="23"/>
        <v>1</v>
      </c>
      <c r="BA103" s="146">
        <f t="shared" si="24"/>
        <v>1</v>
      </c>
      <c r="BB103" s="149">
        <f t="shared" si="25"/>
        <v>16</v>
      </c>
      <c r="BC103" s="150">
        <f t="shared" si="26"/>
        <v>15</v>
      </c>
      <c r="BD103" s="150">
        <f t="shared" si="27"/>
        <v>16</v>
      </c>
      <c r="BE103" s="211" t="str">
        <f t="shared" si="28"/>
        <v/>
      </c>
      <c r="BH103" s="166">
        <f>IF(AND(Input_Product=Elig!$C103,Elig_MatchAll_Ct&lt;22,$BC103=(Elig_MatchAll_Ct-1),AF103=0),C103,0)</f>
        <v>0</v>
      </c>
      <c r="BI103" s="167">
        <f>IF(AND(Input_Product=Elig!$C103,Elig_MatchAll_Ct&lt;22,$BC103=(Elig_MatchAll_Ct-1),AG103=0),D103,0)</f>
        <v>0</v>
      </c>
      <c r="BJ103" s="167">
        <f>IF(AND(Input_Product=Elig!$C103,Elig_MatchAll_Ct&lt;22,$BC103=(Elig_MatchAll_Ct-1),AH103=0),E103,0)</f>
        <v>0</v>
      </c>
      <c r="BK103" s="167">
        <f>IF(AND(Input_Product=Elig!$C103,Elig_MatchAll_Ct&lt;22,$BC103=(Elig_MatchAll_Ct-1),AI103=0),F103,0)</f>
        <v>0</v>
      </c>
      <c r="BL103" s="167">
        <f>IF(AND(Input_Product=Elig!$C103,Elig_MatchAll_Ct&lt;22,$BC103=(Elig_MatchAll_Ct-1),AJ103=0),G103,0)</f>
        <v>0</v>
      </c>
      <c r="BM103" s="167">
        <f>IF(AND(Input_Product=Elig!$C103,Elig_MatchAll_Ct&lt;22,$BC103=(Elig_MatchAll_Ct-1),AK103=0),H103,0)</f>
        <v>0</v>
      </c>
      <c r="BN103" s="167">
        <f>IF(AND(Input_Product=Elig!$C103,Elig_MatchAll_Ct&lt;22,$BC103=(Elig_MatchAll_Ct-1),AL103=0),I103,0)</f>
        <v>0</v>
      </c>
      <c r="BO103" s="167">
        <f>IF(AND(Input_Product=Elig!$C103,Elig_MatchAll_Ct&lt;22,$BC103=(Elig_MatchAll_Ct-1),AM103=0),J103,0)</f>
        <v>0</v>
      </c>
      <c r="BP103" s="167">
        <f>IF(AND(Input_Product=Elig!$C103,Elig_MatchAll_Ct&lt;22,$BC103=(Elig_MatchAll_Ct-1),AN103=0),K103,0)</f>
        <v>0</v>
      </c>
      <c r="BQ103" s="167">
        <f>IF(AND(Input_Product=Elig!$C103,Elig_MatchAll_Ct&lt;22,$BC103=(Elig_MatchAll_Ct-1),AP103=0),L103,0)</f>
        <v>0</v>
      </c>
      <c r="BR103" s="167">
        <f>IF(AND(Input_Product=Elig!$C103,Elig_MatchAll_Ct&lt;22,$BC103=(Elig_MatchAll_Ct-1),AO103=0),M103,0)</f>
        <v>0</v>
      </c>
      <c r="BS103" s="167">
        <f>IF(AND(Input_Product=Elig!$C103,Elig_MatchAll_Ct&lt;22,$BC103=(Elig_MatchAll_Ct-1),AQ103=0),N103,0)</f>
        <v>0</v>
      </c>
      <c r="BT103" s="167">
        <f>IF(AND(Input_Product=Elig!$C103,Elig_MatchAll_Ct&lt;22,$BC103=(Elig_MatchAll_Ct-1),AR103=0),O103,0)</f>
        <v>0</v>
      </c>
      <c r="BU103" s="167">
        <f>IF(AND(Input_Product=Elig!$C103,Elig_MatchAll_Ct&lt;22,$BC103=(Elig_MatchAll_Ct-1),AS103=0),P103,0)</f>
        <v>0</v>
      </c>
      <c r="BV103" s="168">
        <f>IF(AND(Input_Product=Elig!$C103,Elig_MatchAll_Ct&lt;22,$BC103=(Elig_MatchAll_Ct-1),AT103=0),Q103,0)</f>
        <v>0</v>
      </c>
      <c r="BW103" s="169">
        <f>IF(AND(Input_Product=Elig!$C103,Elig_MatchAll_Ct&lt;22,$BC103=(Elig_MatchAll_Ct-1),AU103=0),R103,0)</f>
        <v>0</v>
      </c>
      <c r="BX103" s="170">
        <f>IF(AND(Input_Product=Elig!$C103,Elig_MatchAll_Ct&lt;22,$BC103=(Elig_MatchAll_Ct-1),AU103=0),S103,0)</f>
        <v>0</v>
      </c>
      <c r="BY103" s="169">
        <f>IF(AND(Input_Product=Elig!$C103,Elig_MatchAll_Ct&lt;22,$BC103=(Elig_MatchAll_Ct-1),AV103=0),T103,0)</f>
        <v>0</v>
      </c>
      <c r="BZ103" s="170">
        <f>IF(AND(Input_Product=Elig!$C103,Elig_MatchAll_Ct&lt;22,$BC103=(Elig_MatchAll_Ct-1),AV103=0),U103,0)</f>
        <v>0</v>
      </c>
      <c r="CA103" s="169">
        <f>IF(AND(Input_Product=Elig!$C103,Elig_MatchAll_Ct&lt;22,$BC103=(Elig_MatchAll_Ct-1),AW103=0),V103,0)</f>
        <v>0</v>
      </c>
      <c r="CB103" s="170">
        <f>IF(AND(Input_Product=Elig!$C103,Elig_MatchAll_Ct&lt;22,$BC103=(Elig_MatchAll_Ct-1),AW103=0),W103,0)</f>
        <v>0</v>
      </c>
      <c r="CC103" s="169">
        <f>IF(AND(Input_Product=Elig!$C103,Elig_MatchAll_Ct&lt;22,$BC103=(Elig_MatchAll_Ct-1),AX103=0),X103,0)</f>
        <v>0</v>
      </c>
      <c r="CD103" s="170">
        <f>IF(AND(Input_Product=Elig!$C103,Elig_MatchAll_Ct&lt;22,$BC103=(Elig_MatchAll_Ct-1),AX103=0),Y103,0)</f>
        <v>0</v>
      </c>
      <c r="CE103" s="169">
        <f>IF(AND(Input_LTV&lt;=AE103,Input_Product=Elig!$C103,Elig_MatchAll_Ct&lt;22,$BC103=(Elig_MatchAll_Ct-1),AY103=0),Z103,0)</f>
        <v>0</v>
      </c>
      <c r="CF103" s="170">
        <f>IF(AND(Input_LTV&lt;=AE103,Input_Product=Elig!$C103,Elig_MatchAll_Ct&lt;22,$BC103=(Elig_MatchAll_Ct-1),AY103=0),AA103,0)</f>
        <v>0</v>
      </c>
      <c r="CG103" s="169">
        <f>IF(AND(Input_Product=Elig!$C103,Elig_MatchAll_Ct&lt;22,$BC103=(Elig_MatchAll_Ct-1),AZ103=0),AB103,0)</f>
        <v>0</v>
      </c>
      <c r="CH103" s="170">
        <f>IF(AND(Input_Product=Elig!$C103,Elig_MatchAll_Ct&lt;22,$BC103=(Elig_MatchAll_Ct-1),AZ103=0),AC103,0)</f>
        <v>0</v>
      </c>
      <c r="CI103" s="169">
        <f>IF(AND(Input_Product=Elig!$C103,Elig_MatchAll_Ct&lt;22,$BC103=(Elig_MatchAll_Ct-1),BA103=0),AD103,0)</f>
        <v>0</v>
      </c>
      <c r="CJ103" s="171">
        <f>IF(AND(Input_Product=Elig!$C103,Elig_MatchAll_Ct&lt;22,$BC103=(Elig_MatchAll_Ct-1),BA103=0),AE103,0)</f>
        <v>0</v>
      </c>
    </row>
    <row r="104" spans="1:88" ht="10.15" customHeight="1" x14ac:dyDescent="0.25">
      <c r="A104" s="1419" t="s">
        <v>76</v>
      </c>
      <c r="B104" s="1419" t="s">
        <v>2032</v>
      </c>
      <c r="C104" s="116" t="str">
        <f t="shared" si="30"/>
        <v>NonQM OO</v>
      </c>
      <c r="D104" s="117" t="s">
        <v>1995</v>
      </c>
      <c r="E104" s="117" t="s">
        <v>166</v>
      </c>
      <c r="F104" s="117" t="s">
        <v>330</v>
      </c>
      <c r="G104" s="117" t="s">
        <v>178</v>
      </c>
      <c r="H104" s="117" t="s">
        <v>135</v>
      </c>
      <c r="I104" s="118" t="s">
        <v>16</v>
      </c>
      <c r="J104" s="118" t="s">
        <v>1130</v>
      </c>
      <c r="K104" s="118" t="s">
        <v>1398</v>
      </c>
      <c r="L104" s="117" t="s">
        <v>2025</v>
      </c>
      <c r="M104" s="117" t="s">
        <v>2289</v>
      </c>
      <c r="N104" s="117" t="s">
        <v>82</v>
      </c>
      <c r="O104" s="117" t="s">
        <v>309</v>
      </c>
      <c r="P104" s="117" t="s">
        <v>2433</v>
      </c>
      <c r="Q104" s="117" t="s">
        <v>293</v>
      </c>
      <c r="R104" s="117">
        <v>1000000.01</v>
      </c>
      <c r="S104" s="117">
        <v>1500000</v>
      </c>
      <c r="T104" s="117">
        <v>0</v>
      </c>
      <c r="U104" s="117">
        <f t="shared" si="35"/>
        <v>1500000</v>
      </c>
      <c r="V104" s="117">
        <v>0</v>
      </c>
      <c r="W104" s="117">
        <v>55</v>
      </c>
      <c r="X104" s="117">
        <v>0</v>
      </c>
      <c r="Y104" s="117">
        <v>999</v>
      </c>
      <c r="Z104" s="119">
        <v>700</v>
      </c>
      <c r="AA104" s="119">
        <v>719</v>
      </c>
      <c r="AB104" s="1877">
        <v>0</v>
      </c>
      <c r="AC104" s="119">
        <v>999999</v>
      </c>
      <c r="AD104" s="117">
        <v>0</v>
      </c>
      <c r="AE104" s="117">
        <v>75</v>
      </c>
      <c r="AF104" s="144">
        <v>0</v>
      </c>
      <c r="AG104" s="145">
        <v>1</v>
      </c>
      <c r="AH104" s="145">
        <v>1</v>
      </c>
      <c r="AI104" s="145">
        <v>0</v>
      </c>
      <c r="AJ104" s="145">
        <v>0</v>
      </c>
      <c r="AK104" s="145">
        <v>1</v>
      </c>
      <c r="AL104" s="145">
        <v>0</v>
      </c>
      <c r="AM104" s="145">
        <v>1</v>
      </c>
      <c r="AN104" s="145">
        <v>1</v>
      </c>
      <c r="AO104" s="145">
        <v>1</v>
      </c>
      <c r="AP104" s="145">
        <v>1</v>
      </c>
      <c r="AQ104" s="145">
        <v>0</v>
      </c>
      <c r="AR104" s="145">
        <v>1</v>
      </c>
      <c r="AS104" s="145">
        <v>1</v>
      </c>
      <c r="AT104" s="145">
        <v>1</v>
      </c>
      <c r="AU104" s="145">
        <f t="shared" si="19"/>
        <v>0</v>
      </c>
      <c r="AV104" s="145">
        <f t="shared" si="20"/>
        <v>1</v>
      </c>
      <c r="AW104" s="145">
        <f t="shared" si="21"/>
        <v>1</v>
      </c>
      <c r="AX104" s="145">
        <f t="shared" si="32"/>
        <v>1</v>
      </c>
      <c r="AY104" s="145">
        <f t="shared" si="22"/>
        <v>0</v>
      </c>
      <c r="AZ104" s="145">
        <f t="shared" si="23"/>
        <v>1</v>
      </c>
      <c r="BA104" s="146">
        <f t="shared" si="24"/>
        <v>1</v>
      </c>
      <c r="BB104" s="149">
        <f t="shared" si="25"/>
        <v>15</v>
      </c>
      <c r="BC104" s="150">
        <f t="shared" si="26"/>
        <v>14</v>
      </c>
      <c r="BD104" s="150">
        <f t="shared" si="27"/>
        <v>15</v>
      </c>
      <c r="BE104" s="211" t="str">
        <f t="shared" si="28"/>
        <v/>
      </c>
      <c r="BH104" s="172">
        <f>IF(AND(Input_Product=Elig!$C104,Elig_MatchAll_Ct&lt;22,$BC104=(Elig_MatchAll_Ct-1),AF104=0),C104,0)</f>
        <v>0</v>
      </c>
      <c r="BI104" s="173">
        <f>IF(AND(Input_Product=Elig!$C104,Elig_MatchAll_Ct&lt;22,$BC104=(Elig_MatchAll_Ct-1),AG104=0),D104,0)</f>
        <v>0</v>
      </c>
      <c r="BJ104" s="173">
        <f>IF(AND(Input_Product=Elig!$C104,Elig_MatchAll_Ct&lt;22,$BC104=(Elig_MatchAll_Ct-1),AH104=0),E104,0)</f>
        <v>0</v>
      </c>
      <c r="BK104" s="173">
        <f>IF(AND(Input_Product=Elig!$C104,Elig_MatchAll_Ct&lt;22,$BC104=(Elig_MatchAll_Ct-1),AI104=0),F104,0)</f>
        <v>0</v>
      </c>
      <c r="BL104" s="173">
        <f>IF(AND(Input_Product=Elig!$C104,Elig_MatchAll_Ct&lt;22,$BC104=(Elig_MatchAll_Ct-1),AJ104=0),G104,0)</f>
        <v>0</v>
      </c>
      <c r="BM104" s="173">
        <f>IF(AND(Input_Product=Elig!$C104,Elig_MatchAll_Ct&lt;22,$BC104=(Elig_MatchAll_Ct-1),AK104=0),H104,0)</f>
        <v>0</v>
      </c>
      <c r="BN104" s="173">
        <f>IF(AND(Input_Product=Elig!$C104,Elig_MatchAll_Ct&lt;22,$BC104=(Elig_MatchAll_Ct-1),AL104=0),I104,0)</f>
        <v>0</v>
      </c>
      <c r="BO104" s="173">
        <f>IF(AND(Input_Product=Elig!$C104,Elig_MatchAll_Ct&lt;22,$BC104=(Elig_MatchAll_Ct-1),AM104=0),J104,0)</f>
        <v>0</v>
      </c>
      <c r="BP104" s="173">
        <f>IF(AND(Input_Product=Elig!$C104,Elig_MatchAll_Ct&lt;22,$BC104=(Elig_MatchAll_Ct-1),AN104=0),K104,0)</f>
        <v>0</v>
      </c>
      <c r="BQ104" s="173">
        <f>IF(AND(Input_Product=Elig!$C104,Elig_MatchAll_Ct&lt;22,$BC104=(Elig_MatchAll_Ct-1),AP104=0),L104,0)</f>
        <v>0</v>
      </c>
      <c r="BR104" s="173">
        <f>IF(AND(Input_Product=Elig!$C104,Elig_MatchAll_Ct&lt;22,$BC104=(Elig_MatchAll_Ct-1),AO104=0),M104,0)</f>
        <v>0</v>
      </c>
      <c r="BS104" s="173">
        <f>IF(AND(Input_Product=Elig!$C104,Elig_MatchAll_Ct&lt;22,$BC104=(Elig_MatchAll_Ct-1),AQ104=0),N104,0)</f>
        <v>0</v>
      </c>
      <c r="BT104" s="173">
        <f>IF(AND(Input_Product=Elig!$C104,Elig_MatchAll_Ct&lt;22,$BC104=(Elig_MatchAll_Ct-1),AR104=0),O104,0)</f>
        <v>0</v>
      </c>
      <c r="BU104" s="173">
        <f>IF(AND(Input_Product=Elig!$C104,Elig_MatchAll_Ct&lt;22,$BC104=(Elig_MatchAll_Ct-1),AS104=0),P104,0)</f>
        <v>0</v>
      </c>
      <c r="BV104" s="174">
        <f>IF(AND(Input_Product=Elig!$C104,Elig_MatchAll_Ct&lt;22,$BC104=(Elig_MatchAll_Ct-1),AT104=0),Q104,0)</f>
        <v>0</v>
      </c>
      <c r="BW104" s="175">
        <f>IF(AND(Input_Product=Elig!$C104,Elig_MatchAll_Ct&lt;22,$BC104=(Elig_MatchAll_Ct-1),AU104=0),R104,0)</f>
        <v>0</v>
      </c>
      <c r="BX104" s="176">
        <f>IF(AND(Input_Product=Elig!$C104,Elig_MatchAll_Ct&lt;22,$BC104=(Elig_MatchAll_Ct-1),AU104=0),S104,0)</f>
        <v>0</v>
      </c>
      <c r="BY104" s="175">
        <f>IF(AND(Input_Product=Elig!$C104,Elig_MatchAll_Ct&lt;22,$BC104=(Elig_MatchAll_Ct-1),AV104=0),T104,0)</f>
        <v>0</v>
      </c>
      <c r="BZ104" s="176">
        <f>IF(AND(Input_Product=Elig!$C104,Elig_MatchAll_Ct&lt;22,$BC104=(Elig_MatchAll_Ct-1),AV104=0),U104,0)</f>
        <v>0</v>
      </c>
      <c r="CA104" s="175">
        <f>IF(AND(Input_Product=Elig!$C104,Elig_MatchAll_Ct&lt;22,$BC104=(Elig_MatchAll_Ct-1),AW104=0),V104,0)</f>
        <v>0</v>
      </c>
      <c r="CB104" s="176">
        <f>IF(AND(Input_Product=Elig!$C104,Elig_MatchAll_Ct&lt;22,$BC104=(Elig_MatchAll_Ct-1),AW104=0),W104,0)</f>
        <v>0</v>
      </c>
      <c r="CC104" s="175">
        <f>IF(AND(Input_Product=Elig!$C104,Elig_MatchAll_Ct&lt;22,$BC104=(Elig_MatchAll_Ct-1),AX104=0),X104,0)</f>
        <v>0</v>
      </c>
      <c r="CD104" s="176">
        <f>IF(AND(Input_Product=Elig!$C104,Elig_MatchAll_Ct&lt;22,$BC104=(Elig_MatchAll_Ct-1),AX104=0),Y104,0)</f>
        <v>0</v>
      </c>
      <c r="CE104" s="175">
        <f>IF(AND(Input_LTV&lt;=AE104,Input_Product=Elig!$C104,Elig_MatchAll_Ct&lt;22,$BC104=(Elig_MatchAll_Ct-1),AY104=0),Z104,0)</f>
        <v>0</v>
      </c>
      <c r="CF104" s="176">
        <f>IF(AND(Input_LTV&lt;=AE104,Input_Product=Elig!$C104,Elig_MatchAll_Ct&lt;22,$BC104=(Elig_MatchAll_Ct-1),AY104=0),AA104,0)</f>
        <v>0</v>
      </c>
      <c r="CG104" s="175">
        <f>IF(AND(Input_Product=Elig!$C104,Elig_MatchAll_Ct&lt;22,$BC104=(Elig_MatchAll_Ct-1),AZ104=0),AB104,0)</f>
        <v>0</v>
      </c>
      <c r="CH104" s="176">
        <f>IF(AND(Input_Product=Elig!$C104,Elig_MatchAll_Ct&lt;22,$BC104=(Elig_MatchAll_Ct-1),AZ104=0),AC104,0)</f>
        <v>0</v>
      </c>
      <c r="CI104" s="175">
        <f>IF(AND(Input_Product=Elig!$C104,Elig_MatchAll_Ct&lt;22,$BC104=(Elig_MatchAll_Ct-1),BA104=0),AD104,0)</f>
        <v>0</v>
      </c>
      <c r="CJ104" s="177">
        <f>IF(AND(Input_Product=Elig!$C104,Elig_MatchAll_Ct&lt;22,$BC104=(Elig_MatchAll_Ct-1),BA104=0),AE104,0)</f>
        <v>0</v>
      </c>
    </row>
    <row r="105" spans="1:88" ht="10.15" customHeight="1" x14ac:dyDescent="0.25">
      <c r="A105" s="1419" t="s">
        <v>76</v>
      </c>
      <c r="B105" s="1419" t="s">
        <v>2033</v>
      </c>
      <c r="C105" s="116" t="str">
        <f t="shared" si="30"/>
        <v>NonQM OO</v>
      </c>
      <c r="D105" s="117" t="s">
        <v>1995</v>
      </c>
      <c r="E105" s="117" t="s">
        <v>166</v>
      </c>
      <c r="F105" s="117" t="s">
        <v>330</v>
      </c>
      <c r="G105" s="117" t="s">
        <v>178</v>
      </c>
      <c r="H105" s="117" t="s">
        <v>135</v>
      </c>
      <c r="I105" s="118" t="s">
        <v>16</v>
      </c>
      <c r="J105" s="118" t="s">
        <v>1130</v>
      </c>
      <c r="K105" s="118" t="s">
        <v>1398</v>
      </c>
      <c r="L105" s="117" t="s">
        <v>2025</v>
      </c>
      <c r="M105" s="117" t="s">
        <v>2289</v>
      </c>
      <c r="N105" s="117" t="s">
        <v>82</v>
      </c>
      <c r="O105" s="117" t="s">
        <v>309</v>
      </c>
      <c r="P105" s="117" t="s">
        <v>2433</v>
      </c>
      <c r="Q105" s="117" t="s">
        <v>293</v>
      </c>
      <c r="R105" s="117">
        <v>1000000.01</v>
      </c>
      <c r="S105" s="117">
        <v>1500000</v>
      </c>
      <c r="T105" s="117">
        <v>0</v>
      </c>
      <c r="U105" s="117">
        <f t="shared" si="35"/>
        <v>1500000</v>
      </c>
      <c r="V105" s="117">
        <v>0</v>
      </c>
      <c r="W105" s="117">
        <v>55</v>
      </c>
      <c r="X105" s="117">
        <v>0</v>
      </c>
      <c r="Y105" s="117">
        <v>999</v>
      </c>
      <c r="Z105" s="119">
        <v>680</v>
      </c>
      <c r="AA105" s="119">
        <v>699</v>
      </c>
      <c r="AB105" s="1877">
        <v>0</v>
      </c>
      <c r="AC105" s="119">
        <v>999999</v>
      </c>
      <c r="AD105" s="117">
        <v>0</v>
      </c>
      <c r="AE105" s="117">
        <v>70</v>
      </c>
      <c r="AF105" s="144">
        <v>0</v>
      </c>
      <c r="AG105" s="145">
        <v>1</v>
      </c>
      <c r="AH105" s="145">
        <v>1</v>
      </c>
      <c r="AI105" s="145">
        <v>0</v>
      </c>
      <c r="AJ105" s="145">
        <v>0</v>
      </c>
      <c r="AK105" s="145">
        <v>1</v>
      </c>
      <c r="AL105" s="145">
        <v>0</v>
      </c>
      <c r="AM105" s="145">
        <v>1</v>
      </c>
      <c r="AN105" s="145">
        <v>1</v>
      </c>
      <c r="AO105" s="145">
        <v>1</v>
      </c>
      <c r="AP105" s="145">
        <v>1</v>
      </c>
      <c r="AQ105" s="145">
        <v>0</v>
      </c>
      <c r="AR105" s="145">
        <v>1</v>
      </c>
      <c r="AS105" s="145">
        <v>1</v>
      </c>
      <c r="AT105" s="145">
        <v>1</v>
      </c>
      <c r="AU105" s="145">
        <f t="shared" si="19"/>
        <v>0</v>
      </c>
      <c r="AV105" s="145">
        <f t="shared" si="20"/>
        <v>1</v>
      </c>
      <c r="AW105" s="145">
        <f t="shared" si="21"/>
        <v>1</v>
      </c>
      <c r="AX105" s="145">
        <f t="shared" si="32"/>
        <v>1</v>
      </c>
      <c r="AY105" s="145">
        <f t="shared" si="22"/>
        <v>0</v>
      </c>
      <c r="AZ105" s="145">
        <f t="shared" si="23"/>
        <v>1</v>
      </c>
      <c r="BA105" s="146">
        <f t="shared" si="24"/>
        <v>1</v>
      </c>
      <c r="BB105" s="149">
        <f t="shared" si="25"/>
        <v>15</v>
      </c>
      <c r="BC105" s="150">
        <f t="shared" si="26"/>
        <v>14</v>
      </c>
      <c r="BD105" s="150">
        <f t="shared" si="27"/>
        <v>15</v>
      </c>
      <c r="BE105" s="211" t="str">
        <f t="shared" si="28"/>
        <v/>
      </c>
      <c r="BH105" s="172">
        <f>IF(AND(Input_Product=Elig!$C105,Elig_MatchAll_Ct&lt;22,$BC105=(Elig_MatchAll_Ct-1),AF105=0),C105,0)</f>
        <v>0</v>
      </c>
      <c r="BI105" s="173">
        <f>IF(AND(Input_Product=Elig!$C105,Elig_MatchAll_Ct&lt;22,$BC105=(Elig_MatchAll_Ct-1),AG105=0),D105,0)</f>
        <v>0</v>
      </c>
      <c r="BJ105" s="173">
        <f>IF(AND(Input_Product=Elig!$C105,Elig_MatchAll_Ct&lt;22,$BC105=(Elig_MatchAll_Ct-1),AH105=0),E105,0)</f>
        <v>0</v>
      </c>
      <c r="BK105" s="173">
        <f>IF(AND(Input_Product=Elig!$C105,Elig_MatchAll_Ct&lt;22,$BC105=(Elig_MatchAll_Ct-1),AI105=0),F105,0)</f>
        <v>0</v>
      </c>
      <c r="BL105" s="173">
        <f>IF(AND(Input_Product=Elig!$C105,Elig_MatchAll_Ct&lt;22,$BC105=(Elig_MatchAll_Ct-1),AJ105=0),G105,0)</f>
        <v>0</v>
      </c>
      <c r="BM105" s="173">
        <f>IF(AND(Input_Product=Elig!$C105,Elig_MatchAll_Ct&lt;22,$BC105=(Elig_MatchAll_Ct-1),AK105=0),H105,0)</f>
        <v>0</v>
      </c>
      <c r="BN105" s="173">
        <f>IF(AND(Input_Product=Elig!$C105,Elig_MatchAll_Ct&lt;22,$BC105=(Elig_MatchAll_Ct-1),AL105=0),I105,0)</f>
        <v>0</v>
      </c>
      <c r="BO105" s="173">
        <f>IF(AND(Input_Product=Elig!$C105,Elig_MatchAll_Ct&lt;22,$BC105=(Elig_MatchAll_Ct-1),AM105=0),J105,0)</f>
        <v>0</v>
      </c>
      <c r="BP105" s="173">
        <f>IF(AND(Input_Product=Elig!$C105,Elig_MatchAll_Ct&lt;22,$BC105=(Elig_MatchAll_Ct-1),AN105=0),K105,0)</f>
        <v>0</v>
      </c>
      <c r="BQ105" s="173">
        <f>IF(AND(Input_Product=Elig!$C105,Elig_MatchAll_Ct&lt;22,$BC105=(Elig_MatchAll_Ct-1),AP105=0),L105,0)</f>
        <v>0</v>
      </c>
      <c r="BR105" s="173">
        <f>IF(AND(Input_Product=Elig!$C105,Elig_MatchAll_Ct&lt;22,$BC105=(Elig_MatchAll_Ct-1),AO105=0),M105,0)</f>
        <v>0</v>
      </c>
      <c r="BS105" s="173">
        <f>IF(AND(Input_Product=Elig!$C105,Elig_MatchAll_Ct&lt;22,$BC105=(Elig_MatchAll_Ct-1),AQ105=0),N105,0)</f>
        <v>0</v>
      </c>
      <c r="BT105" s="173">
        <f>IF(AND(Input_Product=Elig!$C105,Elig_MatchAll_Ct&lt;22,$BC105=(Elig_MatchAll_Ct-1),AR105=0),O105,0)</f>
        <v>0</v>
      </c>
      <c r="BU105" s="173">
        <f>IF(AND(Input_Product=Elig!$C105,Elig_MatchAll_Ct&lt;22,$BC105=(Elig_MatchAll_Ct-1),AS105=0),P105,0)</f>
        <v>0</v>
      </c>
      <c r="BV105" s="174">
        <f>IF(AND(Input_Product=Elig!$C105,Elig_MatchAll_Ct&lt;22,$BC105=(Elig_MatchAll_Ct-1),AT105=0),Q105,0)</f>
        <v>0</v>
      </c>
      <c r="BW105" s="175">
        <f>IF(AND(Input_Product=Elig!$C105,Elig_MatchAll_Ct&lt;22,$BC105=(Elig_MatchAll_Ct-1),AU105=0),R105,0)</f>
        <v>0</v>
      </c>
      <c r="BX105" s="176">
        <f>IF(AND(Input_Product=Elig!$C105,Elig_MatchAll_Ct&lt;22,$BC105=(Elig_MatchAll_Ct-1),AU105=0),S105,0)</f>
        <v>0</v>
      </c>
      <c r="BY105" s="175">
        <f>IF(AND(Input_Product=Elig!$C105,Elig_MatchAll_Ct&lt;22,$BC105=(Elig_MatchAll_Ct-1),AV105=0),T105,0)</f>
        <v>0</v>
      </c>
      <c r="BZ105" s="176">
        <f>IF(AND(Input_Product=Elig!$C105,Elig_MatchAll_Ct&lt;22,$BC105=(Elig_MatchAll_Ct-1),AV105=0),U105,0)</f>
        <v>0</v>
      </c>
      <c r="CA105" s="175">
        <f>IF(AND(Input_Product=Elig!$C105,Elig_MatchAll_Ct&lt;22,$BC105=(Elig_MatchAll_Ct-1),AW105=0),V105,0)</f>
        <v>0</v>
      </c>
      <c r="CB105" s="176">
        <f>IF(AND(Input_Product=Elig!$C105,Elig_MatchAll_Ct&lt;22,$BC105=(Elig_MatchAll_Ct-1),AW105=0),W105,0)</f>
        <v>0</v>
      </c>
      <c r="CC105" s="175">
        <f>IF(AND(Input_Product=Elig!$C105,Elig_MatchAll_Ct&lt;22,$BC105=(Elig_MatchAll_Ct-1),AX105=0),X105,0)</f>
        <v>0</v>
      </c>
      <c r="CD105" s="176">
        <f>IF(AND(Input_Product=Elig!$C105,Elig_MatchAll_Ct&lt;22,$BC105=(Elig_MatchAll_Ct-1),AX105=0),Y105,0)</f>
        <v>0</v>
      </c>
      <c r="CE105" s="175">
        <f>IF(AND(Input_LTV&lt;=AE105,Input_Product=Elig!$C105,Elig_MatchAll_Ct&lt;22,$BC105=(Elig_MatchAll_Ct-1),AY105=0),Z105,0)</f>
        <v>0</v>
      </c>
      <c r="CF105" s="176">
        <f>IF(AND(Input_LTV&lt;=AE105,Input_Product=Elig!$C105,Elig_MatchAll_Ct&lt;22,$BC105=(Elig_MatchAll_Ct-1),AY105=0),AA105,0)</f>
        <v>0</v>
      </c>
      <c r="CG105" s="175">
        <f>IF(AND(Input_Product=Elig!$C105,Elig_MatchAll_Ct&lt;22,$BC105=(Elig_MatchAll_Ct-1),AZ105=0),AB105,0)</f>
        <v>0</v>
      </c>
      <c r="CH105" s="176">
        <f>IF(AND(Input_Product=Elig!$C105,Elig_MatchAll_Ct&lt;22,$BC105=(Elig_MatchAll_Ct-1),AZ105=0),AC105,0)</f>
        <v>0</v>
      </c>
      <c r="CI105" s="175">
        <f>IF(AND(Input_Product=Elig!$C105,Elig_MatchAll_Ct&lt;22,$BC105=(Elig_MatchAll_Ct-1),BA105=0),AD105,0)</f>
        <v>0</v>
      </c>
      <c r="CJ105" s="177">
        <f>IF(AND(Input_Product=Elig!$C105,Elig_MatchAll_Ct&lt;22,$BC105=(Elig_MatchAll_Ct-1),BA105=0),AE105,0)</f>
        <v>0</v>
      </c>
    </row>
    <row r="106" spans="1:88" ht="10.15" customHeight="1" x14ac:dyDescent="0.25">
      <c r="A106" s="1419" t="s">
        <v>76</v>
      </c>
      <c r="B106" s="1419" t="s">
        <v>2034</v>
      </c>
      <c r="C106" s="129" t="str">
        <f t="shared" si="30"/>
        <v>NonQM OO</v>
      </c>
      <c r="D106" s="130" t="s">
        <v>1995</v>
      </c>
      <c r="E106" s="130" t="s">
        <v>166</v>
      </c>
      <c r="F106" s="130" t="s">
        <v>330</v>
      </c>
      <c r="G106" s="117" t="s">
        <v>178</v>
      </c>
      <c r="H106" s="130" t="s">
        <v>135</v>
      </c>
      <c r="I106" s="131" t="s">
        <v>16</v>
      </c>
      <c r="J106" s="131" t="s">
        <v>1130</v>
      </c>
      <c r="K106" s="131" t="s">
        <v>1398</v>
      </c>
      <c r="L106" s="130" t="s">
        <v>2025</v>
      </c>
      <c r="M106" s="130" t="s">
        <v>2289</v>
      </c>
      <c r="N106" s="130" t="s">
        <v>82</v>
      </c>
      <c r="O106" s="130" t="s">
        <v>309</v>
      </c>
      <c r="P106" s="130" t="s">
        <v>2433</v>
      </c>
      <c r="Q106" s="130" t="s">
        <v>293</v>
      </c>
      <c r="R106" s="130">
        <v>1000000.01</v>
      </c>
      <c r="S106" s="130">
        <v>1500000</v>
      </c>
      <c r="T106" s="130">
        <v>0</v>
      </c>
      <c r="U106" s="130">
        <f t="shared" si="35"/>
        <v>1500000</v>
      </c>
      <c r="V106" s="130">
        <v>0</v>
      </c>
      <c r="W106" s="130">
        <v>55</v>
      </c>
      <c r="X106" s="130">
        <v>0</v>
      </c>
      <c r="Y106" s="130">
        <v>999</v>
      </c>
      <c r="Z106" s="119">
        <v>660</v>
      </c>
      <c r="AA106" s="119">
        <v>679</v>
      </c>
      <c r="AB106" s="1877">
        <v>0</v>
      </c>
      <c r="AC106" s="119">
        <v>999999</v>
      </c>
      <c r="AD106" s="117">
        <v>0</v>
      </c>
      <c r="AE106" s="117">
        <v>65</v>
      </c>
      <c r="AF106" s="144">
        <v>0</v>
      </c>
      <c r="AG106" s="145">
        <v>1</v>
      </c>
      <c r="AH106" s="145">
        <v>1</v>
      </c>
      <c r="AI106" s="145">
        <v>0</v>
      </c>
      <c r="AJ106" s="145">
        <v>0</v>
      </c>
      <c r="AK106" s="145">
        <v>1</v>
      </c>
      <c r="AL106" s="145">
        <v>0</v>
      </c>
      <c r="AM106" s="145">
        <v>1</v>
      </c>
      <c r="AN106" s="145">
        <v>1</v>
      </c>
      <c r="AO106" s="145">
        <v>1</v>
      </c>
      <c r="AP106" s="145">
        <v>1</v>
      </c>
      <c r="AQ106" s="145">
        <v>0</v>
      </c>
      <c r="AR106" s="145">
        <v>1</v>
      </c>
      <c r="AS106" s="145">
        <v>1</v>
      </c>
      <c r="AT106" s="145">
        <v>1</v>
      </c>
      <c r="AU106" s="145">
        <f t="shared" si="19"/>
        <v>0</v>
      </c>
      <c r="AV106" s="145">
        <f t="shared" si="20"/>
        <v>1</v>
      </c>
      <c r="AW106" s="145">
        <f t="shared" si="21"/>
        <v>1</v>
      </c>
      <c r="AX106" s="145">
        <f t="shared" si="32"/>
        <v>1</v>
      </c>
      <c r="AY106" s="145">
        <f t="shared" si="22"/>
        <v>0</v>
      </c>
      <c r="AZ106" s="145">
        <f t="shared" si="23"/>
        <v>1</v>
      </c>
      <c r="BA106" s="146">
        <f t="shared" si="24"/>
        <v>0</v>
      </c>
      <c r="BB106" s="149">
        <f t="shared" si="25"/>
        <v>14</v>
      </c>
      <c r="BC106" s="150">
        <f t="shared" si="26"/>
        <v>14</v>
      </c>
      <c r="BD106" s="150">
        <f t="shared" si="27"/>
        <v>14</v>
      </c>
      <c r="BE106" s="211" t="str">
        <f t="shared" si="28"/>
        <v/>
      </c>
      <c r="BH106" s="172">
        <f>IF(AND(Input_Product=Elig!$C106,Elig_MatchAll_Ct&lt;22,$BC106=(Elig_MatchAll_Ct-1),AF106=0),C106,0)</f>
        <v>0</v>
      </c>
      <c r="BI106" s="173">
        <f>IF(AND(Input_Product=Elig!$C106,Elig_MatchAll_Ct&lt;22,$BC106=(Elig_MatchAll_Ct-1),AG106=0),D106,0)</f>
        <v>0</v>
      </c>
      <c r="BJ106" s="173">
        <f>IF(AND(Input_Product=Elig!$C106,Elig_MatchAll_Ct&lt;22,$BC106=(Elig_MatchAll_Ct-1),AH106=0),E106,0)</f>
        <v>0</v>
      </c>
      <c r="BK106" s="173">
        <f>IF(AND(Input_Product=Elig!$C106,Elig_MatchAll_Ct&lt;22,$BC106=(Elig_MatchAll_Ct-1),AI106=0),F106,0)</f>
        <v>0</v>
      </c>
      <c r="BL106" s="173">
        <f>IF(AND(Input_Product=Elig!$C106,Elig_MatchAll_Ct&lt;22,$BC106=(Elig_MatchAll_Ct-1),AJ106=0),G106,0)</f>
        <v>0</v>
      </c>
      <c r="BM106" s="173">
        <f>IF(AND(Input_Product=Elig!$C106,Elig_MatchAll_Ct&lt;22,$BC106=(Elig_MatchAll_Ct-1),AK106=0),H106,0)</f>
        <v>0</v>
      </c>
      <c r="BN106" s="173">
        <f>IF(AND(Input_Product=Elig!$C106,Elig_MatchAll_Ct&lt;22,$BC106=(Elig_MatchAll_Ct-1),AL106=0),I106,0)</f>
        <v>0</v>
      </c>
      <c r="BO106" s="173">
        <f>IF(AND(Input_Product=Elig!$C106,Elig_MatchAll_Ct&lt;22,$BC106=(Elig_MatchAll_Ct-1),AM106=0),J106,0)</f>
        <v>0</v>
      </c>
      <c r="BP106" s="173">
        <f>IF(AND(Input_Product=Elig!$C106,Elig_MatchAll_Ct&lt;22,$BC106=(Elig_MatchAll_Ct-1),AN106=0),K106,0)</f>
        <v>0</v>
      </c>
      <c r="BQ106" s="173">
        <f>IF(AND(Input_Product=Elig!$C106,Elig_MatchAll_Ct&lt;22,$BC106=(Elig_MatchAll_Ct-1),AP106=0),L106,0)</f>
        <v>0</v>
      </c>
      <c r="BR106" s="173">
        <f>IF(AND(Input_Product=Elig!$C106,Elig_MatchAll_Ct&lt;22,$BC106=(Elig_MatchAll_Ct-1),AO106=0),M106,0)</f>
        <v>0</v>
      </c>
      <c r="BS106" s="173">
        <f>IF(AND(Input_Product=Elig!$C106,Elig_MatchAll_Ct&lt;22,$BC106=(Elig_MatchAll_Ct-1),AQ106=0),N106,0)</f>
        <v>0</v>
      </c>
      <c r="BT106" s="173">
        <f>IF(AND(Input_Product=Elig!$C106,Elig_MatchAll_Ct&lt;22,$BC106=(Elig_MatchAll_Ct-1),AR106=0),O106,0)</f>
        <v>0</v>
      </c>
      <c r="BU106" s="173">
        <f>IF(AND(Input_Product=Elig!$C106,Elig_MatchAll_Ct&lt;22,$BC106=(Elig_MatchAll_Ct-1),AS106=0),P106,0)</f>
        <v>0</v>
      </c>
      <c r="BV106" s="174">
        <f>IF(AND(Input_Product=Elig!$C106,Elig_MatchAll_Ct&lt;22,$BC106=(Elig_MatchAll_Ct-1),AT106=0),Q106,0)</f>
        <v>0</v>
      </c>
      <c r="BW106" s="175">
        <f>IF(AND(Input_Product=Elig!$C106,Elig_MatchAll_Ct&lt;22,$BC106=(Elig_MatchAll_Ct-1),AU106=0),R106,0)</f>
        <v>0</v>
      </c>
      <c r="BX106" s="176">
        <f>IF(AND(Input_Product=Elig!$C106,Elig_MatchAll_Ct&lt;22,$BC106=(Elig_MatchAll_Ct-1),AU106=0),S106,0)</f>
        <v>0</v>
      </c>
      <c r="BY106" s="175">
        <f>IF(AND(Input_Product=Elig!$C106,Elig_MatchAll_Ct&lt;22,$BC106=(Elig_MatchAll_Ct-1),AV106=0),T106,0)</f>
        <v>0</v>
      </c>
      <c r="BZ106" s="176">
        <f>IF(AND(Input_Product=Elig!$C106,Elig_MatchAll_Ct&lt;22,$BC106=(Elig_MatchAll_Ct-1),AV106=0),U106,0)</f>
        <v>0</v>
      </c>
      <c r="CA106" s="175">
        <f>IF(AND(Input_Product=Elig!$C106,Elig_MatchAll_Ct&lt;22,$BC106=(Elig_MatchAll_Ct-1),AW106=0),V106,0)</f>
        <v>0</v>
      </c>
      <c r="CB106" s="176">
        <f>IF(AND(Input_Product=Elig!$C106,Elig_MatchAll_Ct&lt;22,$BC106=(Elig_MatchAll_Ct-1),AW106=0),W106,0)</f>
        <v>0</v>
      </c>
      <c r="CC106" s="175">
        <f>IF(AND(Input_Product=Elig!$C106,Elig_MatchAll_Ct&lt;22,$BC106=(Elig_MatchAll_Ct-1),AX106=0),X106,0)</f>
        <v>0</v>
      </c>
      <c r="CD106" s="176">
        <f>IF(AND(Input_Product=Elig!$C106,Elig_MatchAll_Ct&lt;22,$BC106=(Elig_MatchAll_Ct-1),AX106=0),Y106,0)</f>
        <v>0</v>
      </c>
      <c r="CE106" s="175">
        <f>IF(AND(Input_LTV&lt;=AE106,Input_Product=Elig!$C106,Elig_MatchAll_Ct&lt;22,$BC106=(Elig_MatchAll_Ct-1),AY106=0),Z106,0)</f>
        <v>0</v>
      </c>
      <c r="CF106" s="176">
        <f>IF(AND(Input_LTV&lt;=AE106,Input_Product=Elig!$C106,Elig_MatchAll_Ct&lt;22,$BC106=(Elig_MatchAll_Ct-1),AY106=0),AA106,0)</f>
        <v>0</v>
      </c>
      <c r="CG106" s="175">
        <f>IF(AND(Input_Product=Elig!$C106,Elig_MatchAll_Ct&lt;22,$BC106=(Elig_MatchAll_Ct-1),AZ106=0),AB106,0)</f>
        <v>0</v>
      </c>
      <c r="CH106" s="176">
        <f>IF(AND(Input_Product=Elig!$C106,Elig_MatchAll_Ct&lt;22,$BC106=(Elig_MatchAll_Ct-1),AZ106=0),AC106,0)</f>
        <v>0</v>
      </c>
      <c r="CI106" s="175">
        <f>IF(AND(Input_Product=Elig!$C106,Elig_MatchAll_Ct&lt;22,$BC106=(Elig_MatchAll_Ct-1),BA106=0),AD106,0)</f>
        <v>0</v>
      </c>
      <c r="CJ106" s="177">
        <f>IF(AND(Input_Product=Elig!$C106,Elig_MatchAll_Ct&lt;22,$BC106=(Elig_MatchAll_Ct-1),BA106=0),AE106,0)</f>
        <v>0</v>
      </c>
    </row>
    <row r="107" spans="1:88" ht="10.15" customHeight="1" x14ac:dyDescent="0.25">
      <c r="A107" s="1419" t="s">
        <v>76</v>
      </c>
      <c r="B107" s="1419" t="s">
        <v>802</v>
      </c>
      <c r="C107" s="123" t="str">
        <f t="shared" si="30"/>
        <v>NonQM OO</v>
      </c>
      <c r="D107" s="124" t="s">
        <v>1995</v>
      </c>
      <c r="E107" s="125" t="s">
        <v>166</v>
      </c>
      <c r="F107" s="125" t="s">
        <v>330</v>
      </c>
      <c r="G107" s="125" t="s">
        <v>470</v>
      </c>
      <c r="H107" s="125" t="s">
        <v>135</v>
      </c>
      <c r="I107" s="124" t="s">
        <v>273</v>
      </c>
      <c r="J107" s="124" t="s">
        <v>1130</v>
      </c>
      <c r="K107" s="124" t="s">
        <v>1398</v>
      </c>
      <c r="L107" s="125" t="s">
        <v>2025</v>
      </c>
      <c r="M107" s="125" t="s">
        <v>2289</v>
      </c>
      <c r="N107" s="125" t="s">
        <v>82</v>
      </c>
      <c r="O107" s="125" t="s">
        <v>309</v>
      </c>
      <c r="P107" s="125" t="s">
        <v>2433</v>
      </c>
      <c r="Q107" s="125" t="s">
        <v>293</v>
      </c>
      <c r="R107" s="124">
        <v>1000000.01</v>
      </c>
      <c r="S107" s="124">
        <v>1500000</v>
      </c>
      <c r="T107" s="124">
        <v>0</v>
      </c>
      <c r="U107" s="124">
        <v>0</v>
      </c>
      <c r="V107" s="124">
        <v>0</v>
      </c>
      <c r="W107" s="124">
        <v>55</v>
      </c>
      <c r="X107" s="124">
        <v>0</v>
      </c>
      <c r="Y107" s="124">
        <v>999</v>
      </c>
      <c r="Z107" s="126">
        <v>720</v>
      </c>
      <c r="AA107" s="126">
        <v>999</v>
      </c>
      <c r="AB107" s="1879">
        <v>0</v>
      </c>
      <c r="AC107" s="126">
        <v>999999</v>
      </c>
      <c r="AD107" s="124">
        <v>0</v>
      </c>
      <c r="AE107" s="124">
        <v>80</v>
      </c>
      <c r="AF107" s="144">
        <v>0</v>
      </c>
      <c r="AG107" s="145">
        <v>1</v>
      </c>
      <c r="AH107" s="145">
        <v>1</v>
      </c>
      <c r="AI107" s="145">
        <v>0</v>
      </c>
      <c r="AJ107" s="145">
        <v>0</v>
      </c>
      <c r="AK107" s="145">
        <v>1</v>
      </c>
      <c r="AL107" s="145">
        <v>1</v>
      </c>
      <c r="AM107" s="145">
        <v>1</v>
      </c>
      <c r="AN107" s="145">
        <v>1</v>
      </c>
      <c r="AO107" s="145">
        <v>1</v>
      </c>
      <c r="AP107" s="145">
        <v>1</v>
      </c>
      <c r="AQ107" s="145">
        <v>0</v>
      </c>
      <c r="AR107" s="145">
        <v>1</v>
      </c>
      <c r="AS107" s="145">
        <v>1</v>
      </c>
      <c r="AT107" s="145">
        <v>1</v>
      </c>
      <c r="AU107" s="145">
        <f t="shared" si="19"/>
        <v>0</v>
      </c>
      <c r="AV107" s="145">
        <f t="shared" si="20"/>
        <v>1</v>
      </c>
      <c r="AW107" s="145">
        <f t="shared" si="21"/>
        <v>1</v>
      </c>
      <c r="AX107" s="145">
        <f t="shared" si="32"/>
        <v>1</v>
      </c>
      <c r="AY107" s="145">
        <f t="shared" si="22"/>
        <v>1</v>
      </c>
      <c r="AZ107" s="145">
        <f t="shared" si="23"/>
        <v>1</v>
      </c>
      <c r="BA107" s="146">
        <f t="shared" si="24"/>
        <v>1</v>
      </c>
      <c r="BB107" s="149">
        <f t="shared" si="25"/>
        <v>17</v>
      </c>
      <c r="BC107" s="150">
        <f t="shared" si="26"/>
        <v>16</v>
      </c>
      <c r="BD107" s="150">
        <f t="shared" si="27"/>
        <v>17</v>
      </c>
      <c r="BE107" s="211" t="str">
        <f t="shared" si="28"/>
        <v/>
      </c>
      <c r="BH107" s="166">
        <f>IF(AND(Input_Product=Elig!$C107,Elig_MatchAll_Ct&lt;22,$BC107=(Elig_MatchAll_Ct-1),AF107=0),C107,0)</f>
        <v>0</v>
      </c>
      <c r="BI107" s="167">
        <f>IF(AND(Input_Product=Elig!$C107,Elig_MatchAll_Ct&lt;22,$BC107=(Elig_MatchAll_Ct-1),AG107=0),D107,0)</f>
        <v>0</v>
      </c>
      <c r="BJ107" s="167">
        <f>IF(AND(Input_Product=Elig!$C107,Elig_MatchAll_Ct&lt;22,$BC107=(Elig_MatchAll_Ct-1),AH107=0),E107,0)</f>
        <v>0</v>
      </c>
      <c r="BK107" s="167">
        <f>IF(AND(Input_Product=Elig!$C107,Elig_MatchAll_Ct&lt;22,$BC107=(Elig_MatchAll_Ct-1),AI107=0),F107,0)</f>
        <v>0</v>
      </c>
      <c r="BL107" s="167">
        <f>IF(AND(Input_Product=Elig!$C107,Elig_MatchAll_Ct&lt;22,$BC107=(Elig_MatchAll_Ct-1),AJ107=0),G107,0)</f>
        <v>0</v>
      </c>
      <c r="BM107" s="167">
        <f>IF(AND(Input_Product=Elig!$C107,Elig_MatchAll_Ct&lt;22,$BC107=(Elig_MatchAll_Ct-1),AK107=0),H107,0)</f>
        <v>0</v>
      </c>
      <c r="BN107" s="167">
        <f>IF(AND(Input_Product=Elig!$C107,Elig_MatchAll_Ct&lt;22,$BC107=(Elig_MatchAll_Ct-1),AL107=0),I107,0)</f>
        <v>0</v>
      </c>
      <c r="BO107" s="167">
        <f>IF(AND(Input_Product=Elig!$C107,Elig_MatchAll_Ct&lt;22,$BC107=(Elig_MatchAll_Ct-1),AM107=0),J107,0)</f>
        <v>0</v>
      </c>
      <c r="BP107" s="167">
        <f>IF(AND(Input_Product=Elig!$C107,Elig_MatchAll_Ct&lt;22,$BC107=(Elig_MatchAll_Ct-1),AN107=0),K107,0)</f>
        <v>0</v>
      </c>
      <c r="BQ107" s="167">
        <f>IF(AND(Input_Product=Elig!$C107,Elig_MatchAll_Ct&lt;22,$BC107=(Elig_MatchAll_Ct-1),AP107=0),L107,0)</f>
        <v>0</v>
      </c>
      <c r="BR107" s="167">
        <f>IF(AND(Input_Product=Elig!$C107,Elig_MatchAll_Ct&lt;22,$BC107=(Elig_MatchAll_Ct-1),AO107=0),M107,0)</f>
        <v>0</v>
      </c>
      <c r="BS107" s="167">
        <f>IF(AND(Input_Product=Elig!$C107,Elig_MatchAll_Ct&lt;22,$BC107=(Elig_MatchAll_Ct-1),AQ107=0),N107,0)</f>
        <v>0</v>
      </c>
      <c r="BT107" s="167">
        <f>IF(AND(Input_Product=Elig!$C107,Elig_MatchAll_Ct&lt;22,$BC107=(Elig_MatchAll_Ct-1),AR107=0),O107,0)</f>
        <v>0</v>
      </c>
      <c r="BU107" s="167">
        <f>IF(AND(Input_Product=Elig!$C107,Elig_MatchAll_Ct&lt;22,$BC107=(Elig_MatchAll_Ct-1),AS107=0),P107,0)</f>
        <v>0</v>
      </c>
      <c r="BV107" s="168">
        <f>IF(AND(Input_Product=Elig!$C107,Elig_MatchAll_Ct&lt;22,$BC107=(Elig_MatchAll_Ct-1),AT107=0),Q107,0)</f>
        <v>0</v>
      </c>
      <c r="BW107" s="169">
        <f>IF(AND(Input_Product=Elig!$C107,Elig_MatchAll_Ct&lt;22,$BC107=(Elig_MatchAll_Ct-1),AU107=0),R107,0)</f>
        <v>0</v>
      </c>
      <c r="BX107" s="170">
        <f>IF(AND(Input_Product=Elig!$C107,Elig_MatchAll_Ct&lt;22,$BC107=(Elig_MatchAll_Ct-1),AU107=0),S107,0)</f>
        <v>0</v>
      </c>
      <c r="BY107" s="169">
        <f>IF(AND(Input_Product=Elig!$C107,Elig_MatchAll_Ct&lt;22,$BC107=(Elig_MatchAll_Ct-1),AV107=0),T107,0)</f>
        <v>0</v>
      </c>
      <c r="BZ107" s="170">
        <f>IF(AND(Input_Product=Elig!$C107,Elig_MatchAll_Ct&lt;22,$BC107=(Elig_MatchAll_Ct-1),AV107=0),U107,0)</f>
        <v>0</v>
      </c>
      <c r="CA107" s="169">
        <f>IF(AND(Input_Product=Elig!$C107,Elig_MatchAll_Ct&lt;22,$BC107=(Elig_MatchAll_Ct-1),AW107=0),V107,0)</f>
        <v>0</v>
      </c>
      <c r="CB107" s="170">
        <f>IF(AND(Input_Product=Elig!$C107,Elig_MatchAll_Ct&lt;22,$BC107=(Elig_MatchAll_Ct-1),AW107=0),W107,0)</f>
        <v>0</v>
      </c>
      <c r="CC107" s="169">
        <f>IF(AND(Input_Product=Elig!$C107,Elig_MatchAll_Ct&lt;22,$BC107=(Elig_MatchAll_Ct-1),AX107=0),X107,0)</f>
        <v>0</v>
      </c>
      <c r="CD107" s="170">
        <f>IF(AND(Input_Product=Elig!$C107,Elig_MatchAll_Ct&lt;22,$BC107=(Elig_MatchAll_Ct-1),AX107=0),Y107,0)</f>
        <v>0</v>
      </c>
      <c r="CE107" s="169">
        <f>IF(AND(Input_LTV&lt;=AE107,Input_Product=Elig!$C107,Elig_MatchAll_Ct&lt;22,$BC107=(Elig_MatchAll_Ct-1),AY107=0),Z107,0)</f>
        <v>0</v>
      </c>
      <c r="CF107" s="170">
        <f>IF(AND(Input_LTV&lt;=AE107,Input_Product=Elig!$C107,Elig_MatchAll_Ct&lt;22,$BC107=(Elig_MatchAll_Ct-1),AY107=0),AA107,0)</f>
        <v>0</v>
      </c>
      <c r="CG107" s="169">
        <f>IF(AND(Input_Product=Elig!$C107,Elig_MatchAll_Ct&lt;22,$BC107=(Elig_MatchAll_Ct-1),AZ107=0),AB107,0)</f>
        <v>0</v>
      </c>
      <c r="CH107" s="170">
        <f>IF(AND(Input_Product=Elig!$C107,Elig_MatchAll_Ct&lt;22,$BC107=(Elig_MatchAll_Ct-1),AZ107=0),AC107,0)</f>
        <v>0</v>
      </c>
      <c r="CI107" s="169">
        <f>IF(AND(Input_Product=Elig!$C107,Elig_MatchAll_Ct&lt;22,$BC107=(Elig_MatchAll_Ct-1),BA107=0),AD107,0)</f>
        <v>0</v>
      </c>
      <c r="CJ107" s="171">
        <f>IF(AND(Input_Product=Elig!$C107,Elig_MatchAll_Ct&lt;22,$BC107=(Elig_MatchAll_Ct-1),BA107=0),AE107,0)</f>
        <v>0</v>
      </c>
    </row>
    <row r="108" spans="1:88" ht="10.15" customHeight="1" x14ac:dyDescent="0.25">
      <c r="A108" s="1419" t="s">
        <v>76</v>
      </c>
      <c r="B108" s="1419" t="s">
        <v>803</v>
      </c>
      <c r="C108" s="116" t="str">
        <f t="shared" si="30"/>
        <v>NonQM OO</v>
      </c>
      <c r="D108" s="117" t="s">
        <v>1995</v>
      </c>
      <c r="E108" s="117" t="s">
        <v>166</v>
      </c>
      <c r="F108" s="117" t="s">
        <v>330</v>
      </c>
      <c r="G108" s="117" t="s">
        <v>470</v>
      </c>
      <c r="H108" s="117" t="s">
        <v>135</v>
      </c>
      <c r="I108" s="118" t="s">
        <v>273</v>
      </c>
      <c r="J108" s="118" t="s">
        <v>1130</v>
      </c>
      <c r="K108" s="118" t="s">
        <v>1398</v>
      </c>
      <c r="L108" s="117" t="s">
        <v>2025</v>
      </c>
      <c r="M108" s="117" t="s">
        <v>2289</v>
      </c>
      <c r="N108" s="117" t="s">
        <v>82</v>
      </c>
      <c r="O108" s="117" t="s">
        <v>309</v>
      </c>
      <c r="P108" s="117" t="s">
        <v>2433</v>
      </c>
      <c r="Q108" s="117" t="s">
        <v>293</v>
      </c>
      <c r="R108" s="117">
        <v>1000000.01</v>
      </c>
      <c r="S108" s="117">
        <v>1500000</v>
      </c>
      <c r="T108" s="117">
        <v>0</v>
      </c>
      <c r="U108" s="117">
        <v>0</v>
      </c>
      <c r="V108" s="117">
        <v>0</v>
      </c>
      <c r="W108" s="117">
        <v>55</v>
      </c>
      <c r="X108" s="117">
        <v>0</v>
      </c>
      <c r="Y108" s="117">
        <v>999</v>
      </c>
      <c r="Z108" s="119">
        <v>700</v>
      </c>
      <c r="AA108" s="119">
        <v>719</v>
      </c>
      <c r="AB108" s="1877">
        <v>0</v>
      </c>
      <c r="AC108" s="119">
        <v>999999</v>
      </c>
      <c r="AD108" s="117">
        <v>0</v>
      </c>
      <c r="AE108" s="117">
        <v>80</v>
      </c>
      <c r="AF108" s="144">
        <v>0</v>
      </c>
      <c r="AG108" s="145">
        <v>1</v>
      </c>
      <c r="AH108" s="145">
        <v>1</v>
      </c>
      <c r="AI108" s="145">
        <v>0</v>
      </c>
      <c r="AJ108" s="145">
        <v>0</v>
      </c>
      <c r="AK108" s="145">
        <v>1</v>
      </c>
      <c r="AL108" s="145">
        <v>1</v>
      </c>
      <c r="AM108" s="145">
        <v>1</v>
      </c>
      <c r="AN108" s="145">
        <v>1</v>
      </c>
      <c r="AO108" s="145">
        <v>1</v>
      </c>
      <c r="AP108" s="145">
        <v>1</v>
      </c>
      <c r="AQ108" s="145">
        <v>0</v>
      </c>
      <c r="AR108" s="145">
        <v>1</v>
      </c>
      <c r="AS108" s="145">
        <v>1</v>
      </c>
      <c r="AT108" s="145">
        <v>1</v>
      </c>
      <c r="AU108" s="145">
        <f t="shared" si="19"/>
        <v>0</v>
      </c>
      <c r="AV108" s="145">
        <f t="shared" si="20"/>
        <v>1</v>
      </c>
      <c r="AW108" s="145">
        <f t="shared" si="21"/>
        <v>1</v>
      </c>
      <c r="AX108" s="145">
        <f t="shared" si="32"/>
        <v>1</v>
      </c>
      <c r="AY108" s="145">
        <f t="shared" si="22"/>
        <v>0</v>
      </c>
      <c r="AZ108" s="145">
        <f t="shared" si="23"/>
        <v>1</v>
      </c>
      <c r="BA108" s="146">
        <f t="shared" si="24"/>
        <v>1</v>
      </c>
      <c r="BB108" s="149">
        <f t="shared" si="25"/>
        <v>16</v>
      </c>
      <c r="BC108" s="150">
        <f t="shared" si="26"/>
        <v>15</v>
      </c>
      <c r="BD108" s="150">
        <f t="shared" si="27"/>
        <v>16</v>
      </c>
      <c r="BE108" s="211" t="str">
        <f t="shared" si="28"/>
        <v/>
      </c>
      <c r="BH108" s="172">
        <f>IF(AND(Input_Product=Elig!$C108,Elig_MatchAll_Ct&lt;22,$BC108=(Elig_MatchAll_Ct-1),AF108=0),C108,0)</f>
        <v>0</v>
      </c>
      <c r="BI108" s="173">
        <f>IF(AND(Input_Product=Elig!$C108,Elig_MatchAll_Ct&lt;22,$BC108=(Elig_MatchAll_Ct-1),AG108=0),D108,0)</f>
        <v>0</v>
      </c>
      <c r="BJ108" s="173">
        <f>IF(AND(Input_Product=Elig!$C108,Elig_MatchAll_Ct&lt;22,$BC108=(Elig_MatchAll_Ct-1),AH108=0),E108,0)</f>
        <v>0</v>
      </c>
      <c r="BK108" s="173">
        <f>IF(AND(Input_Product=Elig!$C108,Elig_MatchAll_Ct&lt;22,$BC108=(Elig_MatchAll_Ct-1),AI108=0),F108,0)</f>
        <v>0</v>
      </c>
      <c r="BL108" s="173">
        <f>IF(AND(Input_Product=Elig!$C108,Elig_MatchAll_Ct&lt;22,$BC108=(Elig_MatchAll_Ct-1),AJ108=0),G108,0)</f>
        <v>0</v>
      </c>
      <c r="BM108" s="173">
        <f>IF(AND(Input_Product=Elig!$C108,Elig_MatchAll_Ct&lt;22,$BC108=(Elig_MatchAll_Ct-1),AK108=0),H108,0)</f>
        <v>0</v>
      </c>
      <c r="BN108" s="173">
        <f>IF(AND(Input_Product=Elig!$C108,Elig_MatchAll_Ct&lt;22,$BC108=(Elig_MatchAll_Ct-1),AL108=0),I108,0)</f>
        <v>0</v>
      </c>
      <c r="BO108" s="173">
        <f>IF(AND(Input_Product=Elig!$C108,Elig_MatchAll_Ct&lt;22,$BC108=(Elig_MatchAll_Ct-1),AM108=0),J108,0)</f>
        <v>0</v>
      </c>
      <c r="BP108" s="173">
        <f>IF(AND(Input_Product=Elig!$C108,Elig_MatchAll_Ct&lt;22,$BC108=(Elig_MatchAll_Ct-1),AN108=0),K108,0)</f>
        <v>0</v>
      </c>
      <c r="BQ108" s="173">
        <f>IF(AND(Input_Product=Elig!$C108,Elig_MatchAll_Ct&lt;22,$BC108=(Elig_MatchAll_Ct-1),AP108=0),L108,0)</f>
        <v>0</v>
      </c>
      <c r="BR108" s="173">
        <f>IF(AND(Input_Product=Elig!$C108,Elig_MatchAll_Ct&lt;22,$BC108=(Elig_MatchAll_Ct-1),AO108=0),M108,0)</f>
        <v>0</v>
      </c>
      <c r="BS108" s="173">
        <f>IF(AND(Input_Product=Elig!$C108,Elig_MatchAll_Ct&lt;22,$BC108=(Elig_MatchAll_Ct-1),AQ108=0),N108,0)</f>
        <v>0</v>
      </c>
      <c r="BT108" s="173">
        <f>IF(AND(Input_Product=Elig!$C108,Elig_MatchAll_Ct&lt;22,$BC108=(Elig_MatchAll_Ct-1),AR108=0),O108,0)</f>
        <v>0</v>
      </c>
      <c r="BU108" s="173">
        <f>IF(AND(Input_Product=Elig!$C108,Elig_MatchAll_Ct&lt;22,$BC108=(Elig_MatchAll_Ct-1),AS108=0),P108,0)</f>
        <v>0</v>
      </c>
      <c r="BV108" s="174">
        <f>IF(AND(Input_Product=Elig!$C108,Elig_MatchAll_Ct&lt;22,$BC108=(Elig_MatchAll_Ct-1),AT108=0),Q108,0)</f>
        <v>0</v>
      </c>
      <c r="BW108" s="175">
        <f>IF(AND(Input_Product=Elig!$C108,Elig_MatchAll_Ct&lt;22,$BC108=(Elig_MatchAll_Ct-1),AU108=0),R108,0)</f>
        <v>0</v>
      </c>
      <c r="BX108" s="176">
        <f>IF(AND(Input_Product=Elig!$C108,Elig_MatchAll_Ct&lt;22,$BC108=(Elig_MatchAll_Ct-1),AU108=0),S108,0)</f>
        <v>0</v>
      </c>
      <c r="BY108" s="175">
        <f>IF(AND(Input_Product=Elig!$C108,Elig_MatchAll_Ct&lt;22,$BC108=(Elig_MatchAll_Ct-1),AV108=0),T108,0)</f>
        <v>0</v>
      </c>
      <c r="BZ108" s="176">
        <f>IF(AND(Input_Product=Elig!$C108,Elig_MatchAll_Ct&lt;22,$BC108=(Elig_MatchAll_Ct-1),AV108=0),U108,0)</f>
        <v>0</v>
      </c>
      <c r="CA108" s="175">
        <f>IF(AND(Input_Product=Elig!$C108,Elig_MatchAll_Ct&lt;22,$BC108=(Elig_MatchAll_Ct-1),AW108=0),V108,0)</f>
        <v>0</v>
      </c>
      <c r="CB108" s="176">
        <f>IF(AND(Input_Product=Elig!$C108,Elig_MatchAll_Ct&lt;22,$BC108=(Elig_MatchAll_Ct-1),AW108=0),W108,0)</f>
        <v>0</v>
      </c>
      <c r="CC108" s="175">
        <f>IF(AND(Input_Product=Elig!$C108,Elig_MatchAll_Ct&lt;22,$BC108=(Elig_MatchAll_Ct-1),AX108=0),X108,0)</f>
        <v>0</v>
      </c>
      <c r="CD108" s="176">
        <f>IF(AND(Input_Product=Elig!$C108,Elig_MatchAll_Ct&lt;22,$BC108=(Elig_MatchAll_Ct-1),AX108=0),Y108,0)</f>
        <v>0</v>
      </c>
      <c r="CE108" s="175">
        <f>IF(AND(Input_LTV&lt;=AE108,Input_Product=Elig!$C108,Elig_MatchAll_Ct&lt;22,$BC108=(Elig_MatchAll_Ct-1),AY108=0),Z108,0)</f>
        <v>0</v>
      </c>
      <c r="CF108" s="176">
        <f>IF(AND(Input_LTV&lt;=AE108,Input_Product=Elig!$C108,Elig_MatchAll_Ct&lt;22,$BC108=(Elig_MatchAll_Ct-1),AY108=0),AA108,0)</f>
        <v>0</v>
      </c>
      <c r="CG108" s="175">
        <f>IF(AND(Input_Product=Elig!$C108,Elig_MatchAll_Ct&lt;22,$BC108=(Elig_MatchAll_Ct-1),AZ108=0),AB108,0)</f>
        <v>0</v>
      </c>
      <c r="CH108" s="176">
        <f>IF(AND(Input_Product=Elig!$C108,Elig_MatchAll_Ct&lt;22,$BC108=(Elig_MatchAll_Ct-1),AZ108=0),AC108,0)</f>
        <v>0</v>
      </c>
      <c r="CI108" s="175">
        <f>IF(AND(Input_Product=Elig!$C108,Elig_MatchAll_Ct&lt;22,$BC108=(Elig_MatchAll_Ct-1),BA108=0),AD108,0)</f>
        <v>0</v>
      </c>
      <c r="CJ108" s="177">
        <f>IF(AND(Input_Product=Elig!$C108,Elig_MatchAll_Ct&lt;22,$BC108=(Elig_MatchAll_Ct-1),BA108=0),AE108,0)</f>
        <v>0</v>
      </c>
    </row>
    <row r="109" spans="1:88" ht="10.15" customHeight="1" x14ac:dyDescent="0.25">
      <c r="A109" s="1419" t="s">
        <v>76</v>
      </c>
      <c r="B109" s="1419" t="s">
        <v>804</v>
      </c>
      <c r="C109" s="116" t="str">
        <f t="shared" si="30"/>
        <v>NonQM OO</v>
      </c>
      <c r="D109" s="117" t="s">
        <v>1995</v>
      </c>
      <c r="E109" s="117" t="s">
        <v>166</v>
      </c>
      <c r="F109" s="117" t="s">
        <v>330</v>
      </c>
      <c r="G109" s="117" t="s">
        <v>470</v>
      </c>
      <c r="H109" s="117" t="s">
        <v>135</v>
      </c>
      <c r="I109" s="118" t="s">
        <v>273</v>
      </c>
      <c r="J109" s="118" t="s">
        <v>1130</v>
      </c>
      <c r="K109" s="118" t="s">
        <v>1398</v>
      </c>
      <c r="L109" s="117" t="s">
        <v>2025</v>
      </c>
      <c r="M109" s="117" t="s">
        <v>2289</v>
      </c>
      <c r="N109" s="117" t="s">
        <v>82</v>
      </c>
      <c r="O109" s="117" t="s">
        <v>309</v>
      </c>
      <c r="P109" s="117" t="s">
        <v>2433</v>
      </c>
      <c r="Q109" s="117" t="s">
        <v>293</v>
      </c>
      <c r="R109" s="117">
        <v>1000000.01</v>
      </c>
      <c r="S109" s="117">
        <v>1500000</v>
      </c>
      <c r="T109" s="117">
        <v>0</v>
      </c>
      <c r="U109" s="117">
        <v>0</v>
      </c>
      <c r="V109" s="117">
        <v>0</v>
      </c>
      <c r="W109" s="117">
        <v>55</v>
      </c>
      <c r="X109" s="117">
        <v>0</v>
      </c>
      <c r="Y109" s="117">
        <v>999</v>
      </c>
      <c r="Z109" s="119">
        <v>680</v>
      </c>
      <c r="AA109" s="119">
        <v>699</v>
      </c>
      <c r="AB109" s="1877">
        <v>0</v>
      </c>
      <c r="AC109" s="119">
        <v>999999</v>
      </c>
      <c r="AD109" s="117">
        <v>0</v>
      </c>
      <c r="AE109" s="117">
        <v>75</v>
      </c>
      <c r="AF109" s="144">
        <v>0</v>
      </c>
      <c r="AG109" s="145">
        <v>1</v>
      </c>
      <c r="AH109" s="145">
        <v>1</v>
      </c>
      <c r="AI109" s="145">
        <v>0</v>
      </c>
      <c r="AJ109" s="145">
        <v>0</v>
      </c>
      <c r="AK109" s="145">
        <v>1</v>
      </c>
      <c r="AL109" s="145">
        <v>1</v>
      </c>
      <c r="AM109" s="145">
        <v>1</v>
      </c>
      <c r="AN109" s="145">
        <v>1</v>
      </c>
      <c r="AO109" s="145">
        <v>1</v>
      </c>
      <c r="AP109" s="145">
        <v>1</v>
      </c>
      <c r="AQ109" s="145">
        <v>0</v>
      </c>
      <c r="AR109" s="145">
        <v>1</v>
      </c>
      <c r="AS109" s="145">
        <v>1</v>
      </c>
      <c r="AT109" s="145">
        <v>1</v>
      </c>
      <c r="AU109" s="145">
        <f t="shared" si="19"/>
        <v>0</v>
      </c>
      <c r="AV109" s="145">
        <f t="shared" si="20"/>
        <v>1</v>
      </c>
      <c r="AW109" s="145">
        <f t="shared" si="21"/>
        <v>1</v>
      </c>
      <c r="AX109" s="145">
        <f t="shared" si="32"/>
        <v>1</v>
      </c>
      <c r="AY109" s="145">
        <f t="shared" si="22"/>
        <v>0</v>
      </c>
      <c r="AZ109" s="145">
        <f t="shared" si="23"/>
        <v>1</v>
      </c>
      <c r="BA109" s="146">
        <f t="shared" si="24"/>
        <v>1</v>
      </c>
      <c r="BB109" s="149">
        <f t="shared" si="25"/>
        <v>16</v>
      </c>
      <c r="BC109" s="150">
        <f t="shared" si="26"/>
        <v>15</v>
      </c>
      <c r="BD109" s="150">
        <f t="shared" si="27"/>
        <v>16</v>
      </c>
      <c r="BE109" s="211" t="str">
        <f t="shared" si="28"/>
        <v/>
      </c>
      <c r="BH109" s="172">
        <f>IF(AND(Input_Product=Elig!$C109,Elig_MatchAll_Ct&lt;22,$BC109=(Elig_MatchAll_Ct-1),AF109=0),C109,0)</f>
        <v>0</v>
      </c>
      <c r="BI109" s="173">
        <f>IF(AND(Input_Product=Elig!$C109,Elig_MatchAll_Ct&lt;22,$BC109=(Elig_MatchAll_Ct-1),AG109=0),D109,0)</f>
        <v>0</v>
      </c>
      <c r="BJ109" s="173">
        <f>IF(AND(Input_Product=Elig!$C109,Elig_MatchAll_Ct&lt;22,$BC109=(Elig_MatchAll_Ct-1),AH109=0),E109,0)</f>
        <v>0</v>
      </c>
      <c r="BK109" s="173">
        <f>IF(AND(Input_Product=Elig!$C109,Elig_MatchAll_Ct&lt;22,$BC109=(Elig_MatchAll_Ct-1),AI109=0),F109,0)</f>
        <v>0</v>
      </c>
      <c r="BL109" s="173">
        <f>IF(AND(Input_Product=Elig!$C109,Elig_MatchAll_Ct&lt;22,$BC109=(Elig_MatchAll_Ct-1),AJ109=0),G109,0)</f>
        <v>0</v>
      </c>
      <c r="BM109" s="173">
        <f>IF(AND(Input_Product=Elig!$C109,Elig_MatchAll_Ct&lt;22,$BC109=(Elig_MatchAll_Ct-1),AK109=0),H109,0)</f>
        <v>0</v>
      </c>
      <c r="BN109" s="173">
        <f>IF(AND(Input_Product=Elig!$C109,Elig_MatchAll_Ct&lt;22,$BC109=(Elig_MatchAll_Ct-1),AL109=0),I109,0)</f>
        <v>0</v>
      </c>
      <c r="BO109" s="173">
        <f>IF(AND(Input_Product=Elig!$C109,Elig_MatchAll_Ct&lt;22,$BC109=(Elig_MatchAll_Ct-1),AM109=0),J109,0)</f>
        <v>0</v>
      </c>
      <c r="BP109" s="173">
        <f>IF(AND(Input_Product=Elig!$C109,Elig_MatchAll_Ct&lt;22,$BC109=(Elig_MatchAll_Ct-1),AN109=0),K109,0)</f>
        <v>0</v>
      </c>
      <c r="BQ109" s="173">
        <f>IF(AND(Input_Product=Elig!$C109,Elig_MatchAll_Ct&lt;22,$BC109=(Elig_MatchAll_Ct-1),AP109=0),L109,0)</f>
        <v>0</v>
      </c>
      <c r="BR109" s="173">
        <f>IF(AND(Input_Product=Elig!$C109,Elig_MatchAll_Ct&lt;22,$BC109=(Elig_MatchAll_Ct-1),AO109=0),M109,0)</f>
        <v>0</v>
      </c>
      <c r="BS109" s="173">
        <f>IF(AND(Input_Product=Elig!$C109,Elig_MatchAll_Ct&lt;22,$BC109=(Elig_MatchAll_Ct-1),AQ109=0),N109,0)</f>
        <v>0</v>
      </c>
      <c r="BT109" s="173">
        <f>IF(AND(Input_Product=Elig!$C109,Elig_MatchAll_Ct&lt;22,$BC109=(Elig_MatchAll_Ct-1),AR109=0),O109,0)</f>
        <v>0</v>
      </c>
      <c r="BU109" s="173">
        <f>IF(AND(Input_Product=Elig!$C109,Elig_MatchAll_Ct&lt;22,$BC109=(Elig_MatchAll_Ct-1),AS109=0),P109,0)</f>
        <v>0</v>
      </c>
      <c r="BV109" s="174">
        <f>IF(AND(Input_Product=Elig!$C109,Elig_MatchAll_Ct&lt;22,$BC109=(Elig_MatchAll_Ct-1),AT109=0),Q109,0)</f>
        <v>0</v>
      </c>
      <c r="BW109" s="175">
        <f>IF(AND(Input_Product=Elig!$C109,Elig_MatchAll_Ct&lt;22,$BC109=(Elig_MatchAll_Ct-1),AU109=0),R109,0)</f>
        <v>0</v>
      </c>
      <c r="BX109" s="176">
        <f>IF(AND(Input_Product=Elig!$C109,Elig_MatchAll_Ct&lt;22,$BC109=(Elig_MatchAll_Ct-1),AU109=0),S109,0)</f>
        <v>0</v>
      </c>
      <c r="BY109" s="175">
        <f>IF(AND(Input_Product=Elig!$C109,Elig_MatchAll_Ct&lt;22,$BC109=(Elig_MatchAll_Ct-1),AV109=0),T109,0)</f>
        <v>0</v>
      </c>
      <c r="BZ109" s="176">
        <f>IF(AND(Input_Product=Elig!$C109,Elig_MatchAll_Ct&lt;22,$BC109=(Elig_MatchAll_Ct-1),AV109=0),U109,0)</f>
        <v>0</v>
      </c>
      <c r="CA109" s="175">
        <f>IF(AND(Input_Product=Elig!$C109,Elig_MatchAll_Ct&lt;22,$BC109=(Elig_MatchAll_Ct-1),AW109=0),V109,0)</f>
        <v>0</v>
      </c>
      <c r="CB109" s="176">
        <f>IF(AND(Input_Product=Elig!$C109,Elig_MatchAll_Ct&lt;22,$BC109=(Elig_MatchAll_Ct-1),AW109=0),W109,0)</f>
        <v>0</v>
      </c>
      <c r="CC109" s="175">
        <f>IF(AND(Input_Product=Elig!$C109,Elig_MatchAll_Ct&lt;22,$BC109=(Elig_MatchAll_Ct-1),AX109=0),X109,0)</f>
        <v>0</v>
      </c>
      <c r="CD109" s="176">
        <f>IF(AND(Input_Product=Elig!$C109,Elig_MatchAll_Ct&lt;22,$BC109=(Elig_MatchAll_Ct-1),AX109=0),Y109,0)</f>
        <v>0</v>
      </c>
      <c r="CE109" s="175">
        <f>IF(AND(Input_LTV&lt;=AE109,Input_Product=Elig!$C109,Elig_MatchAll_Ct&lt;22,$BC109=(Elig_MatchAll_Ct-1),AY109=0),Z109,0)</f>
        <v>0</v>
      </c>
      <c r="CF109" s="176">
        <f>IF(AND(Input_LTV&lt;=AE109,Input_Product=Elig!$C109,Elig_MatchAll_Ct&lt;22,$BC109=(Elig_MatchAll_Ct-1),AY109=0),AA109,0)</f>
        <v>0</v>
      </c>
      <c r="CG109" s="175">
        <f>IF(AND(Input_Product=Elig!$C109,Elig_MatchAll_Ct&lt;22,$BC109=(Elig_MatchAll_Ct-1),AZ109=0),AB109,0)</f>
        <v>0</v>
      </c>
      <c r="CH109" s="176">
        <f>IF(AND(Input_Product=Elig!$C109,Elig_MatchAll_Ct&lt;22,$BC109=(Elig_MatchAll_Ct-1),AZ109=0),AC109,0)</f>
        <v>0</v>
      </c>
      <c r="CI109" s="175">
        <f>IF(AND(Input_Product=Elig!$C109,Elig_MatchAll_Ct&lt;22,$BC109=(Elig_MatchAll_Ct-1),BA109=0),AD109,0)</f>
        <v>0</v>
      </c>
      <c r="CJ109" s="177">
        <f>IF(AND(Input_Product=Elig!$C109,Elig_MatchAll_Ct&lt;22,$BC109=(Elig_MatchAll_Ct-1),BA109=0),AE109,0)</f>
        <v>0</v>
      </c>
    </row>
    <row r="110" spans="1:88" ht="10.15" customHeight="1" x14ac:dyDescent="0.25">
      <c r="A110" s="1419" t="s">
        <v>76</v>
      </c>
      <c r="B110" s="1419" t="s">
        <v>805</v>
      </c>
      <c r="C110" s="116" t="str">
        <f t="shared" si="30"/>
        <v>NonQM OO</v>
      </c>
      <c r="D110" s="117" t="s">
        <v>1995</v>
      </c>
      <c r="E110" s="117" t="s">
        <v>166</v>
      </c>
      <c r="F110" s="117" t="s">
        <v>330</v>
      </c>
      <c r="G110" s="117" t="s">
        <v>470</v>
      </c>
      <c r="H110" s="117" t="s">
        <v>135</v>
      </c>
      <c r="I110" s="117" t="s">
        <v>273</v>
      </c>
      <c r="J110" s="117" t="s">
        <v>1130</v>
      </c>
      <c r="K110" s="117" t="s">
        <v>1398</v>
      </c>
      <c r="L110" s="117" t="s">
        <v>2025</v>
      </c>
      <c r="M110" s="117" t="s">
        <v>2289</v>
      </c>
      <c r="N110" s="117" t="s">
        <v>82</v>
      </c>
      <c r="O110" s="117" t="s">
        <v>309</v>
      </c>
      <c r="P110" s="117" t="s">
        <v>2433</v>
      </c>
      <c r="Q110" s="117" t="s">
        <v>293</v>
      </c>
      <c r="R110" s="117">
        <v>1000000.01</v>
      </c>
      <c r="S110" s="117">
        <v>1500000</v>
      </c>
      <c r="T110" s="117">
        <v>0</v>
      </c>
      <c r="U110" s="117">
        <v>0</v>
      </c>
      <c r="V110" s="117">
        <v>0</v>
      </c>
      <c r="W110" s="117">
        <v>55</v>
      </c>
      <c r="X110" s="117">
        <v>0</v>
      </c>
      <c r="Y110" s="117">
        <v>999</v>
      </c>
      <c r="Z110" s="119">
        <v>660</v>
      </c>
      <c r="AA110" s="119">
        <v>679</v>
      </c>
      <c r="AB110" s="1877">
        <v>0</v>
      </c>
      <c r="AC110" s="119">
        <v>999999</v>
      </c>
      <c r="AD110" s="117">
        <v>0</v>
      </c>
      <c r="AE110" s="117">
        <v>75</v>
      </c>
      <c r="AF110" s="144">
        <v>0</v>
      </c>
      <c r="AG110" s="145">
        <v>1</v>
      </c>
      <c r="AH110" s="145">
        <v>1</v>
      </c>
      <c r="AI110" s="145">
        <v>0</v>
      </c>
      <c r="AJ110" s="145">
        <v>0</v>
      </c>
      <c r="AK110" s="145">
        <v>1</v>
      </c>
      <c r="AL110" s="145">
        <v>1</v>
      </c>
      <c r="AM110" s="145">
        <v>1</v>
      </c>
      <c r="AN110" s="145">
        <v>1</v>
      </c>
      <c r="AO110" s="145">
        <v>1</v>
      </c>
      <c r="AP110" s="145">
        <v>1</v>
      </c>
      <c r="AQ110" s="145">
        <v>0</v>
      </c>
      <c r="AR110" s="145">
        <v>1</v>
      </c>
      <c r="AS110" s="145">
        <v>1</v>
      </c>
      <c r="AT110" s="145">
        <v>1</v>
      </c>
      <c r="AU110" s="145">
        <f t="shared" si="19"/>
        <v>0</v>
      </c>
      <c r="AV110" s="145">
        <f t="shared" si="20"/>
        <v>1</v>
      </c>
      <c r="AW110" s="145">
        <f t="shared" si="21"/>
        <v>1</v>
      </c>
      <c r="AX110" s="145">
        <f t="shared" si="32"/>
        <v>1</v>
      </c>
      <c r="AY110" s="145">
        <f t="shared" si="22"/>
        <v>0</v>
      </c>
      <c r="AZ110" s="145">
        <f t="shared" si="23"/>
        <v>1</v>
      </c>
      <c r="BA110" s="146">
        <f t="shared" si="24"/>
        <v>1</v>
      </c>
      <c r="BB110" s="149">
        <f t="shared" si="25"/>
        <v>16</v>
      </c>
      <c r="BC110" s="150">
        <f t="shared" si="26"/>
        <v>15</v>
      </c>
      <c r="BD110" s="150">
        <f t="shared" si="27"/>
        <v>16</v>
      </c>
      <c r="BE110" s="211" t="str">
        <f t="shared" si="28"/>
        <v/>
      </c>
      <c r="BH110" s="172">
        <f>IF(AND(Input_Product=Elig!$C110,Elig_MatchAll_Ct&lt;22,$BC110=(Elig_MatchAll_Ct-1),AF110=0),C110,0)</f>
        <v>0</v>
      </c>
      <c r="BI110" s="173">
        <f>IF(AND(Input_Product=Elig!$C110,Elig_MatchAll_Ct&lt;22,$BC110=(Elig_MatchAll_Ct-1),AG110=0),D110,0)</f>
        <v>0</v>
      </c>
      <c r="BJ110" s="173">
        <f>IF(AND(Input_Product=Elig!$C110,Elig_MatchAll_Ct&lt;22,$BC110=(Elig_MatchAll_Ct-1),AH110=0),E110,0)</f>
        <v>0</v>
      </c>
      <c r="BK110" s="173">
        <f>IF(AND(Input_Product=Elig!$C110,Elig_MatchAll_Ct&lt;22,$BC110=(Elig_MatchAll_Ct-1),AI110=0),F110,0)</f>
        <v>0</v>
      </c>
      <c r="BL110" s="173">
        <f>IF(AND(Input_Product=Elig!$C110,Elig_MatchAll_Ct&lt;22,$BC110=(Elig_MatchAll_Ct-1),AJ110=0),G110,0)</f>
        <v>0</v>
      </c>
      <c r="BM110" s="173">
        <f>IF(AND(Input_Product=Elig!$C110,Elig_MatchAll_Ct&lt;22,$BC110=(Elig_MatchAll_Ct-1),AK110=0),H110,0)</f>
        <v>0</v>
      </c>
      <c r="BN110" s="173">
        <f>IF(AND(Input_Product=Elig!$C110,Elig_MatchAll_Ct&lt;22,$BC110=(Elig_MatchAll_Ct-1),AL110=0),I110,0)</f>
        <v>0</v>
      </c>
      <c r="BO110" s="173">
        <f>IF(AND(Input_Product=Elig!$C110,Elig_MatchAll_Ct&lt;22,$BC110=(Elig_MatchAll_Ct-1),AM110=0),J110,0)</f>
        <v>0</v>
      </c>
      <c r="BP110" s="173">
        <f>IF(AND(Input_Product=Elig!$C110,Elig_MatchAll_Ct&lt;22,$BC110=(Elig_MatchAll_Ct-1),AN110=0),K110,0)</f>
        <v>0</v>
      </c>
      <c r="BQ110" s="173">
        <f>IF(AND(Input_Product=Elig!$C110,Elig_MatchAll_Ct&lt;22,$BC110=(Elig_MatchAll_Ct-1),AP110=0),L110,0)</f>
        <v>0</v>
      </c>
      <c r="BR110" s="173">
        <f>IF(AND(Input_Product=Elig!$C110,Elig_MatchAll_Ct&lt;22,$BC110=(Elig_MatchAll_Ct-1),AO110=0),M110,0)</f>
        <v>0</v>
      </c>
      <c r="BS110" s="173">
        <f>IF(AND(Input_Product=Elig!$C110,Elig_MatchAll_Ct&lt;22,$BC110=(Elig_MatchAll_Ct-1),AQ110=0),N110,0)</f>
        <v>0</v>
      </c>
      <c r="BT110" s="173">
        <f>IF(AND(Input_Product=Elig!$C110,Elig_MatchAll_Ct&lt;22,$BC110=(Elig_MatchAll_Ct-1),AR110=0),O110,0)</f>
        <v>0</v>
      </c>
      <c r="BU110" s="173">
        <f>IF(AND(Input_Product=Elig!$C110,Elig_MatchAll_Ct&lt;22,$BC110=(Elig_MatchAll_Ct-1),AS110=0),P110,0)</f>
        <v>0</v>
      </c>
      <c r="BV110" s="174">
        <f>IF(AND(Input_Product=Elig!$C110,Elig_MatchAll_Ct&lt;22,$BC110=(Elig_MatchAll_Ct-1),AT110=0),Q110,0)</f>
        <v>0</v>
      </c>
      <c r="BW110" s="175">
        <f>IF(AND(Input_Product=Elig!$C110,Elig_MatchAll_Ct&lt;22,$BC110=(Elig_MatchAll_Ct-1),AU110=0),R110,0)</f>
        <v>0</v>
      </c>
      <c r="BX110" s="176">
        <f>IF(AND(Input_Product=Elig!$C110,Elig_MatchAll_Ct&lt;22,$BC110=(Elig_MatchAll_Ct-1),AU110=0),S110,0)</f>
        <v>0</v>
      </c>
      <c r="BY110" s="175">
        <f>IF(AND(Input_Product=Elig!$C110,Elig_MatchAll_Ct&lt;22,$BC110=(Elig_MatchAll_Ct-1),AV110=0),T110,0)</f>
        <v>0</v>
      </c>
      <c r="BZ110" s="176">
        <f>IF(AND(Input_Product=Elig!$C110,Elig_MatchAll_Ct&lt;22,$BC110=(Elig_MatchAll_Ct-1),AV110=0),U110,0)</f>
        <v>0</v>
      </c>
      <c r="CA110" s="175">
        <f>IF(AND(Input_Product=Elig!$C110,Elig_MatchAll_Ct&lt;22,$BC110=(Elig_MatchAll_Ct-1),AW110=0),V110,0)</f>
        <v>0</v>
      </c>
      <c r="CB110" s="176">
        <f>IF(AND(Input_Product=Elig!$C110,Elig_MatchAll_Ct&lt;22,$BC110=(Elig_MatchAll_Ct-1),AW110=0),W110,0)</f>
        <v>0</v>
      </c>
      <c r="CC110" s="175">
        <f>IF(AND(Input_Product=Elig!$C110,Elig_MatchAll_Ct&lt;22,$BC110=(Elig_MatchAll_Ct-1),AX110=0),X110,0)</f>
        <v>0</v>
      </c>
      <c r="CD110" s="176">
        <f>IF(AND(Input_Product=Elig!$C110,Elig_MatchAll_Ct&lt;22,$BC110=(Elig_MatchAll_Ct-1),AX110=0),Y110,0)</f>
        <v>0</v>
      </c>
      <c r="CE110" s="175">
        <f>IF(AND(Input_LTV&lt;=AE110,Input_Product=Elig!$C110,Elig_MatchAll_Ct&lt;22,$BC110=(Elig_MatchAll_Ct-1),AY110=0),Z110,0)</f>
        <v>0</v>
      </c>
      <c r="CF110" s="176">
        <f>IF(AND(Input_LTV&lt;=AE110,Input_Product=Elig!$C110,Elig_MatchAll_Ct&lt;22,$BC110=(Elig_MatchAll_Ct-1),AY110=0),AA110,0)</f>
        <v>0</v>
      </c>
      <c r="CG110" s="175">
        <f>IF(AND(Input_Product=Elig!$C110,Elig_MatchAll_Ct&lt;22,$BC110=(Elig_MatchAll_Ct-1),AZ110=0),AB110,0)</f>
        <v>0</v>
      </c>
      <c r="CH110" s="176">
        <f>IF(AND(Input_Product=Elig!$C110,Elig_MatchAll_Ct&lt;22,$BC110=(Elig_MatchAll_Ct-1),AZ110=0),AC110,0)</f>
        <v>0</v>
      </c>
      <c r="CI110" s="175">
        <f>IF(AND(Input_Product=Elig!$C110,Elig_MatchAll_Ct&lt;22,$BC110=(Elig_MatchAll_Ct-1),BA110=0),AD110,0)</f>
        <v>0</v>
      </c>
      <c r="CJ110" s="177">
        <f>IF(AND(Input_Product=Elig!$C110,Elig_MatchAll_Ct&lt;22,$BC110=(Elig_MatchAll_Ct-1),BA110=0),AE110,0)</f>
        <v>0</v>
      </c>
    </row>
    <row r="111" spans="1:88" ht="10.15" customHeight="1" x14ac:dyDescent="0.25">
      <c r="A111" s="1419" t="s">
        <v>76</v>
      </c>
      <c r="B111" s="1419" t="s">
        <v>806</v>
      </c>
      <c r="C111" s="123" t="str">
        <f t="shared" si="30"/>
        <v>NonQM OO</v>
      </c>
      <c r="D111" s="124" t="s">
        <v>1995</v>
      </c>
      <c r="E111" s="125" t="s">
        <v>166</v>
      </c>
      <c r="F111" s="125" t="s">
        <v>330</v>
      </c>
      <c r="G111" s="125" t="s">
        <v>470</v>
      </c>
      <c r="H111" s="125" t="s">
        <v>135</v>
      </c>
      <c r="I111" s="124" t="s">
        <v>16</v>
      </c>
      <c r="J111" s="124" t="s">
        <v>1130</v>
      </c>
      <c r="K111" s="124" t="s">
        <v>1398</v>
      </c>
      <c r="L111" s="125" t="s">
        <v>2025</v>
      </c>
      <c r="M111" s="125" t="s">
        <v>2289</v>
      </c>
      <c r="N111" s="125" t="s">
        <v>82</v>
      </c>
      <c r="O111" s="125" t="s">
        <v>309</v>
      </c>
      <c r="P111" s="125" t="s">
        <v>2433</v>
      </c>
      <c r="Q111" s="125" t="s">
        <v>293</v>
      </c>
      <c r="R111" s="124">
        <v>1000000.01</v>
      </c>
      <c r="S111" s="124">
        <v>1500000</v>
      </c>
      <c r="T111" s="124">
        <v>0</v>
      </c>
      <c r="U111" s="124">
        <f t="shared" ref="U111:U114" si="36">S111</f>
        <v>1500000</v>
      </c>
      <c r="V111" s="124">
        <v>0</v>
      </c>
      <c r="W111" s="124">
        <v>55</v>
      </c>
      <c r="X111" s="124">
        <v>0</v>
      </c>
      <c r="Y111" s="124">
        <v>999</v>
      </c>
      <c r="Z111" s="126">
        <v>720</v>
      </c>
      <c r="AA111" s="126">
        <v>999</v>
      </c>
      <c r="AB111" s="1879">
        <v>0</v>
      </c>
      <c r="AC111" s="126">
        <v>999999</v>
      </c>
      <c r="AD111" s="124">
        <v>0</v>
      </c>
      <c r="AE111" s="124">
        <v>75</v>
      </c>
      <c r="AF111" s="144">
        <v>0</v>
      </c>
      <c r="AG111" s="145">
        <v>1</v>
      </c>
      <c r="AH111" s="145">
        <v>1</v>
      </c>
      <c r="AI111" s="145">
        <v>0</v>
      </c>
      <c r="AJ111" s="145">
        <v>0</v>
      </c>
      <c r="AK111" s="145">
        <v>1</v>
      </c>
      <c r="AL111" s="145">
        <v>0</v>
      </c>
      <c r="AM111" s="145">
        <v>1</v>
      </c>
      <c r="AN111" s="145">
        <v>1</v>
      </c>
      <c r="AO111" s="145">
        <v>1</v>
      </c>
      <c r="AP111" s="145">
        <v>1</v>
      </c>
      <c r="AQ111" s="145">
        <v>0</v>
      </c>
      <c r="AR111" s="145">
        <v>1</v>
      </c>
      <c r="AS111" s="145">
        <v>1</v>
      </c>
      <c r="AT111" s="145">
        <v>1</v>
      </c>
      <c r="AU111" s="145">
        <f t="shared" si="19"/>
        <v>0</v>
      </c>
      <c r="AV111" s="145">
        <f t="shared" si="20"/>
        <v>1</v>
      </c>
      <c r="AW111" s="145">
        <f t="shared" si="21"/>
        <v>1</v>
      </c>
      <c r="AX111" s="145">
        <f t="shared" si="32"/>
        <v>1</v>
      </c>
      <c r="AY111" s="145">
        <f t="shared" si="22"/>
        <v>1</v>
      </c>
      <c r="AZ111" s="145">
        <f t="shared" si="23"/>
        <v>1</v>
      </c>
      <c r="BA111" s="146">
        <f t="shared" si="24"/>
        <v>1</v>
      </c>
      <c r="BB111" s="149">
        <f t="shared" si="25"/>
        <v>16</v>
      </c>
      <c r="BC111" s="150">
        <f t="shared" si="26"/>
        <v>15</v>
      </c>
      <c r="BD111" s="150">
        <f t="shared" si="27"/>
        <v>16</v>
      </c>
      <c r="BE111" s="211" t="str">
        <f t="shared" si="28"/>
        <v/>
      </c>
      <c r="BH111" s="166">
        <f>IF(AND(Input_Product=Elig!$C111,Elig_MatchAll_Ct&lt;22,$BC111=(Elig_MatchAll_Ct-1),AF111=0),C111,0)</f>
        <v>0</v>
      </c>
      <c r="BI111" s="167">
        <f>IF(AND(Input_Product=Elig!$C111,Elig_MatchAll_Ct&lt;22,$BC111=(Elig_MatchAll_Ct-1),AG111=0),D111,0)</f>
        <v>0</v>
      </c>
      <c r="BJ111" s="167">
        <f>IF(AND(Input_Product=Elig!$C111,Elig_MatchAll_Ct&lt;22,$BC111=(Elig_MatchAll_Ct-1),AH111=0),E111,0)</f>
        <v>0</v>
      </c>
      <c r="BK111" s="167">
        <f>IF(AND(Input_Product=Elig!$C111,Elig_MatchAll_Ct&lt;22,$BC111=(Elig_MatchAll_Ct-1),AI111=0),F111,0)</f>
        <v>0</v>
      </c>
      <c r="BL111" s="167">
        <f>IF(AND(Input_Product=Elig!$C111,Elig_MatchAll_Ct&lt;22,$BC111=(Elig_MatchAll_Ct-1),AJ111=0),G111,0)</f>
        <v>0</v>
      </c>
      <c r="BM111" s="167">
        <f>IF(AND(Input_Product=Elig!$C111,Elig_MatchAll_Ct&lt;22,$BC111=(Elig_MatchAll_Ct-1),AK111=0),H111,0)</f>
        <v>0</v>
      </c>
      <c r="BN111" s="167">
        <f>IF(AND(Input_Product=Elig!$C111,Elig_MatchAll_Ct&lt;22,$BC111=(Elig_MatchAll_Ct-1),AL111=0),I111,0)</f>
        <v>0</v>
      </c>
      <c r="BO111" s="167">
        <f>IF(AND(Input_Product=Elig!$C111,Elig_MatchAll_Ct&lt;22,$BC111=(Elig_MatchAll_Ct-1),AM111=0),J111,0)</f>
        <v>0</v>
      </c>
      <c r="BP111" s="167">
        <f>IF(AND(Input_Product=Elig!$C111,Elig_MatchAll_Ct&lt;22,$BC111=(Elig_MatchAll_Ct-1),AN111=0),K111,0)</f>
        <v>0</v>
      </c>
      <c r="BQ111" s="167">
        <f>IF(AND(Input_Product=Elig!$C111,Elig_MatchAll_Ct&lt;22,$BC111=(Elig_MatchAll_Ct-1),AP111=0),L111,0)</f>
        <v>0</v>
      </c>
      <c r="BR111" s="167">
        <f>IF(AND(Input_Product=Elig!$C111,Elig_MatchAll_Ct&lt;22,$BC111=(Elig_MatchAll_Ct-1),AO111=0),M111,0)</f>
        <v>0</v>
      </c>
      <c r="BS111" s="167">
        <f>IF(AND(Input_Product=Elig!$C111,Elig_MatchAll_Ct&lt;22,$BC111=(Elig_MatchAll_Ct-1),AQ111=0),N111,0)</f>
        <v>0</v>
      </c>
      <c r="BT111" s="167">
        <f>IF(AND(Input_Product=Elig!$C111,Elig_MatchAll_Ct&lt;22,$BC111=(Elig_MatchAll_Ct-1),AR111=0),O111,0)</f>
        <v>0</v>
      </c>
      <c r="BU111" s="167">
        <f>IF(AND(Input_Product=Elig!$C111,Elig_MatchAll_Ct&lt;22,$BC111=(Elig_MatchAll_Ct-1),AS111=0),P111,0)</f>
        <v>0</v>
      </c>
      <c r="BV111" s="168">
        <f>IF(AND(Input_Product=Elig!$C111,Elig_MatchAll_Ct&lt;22,$BC111=(Elig_MatchAll_Ct-1),AT111=0),Q111,0)</f>
        <v>0</v>
      </c>
      <c r="BW111" s="169">
        <f>IF(AND(Input_Product=Elig!$C111,Elig_MatchAll_Ct&lt;22,$BC111=(Elig_MatchAll_Ct-1),AU111=0),R111,0)</f>
        <v>0</v>
      </c>
      <c r="BX111" s="170">
        <f>IF(AND(Input_Product=Elig!$C111,Elig_MatchAll_Ct&lt;22,$BC111=(Elig_MatchAll_Ct-1),AU111=0),S111,0)</f>
        <v>0</v>
      </c>
      <c r="BY111" s="169">
        <f>IF(AND(Input_Product=Elig!$C111,Elig_MatchAll_Ct&lt;22,$BC111=(Elig_MatchAll_Ct-1),AV111=0),T111,0)</f>
        <v>0</v>
      </c>
      <c r="BZ111" s="170">
        <f>IF(AND(Input_Product=Elig!$C111,Elig_MatchAll_Ct&lt;22,$BC111=(Elig_MatchAll_Ct-1),AV111=0),U111,0)</f>
        <v>0</v>
      </c>
      <c r="CA111" s="169">
        <f>IF(AND(Input_Product=Elig!$C111,Elig_MatchAll_Ct&lt;22,$BC111=(Elig_MatchAll_Ct-1),AW111=0),V111,0)</f>
        <v>0</v>
      </c>
      <c r="CB111" s="170">
        <f>IF(AND(Input_Product=Elig!$C111,Elig_MatchAll_Ct&lt;22,$BC111=(Elig_MatchAll_Ct-1),AW111=0),W111,0)</f>
        <v>0</v>
      </c>
      <c r="CC111" s="169">
        <f>IF(AND(Input_Product=Elig!$C111,Elig_MatchAll_Ct&lt;22,$BC111=(Elig_MatchAll_Ct-1),AX111=0),X111,0)</f>
        <v>0</v>
      </c>
      <c r="CD111" s="170">
        <f>IF(AND(Input_Product=Elig!$C111,Elig_MatchAll_Ct&lt;22,$BC111=(Elig_MatchAll_Ct-1),AX111=0),Y111,0)</f>
        <v>0</v>
      </c>
      <c r="CE111" s="169">
        <f>IF(AND(Input_LTV&lt;=AE111,Input_Product=Elig!$C111,Elig_MatchAll_Ct&lt;22,$BC111=(Elig_MatchAll_Ct-1),AY111=0),Z111,0)</f>
        <v>0</v>
      </c>
      <c r="CF111" s="170">
        <f>IF(AND(Input_LTV&lt;=AE111,Input_Product=Elig!$C111,Elig_MatchAll_Ct&lt;22,$BC111=(Elig_MatchAll_Ct-1),AY111=0),AA111,0)</f>
        <v>0</v>
      </c>
      <c r="CG111" s="169">
        <f>IF(AND(Input_Product=Elig!$C111,Elig_MatchAll_Ct&lt;22,$BC111=(Elig_MatchAll_Ct-1),AZ111=0),AB111,0)</f>
        <v>0</v>
      </c>
      <c r="CH111" s="170">
        <f>IF(AND(Input_Product=Elig!$C111,Elig_MatchAll_Ct&lt;22,$BC111=(Elig_MatchAll_Ct-1),AZ111=0),AC111,0)</f>
        <v>0</v>
      </c>
      <c r="CI111" s="169">
        <f>IF(AND(Input_Product=Elig!$C111,Elig_MatchAll_Ct&lt;22,$BC111=(Elig_MatchAll_Ct-1),BA111=0),AD111,0)</f>
        <v>0</v>
      </c>
      <c r="CJ111" s="171">
        <f>IF(AND(Input_Product=Elig!$C111,Elig_MatchAll_Ct&lt;22,$BC111=(Elig_MatchAll_Ct-1),BA111=0),AE111,0)</f>
        <v>0</v>
      </c>
    </row>
    <row r="112" spans="1:88" ht="10.15" customHeight="1" x14ac:dyDescent="0.25">
      <c r="A112" s="1419" t="s">
        <v>76</v>
      </c>
      <c r="B112" s="1419" t="s">
        <v>807</v>
      </c>
      <c r="C112" s="116" t="str">
        <f t="shared" si="30"/>
        <v>NonQM OO</v>
      </c>
      <c r="D112" s="117" t="s">
        <v>1995</v>
      </c>
      <c r="E112" s="117" t="s">
        <v>166</v>
      </c>
      <c r="F112" s="117" t="s">
        <v>330</v>
      </c>
      <c r="G112" s="117" t="s">
        <v>470</v>
      </c>
      <c r="H112" s="117" t="s">
        <v>135</v>
      </c>
      <c r="I112" s="118" t="s">
        <v>16</v>
      </c>
      <c r="J112" s="118" t="s">
        <v>1130</v>
      </c>
      <c r="K112" s="118" t="s">
        <v>1398</v>
      </c>
      <c r="L112" s="117" t="s">
        <v>2025</v>
      </c>
      <c r="M112" s="117" t="s">
        <v>2289</v>
      </c>
      <c r="N112" s="117" t="s">
        <v>82</v>
      </c>
      <c r="O112" s="117" t="s">
        <v>309</v>
      </c>
      <c r="P112" s="117" t="s">
        <v>2433</v>
      </c>
      <c r="Q112" s="117" t="s">
        <v>293</v>
      </c>
      <c r="R112" s="117">
        <v>1000000.01</v>
      </c>
      <c r="S112" s="117">
        <v>1500000</v>
      </c>
      <c r="T112" s="117">
        <v>0</v>
      </c>
      <c r="U112" s="117">
        <f t="shared" si="36"/>
        <v>1500000</v>
      </c>
      <c r="V112" s="117">
        <v>0</v>
      </c>
      <c r="W112" s="117">
        <v>55</v>
      </c>
      <c r="X112" s="117">
        <v>0</v>
      </c>
      <c r="Y112" s="117">
        <v>999</v>
      </c>
      <c r="Z112" s="119">
        <v>700</v>
      </c>
      <c r="AA112" s="119">
        <v>719</v>
      </c>
      <c r="AB112" s="1877">
        <v>0</v>
      </c>
      <c r="AC112" s="119">
        <v>999999</v>
      </c>
      <c r="AD112" s="117">
        <v>0</v>
      </c>
      <c r="AE112" s="117">
        <v>75</v>
      </c>
      <c r="AF112" s="144">
        <v>0</v>
      </c>
      <c r="AG112" s="145">
        <v>1</v>
      </c>
      <c r="AH112" s="145">
        <v>1</v>
      </c>
      <c r="AI112" s="145">
        <v>0</v>
      </c>
      <c r="AJ112" s="145">
        <v>0</v>
      </c>
      <c r="AK112" s="145">
        <v>1</v>
      </c>
      <c r="AL112" s="145">
        <v>0</v>
      </c>
      <c r="AM112" s="145">
        <v>1</v>
      </c>
      <c r="AN112" s="145">
        <v>1</v>
      </c>
      <c r="AO112" s="145">
        <v>1</v>
      </c>
      <c r="AP112" s="145">
        <v>1</v>
      </c>
      <c r="AQ112" s="145">
        <v>0</v>
      </c>
      <c r="AR112" s="145">
        <v>1</v>
      </c>
      <c r="AS112" s="145">
        <v>1</v>
      </c>
      <c r="AT112" s="145">
        <v>1</v>
      </c>
      <c r="AU112" s="145">
        <f t="shared" si="19"/>
        <v>0</v>
      </c>
      <c r="AV112" s="145">
        <f t="shared" si="20"/>
        <v>1</v>
      </c>
      <c r="AW112" s="145">
        <f t="shared" si="21"/>
        <v>1</v>
      </c>
      <c r="AX112" s="145">
        <f t="shared" si="32"/>
        <v>1</v>
      </c>
      <c r="AY112" s="145">
        <f t="shared" si="22"/>
        <v>0</v>
      </c>
      <c r="AZ112" s="145">
        <f t="shared" si="23"/>
        <v>1</v>
      </c>
      <c r="BA112" s="146">
        <f t="shared" si="24"/>
        <v>1</v>
      </c>
      <c r="BB112" s="149">
        <f t="shared" si="25"/>
        <v>15</v>
      </c>
      <c r="BC112" s="150">
        <f t="shared" si="26"/>
        <v>14</v>
      </c>
      <c r="BD112" s="150">
        <f t="shared" si="27"/>
        <v>15</v>
      </c>
      <c r="BE112" s="211" t="str">
        <f t="shared" si="28"/>
        <v/>
      </c>
      <c r="BH112" s="172">
        <f>IF(AND(Input_Product=Elig!$C112,Elig_MatchAll_Ct&lt;22,$BC112=(Elig_MatchAll_Ct-1),AF112=0),C112,0)</f>
        <v>0</v>
      </c>
      <c r="BI112" s="173">
        <f>IF(AND(Input_Product=Elig!$C112,Elig_MatchAll_Ct&lt;22,$BC112=(Elig_MatchAll_Ct-1),AG112=0),D112,0)</f>
        <v>0</v>
      </c>
      <c r="BJ112" s="173">
        <f>IF(AND(Input_Product=Elig!$C112,Elig_MatchAll_Ct&lt;22,$BC112=(Elig_MatchAll_Ct-1),AH112=0),E112,0)</f>
        <v>0</v>
      </c>
      <c r="BK112" s="173">
        <f>IF(AND(Input_Product=Elig!$C112,Elig_MatchAll_Ct&lt;22,$BC112=(Elig_MatchAll_Ct-1),AI112=0),F112,0)</f>
        <v>0</v>
      </c>
      <c r="BL112" s="173">
        <f>IF(AND(Input_Product=Elig!$C112,Elig_MatchAll_Ct&lt;22,$BC112=(Elig_MatchAll_Ct-1),AJ112=0),G112,0)</f>
        <v>0</v>
      </c>
      <c r="BM112" s="173">
        <f>IF(AND(Input_Product=Elig!$C112,Elig_MatchAll_Ct&lt;22,$BC112=(Elig_MatchAll_Ct-1),AK112=0),H112,0)</f>
        <v>0</v>
      </c>
      <c r="BN112" s="173">
        <f>IF(AND(Input_Product=Elig!$C112,Elig_MatchAll_Ct&lt;22,$BC112=(Elig_MatchAll_Ct-1),AL112=0),I112,0)</f>
        <v>0</v>
      </c>
      <c r="BO112" s="173">
        <f>IF(AND(Input_Product=Elig!$C112,Elig_MatchAll_Ct&lt;22,$BC112=(Elig_MatchAll_Ct-1),AM112=0),J112,0)</f>
        <v>0</v>
      </c>
      <c r="BP112" s="173">
        <f>IF(AND(Input_Product=Elig!$C112,Elig_MatchAll_Ct&lt;22,$BC112=(Elig_MatchAll_Ct-1),AN112=0),K112,0)</f>
        <v>0</v>
      </c>
      <c r="BQ112" s="173">
        <f>IF(AND(Input_Product=Elig!$C112,Elig_MatchAll_Ct&lt;22,$BC112=(Elig_MatchAll_Ct-1),AP112=0),L112,0)</f>
        <v>0</v>
      </c>
      <c r="BR112" s="173">
        <f>IF(AND(Input_Product=Elig!$C112,Elig_MatchAll_Ct&lt;22,$BC112=(Elig_MatchAll_Ct-1),AO112=0),M112,0)</f>
        <v>0</v>
      </c>
      <c r="BS112" s="173">
        <f>IF(AND(Input_Product=Elig!$C112,Elig_MatchAll_Ct&lt;22,$BC112=(Elig_MatchAll_Ct-1),AQ112=0),N112,0)</f>
        <v>0</v>
      </c>
      <c r="BT112" s="173">
        <f>IF(AND(Input_Product=Elig!$C112,Elig_MatchAll_Ct&lt;22,$BC112=(Elig_MatchAll_Ct-1),AR112=0),O112,0)</f>
        <v>0</v>
      </c>
      <c r="BU112" s="173">
        <f>IF(AND(Input_Product=Elig!$C112,Elig_MatchAll_Ct&lt;22,$BC112=(Elig_MatchAll_Ct-1),AS112=0),P112,0)</f>
        <v>0</v>
      </c>
      <c r="BV112" s="174">
        <f>IF(AND(Input_Product=Elig!$C112,Elig_MatchAll_Ct&lt;22,$BC112=(Elig_MatchAll_Ct-1),AT112=0),Q112,0)</f>
        <v>0</v>
      </c>
      <c r="BW112" s="175">
        <f>IF(AND(Input_Product=Elig!$C112,Elig_MatchAll_Ct&lt;22,$BC112=(Elig_MatchAll_Ct-1),AU112=0),R112,0)</f>
        <v>0</v>
      </c>
      <c r="BX112" s="176">
        <f>IF(AND(Input_Product=Elig!$C112,Elig_MatchAll_Ct&lt;22,$BC112=(Elig_MatchAll_Ct-1),AU112=0),S112,0)</f>
        <v>0</v>
      </c>
      <c r="BY112" s="175">
        <f>IF(AND(Input_Product=Elig!$C112,Elig_MatchAll_Ct&lt;22,$BC112=(Elig_MatchAll_Ct-1),AV112=0),T112,0)</f>
        <v>0</v>
      </c>
      <c r="BZ112" s="176">
        <f>IF(AND(Input_Product=Elig!$C112,Elig_MatchAll_Ct&lt;22,$BC112=(Elig_MatchAll_Ct-1),AV112=0),U112,0)</f>
        <v>0</v>
      </c>
      <c r="CA112" s="175">
        <f>IF(AND(Input_Product=Elig!$C112,Elig_MatchAll_Ct&lt;22,$BC112=(Elig_MatchAll_Ct-1),AW112=0),V112,0)</f>
        <v>0</v>
      </c>
      <c r="CB112" s="176">
        <f>IF(AND(Input_Product=Elig!$C112,Elig_MatchAll_Ct&lt;22,$BC112=(Elig_MatchAll_Ct-1),AW112=0),W112,0)</f>
        <v>0</v>
      </c>
      <c r="CC112" s="175">
        <f>IF(AND(Input_Product=Elig!$C112,Elig_MatchAll_Ct&lt;22,$BC112=(Elig_MatchAll_Ct-1),AX112=0),X112,0)</f>
        <v>0</v>
      </c>
      <c r="CD112" s="176">
        <f>IF(AND(Input_Product=Elig!$C112,Elig_MatchAll_Ct&lt;22,$BC112=(Elig_MatchAll_Ct-1),AX112=0),Y112,0)</f>
        <v>0</v>
      </c>
      <c r="CE112" s="175">
        <f>IF(AND(Input_LTV&lt;=AE112,Input_Product=Elig!$C112,Elig_MatchAll_Ct&lt;22,$BC112=(Elig_MatchAll_Ct-1),AY112=0),Z112,0)</f>
        <v>0</v>
      </c>
      <c r="CF112" s="176">
        <f>IF(AND(Input_LTV&lt;=AE112,Input_Product=Elig!$C112,Elig_MatchAll_Ct&lt;22,$BC112=(Elig_MatchAll_Ct-1),AY112=0),AA112,0)</f>
        <v>0</v>
      </c>
      <c r="CG112" s="175">
        <f>IF(AND(Input_Product=Elig!$C112,Elig_MatchAll_Ct&lt;22,$BC112=(Elig_MatchAll_Ct-1),AZ112=0),AB112,0)</f>
        <v>0</v>
      </c>
      <c r="CH112" s="176">
        <f>IF(AND(Input_Product=Elig!$C112,Elig_MatchAll_Ct&lt;22,$BC112=(Elig_MatchAll_Ct-1),AZ112=0),AC112,0)</f>
        <v>0</v>
      </c>
      <c r="CI112" s="175">
        <f>IF(AND(Input_Product=Elig!$C112,Elig_MatchAll_Ct&lt;22,$BC112=(Elig_MatchAll_Ct-1),BA112=0),AD112,0)</f>
        <v>0</v>
      </c>
      <c r="CJ112" s="177">
        <f>IF(AND(Input_Product=Elig!$C112,Elig_MatchAll_Ct&lt;22,$BC112=(Elig_MatchAll_Ct-1),BA112=0),AE112,0)</f>
        <v>0</v>
      </c>
    </row>
    <row r="113" spans="1:88" ht="10.15" customHeight="1" x14ac:dyDescent="0.25">
      <c r="A113" s="1419" t="s">
        <v>76</v>
      </c>
      <c r="B113" s="1419" t="s">
        <v>808</v>
      </c>
      <c r="C113" s="116" t="str">
        <f t="shared" si="30"/>
        <v>NonQM OO</v>
      </c>
      <c r="D113" s="117" t="s">
        <v>1995</v>
      </c>
      <c r="E113" s="117" t="s">
        <v>166</v>
      </c>
      <c r="F113" s="117" t="s">
        <v>330</v>
      </c>
      <c r="G113" s="117" t="s">
        <v>470</v>
      </c>
      <c r="H113" s="117" t="s">
        <v>135</v>
      </c>
      <c r="I113" s="118" t="s">
        <v>16</v>
      </c>
      <c r="J113" s="118" t="s">
        <v>1130</v>
      </c>
      <c r="K113" s="118" t="s">
        <v>1398</v>
      </c>
      <c r="L113" s="117" t="s">
        <v>2025</v>
      </c>
      <c r="M113" s="117" t="s">
        <v>2289</v>
      </c>
      <c r="N113" s="117" t="s">
        <v>82</v>
      </c>
      <c r="O113" s="117" t="s">
        <v>309</v>
      </c>
      <c r="P113" s="117" t="s">
        <v>2433</v>
      </c>
      <c r="Q113" s="117" t="s">
        <v>293</v>
      </c>
      <c r="R113" s="117">
        <v>1000000.01</v>
      </c>
      <c r="S113" s="117">
        <v>1500000</v>
      </c>
      <c r="T113" s="117">
        <v>0</v>
      </c>
      <c r="U113" s="117">
        <f t="shared" si="36"/>
        <v>1500000</v>
      </c>
      <c r="V113" s="117">
        <v>0</v>
      </c>
      <c r="W113" s="117">
        <v>55</v>
      </c>
      <c r="X113" s="117">
        <v>0</v>
      </c>
      <c r="Y113" s="117">
        <v>999</v>
      </c>
      <c r="Z113" s="119">
        <v>680</v>
      </c>
      <c r="AA113" s="119">
        <v>699</v>
      </c>
      <c r="AB113" s="1877">
        <v>0</v>
      </c>
      <c r="AC113" s="119">
        <v>999999</v>
      </c>
      <c r="AD113" s="117">
        <v>0</v>
      </c>
      <c r="AE113" s="117">
        <v>70</v>
      </c>
      <c r="AF113" s="144">
        <v>0</v>
      </c>
      <c r="AG113" s="145">
        <v>1</v>
      </c>
      <c r="AH113" s="145">
        <v>1</v>
      </c>
      <c r="AI113" s="145">
        <v>0</v>
      </c>
      <c r="AJ113" s="145">
        <v>0</v>
      </c>
      <c r="AK113" s="145">
        <v>1</v>
      </c>
      <c r="AL113" s="145">
        <v>0</v>
      </c>
      <c r="AM113" s="145">
        <v>1</v>
      </c>
      <c r="AN113" s="145">
        <v>1</v>
      </c>
      <c r="AO113" s="145">
        <v>1</v>
      </c>
      <c r="AP113" s="145">
        <v>1</v>
      </c>
      <c r="AQ113" s="145">
        <v>0</v>
      </c>
      <c r="AR113" s="145">
        <v>1</v>
      </c>
      <c r="AS113" s="145">
        <v>1</v>
      </c>
      <c r="AT113" s="145">
        <v>1</v>
      </c>
      <c r="AU113" s="145">
        <f t="shared" ref="AU113:AU159" si="37">IF(AND(Input_LoanAmt&gt;=Elig_LoanAmt_Min,Input_LoanAmt&lt;=Elig_LoanAmt_Max),1,0)</f>
        <v>0</v>
      </c>
      <c r="AV113" s="145">
        <f t="shared" ref="AV113:AV159" si="38">IF(AND(Input_CashoutAmt&gt;=Elig_CashoutAmt_Min,Input_CashoutAmt&lt;=Elig_CashoutAmt_Max),1,0)</f>
        <v>1</v>
      </c>
      <c r="AW113" s="145">
        <f t="shared" ref="AW113:AW159" si="39">IF(AND(Input_DTI&gt;=Elig_DTI_Min,Input_DTI&lt;=Elig_DTI_Max),1,0)</f>
        <v>1</v>
      </c>
      <c r="AX113" s="145">
        <f t="shared" si="32"/>
        <v>1</v>
      </c>
      <c r="AY113" s="145">
        <f t="shared" ref="AY113:AY159" si="40">IF(AND(Input_CreditScore&gt;=Elig_CreditScore_Min,Input_CreditScore&lt;=Elig_CreditScore_Max),1,0)</f>
        <v>0</v>
      </c>
      <c r="AZ113" s="145">
        <f t="shared" ref="AZ113:AZ159" si="41">IF(AND(Input_ReservesMonths&gt;=Elig_Reserves_Min,Input_ReservesMonths&lt;=Elig_Reserves_Max),1,0)</f>
        <v>1</v>
      </c>
      <c r="BA113" s="146">
        <f t="shared" ref="BA113:BA159" si="42">IF(AND(Input_LTV&gt;=Elig_LTV_Min,Input_LTV&lt;=Elig_LTV_Max),1,0)</f>
        <v>1</v>
      </c>
      <c r="BB113" s="149">
        <f t="shared" si="25"/>
        <v>15</v>
      </c>
      <c r="BC113" s="150">
        <f t="shared" si="26"/>
        <v>14</v>
      </c>
      <c r="BD113" s="150">
        <f t="shared" si="27"/>
        <v>15</v>
      </c>
      <c r="BE113" s="211" t="str">
        <f t="shared" si="28"/>
        <v/>
      </c>
      <c r="BH113" s="172">
        <f>IF(AND(Input_Product=Elig!$C113,Elig_MatchAll_Ct&lt;22,$BC113=(Elig_MatchAll_Ct-1),AF113=0),C113,0)</f>
        <v>0</v>
      </c>
      <c r="BI113" s="173">
        <f>IF(AND(Input_Product=Elig!$C113,Elig_MatchAll_Ct&lt;22,$BC113=(Elig_MatchAll_Ct-1),AG113=0),D113,0)</f>
        <v>0</v>
      </c>
      <c r="BJ113" s="173">
        <f>IF(AND(Input_Product=Elig!$C113,Elig_MatchAll_Ct&lt;22,$BC113=(Elig_MatchAll_Ct-1),AH113=0),E113,0)</f>
        <v>0</v>
      </c>
      <c r="BK113" s="173">
        <f>IF(AND(Input_Product=Elig!$C113,Elig_MatchAll_Ct&lt;22,$BC113=(Elig_MatchAll_Ct-1),AI113=0),F113,0)</f>
        <v>0</v>
      </c>
      <c r="BL113" s="173">
        <f>IF(AND(Input_Product=Elig!$C113,Elig_MatchAll_Ct&lt;22,$BC113=(Elig_MatchAll_Ct-1),AJ113=0),G113,0)</f>
        <v>0</v>
      </c>
      <c r="BM113" s="173">
        <f>IF(AND(Input_Product=Elig!$C113,Elig_MatchAll_Ct&lt;22,$BC113=(Elig_MatchAll_Ct-1),AK113=0),H113,0)</f>
        <v>0</v>
      </c>
      <c r="BN113" s="173">
        <f>IF(AND(Input_Product=Elig!$C113,Elig_MatchAll_Ct&lt;22,$BC113=(Elig_MatchAll_Ct-1),AL113=0),I113,0)</f>
        <v>0</v>
      </c>
      <c r="BO113" s="173">
        <f>IF(AND(Input_Product=Elig!$C113,Elig_MatchAll_Ct&lt;22,$BC113=(Elig_MatchAll_Ct-1),AM113=0),J113,0)</f>
        <v>0</v>
      </c>
      <c r="BP113" s="173">
        <f>IF(AND(Input_Product=Elig!$C113,Elig_MatchAll_Ct&lt;22,$BC113=(Elig_MatchAll_Ct-1),AN113=0),K113,0)</f>
        <v>0</v>
      </c>
      <c r="BQ113" s="173">
        <f>IF(AND(Input_Product=Elig!$C113,Elig_MatchAll_Ct&lt;22,$BC113=(Elig_MatchAll_Ct-1),AP113=0),L113,0)</f>
        <v>0</v>
      </c>
      <c r="BR113" s="173">
        <f>IF(AND(Input_Product=Elig!$C113,Elig_MatchAll_Ct&lt;22,$BC113=(Elig_MatchAll_Ct-1),AO113=0),M113,0)</f>
        <v>0</v>
      </c>
      <c r="BS113" s="173">
        <f>IF(AND(Input_Product=Elig!$C113,Elig_MatchAll_Ct&lt;22,$BC113=(Elig_MatchAll_Ct-1),AQ113=0),N113,0)</f>
        <v>0</v>
      </c>
      <c r="BT113" s="173">
        <f>IF(AND(Input_Product=Elig!$C113,Elig_MatchAll_Ct&lt;22,$BC113=(Elig_MatchAll_Ct-1),AR113=0),O113,0)</f>
        <v>0</v>
      </c>
      <c r="BU113" s="173">
        <f>IF(AND(Input_Product=Elig!$C113,Elig_MatchAll_Ct&lt;22,$BC113=(Elig_MatchAll_Ct-1),AS113=0),P113,0)</f>
        <v>0</v>
      </c>
      <c r="BV113" s="174">
        <f>IF(AND(Input_Product=Elig!$C113,Elig_MatchAll_Ct&lt;22,$BC113=(Elig_MatchAll_Ct-1),AT113=0),Q113,0)</f>
        <v>0</v>
      </c>
      <c r="BW113" s="175">
        <f>IF(AND(Input_Product=Elig!$C113,Elig_MatchAll_Ct&lt;22,$BC113=(Elig_MatchAll_Ct-1),AU113=0),R113,0)</f>
        <v>0</v>
      </c>
      <c r="BX113" s="176">
        <f>IF(AND(Input_Product=Elig!$C113,Elig_MatchAll_Ct&lt;22,$BC113=(Elig_MatchAll_Ct-1),AU113=0),S113,0)</f>
        <v>0</v>
      </c>
      <c r="BY113" s="175">
        <f>IF(AND(Input_Product=Elig!$C113,Elig_MatchAll_Ct&lt;22,$BC113=(Elig_MatchAll_Ct-1),AV113=0),T113,0)</f>
        <v>0</v>
      </c>
      <c r="BZ113" s="176">
        <f>IF(AND(Input_Product=Elig!$C113,Elig_MatchAll_Ct&lt;22,$BC113=(Elig_MatchAll_Ct-1),AV113=0),U113,0)</f>
        <v>0</v>
      </c>
      <c r="CA113" s="175">
        <f>IF(AND(Input_Product=Elig!$C113,Elig_MatchAll_Ct&lt;22,$BC113=(Elig_MatchAll_Ct-1),AW113=0),V113,0)</f>
        <v>0</v>
      </c>
      <c r="CB113" s="176">
        <f>IF(AND(Input_Product=Elig!$C113,Elig_MatchAll_Ct&lt;22,$BC113=(Elig_MatchAll_Ct-1),AW113=0),W113,0)</f>
        <v>0</v>
      </c>
      <c r="CC113" s="175">
        <f>IF(AND(Input_Product=Elig!$C113,Elig_MatchAll_Ct&lt;22,$BC113=(Elig_MatchAll_Ct-1),AX113=0),X113,0)</f>
        <v>0</v>
      </c>
      <c r="CD113" s="176">
        <f>IF(AND(Input_Product=Elig!$C113,Elig_MatchAll_Ct&lt;22,$BC113=(Elig_MatchAll_Ct-1),AX113=0),Y113,0)</f>
        <v>0</v>
      </c>
      <c r="CE113" s="175">
        <f>IF(AND(Input_LTV&lt;=AE113,Input_Product=Elig!$C113,Elig_MatchAll_Ct&lt;22,$BC113=(Elig_MatchAll_Ct-1),AY113=0),Z113,0)</f>
        <v>0</v>
      </c>
      <c r="CF113" s="176">
        <f>IF(AND(Input_LTV&lt;=AE113,Input_Product=Elig!$C113,Elig_MatchAll_Ct&lt;22,$BC113=(Elig_MatchAll_Ct-1),AY113=0),AA113,0)</f>
        <v>0</v>
      </c>
      <c r="CG113" s="175">
        <f>IF(AND(Input_Product=Elig!$C113,Elig_MatchAll_Ct&lt;22,$BC113=(Elig_MatchAll_Ct-1),AZ113=0),AB113,0)</f>
        <v>0</v>
      </c>
      <c r="CH113" s="176">
        <f>IF(AND(Input_Product=Elig!$C113,Elig_MatchAll_Ct&lt;22,$BC113=(Elig_MatchAll_Ct-1),AZ113=0),AC113,0)</f>
        <v>0</v>
      </c>
      <c r="CI113" s="175">
        <f>IF(AND(Input_Product=Elig!$C113,Elig_MatchAll_Ct&lt;22,$BC113=(Elig_MatchAll_Ct-1),BA113=0),AD113,0)</f>
        <v>0</v>
      </c>
      <c r="CJ113" s="177">
        <f>IF(AND(Input_Product=Elig!$C113,Elig_MatchAll_Ct&lt;22,$BC113=(Elig_MatchAll_Ct-1),BA113=0),AE113,0)</f>
        <v>0</v>
      </c>
    </row>
    <row r="114" spans="1:88" ht="10.15" customHeight="1" x14ac:dyDescent="0.25">
      <c r="A114" s="1419" t="s">
        <v>76</v>
      </c>
      <c r="B114" s="1419" t="s">
        <v>809</v>
      </c>
      <c r="C114" s="116" t="str">
        <f t="shared" si="30"/>
        <v>NonQM OO</v>
      </c>
      <c r="D114" s="117" t="s">
        <v>1995</v>
      </c>
      <c r="E114" s="117" t="s">
        <v>166</v>
      </c>
      <c r="F114" s="117" t="s">
        <v>330</v>
      </c>
      <c r="G114" s="117" t="s">
        <v>470</v>
      </c>
      <c r="H114" s="117" t="s">
        <v>135</v>
      </c>
      <c r="I114" s="117" t="s">
        <v>16</v>
      </c>
      <c r="J114" s="117" t="s">
        <v>1130</v>
      </c>
      <c r="K114" s="117" t="s">
        <v>1398</v>
      </c>
      <c r="L114" s="117" t="s">
        <v>2025</v>
      </c>
      <c r="M114" s="117" t="s">
        <v>2289</v>
      </c>
      <c r="N114" s="117" t="s">
        <v>82</v>
      </c>
      <c r="O114" s="117" t="s">
        <v>309</v>
      </c>
      <c r="P114" s="117" t="s">
        <v>2433</v>
      </c>
      <c r="Q114" s="117" t="s">
        <v>293</v>
      </c>
      <c r="R114" s="117">
        <v>1000000.01</v>
      </c>
      <c r="S114" s="117">
        <v>1500000</v>
      </c>
      <c r="T114" s="117">
        <v>0</v>
      </c>
      <c r="U114" s="117">
        <f t="shared" si="36"/>
        <v>1500000</v>
      </c>
      <c r="V114" s="117">
        <v>0</v>
      </c>
      <c r="W114" s="117">
        <v>55</v>
      </c>
      <c r="X114" s="117">
        <v>0</v>
      </c>
      <c r="Y114" s="117">
        <v>999</v>
      </c>
      <c r="Z114" s="119">
        <v>660</v>
      </c>
      <c r="AA114" s="119">
        <v>679</v>
      </c>
      <c r="AB114" s="1877">
        <v>0</v>
      </c>
      <c r="AC114" s="119">
        <v>999999</v>
      </c>
      <c r="AD114" s="117">
        <v>0</v>
      </c>
      <c r="AE114" s="117">
        <v>65</v>
      </c>
      <c r="AF114" s="144">
        <v>0</v>
      </c>
      <c r="AG114" s="145">
        <v>1</v>
      </c>
      <c r="AH114" s="145">
        <v>1</v>
      </c>
      <c r="AI114" s="145">
        <v>0</v>
      </c>
      <c r="AJ114" s="145">
        <v>0</v>
      </c>
      <c r="AK114" s="145">
        <v>1</v>
      </c>
      <c r="AL114" s="145">
        <v>0</v>
      </c>
      <c r="AM114" s="145">
        <v>1</v>
      </c>
      <c r="AN114" s="145">
        <v>1</v>
      </c>
      <c r="AO114" s="145">
        <v>1</v>
      </c>
      <c r="AP114" s="145">
        <v>1</v>
      </c>
      <c r="AQ114" s="145">
        <v>0</v>
      </c>
      <c r="AR114" s="145">
        <v>1</v>
      </c>
      <c r="AS114" s="145">
        <v>1</v>
      </c>
      <c r="AT114" s="145">
        <v>1</v>
      </c>
      <c r="AU114" s="145">
        <f t="shared" si="37"/>
        <v>0</v>
      </c>
      <c r="AV114" s="145">
        <f t="shared" si="38"/>
        <v>1</v>
      </c>
      <c r="AW114" s="145">
        <f t="shared" si="39"/>
        <v>1</v>
      </c>
      <c r="AX114" s="145">
        <f t="shared" si="32"/>
        <v>1</v>
      </c>
      <c r="AY114" s="145">
        <f t="shared" si="40"/>
        <v>0</v>
      </c>
      <c r="AZ114" s="145">
        <f t="shared" si="41"/>
        <v>1</v>
      </c>
      <c r="BA114" s="146">
        <f t="shared" si="42"/>
        <v>0</v>
      </c>
      <c r="BB114" s="149">
        <f t="shared" si="25"/>
        <v>14</v>
      </c>
      <c r="BC114" s="150">
        <f t="shared" si="26"/>
        <v>14</v>
      </c>
      <c r="BD114" s="150">
        <f t="shared" si="27"/>
        <v>14</v>
      </c>
      <c r="BE114" s="211" t="str">
        <f t="shared" si="28"/>
        <v/>
      </c>
      <c r="BH114" s="172">
        <f>IF(AND(Input_Product=Elig!$C114,Elig_MatchAll_Ct&lt;22,$BC114=(Elig_MatchAll_Ct-1),AF114=0),C114,0)</f>
        <v>0</v>
      </c>
      <c r="BI114" s="173">
        <f>IF(AND(Input_Product=Elig!$C114,Elig_MatchAll_Ct&lt;22,$BC114=(Elig_MatchAll_Ct-1),AG114=0),D114,0)</f>
        <v>0</v>
      </c>
      <c r="BJ114" s="173">
        <f>IF(AND(Input_Product=Elig!$C114,Elig_MatchAll_Ct&lt;22,$BC114=(Elig_MatchAll_Ct-1),AH114=0),E114,0)</f>
        <v>0</v>
      </c>
      <c r="BK114" s="173">
        <f>IF(AND(Input_Product=Elig!$C114,Elig_MatchAll_Ct&lt;22,$BC114=(Elig_MatchAll_Ct-1),AI114=0),F114,0)</f>
        <v>0</v>
      </c>
      <c r="BL114" s="173">
        <f>IF(AND(Input_Product=Elig!$C114,Elig_MatchAll_Ct&lt;22,$BC114=(Elig_MatchAll_Ct-1),AJ114=0),G114,0)</f>
        <v>0</v>
      </c>
      <c r="BM114" s="173">
        <f>IF(AND(Input_Product=Elig!$C114,Elig_MatchAll_Ct&lt;22,$BC114=(Elig_MatchAll_Ct-1),AK114=0),H114,0)</f>
        <v>0</v>
      </c>
      <c r="BN114" s="173">
        <f>IF(AND(Input_Product=Elig!$C114,Elig_MatchAll_Ct&lt;22,$BC114=(Elig_MatchAll_Ct-1),AL114=0),I114,0)</f>
        <v>0</v>
      </c>
      <c r="BO114" s="173">
        <f>IF(AND(Input_Product=Elig!$C114,Elig_MatchAll_Ct&lt;22,$BC114=(Elig_MatchAll_Ct-1),AM114=0),J114,0)</f>
        <v>0</v>
      </c>
      <c r="BP114" s="173">
        <f>IF(AND(Input_Product=Elig!$C114,Elig_MatchAll_Ct&lt;22,$BC114=(Elig_MatchAll_Ct-1),AN114=0),K114,0)</f>
        <v>0</v>
      </c>
      <c r="BQ114" s="173">
        <f>IF(AND(Input_Product=Elig!$C114,Elig_MatchAll_Ct&lt;22,$BC114=(Elig_MatchAll_Ct-1),AP114=0),L114,0)</f>
        <v>0</v>
      </c>
      <c r="BR114" s="173">
        <f>IF(AND(Input_Product=Elig!$C114,Elig_MatchAll_Ct&lt;22,$BC114=(Elig_MatchAll_Ct-1),AO114=0),M114,0)</f>
        <v>0</v>
      </c>
      <c r="BS114" s="173">
        <f>IF(AND(Input_Product=Elig!$C114,Elig_MatchAll_Ct&lt;22,$BC114=(Elig_MatchAll_Ct-1),AQ114=0),N114,0)</f>
        <v>0</v>
      </c>
      <c r="BT114" s="173">
        <f>IF(AND(Input_Product=Elig!$C114,Elig_MatchAll_Ct&lt;22,$BC114=(Elig_MatchAll_Ct-1),AR114=0),O114,0)</f>
        <v>0</v>
      </c>
      <c r="BU114" s="173">
        <f>IF(AND(Input_Product=Elig!$C114,Elig_MatchAll_Ct&lt;22,$BC114=(Elig_MatchAll_Ct-1),AS114=0),P114,0)</f>
        <v>0</v>
      </c>
      <c r="BV114" s="174">
        <f>IF(AND(Input_Product=Elig!$C114,Elig_MatchAll_Ct&lt;22,$BC114=(Elig_MatchAll_Ct-1),AT114=0),Q114,0)</f>
        <v>0</v>
      </c>
      <c r="BW114" s="175">
        <f>IF(AND(Input_Product=Elig!$C114,Elig_MatchAll_Ct&lt;22,$BC114=(Elig_MatchAll_Ct-1),AU114=0),R114,0)</f>
        <v>0</v>
      </c>
      <c r="BX114" s="176">
        <f>IF(AND(Input_Product=Elig!$C114,Elig_MatchAll_Ct&lt;22,$BC114=(Elig_MatchAll_Ct-1),AU114=0),S114,0)</f>
        <v>0</v>
      </c>
      <c r="BY114" s="175">
        <f>IF(AND(Input_Product=Elig!$C114,Elig_MatchAll_Ct&lt;22,$BC114=(Elig_MatchAll_Ct-1),AV114=0),T114,0)</f>
        <v>0</v>
      </c>
      <c r="BZ114" s="176">
        <f>IF(AND(Input_Product=Elig!$C114,Elig_MatchAll_Ct&lt;22,$BC114=(Elig_MatchAll_Ct-1),AV114=0),U114,0)</f>
        <v>0</v>
      </c>
      <c r="CA114" s="175">
        <f>IF(AND(Input_Product=Elig!$C114,Elig_MatchAll_Ct&lt;22,$BC114=(Elig_MatchAll_Ct-1),AW114=0),V114,0)</f>
        <v>0</v>
      </c>
      <c r="CB114" s="176">
        <f>IF(AND(Input_Product=Elig!$C114,Elig_MatchAll_Ct&lt;22,$BC114=(Elig_MatchAll_Ct-1),AW114=0),W114,0)</f>
        <v>0</v>
      </c>
      <c r="CC114" s="175">
        <f>IF(AND(Input_Product=Elig!$C114,Elig_MatchAll_Ct&lt;22,$BC114=(Elig_MatchAll_Ct-1),AX114=0),X114,0)</f>
        <v>0</v>
      </c>
      <c r="CD114" s="176">
        <f>IF(AND(Input_Product=Elig!$C114,Elig_MatchAll_Ct&lt;22,$BC114=(Elig_MatchAll_Ct-1),AX114=0),Y114,0)</f>
        <v>0</v>
      </c>
      <c r="CE114" s="175">
        <f>IF(AND(Input_LTV&lt;=AE114,Input_Product=Elig!$C114,Elig_MatchAll_Ct&lt;22,$BC114=(Elig_MatchAll_Ct-1),AY114=0),Z114,0)</f>
        <v>0</v>
      </c>
      <c r="CF114" s="176">
        <f>IF(AND(Input_LTV&lt;=AE114,Input_Product=Elig!$C114,Elig_MatchAll_Ct&lt;22,$BC114=(Elig_MatchAll_Ct-1),AY114=0),AA114,0)</f>
        <v>0</v>
      </c>
      <c r="CG114" s="175">
        <f>IF(AND(Input_Product=Elig!$C114,Elig_MatchAll_Ct&lt;22,$BC114=(Elig_MatchAll_Ct-1),AZ114=0),AB114,0)</f>
        <v>0</v>
      </c>
      <c r="CH114" s="176">
        <f>IF(AND(Input_Product=Elig!$C114,Elig_MatchAll_Ct&lt;22,$BC114=(Elig_MatchAll_Ct-1),AZ114=0),AC114,0)</f>
        <v>0</v>
      </c>
      <c r="CI114" s="175">
        <f>IF(AND(Input_Product=Elig!$C114,Elig_MatchAll_Ct&lt;22,$BC114=(Elig_MatchAll_Ct-1),BA114=0),AD114,0)</f>
        <v>0</v>
      </c>
      <c r="CJ114" s="177">
        <f>IF(AND(Input_Product=Elig!$C114,Elig_MatchAll_Ct&lt;22,$BC114=(Elig_MatchAll_Ct-1),BA114=0),AE114,0)</f>
        <v>0</v>
      </c>
    </row>
    <row r="115" spans="1:88" ht="10.15" customHeight="1" x14ac:dyDescent="0.25">
      <c r="A115" s="1419" t="s">
        <v>76</v>
      </c>
      <c r="B115" s="1419" t="s">
        <v>810</v>
      </c>
      <c r="C115" s="123" t="str">
        <f t="shared" si="30"/>
        <v>NonQM OO</v>
      </c>
      <c r="D115" s="124" t="s">
        <v>1995</v>
      </c>
      <c r="E115" s="125" t="s">
        <v>166</v>
      </c>
      <c r="F115" s="125" t="s">
        <v>330</v>
      </c>
      <c r="G115" s="125" t="s">
        <v>302</v>
      </c>
      <c r="H115" s="125" t="s">
        <v>135</v>
      </c>
      <c r="I115" s="124" t="s">
        <v>273</v>
      </c>
      <c r="J115" s="124" t="s">
        <v>1130</v>
      </c>
      <c r="K115" s="124" t="s">
        <v>1398</v>
      </c>
      <c r="L115" s="125" t="s">
        <v>2025</v>
      </c>
      <c r="M115" s="125" t="s">
        <v>2289</v>
      </c>
      <c r="N115" s="125" t="s">
        <v>82</v>
      </c>
      <c r="O115" s="125" t="s">
        <v>309</v>
      </c>
      <c r="P115" s="125" t="s">
        <v>2433</v>
      </c>
      <c r="Q115" s="125" t="s">
        <v>293</v>
      </c>
      <c r="R115" s="124">
        <v>1500000.01</v>
      </c>
      <c r="S115" s="124">
        <v>2000000</v>
      </c>
      <c r="T115" s="124">
        <v>0</v>
      </c>
      <c r="U115" s="124">
        <v>0</v>
      </c>
      <c r="V115" s="124">
        <v>0</v>
      </c>
      <c r="W115" s="124">
        <v>55</v>
      </c>
      <c r="X115" s="124">
        <v>0</v>
      </c>
      <c r="Y115" s="124">
        <v>999</v>
      </c>
      <c r="Z115" s="126">
        <v>720</v>
      </c>
      <c r="AA115" s="126">
        <v>999</v>
      </c>
      <c r="AB115" s="1879">
        <v>0</v>
      </c>
      <c r="AC115" s="126">
        <v>999999</v>
      </c>
      <c r="AD115" s="124">
        <v>0</v>
      </c>
      <c r="AE115" s="124">
        <v>90</v>
      </c>
      <c r="AF115" s="144">
        <v>0</v>
      </c>
      <c r="AG115" s="145">
        <v>1</v>
      </c>
      <c r="AH115" s="145">
        <v>1</v>
      </c>
      <c r="AI115" s="145">
        <v>0</v>
      </c>
      <c r="AJ115" s="145">
        <v>0</v>
      </c>
      <c r="AK115" s="145">
        <v>1</v>
      </c>
      <c r="AL115" s="145">
        <v>1</v>
      </c>
      <c r="AM115" s="145">
        <v>1</v>
      </c>
      <c r="AN115" s="145">
        <v>1</v>
      </c>
      <c r="AO115" s="145">
        <v>1</v>
      </c>
      <c r="AP115" s="145">
        <v>1</v>
      </c>
      <c r="AQ115" s="145">
        <v>0</v>
      </c>
      <c r="AR115" s="145">
        <v>1</v>
      </c>
      <c r="AS115" s="145">
        <v>1</v>
      </c>
      <c r="AT115" s="145">
        <v>1</v>
      </c>
      <c r="AU115" s="145">
        <f t="shared" si="37"/>
        <v>0</v>
      </c>
      <c r="AV115" s="145">
        <f t="shared" si="38"/>
        <v>1</v>
      </c>
      <c r="AW115" s="145">
        <f t="shared" si="39"/>
        <v>1</v>
      </c>
      <c r="AX115" s="145">
        <f t="shared" si="32"/>
        <v>1</v>
      </c>
      <c r="AY115" s="145">
        <f t="shared" si="40"/>
        <v>1</v>
      </c>
      <c r="AZ115" s="145">
        <f t="shared" si="41"/>
        <v>1</v>
      </c>
      <c r="BA115" s="146">
        <f t="shared" si="42"/>
        <v>1</v>
      </c>
      <c r="BB115" s="149">
        <f t="shared" si="25"/>
        <v>17</v>
      </c>
      <c r="BC115" s="150">
        <f t="shared" si="26"/>
        <v>16</v>
      </c>
      <c r="BD115" s="150">
        <f t="shared" si="27"/>
        <v>17</v>
      </c>
      <c r="BE115" s="211" t="str">
        <f t="shared" si="28"/>
        <v/>
      </c>
      <c r="BH115" s="166">
        <f>IF(AND(Input_Product=Elig!$C115,Elig_MatchAll_Ct&lt;22,$BC115=(Elig_MatchAll_Ct-1),AF115=0),C115,0)</f>
        <v>0</v>
      </c>
      <c r="BI115" s="167">
        <f>IF(AND(Input_Product=Elig!$C115,Elig_MatchAll_Ct&lt;22,$BC115=(Elig_MatchAll_Ct-1),AG115=0),D115,0)</f>
        <v>0</v>
      </c>
      <c r="BJ115" s="167">
        <f>IF(AND(Input_Product=Elig!$C115,Elig_MatchAll_Ct&lt;22,$BC115=(Elig_MatchAll_Ct-1),AH115=0),E115,0)</f>
        <v>0</v>
      </c>
      <c r="BK115" s="167">
        <f>IF(AND(Input_Product=Elig!$C115,Elig_MatchAll_Ct&lt;22,$BC115=(Elig_MatchAll_Ct-1),AI115=0),F115,0)</f>
        <v>0</v>
      </c>
      <c r="BL115" s="167">
        <f>IF(AND(Input_Product=Elig!$C115,Elig_MatchAll_Ct&lt;22,$BC115=(Elig_MatchAll_Ct-1),AJ115=0),G115,0)</f>
        <v>0</v>
      </c>
      <c r="BM115" s="167">
        <f>IF(AND(Input_Product=Elig!$C115,Elig_MatchAll_Ct&lt;22,$BC115=(Elig_MatchAll_Ct-1),AK115=0),H115,0)</f>
        <v>0</v>
      </c>
      <c r="BN115" s="167">
        <f>IF(AND(Input_Product=Elig!$C115,Elig_MatchAll_Ct&lt;22,$BC115=(Elig_MatchAll_Ct-1),AL115=0),I115,0)</f>
        <v>0</v>
      </c>
      <c r="BO115" s="167">
        <f>IF(AND(Input_Product=Elig!$C115,Elig_MatchAll_Ct&lt;22,$BC115=(Elig_MatchAll_Ct-1),AM115=0),J115,0)</f>
        <v>0</v>
      </c>
      <c r="BP115" s="167">
        <f>IF(AND(Input_Product=Elig!$C115,Elig_MatchAll_Ct&lt;22,$BC115=(Elig_MatchAll_Ct-1),AN115=0),K115,0)</f>
        <v>0</v>
      </c>
      <c r="BQ115" s="167">
        <f>IF(AND(Input_Product=Elig!$C115,Elig_MatchAll_Ct&lt;22,$BC115=(Elig_MatchAll_Ct-1),AP115=0),L115,0)</f>
        <v>0</v>
      </c>
      <c r="BR115" s="167">
        <f>IF(AND(Input_Product=Elig!$C115,Elig_MatchAll_Ct&lt;22,$BC115=(Elig_MatchAll_Ct-1),AO115=0),M115,0)</f>
        <v>0</v>
      </c>
      <c r="BS115" s="167">
        <f>IF(AND(Input_Product=Elig!$C115,Elig_MatchAll_Ct&lt;22,$BC115=(Elig_MatchAll_Ct-1),AQ115=0),N115,0)</f>
        <v>0</v>
      </c>
      <c r="BT115" s="167">
        <f>IF(AND(Input_Product=Elig!$C115,Elig_MatchAll_Ct&lt;22,$BC115=(Elig_MatchAll_Ct-1),AR115=0),O115,0)</f>
        <v>0</v>
      </c>
      <c r="BU115" s="167">
        <f>IF(AND(Input_Product=Elig!$C115,Elig_MatchAll_Ct&lt;22,$BC115=(Elig_MatchAll_Ct-1),AS115=0),P115,0)</f>
        <v>0</v>
      </c>
      <c r="BV115" s="168">
        <f>IF(AND(Input_Product=Elig!$C115,Elig_MatchAll_Ct&lt;22,$BC115=(Elig_MatchAll_Ct-1),AT115=0),Q115,0)</f>
        <v>0</v>
      </c>
      <c r="BW115" s="169">
        <f>IF(AND(Input_Product=Elig!$C115,Elig_MatchAll_Ct&lt;22,$BC115=(Elig_MatchAll_Ct-1),AU115=0),R115,0)</f>
        <v>0</v>
      </c>
      <c r="BX115" s="170">
        <f>IF(AND(Input_Product=Elig!$C115,Elig_MatchAll_Ct&lt;22,$BC115=(Elig_MatchAll_Ct-1),AU115=0),S115,0)</f>
        <v>0</v>
      </c>
      <c r="BY115" s="169">
        <f>IF(AND(Input_Product=Elig!$C115,Elig_MatchAll_Ct&lt;22,$BC115=(Elig_MatchAll_Ct-1),AV115=0),T115,0)</f>
        <v>0</v>
      </c>
      <c r="BZ115" s="170">
        <f>IF(AND(Input_Product=Elig!$C115,Elig_MatchAll_Ct&lt;22,$BC115=(Elig_MatchAll_Ct-1),AV115=0),U115,0)</f>
        <v>0</v>
      </c>
      <c r="CA115" s="169">
        <f>IF(AND(Input_Product=Elig!$C115,Elig_MatchAll_Ct&lt;22,$BC115=(Elig_MatchAll_Ct-1),AW115=0),V115,0)</f>
        <v>0</v>
      </c>
      <c r="CB115" s="170">
        <f>IF(AND(Input_Product=Elig!$C115,Elig_MatchAll_Ct&lt;22,$BC115=(Elig_MatchAll_Ct-1),AW115=0),W115,0)</f>
        <v>0</v>
      </c>
      <c r="CC115" s="169">
        <f>IF(AND(Input_Product=Elig!$C115,Elig_MatchAll_Ct&lt;22,$BC115=(Elig_MatchAll_Ct-1),AX115=0),X115,0)</f>
        <v>0</v>
      </c>
      <c r="CD115" s="170">
        <f>IF(AND(Input_Product=Elig!$C115,Elig_MatchAll_Ct&lt;22,$BC115=(Elig_MatchAll_Ct-1),AX115=0),Y115,0)</f>
        <v>0</v>
      </c>
      <c r="CE115" s="169">
        <f>IF(AND(Input_LTV&lt;=AE115,Input_Product=Elig!$C115,Elig_MatchAll_Ct&lt;22,$BC115=(Elig_MatchAll_Ct-1),AY115=0),Z115,0)</f>
        <v>0</v>
      </c>
      <c r="CF115" s="170">
        <f>IF(AND(Input_LTV&lt;=AE115,Input_Product=Elig!$C115,Elig_MatchAll_Ct&lt;22,$BC115=(Elig_MatchAll_Ct-1),AY115=0),AA115,0)</f>
        <v>0</v>
      </c>
      <c r="CG115" s="169">
        <f>IF(AND(Input_Product=Elig!$C115,Elig_MatchAll_Ct&lt;22,$BC115=(Elig_MatchAll_Ct-1),AZ115=0),AB115,0)</f>
        <v>0</v>
      </c>
      <c r="CH115" s="170">
        <f>IF(AND(Input_Product=Elig!$C115,Elig_MatchAll_Ct&lt;22,$BC115=(Elig_MatchAll_Ct-1),AZ115=0),AC115,0)</f>
        <v>0</v>
      </c>
      <c r="CI115" s="169">
        <f>IF(AND(Input_Product=Elig!$C115,Elig_MatchAll_Ct&lt;22,$BC115=(Elig_MatchAll_Ct-1),BA115=0),AD115,0)</f>
        <v>0</v>
      </c>
      <c r="CJ115" s="171">
        <f>IF(AND(Input_Product=Elig!$C115,Elig_MatchAll_Ct&lt;22,$BC115=(Elig_MatchAll_Ct-1),BA115=0),AE115,0)</f>
        <v>0</v>
      </c>
    </row>
    <row r="116" spans="1:88" ht="10.15" customHeight="1" x14ac:dyDescent="0.25">
      <c r="A116" s="1419" t="s">
        <v>76</v>
      </c>
      <c r="B116" s="1419" t="s">
        <v>811</v>
      </c>
      <c r="C116" s="116" t="str">
        <f t="shared" si="30"/>
        <v>NonQM OO</v>
      </c>
      <c r="D116" s="117" t="s">
        <v>1995</v>
      </c>
      <c r="E116" s="117" t="s">
        <v>166</v>
      </c>
      <c r="F116" s="117" t="s">
        <v>330</v>
      </c>
      <c r="G116" s="117" t="s">
        <v>302</v>
      </c>
      <c r="H116" s="117" t="s">
        <v>135</v>
      </c>
      <c r="I116" s="118" t="s">
        <v>273</v>
      </c>
      <c r="J116" s="118" t="s">
        <v>1130</v>
      </c>
      <c r="K116" s="118" t="s">
        <v>1398</v>
      </c>
      <c r="L116" s="117" t="s">
        <v>2025</v>
      </c>
      <c r="M116" s="117" t="s">
        <v>2289</v>
      </c>
      <c r="N116" s="117" t="s">
        <v>82</v>
      </c>
      <c r="O116" s="117" t="s">
        <v>309</v>
      </c>
      <c r="P116" s="117" t="s">
        <v>2433</v>
      </c>
      <c r="Q116" s="117" t="s">
        <v>293</v>
      </c>
      <c r="R116" s="117">
        <v>1500000.01</v>
      </c>
      <c r="S116" s="117">
        <v>2000000</v>
      </c>
      <c r="T116" s="117">
        <v>0</v>
      </c>
      <c r="U116" s="117">
        <v>0</v>
      </c>
      <c r="V116" s="117">
        <v>0</v>
      </c>
      <c r="W116" s="117">
        <v>55</v>
      </c>
      <c r="X116" s="117">
        <v>0</v>
      </c>
      <c r="Y116" s="117">
        <v>999</v>
      </c>
      <c r="Z116" s="119">
        <v>700</v>
      </c>
      <c r="AA116" s="119">
        <v>719</v>
      </c>
      <c r="AB116" s="1877">
        <v>0</v>
      </c>
      <c r="AC116" s="119">
        <v>999999</v>
      </c>
      <c r="AD116" s="117">
        <v>0</v>
      </c>
      <c r="AE116" s="117">
        <v>85</v>
      </c>
      <c r="AF116" s="144">
        <v>0</v>
      </c>
      <c r="AG116" s="145">
        <v>1</v>
      </c>
      <c r="AH116" s="145">
        <v>1</v>
      </c>
      <c r="AI116" s="145">
        <v>0</v>
      </c>
      <c r="AJ116" s="145">
        <v>0</v>
      </c>
      <c r="AK116" s="145">
        <v>1</v>
      </c>
      <c r="AL116" s="145">
        <v>1</v>
      </c>
      <c r="AM116" s="145">
        <v>1</v>
      </c>
      <c r="AN116" s="145">
        <v>1</v>
      </c>
      <c r="AO116" s="145">
        <v>1</v>
      </c>
      <c r="AP116" s="145">
        <v>1</v>
      </c>
      <c r="AQ116" s="145">
        <v>0</v>
      </c>
      <c r="AR116" s="145">
        <v>1</v>
      </c>
      <c r="AS116" s="145">
        <v>1</v>
      </c>
      <c r="AT116" s="145">
        <v>1</v>
      </c>
      <c r="AU116" s="145">
        <f t="shared" si="37"/>
        <v>0</v>
      </c>
      <c r="AV116" s="145">
        <f t="shared" si="38"/>
        <v>1</v>
      </c>
      <c r="AW116" s="145">
        <f t="shared" si="39"/>
        <v>1</v>
      </c>
      <c r="AX116" s="145">
        <f t="shared" si="32"/>
        <v>1</v>
      </c>
      <c r="AY116" s="145">
        <f t="shared" si="40"/>
        <v>0</v>
      </c>
      <c r="AZ116" s="145">
        <f t="shared" si="41"/>
        <v>1</v>
      </c>
      <c r="BA116" s="146">
        <f t="shared" si="42"/>
        <v>1</v>
      </c>
      <c r="BB116" s="149">
        <f t="shared" si="25"/>
        <v>16</v>
      </c>
      <c r="BC116" s="150">
        <f t="shared" si="26"/>
        <v>15</v>
      </c>
      <c r="BD116" s="150">
        <f t="shared" si="27"/>
        <v>16</v>
      </c>
      <c r="BE116" s="211" t="str">
        <f t="shared" si="28"/>
        <v/>
      </c>
      <c r="BH116" s="172">
        <f>IF(AND(Input_Product=Elig!$C116,Elig_MatchAll_Ct&lt;22,$BC116=(Elig_MatchAll_Ct-1),AF116=0),C116,0)</f>
        <v>0</v>
      </c>
      <c r="BI116" s="173">
        <f>IF(AND(Input_Product=Elig!$C116,Elig_MatchAll_Ct&lt;22,$BC116=(Elig_MatchAll_Ct-1),AG116=0),D116,0)</f>
        <v>0</v>
      </c>
      <c r="BJ116" s="173">
        <f>IF(AND(Input_Product=Elig!$C116,Elig_MatchAll_Ct&lt;22,$BC116=(Elig_MatchAll_Ct-1),AH116=0),E116,0)</f>
        <v>0</v>
      </c>
      <c r="BK116" s="173">
        <f>IF(AND(Input_Product=Elig!$C116,Elig_MatchAll_Ct&lt;22,$BC116=(Elig_MatchAll_Ct-1),AI116=0),F116,0)</f>
        <v>0</v>
      </c>
      <c r="BL116" s="173">
        <f>IF(AND(Input_Product=Elig!$C116,Elig_MatchAll_Ct&lt;22,$BC116=(Elig_MatchAll_Ct-1),AJ116=0),G116,0)</f>
        <v>0</v>
      </c>
      <c r="BM116" s="173">
        <f>IF(AND(Input_Product=Elig!$C116,Elig_MatchAll_Ct&lt;22,$BC116=(Elig_MatchAll_Ct-1),AK116=0),H116,0)</f>
        <v>0</v>
      </c>
      <c r="BN116" s="173">
        <f>IF(AND(Input_Product=Elig!$C116,Elig_MatchAll_Ct&lt;22,$BC116=(Elig_MatchAll_Ct-1),AL116=0),I116,0)</f>
        <v>0</v>
      </c>
      <c r="BO116" s="173">
        <f>IF(AND(Input_Product=Elig!$C116,Elig_MatchAll_Ct&lt;22,$BC116=(Elig_MatchAll_Ct-1),AM116=0),J116,0)</f>
        <v>0</v>
      </c>
      <c r="BP116" s="173">
        <f>IF(AND(Input_Product=Elig!$C116,Elig_MatchAll_Ct&lt;22,$BC116=(Elig_MatchAll_Ct-1),AN116=0),K116,0)</f>
        <v>0</v>
      </c>
      <c r="BQ116" s="173">
        <f>IF(AND(Input_Product=Elig!$C116,Elig_MatchAll_Ct&lt;22,$BC116=(Elig_MatchAll_Ct-1),AP116=0),L116,0)</f>
        <v>0</v>
      </c>
      <c r="BR116" s="173">
        <f>IF(AND(Input_Product=Elig!$C116,Elig_MatchAll_Ct&lt;22,$BC116=(Elig_MatchAll_Ct-1),AO116=0),M116,0)</f>
        <v>0</v>
      </c>
      <c r="BS116" s="173">
        <f>IF(AND(Input_Product=Elig!$C116,Elig_MatchAll_Ct&lt;22,$BC116=(Elig_MatchAll_Ct-1),AQ116=0),N116,0)</f>
        <v>0</v>
      </c>
      <c r="BT116" s="173">
        <f>IF(AND(Input_Product=Elig!$C116,Elig_MatchAll_Ct&lt;22,$BC116=(Elig_MatchAll_Ct-1),AR116=0),O116,0)</f>
        <v>0</v>
      </c>
      <c r="BU116" s="173">
        <f>IF(AND(Input_Product=Elig!$C116,Elig_MatchAll_Ct&lt;22,$BC116=(Elig_MatchAll_Ct-1),AS116=0),P116,0)</f>
        <v>0</v>
      </c>
      <c r="BV116" s="174">
        <f>IF(AND(Input_Product=Elig!$C116,Elig_MatchAll_Ct&lt;22,$BC116=(Elig_MatchAll_Ct-1),AT116=0),Q116,0)</f>
        <v>0</v>
      </c>
      <c r="BW116" s="175">
        <f>IF(AND(Input_Product=Elig!$C116,Elig_MatchAll_Ct&lt;22,$BC116=(Elig_MatchAll_Ct-1),AU116=0),R116,0)</f>
        <v>0</v>
      </c>
      <c r="BX116" s="176">
        <f>IF(AND(Input_Product=Elig!$C116,Elig_MatchAll_Ct&lt;22,$BC116=(Elig_MatchAll_Ct-1),AU116=0),S116,0)</f>
        <v>0</v>
      </c>
      <c r="BY116" s="175">
        <f>IF(AND(Input_Product=Elig!$C116,Elig_MatchAll_Ct&lt;22,$BC116=(Elig_MatchAll_Ct-1),AV116=0),T116,0)</f>
        <v>0</v>
      </c>
      <c r="BZ116" s="176">
        <f>IF(AND(Input_Product=Elig!$C116,Elig_MatchAll_Ct&lt;22,$BC116=(Elig_MatchAll_Ct-1),AV116=0),U116,0)</f>
        <v>0</v>
      </c>
      <c r="CA116" s="175">
        <f>IF(AND(Input_Product=Elig!$C116,Elig_MatchAll_Ct&lt;22,$BC116=(Elig_MatchAll_Ct-1),AW116=0),V116,0)</f>
        <v>0</v>
      </c>
      <c r="CB116" s="176">
        <f>IF(AND(Input_Product=Elig!$C116,Elig_MatchAll_Ct&lt;22,$BC116=(Elig_MatchAll_Ct-1),AW116=0),W116,0)</f>
        <v>0</v>
      </c>
      <c r="CC116" s="175">
        <f>IF(AND(Input_Product=Elig!$C116,Elig_MatchAll_Ct&lt;22,$BC116=(Elig_MatchAll_Ct-1),AX116=0),X116,0)</f>
        <v>0</v>
      </c>
      <c r="CD116" s="176">
        <f>IF(AND(Input_Product=Elig!$C116,Elig_MatchAll_Ct&lt;22,$BC116=(Elig_MatchAll_Ct-1),AX116=0),Y116,0)</f>
        <v>0</v>
      </c>
      <c r="CE116" s="175">
        <f>IF(AND(Input_LTV&lt;=AE116,Input_Product=Elig!$C116,Elig_MatchAll_Ct&lt;22,$BC116=(Elig_MatchAll_Ct-1),AY116=0),Z116,0)</f>
        <v>0</v>
      </c>
      <c r="CF116" s="176">
        <f>IF(AND(Input_LTV&lt;=AE116,Input_Product=Elig!$C116,Elig_MatchAll_Ct&lt;22,$BC116=(Elig_MatchAll_Ct-1),AY116=0),AA116,0)</f>
        <v>0</v>
      </c>
      <c r="CG116" s="175">
        <f>IF(AND(Input_Product=Elig!$C116,Elig_MatchAll_Ct&lt;22,$BC116=(Elig_MatchAll_Ct-1),AZ116=0),AB116,0)</f>
        <v>0</v>
      </c>
      <c r="CH116" s="176">
        <f>IF(AND(Input_Product=Elig!$C116,Elig_MatchAll_Ct&lt;22,$BC116=(Elig_MatchAll_Ct-1),AZ116=0),AC116,0)</f>
        <v>0</v>
      </c>
      <c r="CI116" s="175">
        <f>IF(AND(Input_Product=Elig!$C116,Elig_MatchAll_Ct&lt;22,$BC116=(Elig_MatchAll_Ct-1),BA116=0),AD116,0)</f>
        <v>0</v>
      </c>
      <c r="CJ116" s="177">
        <f>IF(AND(Input_Product=Elig!$C116,Elig_MatchAll_Ct&lt;22,$BC116=(Elig_MatchAll_Ct-1),BA116=0),AE116,0)</f>
        <v>0</v>
      </c>
    </row>
    <row r="117" spans="1:88" ht="10.15" customHeight="1" x14ac:dyDescent="0.25">
      <c r="A117" s="1419" t="s">
        <v>76</v>
      </c>
      <c r="B117" s="1419" t="s">
        <v>812</v>
      </c>
      <c r="C117" s="116" t="str">
        <f t="shared" si="30"/>
        <v>NonQM OO</v>
      </c>
      <c r="D117" s="117" t="s">
        <v>1995</v>
      </c>
      <c r="E117" s="117" t="s">
        <v>166</v>
      </c>
      <c r="F117" s="117" t="s">
        <v>330</v>
      </c>
      <c r="G117" s="117" t="s">
        <v>302</v>
      </c>
      <c r="H117" s="117" t="s">
        <v>135</v>
      </c>
      <c r="I117" s="118" t="s">
        <v>273</v>
      </c>
      <c r="J117" s="118" t="s">
        <v>1130</v>
      </c>
      <c r="K117" s="118" t="s">
        <v>1398</v>
      </c>
      <c r="L117" s="117" t="s">
        <v>2025</v>
      </c>
      <c r="M117" s="117" t="s">
        <v>2289</v>
      </c>
      <c r="N117" s="117" t="s">
        <v>82</v>
      </c>
      <c r="O117" s="117" t="s">
        <v>309</v>
      </c>
      <c r="P117" s="117" t="s">
        <v>2433</v>
      </c>
      <c r="Q117" s="117" t="s">
        <v>293</v>
      </c>
      <c r="R117" s="117">
        <v>1500000.01</v>
      </c>
      <c r="S117" s="117">
        <v>2000000</v>
      </c>
      <c r="T117" s="117">
        <v>0</v>
      </c>
      <c r="U117" s="117">
        <v>0</v>
      </c>
      <c r="V117" s="117">
        <v>0</v>
      </c>
      <c r="W117" s="117">
        <v>55</v>
      </c>
      <c r="X117" s="117">
        <v>0</v>
      </c>
      <c r="Y117" s="117">
        <v>999</v>
      </c>
      <c r="Z117" s="119">
        <v>680</v>
      </c>
      <c r="AA117" s="119">
        <v>699</v>
      </c>
      <c r="AB117" s="1877">
        <v>0</v>
      </c>
      <c r="AC117" s="119">
        <v>999999</v>
      </c>
      <c r="AD117" s="117">
        <v>0</v>
      </c>
      <c r="AE117" s="117">
        <v>80</v>
      </c>
      <c r="AF117" s="144">
        <v>0</v>
      </c>
      <c r="AG117" s="145">
        <v>1</v>
      </c>
      <c r="AH117" s="145">
        <v>1</v>
      </c>
      <c r="AI117" s="145">
        <v>0</v>
      </c>
      <c r="AJ117" s="145">
        <v>0</v>
      </c>
      <c r="AK117" s="145">
        <v>1</v>
      </c>
      <c r="AL117" s="145">
        <v>1</v>
      </c>
      <c r="AM117" s="145">
        <v>1</v>
      </c>
      <c r="AN117" s="145">
        <v>1</v>
      </c>
      <c r="AO117" s="145">
        <v>1</v>
      </c>
      <c r="AP117" s="145">
        <v>1</v>
      </c>
      <c r="AQ117" s="145">
        <v>0</v>
      </c>
      <c r="AR117" s="145">
        <v>1</v>
      </c>
      <c r="AS117" s="145">
        <v>1</v>
      </c>
      <c r="AT117" s="145">
        <v>1</v>
      </c>
      <c r="AU117" s="145">
        <f t="shared" si="37"/>
        <v>0</v>
      </c>
      <c r="AV117" s="145">
        <f t="shared" si="38"/>
        <v>1</v>
      </c>
      <c r="AW117" s="145">
        <f t="shared" si="39"/>
        <v>1</v>
      </c>
      <c r="AX117" s="145">
        <f t="shared" si="32"/>
        <v>1</v>
      </c>
      <c r="AY117" s="145">
        <f t="shared" si="40"/>
        <v>0</v>
      </c>
      <c r="AZ117" s="145">
        <f t="shared" si="41"/>
        <v>1</v>
      </c>
      <c r="BA117" s="146">
        <f t="shared" si="42"/>
        <v>1</v>
      </c>
      <c r="BB117" s="149">
        <f t="shared" si="25"/>
        <v>16</v>
      </c>
      <c r="BC117" s="150">
        <f t="shared" si="26"/>
        <v>15</v>
      </c>
      <c r="BD117" s="150">
        <f t="shared" si="27"/>
        <v>16</v>
      </c>
      <c r="BE117" s="211" t="str">
        <f t="shared" si="28"/>
        <v/>
      </c>
      <c r="BH117" s="172">
        <f>IF(AND(Input_Product=Elig!$C117,Elig_MatchAll_Ct&lt;22,$BC117=(Elig_MatchAll_Ct-1),AF117=0),C117,0)</f>
        <v>0</v>
      </c>
      <c r="BI117" s="173">
        <f>IF(AND(Input_Product=Elig!$C117,Elig_MatchAll_Ct&lt;22,$BC117=(Elig_MatchAll_Ct-1),AG117=0),D117,0)</f>
        <v>0</v>
      </c>
      <c r="BJ117" s="173">
        <f>IF(AND(Input_Product=Elig!$C117,Elig_MatchAll_Ct&lt;22,$BC117=(Elig_MatchAll_Ct-1),AH117=0),E117,0)</f>
        <v>0</v>
      </c>
      <c r="BK117" s="173">
        <f>IF(AND(Input_Product=Elig!$C117,Elig_MatchAll_Ct&lt;22,$BC117=(Elig_MatchAll_Ct-1),AI117=0),F117,0)</f>
        <v>0</v>
      </c>
      <c r="BL117" s="173">
        <f>IF(AND(Input_Product=Elig!$C117,Elig_MatchAll_Ct&lt;22,$BC117=(Elig_MatchAll_Ct-1),AJ117=0),G117,0)</f>
        <v>0</v>
      </c>
      <c r="BM117" s="173">
        <f>IF(AND(Input_Product=Elig!$C117,Elig_MatchAll_Ct&lt;22,$BC117=(Elig_MatchAll_Ct-1),AK117=0),H117,0)</f>
        <v>0</v>
      </c>
      <c r="BN117" s="173">
        <f>IF(AND(Input_Product=Elig!$C117,Elig_MatchAll_Ct&lt;22,$BC117=(Elig_MatchAll_Ct-1),AL117=0),I117,0)</f>
        <v>0</v>
      </c>
      <c r="BO117" s="173">
        <f>IF(AND(Input_Product=Elig!$C117,Elig_MatchAll_Ct&lt;22,$BC117=(Elig_MatchAll_Ct-1),AM117=0),J117,0)</f>
        <v>0</v>
      </c>
      <c r="BP117" s="173">
        <f>IF(AND(Input_Product=Elig!$C117,Elig_MatchAll_Ct&lt;22,$BC117=(Elig_MatchAll_Ct-1),AN117=0),K117,0)</f>
        <v>0</v>
      </c>
      <c r="BQ117" s="173">
        <f>IF(AND(Input_Product=Elig!$C117,Elig_MatchAll_Ct&lt;22,$BC117=(Elig_MatchAll_Ct-1),AP117=0),L117,0)</f>
        <v>0</v>
      </c>
      <c r="BR117" s="173">
        <f>IF(AND(Input_Product=Elig!$C117,Elig_MatchAll_Ct&lt;22,$BC117=(Elig_MatchAll_Ct-1),AO117=0),M117,0)</f>
        <v>0</v>
      </c>
      <c r="BS117" s="173">
        <f>IF(AND(Input_Product=Elig!$C117,Elig_MatchAll_Ct&lt;22,$BC117=(Elig_MatchAll_Ct-1),AQ117=0),N117,0)</f>
        <v>0</v>
      </c>
      <c r="BT117" s="173">
        <f>IF(AND(Input_Product=Elig!$C117,Elig_MatchAll_Ct&lt;22,$BC117=(Elig_MatchAll_Ct-1),AR117=0),O117,0)</f>
        <v>0</v>
      </c>
      <c r="BU117" s="173">
        <f>IF(AND(Input_Product=Elig!$C117,Elig_MatchAll_Ct&lt;22,$BC117=(Elig_MatchAll_Ct-1),AS117=0),P117,0)</f>
        <v>0</v>
      </c>
      <c r="BV117" s="174">
        <f>IF(AND(Input_Product=Elig!$C117,Elig_MatchAll_Ct&lt;22,$BC117=(Elig_MatchAll_Ct-1),AT117=0),Q117,0)</f>
        <v>0</v>
      </c>
      <c r="BW117" s="175">
        <f>IF(AND(Input_Product=Elig!$C117,Elig_MatchAll_Ct&lt;22,$BC117=(Elig_MatchAll_Ct-1),AU117=0),R117,0)</f>
        <v>0</v>
      </c>
      <c r="BX117" s="176">
        <f>IF(AND(Input_Product=Elig!$C117,Elig_MatchAll_Ct&lt;22,$BC117=(Elig_MatchAll_Ct-1),AU117=0),S117,0)</f>
        <v>0</v>
      </c>
      <c r="BY117" s="175">
        <f>IF(AND(Input_Product=Elig!$C117,Elig_MatchAll_Ct&lt;22,$BC117=(Elig_MatchAll_Ct-1),AV117=0),T117,0)</f>
        <v>0</v>
      </c>
      <c r="BZ117" s="176">
        <f>IF(AND(Input_Product=Elig!$C117,Elig_MatchAll_Ct&lt;22,$BC117=(Elig_MatchAll_Ct-1),AV117=0),U117,0)</f>
        <v>0</v>
      </c>
      <c r="CA117" s="175">
        <f>IF(AND(Input_Product=Elig!$C117,Elig_MatchAll_Ct&lt;22,$BC117=(Elig_MatchAll_Ct-1),AW117=0),V117,0)</f>
        <v>0</v>
      </c>
      <c r="CB117" s="176">
        <f>IF(AND(Input_Product=Elig!$C117,Elig_MatchAll_Ct&lt;22,$BC117=(Elig_MatchAll_Ct-1),AW117=0),W117,0)</f>
        <v>0</v>
      </c>
      <c r="CC117" s="175">
        <f>IF(AND(Input_Product=Elig!$C117,Elig_MatchAll_Ct&lt;22,$BC117=(Elig_MatchAll_Ct-1),AX117=0),X117,0)</f>
        <v>0</v>
      </c>
      <c r="CD117" s="176">
        <f>IF(AND(Input_Product=Elig!$C117,Elig_MatchAll_Ct&lt;22,$BC117=(Elig_MatchAll_Ct-1),AX117=0),Y117,0)</f>
        <v>0</v>
      </c>
      <c r="CE117" s="175">
        <f>IF(AND(Input_LTV&lt;=AE117,Input_Product=Elig!$C117,Elig_MatchAll_Ct&lt;22,$BC117=(Elig_MatchAll_Ct-1),AY117=0),Z117,0)</f>
        <v>0</v>
      </c>
      <c r="CF117" s="176">
        <f>IF(AND(Input_LTV&lt;=AE117,Input_Product=Elig!$C117,Elig_MatchAll_Ct&lt;22,$BC117=(Elig_MatchAll_Ct-1),AY117=0),AA117,0)</f>
        <v>0</v>
      </c>
      <c r="CG117" s="175">
        <f>IF(AND(Input_Product=Elig!$C117,Elig_MatchAll_Ct&lt;22,$BC117=(Elig_MatchAll_Ct-1),AZ117=0),AB117,0)</f>
        <v>0</v>
      </c>
      <c r="CH117" s="176">
        <f>IF(AND(Input_Product=Elig!$C117,Elig_MatchAll_Ct&lt;22,$BC117=(Elig_MatchAll_Ct-1),AZ117=0),AC117,0)</f>
        <v>0</v>
      </c>
      <c r="CI117" s="175">
        <f>IF(AND(Input_Product=Elig!$C117,Elig_MatchAll_Ct&lt;22,$BC117=(Elig_MatchAll_Ct-1),BA117=0),AD117,0)</f>
        <v>0</v>
      </c>
      <c r="CJ117" s="177">
        <f>IF(AND(Input_Product=Elig!$C117,Elig_MatchAll_Ct&lt;22,$BC117=(Elig_MatchAll_Ct-1),BA117=0),AE117,0)</f>
        <v>0</v>
      </c>
    </row>
    <row r="118" spans="1:88" ht="10.15" customHeight="1" x14ac:dyDescent="0.25">
      <c r="A118" s="1419" t="s">
        <v>76</v>
      </c>
      <c r="B118" s="1419" t="s">
        <v>813</v>
      </c>
      <c r="C118" s="116" t="str">
        <f t="shared" si="30"/>
        <v>NonQM OO</v>
      </c>
      <c r="D118" s="117" t="s">
        <v>1995</v>
      </c>
      <c r="E118" s="117" t="s">
        <v>166</v>
      </c>
      <c r="F118" s="117" t="s">
        <v>330</v>
      </c>
      <c r="G118" s="117" t="s">
        <v>302</v>
      </c>
      <c r="H118" s="117" t="s">
        <v>135</v>
      </c>
      <c r="I118" s="117" t="s">
        <v>273</v>
      </c>
      <c r="J118" s="117" t="s">
        <v>1130</v>
      </c>
      <c r="K118" s="117" t="s">
        <v>1398</v>
      </c>
      <c r="L118" s="117" t="s">
        <v>2025</v>
      </c>
      <c r="M118" s="117" t="s">
        <v>2289</v>
      </c>
      <c r="N118" s="117" t="s">
        <v>82</v>
      </c>
      <c r="O118" s="117" t="s">
        <v>309</v>
      </c>
      <c r="P118" s="117" t="s">
        <v>2433</v>
      </c>
      <c r="Q118" s="117" t="s">
        <v>293</v>
      </c>
      <c r="R118" s="117">
        <v>1500000.01</v>
      </c>
      <c r="S118" s="117">
        <v>2000000</v>
      </c>
      <c r="T118" s="117">
        <v>0</v>
      </c>
      <c r="U118" s="117">
        <v>0</v>
      </c>
      <c r="V118" s="117">
        <v>0</v>
      </c>
      <c r="W118" s="117">
        <v>55</v>
      </c>
      <c r="X118" s="117">
        <v>0</v>
      </c>
      <c r="Y118" s="117">
        <v>999</v>
      </c>
      <c r="Z118" s="119">
        <v>660</v>
      </c>
      <c r="AA118" s="119">
        <v>679</v>
      </c>
      <c r="AB118" s="1877">
        <v>0</v>
      </c>
      <c r="AC118" s="119">
        <v>999999</v>
      </c>
      <c r="AD118" s="117">
        <v>0</v>
      </c>
      <c r="AE118" s="117">
        <v>75</v>
      </c>
      <c r="AF118" s="144">
        <v>0</v>
      </c>
      <c r="AG118" s="145">
        <v>1</v>
      </c>
      <c r="AH118" s="145">
        <v>1</v>
      </c>
      <c r="AI118" s="145">
        <v>0</v>
      </c>
      <c r="AJ118" s="145">
        <v>0</v>
      </c>
      <c r="AK118" s="145">
        <v>1</v>
      </c>
      <c r="AL118" s="145">
        <v>1</v>
      </c>
      <c r="AM118" s="145">
        <v>1</v>
      </c>
      <c r="AN118" s="145">
        <v>1</v>
      </c>
      <c r="AO118" s="145">
        <v>1</v>
      </c>
      <c r="AP118" s="145">
        <v>1</v>
      </c>
      <c r="AQ118" s="145">
        <v>0</v>
      </c>
      <c r="AR118" s="145">
        <v>1</v>
      </c>
      <c r="AS118" s="145">
        <v>1</v>
      </c>
      <c r="AT118" s="145">
        <v>1</v>
      </c>
      <c r="AU118" s="145">
        <f t="shared" si="37"/>
        <v>0</v>
      </c>
      <c r="AV118" s="145">
        <f t="shared" si="38"/>
        <v>1</v>
      </c>
      <c r="AW118" s="145">
        <f t="shared" si="39"/>
        <v>1</v>
      </c>
      <c r="AX118" s="145">
        <f t="shared" si="32"/>
        <v>1</v>
      </c>
      <c r="AY118" s="145">
        <f t="shared" si="40"/>
        <v>0</v>
      </c>
      <c r="AZ118" s="145">
        <f t="shared" si="41"/>
        <v>1</v>
      </c>
      <c r="BA118" s="146">
        <f t="shared" si="42"/>
        <v>1</v>
      </c>
      <c r="BB118" s="149">
        <f t="shared" si="25"/>
        <v>16</v>
      </c>
      <c r="BC118" s="150">
        <f t="shared" si="26"/>
        <v>15</v>
      </c>
      <c r="BD118" s="150">
        <f t="shared" si="27"/>
        <v>16</v>
      </c>
      <c r="BE118" s="211" t="str">
        <f t="shared" si="28"/>
        <v/>
      </c>
      <c r="BH118" s="172">
        <f>IF(AND(Input_Product=Elig!$C118,Elig_MatchAll_Ct&lt;22,$BC118=(Elig_MatchAll_Ct-1),AF118=0),C118,0)</f>
        <v>0</v>
      </c>
      <c r="BI118" s="173">
        <f>IF(AND(Input_Product=Elig!$C118,Elig_MatchAll_Ct&lt;22,$BC118=(Elig_MatchAll_Ct-1),AG118=0),D118,0)</f>
        <v>0</v>
      </c>
      <c r="BJ118" s="173">
        <f>IF(AND(Input_Product=Elig!$C118,Elig_MatchAll_Ct&lt;22,$BC118=(Elig_MatchAll_Ct-1),AH118=0),E118,0)</f>
        <v>0</v>
      </c>
      <c r="BK118" s="173">
        <f>IF(AND(Input_Product=Elig!$C118,Elig_MatchAll_Ct&lt;22,$BC118=(Elig_MatchAll_Ct-1),AI118=0),F118,0)</f>
        <v>0</v>
      </c>
      <c r="BL118" s="173">
        <f>IF(AND(Input_Product=Elig!$C118,Elig_MatchAll_Ct&lt;22,$BC118=(Elig_MatchAll_Ct-1),AJ118=0),G118,0)</f>
        <v>0</v>
      </c>
      <c r="BM118" s="173">
        <f>IF(AND(Input_Product=Elig!$C118,Elig_MatchAll_Ct&lt;22,$BC118=(Elig_MatchAll_Ct-1),AK118=0),H118,0)</f>
        <v>0</v>
      </c>
      <c r="BN118" s="173">
        <f>IF(AND(Input_Product=Elig!$C118,Elig_MatchAll_Ct&lt;22,$BC118=(Elig_MatchAll_Ct-1),AL118=0),I118,0)</f>
        <v>0</v>
      </c>
      <c r="BO118" s="173">
        <f>IF(AND(Input_Product=Elig!$C118,Elig_MatchAll_Ct&lt;22,$BC118=(Elig_MatchAll_Ct-1),AM118=0),J118,0)</f>
        <v>0</v>
      </c>
      <c r="BP118" s="173">
        <f>IF(AND(Input_Product=Elig!$C118,Elig_MatchAll_Ct&lt;22,$BC118=(Elig_MatchAll_Ct-1),AN118=0),K118,0)</f>
        <v>0</v>
      </c>
      <c r="BQ118" s="173">
        <f>IF(AND(Input_Product=Elig!$C118,Elig_MatchAll_Ct&lt;22,$BC118=(Elig_MatchAll_Ct-1),AP118=0),L118,0)</f>
        <v>0</v>
      </c>
      <c r="BR118" s="173">
        <f>IF(AND(Input_Product=Elig!$C118,Elig_MatchAll_Ct&lt;22,$BC118=(Elig_MatchAll_Ct-1),AO118=0),M118,0)</f>
        <v>0</v>
      </c>
      <c r="BS118" s="173">
        <f>IF(AND(Input_Product=Elig!$C118,Elig_MatchAll_Ct&lt;22,$BC118=(Elig_MatchAll_Ct-1),AQ118=0),N118,0)</f>
        <v>0</v>
      </c>
      <c r="BT118" s="173">
        <f>IF(AND(Input_Product=Elig!$C118,Elig_MatchAll_Ct&lt;22,$BC118=(Elig_MatchAll_Ct-1),AR118=0),O118,0)</f>
        <v>0</v>
      </c>
      <c r="BU118" s="173">
        <f>IF(AND(Input_Product=Elig!$C118,Elig_MatchAll_Ct&lt;22,$BC118=(Elig_MatchAll_Ct-1),AS118=0),P118,0)</f>
        <v>0</v>
      </c>
      <c r="BV118" s="174">
        <f>IF(AND(Input_Product=Elig!$C118,Elig_MatchAll_Ct&lt;22,$BC118=(Elig_MatchAll_Ct-1),AT118=0),Q118,0)</f>
        <v>0</v>
      </c>
      <c r="BW118" s="175">
        <f>IF(AND(Input_Product=Elig!$C118,Elig_MatchAll_Ct&lt;22,$BC118=(Elig_MatchAll_Ct-1),AU118=0),R118,0)</f>
        <v>0</v>
      </c>
      <c r="BX118" s="176">
        <f>IF(AND(Input_Product=Elig!$C118,Elig_MatchAll_Ct&lt;22,$BC118=(Elig_MatchAll_Ct-1),AU118=0),S118,0)</f>
        <v>0</v>
      </c>
      <c r="BY118" s="175">
        <f>IF(AND(Input_Product=Elig!$C118,Elig_MatchAll_Ct&lt;22,$BC118=(Elig_MatchAll_Ct-1),AV118=0),T118,0)</f>
        <v>0</v>
      </c>
      <c r="BZ118" s="176">
        <f>IF(AND(Input_Product=Elig!$C118,Elig_MatchAll_Ct&lt;22,$BC118=(Elig_MatchAll_Ct-1),AV118=0),U118,0)</f>
        <v>0</v>
      </c>
      <c r="CA118" s="175">
        <f>IF(AND(Input_Product=Elig!$C118,Elig_MatchAll_Ct&lt;22,$BC118=(Elig_MatchAll_Ct-1),AW118=0),V118,0)</f>
        <v>0</v>
      </c>
      <c r="CB118" s="176">
        <f>IF(AND(Input_Product=Elig!$C118,Elig_MatchAll_Ct&lt;22,$BC118=(Elig_MatchAll_Ct-1),AW118=0),W118,0)</f>
        <v>0</v>
      </c>
      <c r="CC118" s="175">
        <f>IF(AND(Input_Product=Elig!$C118,Elig_MatchAll_Ct&lt;22,$BC118=(Elig_MatchAll_Ct-1),AX118=0),X118,0)</f>
        <v>0</v>
      </c>
      <c r="CD118" s="176">
        <f>IF(AND(Input_Product=Elig!$C118,Elig_MatchAll_Ct&lt;22,$BC118=(Elig_MatchAll_Ct-1),AX118=0),Y118,0)</f>
        <v>0</v>
      </c>
      <c r="CE118" s="175">
        <f>IF(AND(Input_LTV&lt;=AE118,Input_Product=Elig!$C118,Elig_MatchAll_Ct&lt;22,$BC118=(Elig_MatchAll_Ct-1),AY118=0),Z118,0)</f>
        <v>0</v>
      </c>
      <c r="CF118" s="176">
        <f>IF(AND(Input_LTV&lt;=AE118,Input_Product=Elig!$C118,Elig_MatchAll_Ct&lt;22,$BC118=(Elig_MatchAll_Ct-1),AY118=0),AA118,0)</f>
        <v>0</v>
      </c>
      <c r="CG118" s="175">
        <f>IF(AND(Input_Product=Elig!$C118,Elig_MatchAll_Ct&lt;22,$BC118=(Elig_MatchAll_Ct-1),AZ118=0),AB118,0)</f>
        <v>0</v>
      </c>
      <c r="CH118" s="176">
        <f>IF(AND(Input_Product=Elig!$C118,Elig_MatchAll_Ct&lt;22,$BC118=(Elig_MatchAll_Ct-1),AZ118=0),AC118,0)</f>
        <v>0</v>
      </c>
      <c r="CI118" s="175">
        <f>IF(AND(Input_Product=Elig!$C118,Elig_MatchAll_Ct&lt;22,$BC118=(Elig_MatchAll_Ct-1),BA118=0),AD118,0)</f>
        <v>0</v>
      </c>
      <c r="CJ118" s="177">
        <f>IF(AND(Input_Product=Elig!$C118,Elig_MatchAll_Ct&lt;22,$BC118=(Elig_MatchAll_Ct-1),BA118=0),AE118,0)</f>
        <v>0</v>
      </c>
    </row>
    <row r="119" spans="1:88" ht="10.15" customHeight="1" x14ac:dyDescent="0.25">
      <c r="A119" s="1419" t="s">
        <v>76</v>
      </c>
      <c r="B119" s="1419" t="s">
        <v>814</v>
      </c>
      <c r="C119" s="116" t="str">
        <f t="shared" si="30"/>
        <v>NonQM OO</v>
      </c>
      <c r="D119" s="117" t="s">
        <v>1995</v>
      </c>
      <c r="E119" s="117" t="s">
        <v>166</v>
      </c>
      <c r="F119" s="117" t="s">
        <v>330</v>
      </c>
      <c r="G119" s="117" t="s">
        <v>302</v>
      </c>
      <c r="H119" s="117" t="s">
        <v>135</v>
      </c>
      <c r="I119" s="117" t="s">
        <v>273</v>
      </c>
      <c r="J119" s="117" t="s">
        <v>1130</v>
      </c>
      <c r="K119" s="117" t="s">
        <v>1398</v>
      </c>
      <c r="L119" s="117" t="s">
        <v>2025</v>
      </c>
      <c r="M119" s="117" t="s">
        <v>2289</v>
      </c>
      <c r="N119" s="117" t="s">
        <v>82</v>
      </c>
      <c r="O119" s="117" t="s">
        <v>309</v>
      </c>
      <c r="P119" s="117" t="s">
        <v>2433</v>
      </c>
      <c r="Q119" s="117" t="s">
        <v>293</v>
      </c>
      <c r="R119" s="117">
        <v>1500000.01</v>
      </c>
      <c r="S119" s="117">
        <v>2000000</v>
      </c>
      <c r="T119" s="117">
        <v>0</v>
      </c>
      <c r="U119" s="117">
        <v>0</v>
      </c>
      <c r="V119" s="117">
        <v>0</v>
      </c>
      <c r="W119" s="117">
        <v>55</v>
      </c>
      <c r="X119" s="117">
        <v>0</v>
      </c>
      <c r="Y119" s="117">
        <v>999</v>
      </c>
      <c r="Z119" s="119">
        <v>640</v>
      </c>
      <c r="AA119" s="119">
        <v>659</v>
      </c>
      <c r="AB119" s="1877">
        <v>0</v>
      </c>
      <c r="AC119" s="119">
        <v>999999</v>
      </c>
      <c r="AD119" s="117">
        <v>0</v>
      </c>
      <c r="AE119" s="117">
        <v>65</v>
      </c>
      <c r="AF119" s="144">
        <v>0</v>
      </c>
      <c r="AG119" s="145">
        <v>1</v>
      </c>
      <c r="AH119" s="145">
        <v>1</v>
      </c>
      <c r="AI119" s="145">
        <v>0</v>
      </c>
      <c r="AJ119" s="145">
        <v>0</v>
      </c>
      <c r="AK119" s="145">
        <v>1</v>
      </c>
      <c r="AL119" s="145">
        <v>1</v>
      </c>
      <c r="AM119" s="145">
        <v>1</v>
      </c>
      <c r="AN119" s="145">
        <v>1</v>
      </c>
      <c r="AO119" s="145">
        <v>1</v>
      </c>
      <c r="AP119" s="145">
        <v>1</v>
      </c>
      <c r="AQ119" s="145">
        <v>0</v>
      </c>
      <c r="AR119" s="145">
        <v>1</v>
      </c>
      <c r="AS119" s="145">
        <v>1</v>
      </c>
      <c r="AT119" s="145">
        <v>1</v>
      </c>
      <c r="AU119" s="145">
        <f t="shared" si="37"/>
        <v>0</v>
      </c>
      <c r="AV119" s="145">
        <f t="shared" si="38"/>
        <v>1</v>
      </c>
      <c r="AW119" s="145">
        <f t="shared" si="39"/>
        <v>1</v>
      </c>
      <c r="AX119" s="145">
        <f t="shared" si="32"/>
        <v>1</v>
      </c>
      <c r="AY119" s="145">
        <f t="shared" si="40"/>
        <v>0</v>
      </c>
      <c r="AZ119" s="145">
        <f t="shared" si="41"/>
        <v>1</v>
      </c>
      <c r="BA119" s="146">
        <f t="shared" si="42"/>
        <v>0</v>
      </c>
      <c r="BB119" s="149">
        <f t="shared" ref="BB119:BB165" si="43">SUM(AF119:BA119)</f>
        <v>15</v>
      </c>
      <c r="BC119" s="150">
        <f t="shared" ref="BC119:BC165" si="44">SUM(AF119:AZ119)</f>
        <v>15</v>
      </c>
      <c r="BD119" s="150">
        <f t="shared" ref="BD119:BD165" si="45">SUM(AG119:BA119)</f>
        <v>15</v>
      </c>
      <c r="BE119" s="211" t="str">
        <f t="shared" ref="BE119:BE165" si="46">IF(BD119=21,C119,"")</f>
        <v/>
      </c>
      <c r="BH119" s="172">
        <f>IF(AND(Input_Product=Elig!$C119,Elig_MatchAll_Ct&lt;22,$BC119=(Elig_MatchAll_Ct-1),AF119=0),C119,0)</f>
        <v>0</v>
      </c>
      <c r="BI119" s="173">
        <f>IF(AND(Input_Product=Elig!$C119,Elig_MatchAll_Ct&lt;22,$BC119=(Elig_MatchAll_Ct-1),AG119=0),D119,0)</f>
        <v>0</v>
      </c>
      <c r="BJ119" s="173">
        <f>IF(AND(Input_Product=Elig!$C119,Elig_MatchAll_Ct&lt;22,$BC119=(Elig_MatchAll_Ct-1),AH119=0),E119,0)</f>
        <v>0</v>
      </c>
      <c r="BK119" s="173">
        <f>IF(AND(Input_Product=Elig!$C119,Elig_MatchAll_Ct&lt;22,$BC119=(Elig_MatchAll_Ct-1),AI119=0),F119,0)</f>
        <v>0</v>
      </c>
      <c r="BL119" s="173">
        <f>IF(AND(Input_Product=Elig!$C119,Elig_MatchAll_Ct&lt;22,$BC119=(Elig_MatchAll_Ct-1),AJ119=0),G119,0)</f>
        <v>0</v>
      </c>
      <c r="BM119" s="173">
        <f>IF(AND(Input_Product=Elig!$C119,Elig_MatchAll_Ct&lt;22,$BC119=(Elig_MatchAll_Ct-1),AK119=0),H119,0)</f>
        <v>0</v>
      </c>
      <c r="BN119" s="173">
        <f>IF(AND(Input_Product=Elig!$C119,Elig_MatchAll_Ct&lt;22,$BC119=(Elig_MatchAll_Ct-1),AL119=0),I119,0)</f>
        <v>0</v>
      </c>
      <c r="BO119" s="173">
        <f>IF(AND(Input_Product=Elig!$C119,Elig_MatchAll_Ct&lt;22,$BC119=(Elig_MatchAll_Ct-1),AM119=0),J119,0)</f>
        <v>0</v>
      </c>
      <c r="BP119" s="173">
        <f>IF(AND(Input_Product=Elig!$C119,Elig_MatchAll_Ct&lt;22,$BC119=(Elig_MatchAll_Ct-1),AN119=0),K119,0)</f>
        <v>0</v>
      </c>
      <c r="BQ119" s="173">
        <f>IF(AND(Input_Product=Elig!$C119,Elig_MatchAll_Ct&lt;22,$BC119=(Elig_MatchAll_Ct-1),AP119=0),L119,0)</f>
        <v>0</v>
      </c>
      <c r="BR119" s="173">
        <f>IF(AND(Input_Product=Elig!$C119,Elig_MatchAll_Ct&lt;22,$BC119=(Elig_MatchAll_Ct-1),AO119=0),M119,0)</f>
        <v>0</v>
      </c>
      <c r="BS119" s="173">
        <f>IF(AND(Input_Product=Elig!$C119,Elig_MatchAll_Ct&lt;22,$BC119=(Elig_MatchAll_Ct-1),AQ119=0),N119,0)</f>
        <v>0</v>
      </c>
      <c r="BT119" s="173">
        <f>IF(AND(Input_Product=Elig!$C119,Elig_MatchAll_Ct&lt;22,$BC119=(Elig_MatchAll_Ct-1),AR119=0),O119,0)</f>
        <v>0</v>
      </c>
      <c r="BU119" s="173">
        <f>IF(AND(Input_Product=Elig!$C119,Elig_MatchAll_Ct&lt;22,$BC119=(Elig_MatchAll_Ct-1),AS119=0),P119,0)</f>
        <v>0</v>
      </c>
      <c r="BV119" s="174">
        <f>IF(AND(Input_Product=Elig!$C119,Elig_MatchAll_Ct&lt;22,$BC119=(Elig_MatchAll_Ct-1),AT119=0),Q119,0)</f>
        <v>0</v>
      </c>
      <c r="BW119" s="175">
        <f>IF(AND(Input_Product=Elig!$C119,Elig_MatchAll_Ct&lt;22,$BC119=(Elig_MatchAll_Ct-1),AU119=0),R119,0)</f>
        <v>0</v>
      </c>
      <c r="BX119" s="176">
        <f>IF(AND(Input_Product=Elig!$C119,Elig_MatchAll_Ct&lt;22,$BC119=(Elig_MatchAll_Ct-1),AU119=0),S119,0)</f>
        <v>0</v>
      </c>
      <c r="BY119" s="175">
        <f>IF(AND(Input_Product=Elig!$C119,Elig_MatchAll_Ct&lt;22,$BC119=(Elig_MatchAll_Ct-1),AV119=0),T119,0)</f>
        <v>0</v>
      </c>
      <c r="BZ119" s="176">
        <f>IF(AND(Input_Product=Elig!$C119,Elig_MatchAll_Ct&lt;22,$BC119=(Elig_MatchAll_Ct-1),AV119=0),U119,0)</f>
        <v>0</v>
      </c>
      <c r="CA119" s="175">
        <f>IF(AND(Input_Product=Elig!$C119,Elig_MatchAll_Ct&lt;22,$BC119=(Elig_MatchAll_Ct-1),AW119=0),V119,0)</f>
        <v>0</v>
      </c>
      <c r="CB119" s="176">
        <f>IF(AND(Input_Product=Elig!$C119,Elig_MatchAll_Ct&lt;22,$BC119=(Elig_MatchAll_Ct-1),AW119=0),W119,0)</f>
        <v>0</v>
      </c>
      <c r="CC119" s="175">
        <f>IF(AND(Input_Product=Elig!$C119,Elig_MatchAll_Ct&lt;22,$BC119=(Elig_MatchAll_Ct-1),AX119=0),X119,0)</f>
        <v>0</v>
      </c>
      <c r="CD119" s="176">
        <f>IF(AND(Input_Product=Elig!$C119,Elig_MatchAll_Ct&lt;22,$BC119=(Elig_MatchAll_Ct-1),AX119=0),Y119,0)</f>
        <v>0</v>
      </c>
      <c r="CE119" s="175">
        <f>IF(AND(Input_LTV&lt;=AE119,Input_Product=Elig!$C119,Elig_MatchAll_Ct&lt;22,$BC119=(Elig_MatchAll_Ct-1),AY119=0),Z119,0)</f>
        <v>0</v>
      </c>
      <c r="CF119" s="176">
        <f>IF(AND(Input_LTV&lt;=AE119,Input_Product=Elig!$C119,Elig_MatchAll_Ct&lt;22,$BC119=(Elig_MatchAll_Ct-1),AY119=0),AA119,0)</f>
        <v>0</v>
      </c>
      <c r="CG119" s="175">
        <f>IF(AND(Input_Product=Elig!$C119,Elig_MatchAll_Ct&lt;22,$BC119=(Elig_MatchAll_Ct-1),AZ119=0),AB119,0)</f>
        <v>0</v>
      </c>
      <c r="CH119" s="176">
        <f>IF(AND(Input_Product=Elig!$C119,Elig_MatchAll_Ct&lt;22,$BC119=(Elig_MatchAll_Ct-1),AZ119=0),AC119,0)</f>
        <v>0</v>
      </c>
      <c r="CI119" s="175">
        <f>IF(AND(Input_Product=Elig!$C119,Elig_MatchAll_Ct&lt;22,$BC119=(Elig_MatchAll_Ct-1),BA119=0),AD119,0)</f>
        <v>0</v>
      </c>
      <c r="CJ119" s="177">
        <f>IF(AND(Input_Product=Elig!$C119,Elig_MatchAll_Ct&lt;22,$BC119=(Elig_MatchAll_Ct-1),BA119=0),AE119,0)</f>
        <v>0</v>
      </c>
    </row>
    <row r="120" spans="1:88" ht="10.15" customHeight="1" x14ac:dyDescent="0.25">
      <c r="A120" s="1419" t="s">
        <v>76</v>
      </c>
      <c r="B120" s="1419" t="s">
        <v>815</v>
      </c>
      <c r="C120" s="123" t="str">
        <f t="shared" si="30"/>
        <v>NonQM OO</v>
      </c>
      <c r="D120" s="124" t="s">
        <v>1995</v>
      </c>
      <c r="E120" s="125" t="s">
        <v>166</v>
      </c>
      <c r="F120" s="125" t="s">
        <v>330</v>
      </c>
      <c r="G120" s="125" t="s">
        <v>302</v>
      </c>
      <c r="H120" s="125" t="s">
        <v>135</v>
      </c>
      <c r="I120" s="124" t="s">
        <v>16</v>
      </c>
      <c r="J120" s="124" t="s">
        <v>1130</v>
      </c>
      <c r="K120" s="124" t="s">
        <v>1398</v>
      </c>
      <c r="L120" s="125" t="s">
        <v>2025</v>
      </c>
      <c r="M120" s="125" t="s">
        <v>2289</v>
      </c>
      <c r="N120" s="125" t="s">
        <v>82</v>
      </c>
      <c r="O120" s="125" t="s">
        <v>309</v>
      </c>
      <c r="P120" s="125" t="s">
        <v>2433</v>
      </c>
      <c r="Q120" s="125" t="s">
        <v>293</v>
      </c>
      <c r="R120" s="124">
        <v>1500000.01</v>
      </c>
      <c r="S120" s="124">
        <v>2000000</v>
      </c>
      <c r="T120" s="124">
        <v>0</v>
      </c>
      <c r="U120" s="124">
        <f t="shared" ref="U120:U123" si="47">S120</f>
        <v>2000000</v>
      </c>
      <c r="V120" s="124">
        <v>0</v>
      </c>
      <c r="W120" s="124">
        <v>55</v>
      </c>
      <c r="X120" s="124">
        <v>0</v>
      </c>
      <c r="Y120" s="124">
        <v>999</v>
      </c>
      <c r="Z120" s="126">
        <v>720</v>
      </c>
      <c r="AA120" s="126">
        <v>999</v>
      </c>
      <c r="AB120" s="1879">
        <v>0</v>
      </c>
      <c r="AC120" s="126">
        <v>999999</v>
      </c>
      <c r="AD120" s="124">
        <v>0</v>
      </c>
      <c r="AE120" s="124">
        <v>80</v>
      </c>
      <c r="AF120" s="144">
        <v>0</v>
      </c>
      <c r="AG120" s="145">
        <v>1</v>
      </c>
      <c r="AH120" s="145">
        <v>1</v>
      </c>
      <c r="AI120" s="145">
        <v>0</v>
      </c>
      <c r="AJ120" s="145">
        <v>0</v>
      </c>
      <c r="AK120" s="145">
        <v>1</v>
      </c>
      <c r="AL120" s="145">
        <v>0</v>
      </c>
      <c r="AM120" s="145">
        <v>1</v>
      </c>
      <c r="AN120" s="145">
        <v>1</v>
      </c>
      <c r="AO120" s="145">
        <v>1</v>
      </c>
      <c r="AP120" s="145">
        <v>1</v>
      </c>
      <c r="AQ120" s="145">
        <v>0</v>
      </c>
      <c r="AR120" s="145">
        <v>1</v>
      </c>
      <c r="AS120" s="145">
        <v>1</v>
      </c>
      <c r="AT120" s="145">
        <v>1</v>
      </c>
      <c r="AU120" s="145">
        <f t="shared" si="37"/>
        <v>0</v>
      </c>
      <c r="AV120" s="145">
        <f t="shared" si="38"/>
        <v>1</v>
      </c>
      <c r="AW120" s="145">
        <f t="shared" si="39"/>
        <v>1</v>
      </c>
      <c r="AX120" s="145">
        <f t="shared" si="32"/>
        <v>1</v>
      </c>
      <c r="AY120" s="145">
        <f t="shared" si="40"/>
        <v>1</v>
      </c>
      <c r="AZ120" s="145">
        <f t="shared" si="41"/>
        <v>1</v>
      </c>
      <c r="BA120" s="146">
        <f t="shared" si="42"/>
        <v>1</v>
      </c>
      <c r="BB120" s="149">
        <f t="shared" si="43"/>
        <v>16</v>
      </c>
      <c r="BC120" s="150">
        <f t="shared" si="44"/>
        <v>15</v>
      </c>
      <c r="BD120" s="150">
        <f t="shared" si="45"/>
        <v>16</v>
      </c>
      <c r="BE120" s="211" t="str">
        <f t="shared" si="46"/>
        <v/>
      </c>
      <c r="BH120" s="166">
        <f>IF(AND(Input_Product=Elig!$C120,Elig_MatchAll_Ct&lt;22,$BC120=(Elig_MatchAll_Ct-1),AF120=0),C120,0)</f>
        <v>0</v>
      </c>
      <c r="BI120" s="167">
        <f>IF(AND(Input_Product=Elig!$C120,Elig_MatchAll_Ct&lt;22,$BC120=(Elig_MatchAll_Ct-1),AG120=0),D120,0)</f>
        <v>0</v>
      </c>
      <c r="BJ120" s="167">
        <f>IF(AND(Input_Product=Elig!$C120,Elig_MatchAll_Ct&lt;22,$BC120=(Elig_MatchAll_Ct-1),AH120=0),E120,0)</f>
        <v>0</v>
      </c>
      <c r="BK120" s="167">
        <f>IF(AND(Input_Product=Elig!$C120,Elig_MatchAll_Ct&lt;22,$BC120=(Elig_MatchAll_Ct-1),AI120=0),F120,0)</f>
        <v>0</v>
      </c>
      <c r="BL120" s="167">
        <f>IF(AND(Input_Product=Elig!$C120,Elig_MatchAll_Ct&lt;22,$BC120=(Elig_MatchAll_Ct-1),AJ120=0),G120,0)</f>
        <v>0</v>
      </c>
      <c r="BM120" s="167">
        <f>IF(AND(Input_Product=Elig!$C120,Elig_MatchAll_Ct&lt;22,$BC120=(Elig_MatchAll_Ct-1),AK120=0),H120,0)</f>
        <v>0</v>
      </c>
      <c r="BN120" s="167">
        <f>IF(AND(Input_Product=Elig!$C120,Elig_MatchAll_Ct&lt;22,$BC120=(Elig_MatchAll_Ct-1),AL120=0),I120,0)</f>
        <v>0</v>
      </c>
      <c r="BO120" s="167">
        <f>IF(AND(Input_Product=Elig!$C120,Elig_MatchAll_Ct&lt;22,$BC120=(Elig_MatchAll_Ct-1),AM120=0),J120,0)</f>
        <v>0</v>
      </c>
      <c r="BP120" s="167">
        <f>IF(AND(Input_Product=Elig!$C120,Elig_MatchAll_Ct&lt;22,$BC120=(Elig_MatchAll_Ct-1),AN120=0),K120,0)</f>
        <v>0</v>
      </c>
      <c r="BQ120" s="167">
        <f>IF(AND(Input_Product=Elig!$C120,Elig_MatchAll_Ct&lt;22,$BC120=(Elig_MatchAll_Ct-1),AP120=0),L120,0)</f>
        <v>0</v>
      </c>
      <c r="BR120" s="167">
        <f>IF(AND(Input_Product=Elig!$C120,Elig_MatchAll_Ct&lt;22,$BC120=(Elig_MatchAll_Ct-1),AO120=0),M120,0)</f>
        <v>0</v>
      </c>
      <c r="BS120" s="167">
        <f>IF(AND(Input_Product=Elig!$C120,Elig_MatchAll_Ct&lt;22,$BC120=(Elig_MatchAll_Ct-1),AQ120=0),N120,0)</f>
        <v>0</v>
      </c>
      <c r="BT120" s="167">
        <f>IF(AND(Input_Product=Elig!$C120,Elig_MatchAll_Ct&lt;22,$BC120=(Elig_MatchAll_Ct-1),AR120=0),O120,0)</f>
        <v>0</v>
      </c>
      <c r="BU120" s="167">
        <f>IF(AND(Input_Product=Elig!$C120,Elig_MatchAll_Ct&lt;22,$BC120=(Elig_MatchAll_Ct-1),AS120=0),P120,0)</f>
        <v>0</v>
      </c>
      <c r="BV120" s="168">
        <f>IF(AND(Input_Product=Elig!$C120,Elig_MatchAll_Ct&lt;22,$BC120=(Elig_MatchAll_Ct-1),AT120=0),Q120,0)</f>
        <v>0</v>
      </c>
      <c r="BW120" s="169">
        <f>IF(AND(Input_Product=Elig!$C120,Elig_MatchAll_Ct&lt;22,$BC120=(Elig_MatchAll_Ct-1),AU120=0),R120,0)</f>
        <v>0</v>
      </c>
      <c r="BX120" s="170">
        <f>IF(AND(Input_Product=Elig!$C120,Elig_MatchAll_Ct&lt;22,$BC120=(Elig_MatchAll_Ct-1),AU120=0),S120,0)</f>
        <v>0</v>
      </c>
      <c r="BY120" s="169">
        <f>IF(AND(Input_Product=Elig!$C120,Elig_MatchAll_Ct&lt;22,$BC120=(Elig_MatchAll_Ct-1),AV120=0),T120,0)</f>
        <v>0</v>
      </c>
      <c r="BZ120" s="170">
        <f>IF(AND(Input_Product=Elig!$C120,Elig_MatchAll_Ct&lt;22,$BC120=(Elig_MatchAll_Ct-1),AV120=0),U120,0)</f>
        <v>0</v>
      </c>
      <c r="CA120" s="169">
        <f>IF(AND(Input_Product=Elig!$C120,Elig_MatchAll_Ct&lt;22,$BC120=(Elig_MatchAll_Ct-1),AW120=0),V120,0)</f>
        <v>0</v>
      </c>
      <c r="CB120" s="170">
        <f>IF(AND(Input_Product=Elig!$C120,Elig_MatchAll_Ct&lt;22,$BC120=(Elig_MatchAll_Ct-1),AW120=0),W120,0)</f>
        <v>0</v>
      </c>
      <c r="CC120" s="169">
        <f>IF(AND(Input_Product=Elig!$C120,Elig_MatchAll_Ct&lt;22,$BC120=(Elig_MatchAll_Ct-1),AX120=0),X120,0)</f>
        <v>0</v>
      </c>
      <c r="CD120" s="170">
        <f>IF(AND(Input_Product=Elig!$C120,Elig_MatchAll_Ct&lt;22,$BC120=(Elig_MatchAll_Ct-1),AX120=0),Y120,0)</f>
        <v>0</v>
      </c>
      <c r="CE120" s="169">
        <f>IF(AND(Input_LTV&lt;=AE120,Input_Product=Elig!$C120,Elig_MatchAll_Ct&lt;22,$BC120=(Elig_MatchAll_Ct-1),AY120=0),Z120,0)</f>
        <v>0</v>
      </c>
      <c r="CF120" s="170">
        <f>IF(AND(Input_LTV&lt;=AE120,Input_Product=Elig!$C120,Elig_MatchAll_Ct&lt;22,$BC120=(Elig_MatchAll_Ct-1),AY120=0),AA120,0)</f>
        <v>0</v>
      </c>
      <c r="CG120" s="169">
        <f>IF(AND(Input_Product=Elig!$C120,Elig_MatchAll_Ct&lt;22,$BC120=(Elig_MatchAll_Ct-1),AZ120=0),AB120,0)</f>
        <v>0</v>
      </c>
      <c r="CH120" s="170">
        <f>IF(AND(Input_Product=Elig!$C120,Elig_MatchAll_Ct&lt;22,$BC120=(Elig_MatchAll_Ct-1),AZ120=0),AC120,0)</f>
        <v>0</v>
      </c>
      <c r="CI120" s="169">
        <f>IF(AND(Input_Product=Elig!$C120,Elig_MatchAll_Ct&lt;22,$BC120=(Elig_MatchAll_Ct-1),BA120=0),AD120,0)</f>
        <v>0</v>
      </c>
      <c r="CJ120" s="171">
        <f>IF(AND(Input_Product=Elig!$C120,Elig_MatchAll_Ct&lt;22,$BC120=(Elig_MatchAll_Ct-1),BA120=0),AE120,0)</f>
        <v>0</v>
      </c>
    </row>
    <row r="121" spans="1:88" ht="10.15" customHeight="1" x14ac:dyDescent="0.25">
      <c r="A121" s="1419" t="s">
        <v>76</v>
      </c>
      <c r="B121" s="1419" t="s">
        <v>816</v>
      </c>
      <c r="C121" s="116" t="str">
        <f t="shared" si="30"/>
        <v>NonQM OO</v>
      </c>
      <c r="D121" s="117" t="s">
        <v>1995</v>
      </c>
      <c r="E121" s="117" t="s">
        <v>166</v>
      </c>
      <c r="F121" s="117" t="s">
        <v>330</v>
      </c>
      <c r="G121" s="117" t="s">
        <v>302</v>
      </c>
      <c r="H121" s="117" t="s">
        <v>135</v>
      </c>
      <c r="I121" s="118" t="s">
        <v>16</v>
      </c>
      <c r="J121" s="118" t="s">
        <v>1130</v>
      </c>
      <c r="K121" s="118" t="s">
        <v>1398</v>
      </c>
      <c r="L121" s="117" t="s">
        <v>2025</v>
      </c>
      <c r="M121" s="117" t="s">
        <v>2289</v>
      </c>
      <c r="N121" s="117" t="s">
        <v>82</v>
      </c>
      <c r="O121" s="117" t="s">
        <v>309</v>
      </c>
      <c r="P121" s="117" t="s">
        <v>2433</v>
      </c>
      <c r="Q121" s="117" t="s">
        <v>293</v>
      </c>
      <c r="R121" s="117">
        <v>1500000.01</v>
      </c>
      <c r="S121" s="117">
        <v>2000000</v>
      </c>
      <c r="T121" s="117">
        <v>0</v>
      </c>
      <c r="U121" s="117">
        <f t="shared" si="47"/>
        <v>2000000</v>
      </c>
      <c r="V121" s="117">
        <v>0</v>
      </c>
      <c r="W121" s="117">
        <v>55</v>
      </c>
      <c r="X121" s="117">
        <v>0</v>
      </c>
      <c r="Y121" s="117">
        <v>999</v>
      </c>
      <c r="Z121" s="119">
        <v>700</v>
      </c>
      <c r="AA121" s="119">
        <v>719</v>
      </c>
      <c r="AB121" s="1877">
        <v>0</v>
      </c>
      <c r="AC121" s="119">
        <v>999999</v>
      </c>
      <c r="AD121" s="117">
        <v>0</v>
      </c>
      <c r="AE121" s="117">
        <v>75</v>
      </c>
      <c r="AF121" s="144">
        <v>0</v>
      </c>
      <c r="AG121" s="145">
        <v>1</v>
      </c>
      <c r="AH121" s="145">
        <v>1</v>
      </c>
      <c r="AI121" s="145">
        <v>0</v>
      </c>
      <c r="AJ121" s="145">
        <v>0</v>
      </c>
      <c r="AK121" s="145">
        <v>1</v>
      </c>
      <c r="AL121" s="145">
        <v>0</v>
      </c>
      <c r="AM121" s="145">
        <v>1</v>
      </c>
      <c r="AN121" s="145">
        <v>1</v>
      </c>
      <c r="AO121" s="145">
        <v>1</v>
      </c>
      <c r="AP121" s="145">
        <v>1</v>
      </c>
      <c r="AQ121" s="145">
        <v>0</v>
      </c>
      <c r="AR121" s="145">
        <v>1</v>
      </c>
      <c r="AS121" s="145">
        <v>1</v>
      </c>
      <c r="AT121" s="145">
        <v>1</v>
      </c>
      <c r="AU121" s="145">
        <f t="shared" si="37"/>
        <v>0</v>
      </c>
      <c r="AV121" s="145">
        <f t="shared" si="38"/>
        <v>1</v>
      </c>
      <c r="AW121" s="145">
        <f t="shared" si="39"/>
        <v>1</v>
      </c>
      <c r="AX121" s="145">
        <f t="shared" si="32"/>
        <v>1</v>
      </c>
      <c r="AY121" s="145">
        <f t="shared" si="40"/>
        <v>0</v>
      </c>
      <c r="AZ121" s="145">
        <f t="shared" si="41"/>
        <v>1</v>
      </c>
      <c r="BA121" s="146">
        <f t="shared" si="42"/>
        <v>1</v>
      </c>
      <c r="BB121" s="149">
        <f t="shared" si="43"/>
        <v>15</v>
      </c>
      <c r="BC121" s="150">
        <f t="shared" si="44"/>
        <v>14</v>
      </c>
      <c r="BD121" s="150">
        <f t="shared" si="45"/>
        <v>15</v>
      </c>
      <c r="BE121" s="211" t="str">
        <f t="shared" si="46"/>
        <v/>
      </c>
      <c r="BH121" s="172">
        <f>IF(AND(Input_Product=Elig!$C121,Elig_MatchAll_Ct&lt;22,$BC121=(Elig_MatchAll_Ct-1),AF121=0),C121,0)</f>
        <v>0</v>
      </c>
      <c r="BI121" s="173">
        <f>IF(AND(Input_Product=Elig!$C121,Elig_MatchAll_Ct&lt;22,$BC121=(Elig_MatchAll_Ct-1),AG121=0),D121,0)</f>
        <v>0</v>
      </c>
      <c r="BJ121" s="173">
        <f>IF(AND(Input_Product=Elig!$C121,Elig_MatchAll_Ct&lt;22,$BC121=(Elig_MatchAll_Ct-1),AH121=0),E121,0)</f>
        <v>0</v>
      </c>
      <c r="BK121" s="173">
        <f>IF(AND(Input_Product=Elig!$C121,Elig_MatchAll_Ct&lt;22,$BC121=(Elig_MatchAll_Ct-1),AI121=0),F121,0)</f>
        <v>0</v>
      </c>
      <c r="BL121" s="173">
        <f>IF(AND(Input_Product=Elig!$C121,Elig_MatchAll_Ct&lt;22,$BC121=(Elig_MatchAll_Ct-1),AJ121=0),G121,0)</f>
        <v>0</v>
      </c>
      <c r="BM121" s="173">
        <f>IF(AND(Input_Product=Elig!$C121,Elig_MatchAll_Ct&lt;22,$BC121=(Elig_MatchAll_Ct-1),AK121=0),H121,0)</f>
        <v>0</v>
      </c>
      <c r="BN121" s="173">
        <f>IF(AND(Input_Product=Elig!$C121,Elig_MatchAll_Ct&lt;22,$BC121=(Elig_MatchAll_Ct-1),AL121=0),I121,0)</f>
        <v>0</v>
      </c>
      <c r="BO121" s="173">
        <f>IF(AND(Input_Product=Elig!$C121,Elig_MatchAll_Ct&lt;22,$BC121=(Elig_MatchAll_Ct-1),AM121=0),J121,0)</f>
        <v>0</v>
      </c>
      <c r="BP121" s="173">
        <f>IF(AND(Input_Product=Elig!$C121,Elig_MatchAll_Ct&lt;22,$BC121=(Elig_MatchAll_Ct-1),AN121=0),K121,0)</f>
        <v>0</v>
      </c>
      <c r="BQ121" s="173">
        <f>IF(AND(Input_Product=Elig!$C121,Elig_MatchAll_Ct&lt;22,$BC121=(Elig_MatchAll_Ct-1),AP121=0),L121,0)</f>
        <v>0</v>
      </c>
      <c r="BR121" s="173">
        <f>IF(AND(Input_Product=Elig!$C121,Elig_MatchAll_Ct&lt;22,$BC121=(Elig_MatchAll_Ct-1),AO121=0),M121,0)</f>
        <v>0</v>
      </c>
      <c r="BS121" s="173">
        <f>IF(AND(Input_Product=Elig!$C121,Elig_MatchAll_Ct&lt;22,$BC121=(Elig_MatchAll_Ct-1),AQ121=0),N121,0)</f>
        <v>0</v>
      </c>
      <c r="BT121" s="173">
        <f>IF(AND(Input_Product=Elig!$C121,Elig_MatchAll_Ct&lt;22,$BC121=(Elig_MatchAll_Ct-1),AR121=0),O121,0)</f>
        <v>0</v>
      </c>
      <c r="BU121" s="173">
        <f>IF(AND(Input_Product=Elig!$C121,Elig_MatchAll_Ct&lt;22,$BC121=(Elig_MatchAll_Ct-1),AS121=0),P121,0)</f>
        <v>0</v>
      </c>
      <c r="BV121" s="174">
        <f>IF(AND(Input_Product=Elig!$C121,Elig_MatchAll_Ct&lt;22,$BC121=(Elig_MatchAll_Ct-1),AT121=0),Q121,0)</f>
        <v>0</v>
      </c>
      <c r="BW121" s="175">
        <f>IF(AND(Input_Product=Elig!$C121,Elig_MatchAll_Ct&lt;22,$BC121=(Elig_MatchAll_Ct-1),AU121=0),R121,0)</f>
        <v>0</v>
      </c>
      <c r="BX121" s="176">
        <f>IF(AND(Input_Product=Elig!$C121,Elig_MatchAll_Ct&lt;22,$BC121=(Elig_MatchAll_Ct-1),AU121=0),S121,0)</f>
        <v>0</v>
      </c>
      <c r="BY121" s="175">
        <f>IF(AND(Input_Product=Elig!$C121,Elig_MatchAll_Ct&lt;22,$BC121=(Elig_MatchAll_Ct-1),AV121=0),T121,0)</f>
        <v>0</v>
      </c>
      <c r="BZ121" s="176">
        <f>IF(AND(Input_Product=Elig!$C121,Elig_MatchAll_Ct&lt;22,$BC121=(Elig_MatchAll_Ct-1),AV121=0),U121,0)</f>
        <v>0</v>
      </c>
      <c r="CA121" s="175">
        <f>IF(AND(Input_Product=Elig!$C121,Elig_MatchAll_Ct&lt;22,$BC121=(Elig_MatchAll_Ct-1),AW121=0),V121,0)</f>
        <v>0</v>
      </c>
      <c r="CB121" s="176">
        <f>IF(AND(Input_Product=Elig!$C121,Elig_MatchAll_Ct&lt;22,$BC121=(Elig_MatchAll_Ct-1),AW121=0),W121,0)</f>
        <v>0</v>
      </c>
      <c r="CC121" s="175">
        <f>IF(AND(Input_Product=Elig!$C121,Elig_MatchAll_Ct&lt;22,$BC121=(Elig_MatchAll_Ct-1),AX121=0),X121,0)</f>
        <v>0</v>
      </c>
      <c r="CD121" s="176">
        <f>IF(AND(Input_Product=Elig!$C121,Elig_MatchAll_Ct&lt;22,$BC121=(Elig_MatchAll_Ct-1),AX121=0),Y121,0)</f>
        <v>0</v>
      </c>
      <c r="CE121" s="175">
        <f>IF(AND(Input_LTV&lt;=AE121,Input_Product=Elig!$C121,Elig_MatchAll_Ct&lt;22,$BC121=(Elig_MatchAll_Ct-1),AY121=0),Z121,0)</f>
        <v>0</v>
      </c>
      <c r="CF121" s="176">
        <f>IF(AND(Input_LTV&lt;=AE121,Input_Product=Elig!$C121,Elig_MatchAll_Ct&lt;22,$BC121=(Elig_MatchAll_Ct-1),AY121=0),AA121,0)</f>
        <v>0</v>
      </c>
      <c r="CG121" s="175">
        <f>IF(AND(Input_Product=Elig!$C121,Elig_MatchAll_Ct&lt;22,$BC121=(Elig_MatchAll_Ct-1),AZ121=0),AB121,0)</f>
        <v>0</v>
      </c>
      <c r="CH121" s="176">
        <f>IF(AND(Input_Product=Elig!$C121,Elig_MatchAll_Ct&lt;22,$BC121=(Elig_MatchAll_Ct-1),AZ121=0),AC121,0)</f>
        <v>0</v>
      </c>
      <c r="CI121" s="175">
        <f>IF(AND(Input_Product=Elig!$C121,Elig_MatchAll_Ct&lt;22,$BC121=(Elig_MatchAll_Ct-1),BA121=0),AD121,0)</f>
        <v>0</v>
      </c>
      <c r="CJ121" s="177">
        <f>IF(AND(Input_Product=Elig!$C121,Elig_MatchAll_Ct&lt;22,$BC121=(Elig_MatchAll_Ct-1),BA121=0),AE121,0)</f>
        <v>0</v>
      </c>
    </row>
    <row r="122" spans="1:88" ht="10.15" customHeight="1" x14ac:dyDescent="0.25">
      <c r="A122" s="1419" t="s">
        <v>76</v>
      </c>
      <c r="B122" s="1419" t="s">
        <v>817</v>
      </c>
      <c r="C122" s="116" t="str">
        <f t="shared" si="30"/>
        <v>NonQM OO</v>
      </c>
      <c r="D122" s="117" t="s">
        <v>1995</v>
      </c>
      <c r="E122" s="117" t="s">
        <v>166</v>
      </c>
      <c r="F122" s="117" t="s">
        <v>330</v>
      </c>
      <c r="G122" s="117" t="s">
        <v>302</v>
      </c>
      <c r="H122" s="117" t="s">
        <v>135</v>
      </c>
      <c r="I122" s="118" t="s">
        <v>16</v>
      </c>
      <c r="J122" s="118" t="s">
        <v>1130</v>
      </c>
      <c r="K122" s="118" t="s">
        <v>1398</v>
      </c>
      <c r="L122" s="117" t="s">
        <v>2025</v>
      </c>
      <c r="M122" s="117" t="s">
        <v>2289</v>
      </c>
      <c r="N122" s="117" t="s">
        <v>82</v>
      </c>
      <c r="O122" s="117" t="s">
        <v>309</v>
      </c>
      <c r="P122" s="117" t="s">
        <v>2433</v>
      </c>
      <c r="Q122" s="117" t="s">
        <v>293</v>
      </c>
      <c r="R122" s="117">
        <v>1500000.01</v>
      </c>
      <c r="S122" s="117">
        <v>2000000</v>
      </c>
      <c r="T122" s="117">
        <v>0</v>
      </c>
      <c r="U122" s="117">
        <f t="shared" si="47"/>
        <v>2000000</v>
      </c>
      <c r="V122" s="117">
        <v>0</v>
      </c>
      <c r="W122" s="117">
        <v>55</v>
      </c>
      <c r="X122" s="117">
        <v>0</v>
      </c>
      <c r="Y122" s="117">
        <v>999</v>
      </c>
      <c r="Z122" s="119">
        <v>680</v>
      </c>
      <c r="AA122" s="119">
        <v>699</v>
      </c>
      <c r="AB122" s="1877">
        <v>0</v>
      </c>
      <c r="AC122" s="119">
        <v>999999</v>
      </c>
      <c r="AD122" s="117">
        <v>0</v>
      </c>
      <c r="AE122" s="117">
        <v>70</v>
      </c>
      <c r="AF122" s="144">
        <v>0</v>
      </c>
      <c r="AG122" s="145">
        <v>1</v>
      </c>
      <c r="AH122" s="145">
        <v>1</v>
      </c>
      <c r="AI122" s="145">
        <v>0</v>
      </c>
      <c r="AJ122" s="145">
        <v>0</v>
      </c>
      <c r="AK122" s="145">
        <v>1</v>
      </c>
      <c r="AL122" s="145">
        <v>0</v>
      </c>
      <c r="AM122" s="145">
        <v>1</v>
      </c>
      <c r="AN122" s="145">
        <v>1</v>
      </c>
      <c r="AO122" s="145">
        <v>1</v>
      </c>
      <c r="AP122" s="145">
        <v>1</v>
      </c>
      <c r="AQ122" s="145">
        <v>0</v>
      </c>
      <c r="AR122" s="145">
        <v>1</v>
      </c>
      <c r="AS122" s="145">
        <v>1</v>
      </c>
      <c r="AT122" s="145">
        <v>1</v>
      </c>
      <c r="AU122" s="145">
        <f t="shared" si="37"/>
        <v>0</v>
      </c>
      <c r="AV122" s="145">
        <f t="shared" si="38"/>
        <v>1</v>
      </c>
      <c r="AW122" s="145">
        <f t="shared" si="39"/>
        <v>1</v>
      </c>
      <c r="AX122" s="145">
        <f t="shared" si="32"/>
        <v>1</v>
      </c>
      <c r="AY122" s="145">
        <f t="shared" si="40"/>
        <v>0</v>
      </c>
      <c r="AZ122" s="145">
        <f t="shared" si="41"/>
        <v>1</v>
      </c>
      <c r="BA122" s="146">
        <f t="shared" si="42"/>
        <v>1</v>
      </c>
      <c r="BB122" s="149">
        <f t="shared" si="43"/>
        <v>15</v>
      </c>
      <c r="BC122" s="150">
        <f t="shared" si="44"/>
        <v>14</v>
      </c>
      <c r="BD122" s="150">
        <f t="shared" si="45"/>
        <v>15</v>
      </c>
      <c r="BE122" s="211" t="str">
        <f t="shared" si="46"/>
        <v/>
      </c>
      <c r="BH122" s="172">
        <f>IF(AND(Input_Product=Elig!$C122,Elig_MatchAll_Ct&lt;22,$BC122=(Elig_MatchAll_Ct-1),AF122=0),C122,0)</f>
        <v>0</v>
      </c>
      <c r="BI122" s="173">
        <f>IF(AND(Input_Product=Elig!$C122,Elig_MatchAll_Ct&lt;22,$BC122=(Elig_MatchAll_Ct-1),AG122=0),D122,0)</f>
        <v>0</v>
      </c>
      <c r="BJ122" s="173">
        <f>IF(AND(Input_Product=Elig!$C122,Elig_MatchAll_Ct&lt;22,$BC122=(Elig_MatchAll_Ct-1),AH122=0),E122,0)</f>
        <v>0</v>
      </c>
      <c r="BK122" s="173">
        <f>IF(AND(Input_Product=Elig!$C122,Elig_MatchAll_Ct&lt;22,$BC122=(Elig_MatchAll_Ct-1),AI122=0),F122,0)</f>
        <v>0</v>
      </c>
      <c r="BL122" s="173">
        <f>IF(AND(Input_Product=Elig!$C122,Elig_MatchAll_Ct&lt;22,$BC122=(Elig_MatchAll_Ct-1),AJ122=0),G122,0)</f>
        <v>0</v>
      </c>
      <c r="BM122" s="173">
        <f>IF(AND(Input_Product=Elig!$C122,Elig_MatchAll_Ct&lt;22,$BC122=(Elig_MatchAll_Ct-1),AK122=0),H122,0)</f>
        <v>0</v>
      </c>
      <c r="BN122" s="173">
        <f>IF(AND(Input_Product=Elig!$C122,Elig_MatchAll_Ct&lt;22,$BC122=(Elig_MatchAll_Ct-1),AL122=0),I122,0)</f>
        <v>0</v>
      </c>
      <c r="BO122" s="173">
        <f>IF(AND(Input_Product=Elig!$C122,Elig_MatchAll_Ct&lt;22,$BC122=(Elig_MatchAll_Ct-1),AM122=0),J122,0)</f>
        <v>0</v>
      </c>
      <c r="BP122" s="173">
        <f>IF(AND(Input_Product=Elig!$C122,Elig_MatchAll_Ct&lt;22,$BC122=(Elig_MatchAll_Ct-1),AN122=0),K122,0)</f>
        <v>0</v>
      </c>
      <c r="BQ122" s="173">
        <f>IF(AND(Input_Product=Elig!$C122,Elig_MatchAll_Ct&lt;22,$BC122=(Elig_MatchAll_Ct-1),AP122=0),L122,0)</f>
        <v>0</v>
      </c>
      <c r="BR122" s="173">
        <f>IF(AND(Input_Product=Elig!$C122,Elig_MatchAll_Ct&lt;22,$BC122=(Elig_MatchAll_Ct-1),AO122=0),M122,0)</f>
        <v>0</v>
      </c>
      <c r="BS122" s="173">
        <f>IF(AND(Input_Product=Elig!$C122,Elig_MatchAll_Ct&lt;22,$BC122=(Elig_MatchAll_Ct-1),AQ122=0),N122,0)</f>
        <v>0</v>
      </c>
      <c r="BT122" s="173">
        <f>IF(AND(Input_Product=Elig!$C122,Elig_MatchAll_Ct&lt;22,$BC122=(Elig_MatchAll_Ct-1),AR122=0),O122,0)</f>
        <v>0</v>
      </c>
      <c r="BU122" s="173">
        <f>IF(AND(Input_Product=Elig!$C122,Elig_MatchAll_Ct&lt;22,$BC122=(Elig_MatchAll_Ct-1),AS122=0),P122,0)</f>
        <v>0</v>
      </c>
      <c r="BV122" s="174">
        <f>IF(AND(Input_Product=Elig!$C122,Elig_MatchAll_Ct&lt;22,$BC122=(Elig_MatchAll_Ct-1),AT122=0),Q122,0)</f>
        <v>0</v>
      </c>
      <c r="BW122" s="175">
        <f>IF(AND(Input_Product=Elig!$C122,Elig_MatchAll_Ct&lt;22,$BC122=(Elig_MatchAll_Ct-1),AU122=0),R122,0)</f>
        <v>0</v>
      </c>
      <c r="BX122" s="176">
        <f>IF(AND(Input_Product=Elig!$C122,Elig_MatchAll_Ct&lt;22,$BC122=(Elig_MatchAll_Ct-1),AU122=0),S122,0)</f>
        <v>0</v>
      </c>
      <c r="BY122" s="175">
        <f>IF(AND(Input_Product=Elig!$C122,Elig_MatchAll_Ct&lt;22,$BC122=(Elig_MatchAll_Ct-1),AV122=0),T122,0)</f>
        <v>0</v>
      </c>
      <c r="BZ122" s="176">
        <f>IF(AND(Input_Product=Elig!$C122,Elig_MatchAll_Ct&lt;22,$BC122=(Elig_MatchAll_Ct-1),AV122=0),U122,0)</f>
        <v>0</v>
      </c>
      <c r="CA122" s="175">
        <f>IF(AND(Input_Product=Elig!$C122,Elig_MatchAll_Ct&lt;22,$BC122=(Elig_MatchAll_Ct-1),AW122=0),V122,0)</f>
        <v>0</v>
      </c>
      <c r="CB122" s="176">
        <f>IF(AND(Input_Product=Elig!$C122,Elig_MatchAll_Ct&lt;22,$BC122=(Elig_MatchAll_Ct-1),AW122=0),W122,0)</f>
        <v>0</v>
      </c>
      <c r="CC122" s="175">
        <f>IF(AND(Input_Product=Elig!$C122,Elig_MatchAll_Ct&lt;22,$BC122=(Elig_MatchAll_Ct-1),AX122=0),X122,0)</f>
        <v>0</v>
      </c>
      <c r="CD122" s="176">
        <f>IF(AND(Input_Product=Elig!$C122,Elig_MatchAll_Ct&lt;22,$BC122=(Elig_MatchAll_Ct-1),AX122=0),Y122,0)</f>
        <v>0</v>
      </c>
      <c r="CE122" s="175">
        <f>IF(AND(Input_LTV&lt;=AE122,Input_Product=Elig!$C122,Elig_MatchAll_Ct&lt;22,$BC122=(Elig_MatchAll_Ct-1),AY122=0),Z122,0)</f>
        <v>0</v>
      </c>
      <c r="CF122" s="176">
        <f>IF(AND(Input_LTV&lt;=AE122,Input_Product=Elig!$C122,Elig_MatchAll_Ct&lt;22,$BC122=(Elig_MatchAll_Ct-1),AY122=0),AA122,0)</f>
        <v>0</v>
      </c>
      <c r="CG122" s="175">
        <f>IF(AND(Input_Product=Elig!$C122,Elig_MatchAll_Ct&lt;22,$BC122=(Elig_MatchAll_Ct-1),AZ122=0),AB122,0)</f>
        <v>0</v>
      </c>
      <c r="CH122" s="176">
        <f>IF(AND(Input_Product=Elig!$C122,Elig_MatchAll_Ct&lt;22,$BC122=(Elig_MatchAll_Ct-1),AZ122=0),AC122,0)</f>
        <v>0</v>
      </c>
      <c r="CI122" s="175">
        <f>IF(AND(Input_Product=Elig!$C122,Elig_MatchAll_Ct&lt;22,$BC122=(Elig_MatchAll_Ct-1),BA122=0),AD122,0)</f>
        <v>0</v>
      </c>
      <c r="CJ122" s="177">
        <f>IF(AND(Input_Product=Elig!$C122,Elig_MatchAll_Ct&lt;22,$BC122=(Elig_MatchAll_Ct-1),BA122=0),AE122,0)</f>
        <v>0</v>
      </c>
    </row>
    <row r="123" spans="1:88" ht="10.15" customHeight="1" x14ac:dyDescent="0.25">
      <c r="A123" s="1419" t="s">
        <v>76</v>
      </c>
      <c r="B123" s="1419" t="s">
        <v>818</v>
      </c>
      <c r="C123" s="116" t="str">
        <f t="shared" si="30"/>
        <v>NonQM OO</v>
      </c>
      <c r="D123" s="117" t="s">
        <v>1995</v>
      </c>
      <c r="E123" s="117" t="s">
        <v>166</v>
      </c>
      <c r="F123" s="117" t="s">
        <v>330</v>
      </c>
      <c r="G123" s="117" t="s">
        <v>302</v>
      </c>
      <c r="H123" s="117" t="s">
        <v>135</v>
      </c>
      <c r="I123" s="117" t="s">
        <v>16</v>
      </c>
      <c r="J123" s="117" t="s">
        <v>1130</v>
      </c>
      <c r="K123" s="117" t="s">
        <v>1398</v>
      </c>
      <c r="L123" s="117" t="s">
        <v>2025</v>
      </c>
      <c r="M123" s="117" t="s">
        <v>2289</v>
      </c>
      <c r="N123" s="117" t="s">
        <v>82</v>
      </c>
      <c r="O123" s="117" t="s">
        <v>309</v>
      </c>
      <c r="P123" s="117" t="s">
        <v>2433</v>
      </c>
      <c r="Q123" s="117" t="s">
        <v>293</v>
      </c>
      <c r="R123" s="117">
        <v>1500000.01</v>
      </c>
      <c r="S123" s="117">
        <v>2000000</v>
      </c>
      <c r="T123" s="117">
        <v>0</v>
      </c>
      <c r="U123" s="117">
        <f t="shared" si="47"/>
        <v>2000000</v>
      </c>
      <c r="V123" s="117">
        <v>0</v>
      </c>
      <c r="W123" s="117">
        <v>55</v>
      </c>
      <c r="X123" s="117">
        <v>0</v>
      </c>
      <c r="Y123" s="117">
        <v>999</v>
      </c>
      <c r="Z123" s="119">
        <v>660</v>
      </c>
      <c r="AA123" s="119">
        <v>679</v>
      </c>
      <c r="AB123" s="1877">
        <v>0</v>
      </c>
      <c r="AC123" s="119">
        <v>999999</v>
      </c>
      <c r="AD123" s="117">
        <v>0</v>
      </c>
      <c r="AE123" s="117">
        <v>65</v>
      </c>
      <c r="AF123" s="144">
        <v>0</v>
      </c>
      <c r="AG123" s="145">
        <v>1</v>
      </c>
      <c r="AH123" s="145">
        <v>1</v>
      </c>
      <c r="AI123" s="145">
        <v>0</v>
      </c>
      <c r="AJ123" s="145">
        <v>0</v>
      </c>
      <c r="AK123" s="145">
        <v>1</v>
      </c>
      <c r="AL123" s="145">
        <v>0</v>
      </c>
      <c r="AM123" s="145">
        <v>1</v>
      </c>
      <c r="AN123" s="145">
        <v>1</v>
      </c>
      <c r="AO123" s="145">
        <v>1</v>
      </c>
      <c r="AP123" s="145">
        <v>1</v>
      </c>
      <c r="AQ123" s="145">
        <v>0</v>
      </c>
      <c r="AR123" s="145">
        <v>1</v>
      </c>
      <c r="AS123" s="145">
        <v>1</v>
      </c>
      <c r="AT123" s="145">
        <v>1</v>
      </c>
      <c r="AU123" s="145">
        <f t="shared" si="37"/>
        <v>0</v>
      </c>
      <c r="AV123" s="145">
        <f t="shared" si="38"/>
        <v>1</v>
      </c>
      <c r="AW123" s="145">
        <f t="shared" si="39"/>
        <v>1</v>
      </c>
      <c r="AX123" s="145">
        <f t="shared" si="32"/>
        <v>1</v>
      </c>
      <c r="AY123" s="145">
        <f t="shared" si="40"/>
        <v>0</v>
      </c>
      <c r="AZ123" s="145">
        <f t="shared" si="41"/>
        <v>1</v>
      </c>
      <c r="BA123" s="146">
        <f t="shared" si="42"/>
        <v>0</v>
      </c>
      <c r="BB123" s="149">
        <f t="shared" si="43"/>
        <v>14</v>
      </c>
      <c r="BC123" s="150">
        <f t="shared" si="44"/>
        <v>14</v>
      </c>
      <c r="BD123" s="150">
        <f t="shared" si="45"/>
        <v>14</v>
      </c>
      <c r="BE123" s="211" t="str">
        <f t="shared" si="46"/>
        <v/>
      </c>
      <c r="BH123" s="172">
        <f>IF(AND(Input_Product=Elig!$C123,Elig_MatchAll_Ct&lt;22,$BC123=(Elig_MatchAll_Ct-1),AF123=0),C123,0)</f>
        <v>0</v>
      </c>
      <c r="BI123" s="173">
        <f>IF(AND(Input_Product=Elig!$C123,Elig_MatchAll_Ct&lt;22,$BC123=(Elig_MatchAll_Ct-1),AG123=0),D123,0)</f>
        <v>0</v>
      </c>
      <c r="BJ123" s="173">
        <f>IF(AND(Input_Product=Elig!$C123,Elig_MatchAll_Ct&lt;22,$BC123=(Elig_MatchAll_Ct-1),AH123=0),E123,0)</f>
        <v>0</v>
      </c>
      <c r="BK123" s="173">
        <f>IF(AND(Input_Product=Elig!$C123,Elig_MatchAll_Ct&lt;22,$BC123=(Elig_MatchAll_Ct-1),AI123=0),F123,0)</f>
        <v>0</v>
      </c>
      <c r="BL123" s="173">
        <f>IF(AND(Input_Product=Elig!$C123,Elig_MatchAll_Ct&lt;22,$BC123=(Elig_MatchAll_Ct-1),AJ123=0),G123,0)</f>
        <v>0</v>
      </c>
      <c r="BM123" s="173">
        <f>IF(AND(Input_Product=Elig!$C123,Elig_MatchAll_Ct&lt;22,$BC123=(Elig_MatchAll_Ct-1),AK123=0),H123,0)</f>
        <v>0</v>
      </c>
      <c r="BN123" s="173">
        <f>IF(AND(Input_Product=Elig!$C123,Elig_MatchAll_Ct&lt;22,$BC123=(Elig_MatchAll_Ct-1),AL123=0),I123,0)</f>
        <v>0</v>
      </c>
      <c r="BO123" s="173">
        <f>IF(AND(Input_Product=Elig!$C123,Elig_MatchAll_Ct&lt;22,$BC123=(Elig_MatchAll_Ct-1),AM123=0),J123,0)</f>
        <v>0</v>
      </c>
      <c r="BP123" s="173">
        <f>IF(AND(Input_Product=Elig!$C123,Elig_MatchAll_Ct&lt;22,$BC123=(Elig_MatchAll_Ct-1),AN123=0),K123,0)</f>
        <v>0</v>
      </c>
      <c r="BQ123" s="173">
        <f>IF(AND(Input_Product=Elig!$C123,Elig_MatchAll_Ct&lt;22,$BC123=(Elig_MatchAll_Ct-1),AP123=0),L123,0)</f>
        <v>0</v>
      </c>
      <c r="BR123" s="173">
        <f>IF(AND(Input_Product=Elig!$C123,Elig_MatchAll_Ct&lt;22,$BC123=(Elig_MatchAll_Ct-1),AO123=0),M123,0)</f>
        <v>0</v>
      </c>
      <c r="BS123" s="173">
        <f>IF(AND(Input_Product=Elig!$C123,Elig_MatchAll_Ct&lt;22,$BC123=(Elig_MatchAll_Ct-1),AQ123=0),N123,0)</f>
        <v>0</v>
      </c>
      <c r="BT123" s="173">
        <f>IF(AND(Input_Product=Elig!$C123,Elig_MatchAll_Ct&lt;22,$BC123=(Elig_MatchAll_Ct-1),AR123=0),O123,0)</f>
        <v>0</v>
      </c>
      <c r="BU123" s="173">
        <f>IF(AND(Input_Product=Elig!$C123,Elig_MatchAll_Ct&lt;22,$BC123=(Elig_MatchAll_Ct-1),AS123=0),P123,0)</f>
        <v>0</v>
      </c>
      <c r="BV123" s="174">
        <f>IF(AND(Input_Product=Elig!$C123,Elig_MatchAll_Ct&lt;22,$BC123=(Elig_MatchAll_Ct-1),AT123=0),Q123,0)</f>
        <v>0</v>
      </c>
      <c r="BW123" s="175">
        <f>IF(AND(Input_Product=Elig!$C123,Elig_MatchAll_Ct&lt;22,$BC123=(Elig_MatchAll_Ct-1),AU123=0),R123,0)</f>
        <v>0</v>
      </c>
      <c r="BX123" s="176">
        <f>IF(AND(Input_Product=Elig!$C123,Elig_MatchAll_Ct&lt;22,$BC123=(Elig_MatchAll_Ct-1),AU123=0),S123,0)</f>
        <v>0</v>
      </c>
      <c r="BY123" s="175">
        <f>IF(AND(Input_Product=Elig!$C123,Elig_MatchAll_Ct&lt;22,$BC123=(Elig_MatchAll_Ct-1),AV123=0),T123,0)</f>
        <v>0</v>
      </c>
      <c r="BZ123" s="176">
        <f>IF(AND(Input_Product=Elig!$C123,Elig_MatchAll_Ct&lt;22,$BC123=(Elig_MatchAll_Ct-1),AV123=0),U123,0)</f>
        <v>0</v>
      </c>
      <c r="CA123" s="175">
        <f>IF(AND(Input_Product=Elig!$C123,Elig_MatchAll_Ct&lt;22,$BC123=(Elig_MatchAll_Ct-1),AW123=0),V123,0)</f>
        <v>0</v>
      </c>
      <c r="CB123" s="176">
        <f>IF(AND(Input_Product=Elig!$C123,Elig_MatchAll_Ct&lt;22,$BC123=(Elig_MatchAll_Ct-1),AW123=0),W123,0)</f>
        <v>0</v>
      </c>
      <c r="CC123" s="175">
        <f>IF(AND(Input_Product=Elig!$C123,Elig_MatchAll_Ct&lt;22,$BC123=(Elig_MatchAll_Ct-1),AX123=0),X123,0)</f>
        <v>0</v>
      </c>
      <c r="CD123" s="176">
        <f>IF(AND(Input_Product=Elig!$C123,Elig_MatchAll_Ct&lt;22,$BC123=(Elig_MatchAll_Ct-1),AX123=0),Y123,0)</f>
        <v>0</v>
      </c>
      <c r="CE123" s="175">
        <f>IF(AND(Input_LTV&lt;=AE123,Input_Product=Elig!$C123,Elig_MatchAll_Ct&lt;22,$BC123=(Elig_MatchAll_Ct-1),AY123=0),Z123,0)</f>
        <v>0</v>
      </c>
      <c r="CF123" s="176">
        <f>IF(AND(Input_LTV&lt;=AE123,Input_Product=Elig!$C123,Elig_MatchAll_Ct&lt;22,$BC123=(Elig_MatchAll_Ct-1),AY123=0),AA123,0)</f>
        <v>0</v>
      </c>
      <c r="CG123" s="175">
        <f>IF(AND(Input_Product=Elig!$C123,Elig_MatchAll_Ct&lt;22,$BC123=(Elig_MatchAll_Ct-1),AZ123=0),AB123,0)</f>
        <v>0</v>
      </c>
      <c r="CH123" s="176">
        <f>IF(AND(Input_Product=Elig!$C123,Elig_MatchAll_Ct&lt;22,$BC123=(Elig_MatchAll_Ct-1),AZ123=0),AC123,0)</f>
        <v>0</v>
      </c>
      <c r="CI123" s="175">
        <f>IF(AND(Input_Product=Elig!$C123,Elig_MatchAll_Ct&lt;22,$BC123=(Elig_MatchAll_Ct-1),BA123=0),AD123,0)</f>
        <v>0</v>
      </c>
      <c r="CJ123" s="177">
        <f>IF(AND(Input_Product=Elig!$C123,Elig_MatchAll_Ct&lt;22,$BC123=(Elig_MatchAll_Ct-1),BA123=0),AE123,0)</f>
        <v>0</v>
      </c>
    </row>
    <row r="124" spans="1:88" ht="10.15" customHeight="1" x14ac:dyDescent="0.25">
      <c r="A124" s="1419" t="s">
        <v>76</v>
      </c>
      <c r="B124" s="1419" t="s">
        <v>819</v>
      </c>
      <c r="C124" s="123" t="str">
        <f t="shared" si="30"/>
        <v>NonQM OO</v>
      </c>
      <c r="D124" s="124" t="s">
        <v>1995</v>
      </c>
      <c r="E124" s="125" t="s">
        <v>166</v>
      </c>
      <c r="F124" s="125" t="s">
        <v>330</v>
      </c>
      <c r="G124" s="125" t="s">
        <v>303</v>
      </c>
      <c r="H124" s="125" t="s">
        <v>444</v>
      </c>
      <c r="I124" s="124" t="s">
        <v>273</v>
      </c>
      <c r="J124" s="124" t="s">
        <v>1130</v>
      </c>
      <c r="K124" s="124" t="s">
        <v>1398</v>
      </c>
      <c r="L124" s="125" t="s">
        <v>2025</v>
      </c>
      <c r="M124" s="125" t="s">
        <v>2289</v>
      </c>
      <c r="N124" s="125" t="s">
        <v>82</v>
      </c>
      <c r="O124" s="125" t="s">
        <v>309</v>
      </c>
      <c r="P124" s="125" t="s">
        <v>2433</v>
      </c>
      <c r="Q124" s="125" t="s">
        <v>293</v>
      </c>
      <c r="R124" s="124">
        <v>1500000.01</v>
      </c>
      <c r="S124" s="124">
        <v>2000000</v>
      </c>
      <c r="T124" s="124">
        <v>0</v>
      </c>
      <c r="U124" s="124">
        <v>0</v>
      </c>
      <c r="V124" s="124">
        <v>0</v>
      </c>
      <c r="W124" s="124">
        <v>55</v>
      </c>
      <c r="X124" s="124">
        <v>0</v>
      </c>
      <c r="Y124" s="124">
        <v>999</v>
      </c>
      <c r="Z124" s="126">
        <v>720</v>
      </c>
      <c r="AA124" s="126">
        <v>999</v>
      </c>
      <c r="AB124" s="1879">
        <v>0</v>
      </c>
      <c r="AC124" s="126">
        <v>999999</v>
      </c>
      <c r="AD124" s="124">
        <v>0</v>
      </c>
      <c r="AE124" s="124">
        <v>90</v>
      </c>
      <c r="AF124" s="144">
        <v>0</v>
      </c>
      <c r="AG124" s="145">
        <v>1</v>
      </c>
      <c r="AH124" s="145">
        <v>1</v>
      </c>
      <c r="AI124" s="145">
        <v>0</v>
      </c>
      <c r="AJ124" s="145">
        <v>0</v>
      </c>
      <c r="AK124" s="145">
        <v>0</v>
      </c>
      <c r="AL124" s="145">
        <v>1</v>
      </c>
      <c r="AM124" s="145">
        <v>1</v>
      </c>
      <c r="AN124" s="145">
        <v>1</v>
      </c>
      <c r="AO124" s="145">
        <v>1</v>
      </c>
      <c r="AP124" s="145">
        <v>1</v>
      </c>
      <c r="AQ124" s="145">
        <v>0</v>
      </c>
      <c r="AR124" s="145">
        <v>1</v>
      </c>
      <c r="AS124" s="145">
        <v>1</v>
      </c>
      <c r="AT124" s="145">
        <v>1</v>
      </c>
      <c r="AU124" s="145">
        <f t="shared" si="37"/>
        <v>0</v>
      </c>
      <c r="AV124" s="145">
        <f t="shared" si="38"/>
        <v>1</v>
      </c>
      <c r="AW124" s="145">
        <f t="shared" si="39"/>
        <v>1</v>
      </c>
      <c r="AX124" s="145">
        <f t="shared" si="32"/>
        <v>1</v>
      </c>
      <c r="AY124" s="145">
        <f t="shared" si="40"/>
        <v>1</v>
      </c>
      <c r="AZ124" s="145">
        <f t="shared" si="41"/>
        <v>1</v>
      </c>
      <c r="BA124" s="146">
        <f t="shared" si="42"/>
        <v>1</v>
      </c>
      <c r="BB124" s="149">
        <f t="shared" si="43"/>
        <v>16</v>
      </c>
      <c r="BC124" s="150">
        <f t="shared" si="44"/>
        <v>15</v>
      </c>
      <c r="BD124" s="150">
        <f t="shared" si="45"/>
        <v>16</v>
      </c>
      <c r="BE124" s="211" t="str">
        <f t="shared" si="46"/>
        <v/>
      </c>
      <c r="BH124" s="166">
        <f>IF(AND(Input_Product=Elig!$C124,Elig_MatchAll_Ct&lt;22,$BC124=(Elig_MatchAll_Ct-1),AF124=0),C124,0)</f>
        <v>0</v>
      </c>
      <c r="BI124" s="167">
        <f>IF(AND(Input_Product=Elig!$C124,Elig_MatchAll_Ct&lt;22,$BC124=(Elig_MatchAll_Ct-1),AG124=0),D124,0)</f>
        <v>0</v>
      </c>
      <c r="BJ124" s="167">
        <f>IF(AND(Input_Product=Elig!$C124,Elig_MatchAll_Ct&lt;22,$BC124=(Elig_MatchAll_Ct-1),AH124=0),E124,0)</f>
        <v>0</v>
      </c>
      <c r="BK124" s="167">
        <f>IF(AND(Input_Product=Elig!$C124,Elig_MatchAll_Ct&lt;22,$BC124=(Elig_MatchAll_Ct-1),AI124=0),F124,0)</f>
        <v>0</v>
      </c>
      <c r="BL124" s="167">
        <f>IF(AND(Input_Product=Elig!$C124,Elig_MatchAll_Ct&lt;22,$BC124=(Elig_MatchAll_Ct-1),AJ124=0),G124,0)</f>
        <v>0</v>
      </c>
      <c r="BM124" s="167">
        <f>IF(AND(Input_Product=Elig!$C124,Elig_MatchAll_Ct&lt;22,$BC124=(Elig_MatchAll_Ct-1),AK124=0),H124,0)</f>
        <v>0</v>
      </c>
      <c r="BN124" s="167">
        <f>IF(AND(Input_Product=Elig!$C124,Elig_MatchAll_Ct&lt;22,$BC124=(Elig_MatchAll_Ct-1),AL124=0),I124,0)</f>
        <v>0</v>
      </c>
      <c r="BO124" s="167">
        <f>IF(AND(Input_Product=Elig!$C124,Elig_MatchAll_Ct&lt;22,$BC124=(Elig_MatchAll_Ct-1),AM124=0),J124,0)</f>
        <v>0</v>
      </c>
      <c r="BP124" s="167">
        <f>IF(AND(Input_Product=Elig!$C124,Elig_MatchAll_Ct&lt;22,$BC124=(Elig_MatchAll_Ct-1),AN124=0),K124,0)</f>
        <v>0</v>
      </c>
      <c r="BQ124" s="167">
        <f>IF(AND(Input_Product=Elig!$C124,Elig_MatchAll_Ct&lt;22,$BC124=(Elig_MatchAll_Ct-1),AP124=0),L124,0)</f>
        <v>0</v>
      </c>
      <c r="BR124" s="167">
        <f>IF(AND(Input_Product=Elig!$C124,Elig_MatchAll_Ct&lt;22,$BC124=(Elig_MatchAll_Ct-1),AO124=0),M124,0)</f>
        <v>0</v>
      </c>
      <c r="BS124" s="167">
        <f>IF(AND(Input_Product=Elig!$C124,Elig_MatchAll_Ct&lt;22,$BC124=(Elig_MatchAll_Ct-1),AQ124=0),N124,0)</f>
        <v>0</v>
      </c>
      <c r="BT124" s="167">
        <f>IF(AND(Input_Product=Elig!$C124,Elig_MatchAll_Ct&lt;22,$BC124=(Elig_MatchAll_Ct-1),AR124=0),O124,0)</f>
        <v>0</v>
      </c>
      <c r="BU124" s="167">
        <f>IF(AND(Input_Product=Elig!$C124,Elig_MatchAll_Ct&lt;22,$BC124=(Elig_MatchAll_Ct-1),AS124=0),P124,0)</f>
        <v>0</v>
      </c>
      <c r="BV124" s="168">
        <f>IF(AND(Input_Product=Elig!$C124,Elig_MatchAll_Ct&lt;22,$BC124=(Elig_MatchAll_Ct-1),AT124=0),Q124,0)</f>
        <v>0</v>
      </c>
      <c r="BW124" s="169">
        <f>IF(AND(Input_Product=Elig!$C124,Elig_MatchAll_Ct&lt;22,$BC124=(Elig_MatchAll_Ct-1),AU124=0),R124,0)</f>
        <v>0</v>
      </c>
      <c r="BX124" s="170">
        <f>IF(AND(Input_Product=Elig!$C124,Elig_MatchAll_Ct&lt;22,$BC124=(Elig_MatchAll_Ct-1),AU124=0),S124,0)</f>
        <v>0</v>
      </c>
      <c r="BY124" s="169">
        <f>IF(AND(Input_Product=Elig!$C124,Elig_MatchAll_Ct&lt;22,$BC124=(Elig_MatchAll_Ct-1),AV124=0),T124,0)</f>
        <v>0</v>
      </c>
      <c r="BZ124" s="170">
        <f>IF(AND(Input_Product=Elig!$C124,Elig_MatchAll_Ct&lt;22,$BC124=(Elig_MatchAll_Ct-1),AV124=0),U124,0)</f>
        <v>0</v>
      </c>
      <c r="CA124" s="169">
        <f>IF(AND(Input_Product=Elig!$C124,Elig_MatchAll_Ct&lt;22,$BC124=(Elig_MatchAll_Ct-1),AW124=0),V124,0)</f>
        <v>0</v>
      </c>
      <c r="CB124" s="170">
        <f>IF(AND(Input_Product=Elig!$C124,Elig_MatchAll_Ct&lt;22,$BC124=(Elig_MatchAll_Ct-1),AW124=0),W124,0)</f>
        <v>0</v>
      </c>
      <c r="CC124" s="169">
        <f>IF(AND(Input_Product=Elig!$C124,Elig_MatchAll_Ct&lt;22,$BC124=(Elig_MatchAll_Ct-1),AX124=0),X124,0)</f>
        <v>0</v>
      </c>
      <c r="CD124" s="170">
        <f>IF(AND(Input_Product=Elig!$C124,Elig_MatchAll_Ct&lt;22,$BC124=(Elig_MatchAll_Ct-1),AX124=0),Y124,0)</f>
        <v>0</v>
      </c>
      <c r="CE124" s="169">
        <f>IF(AND(Input_LTV&lt;=AE124,Input_Product=Elig!$C124,Elig_MatchAll_Ct&lt;22,$BC124=(Elig_MatchAll_Ct-1),AY124=0),Z124,0)</f>
        <v>0</v>
      </c>
      <c r="CF124" s="170">
        <f>IF(AND(Input_LTV&lt;=AE124,Input_Product=Elig!$C124,Elig_MatchAll_Ct&lt;22,$BC124=(Elig_MatchAll_Ct-1),AY124=0),AA124,0)</f>
        <v>0</v>
      </c>
      <c r="CG124" s="169">
        <f>IF(AND(Input_Product=Elig!$C124,Elig_MatchAll_Ct&lt;22,$BC124=(Elig_MatchAll_Ct-1),AZ124=0),AB124,0)</f>
        <v>0</v>
      </c>
      <c r="CH124" s="170">
        <f>IF(AND(Input_Product=Elig!$C124,Elig_MatchAll_Ct&lt;22,$BC124=(Elig_MatchAll_Ct-1),AZ124=0),AC124,0)</f>
        <v>0</v>
      </c>
      <c r="CI124" s="169">
        <f>IF(AND(Input_Product=Elig!$C124,Elig_MatchAll_Ct&lt;22,$BC124=(Elig_MatchAll_Ct-1),BA124=0),AD124,0)</f>
        <v>0</v>
      </c>
      <c r="CJ124" s="171">
        <f>IF(AND(Input_Product=Elig!$C124,Elig_MatchAll_Ct&lt;22,$BC124=(Elig_MatchAll_Ct-1),BA124=0),AE124,0)</f>
        <v>0</v>
      </c>
    </row>
    <row r="125" spans="1:88" ht="10.15" customHeight="1" x14ac:dyDescent="0.25">
      <c r="A125" s="1419" t="s">
        <v>76</v>
      </c>
      <c r="B125" s="1419" t="s">
        <v>820</v>
      </c>
      <c r="C125" s="116" t="str">
        <f t="shared" si="30"/>
        <v>NonQM OO</v>
      </c>
      <c r="D125" s="117" t="s">
        <v>1995</v>
      </c>
      <c r="E125" s="117" t="s">
        <v>166</v>
      </c>
      <c r="F125" s="117" t="s">
        <v>330</v>
      </c>
      <c r="G125" s="117" t="s">
        <v>303</v>
      </c>
      <c r="H125" s="117" t="s">
        <v>444</v>
      </c>
      <c r="I125" s="118" t="s">
        <v>273</v>
      </c>
      <c r="J125" s="118" t="s">
        <v>1130</v>
      </c>
      <c r="K125" s="118" t="s">
        <v>1398</v>
      </c>
      <c r="L125" s="117" t="s">
        <v>2025</v>
      </c>
      <c r="M125" s="117" t="s">
        <v>2289</v>
      </c>
      <c r="N125" s="117" t="s">
        <v>82</v>
      </c>
      <c r="O125" s="117" t="s">
        <v>309</v>
      </c>
      <c r="P125" s="117" t="s">
        <v>2433</v>
      </c>
      <c r="Q125" s="117" t="s">
        <v>293</v>
      </c>
      <c r="R125" s="117">
        <v>1500000.01</v>
      </c>
      <c r="S125" s="117">
        <v>2000000</v>
      </c>
      <c r="T125" s="117">
        <v>0</v>
      </c>
      <c r="U125" s="117">
        <v>0</v>
      </c>
      <c r="V125" s="117">
        <v>0</v>
      </c>
      <c r="W125" s="117">
        <v>55</v>
      </c>
      <c r="X125" s="117">
        <v>0</v>
      </c>
      <c r="Y125" s="117">
        <v>999</v>
      </c>
      <c r="Z125" s="119">
        <v>700</v>
      </c>
      <c r="AA125" s="119">
        <v>719</v>
      </c>
      <c r="AB125" s="1877">
        <v>0</v>
      </c>
      <c r="AC125" s="119">
        <v>999999</v>
      </c>
      <c r="AD125" s="117">
        <v>0</v>
      </c>
      <c r="AE125" s="117">
        <v>85</v>
      </c>
      <c r="AF125" s="144">
        <v>0</v>
      </c>
      <c r="AG125" s="145">
        <v>1</v>
      </c>
      <c r="AH125" s="145">
        <v>1</v>
      </c>
      <c r="AI125" s="145">
        <v>0</v>
      </c>
      <c r="AJ125" s="145">
        <v>0</v>
      </c>
      <c r="AK125" s="145">
        <v>0</v>
      </c>
      <c r="AL125" s="145">
        <v>1</v>
      </c>
      <c r="AM125" s="145">
        <v>1</v>
      </c>
      <c r="AN125" s="145">
        <v>1</v>
      </c>
      <c r="AO125" s="145">
        <v>1</v>
      </c>
      <c r="AP125" s="145">
        <v>1</v>
      </c>
      <c r="AQ125" s="145">
        <v>0</v>
      </c>
      <c r="AR125" s="145">
        <v>1</v>
      </c>
      <c r="AS125" s="145">
        <v>1</v>
      </c>
      <c r="AT125" s="145">
        <v>1</v>
      </c>
      <c r="AU125" s="145">
        <f t="shared" si="37"/>
        <v>0</v>
      </c>
      <c r="AV125" s="145">
        <f t="shared" si="38"/>
        <v>1</v>
      </c>
      <c r="AW125" s="145">
        <f t="shared" si="39"/>
        <v>1</v>
      </c>
      <c r="AX125" s="145">
        <f t="shared" si="32"/>
        <v>1</v>
      </c>
      <c r="AY125" s="145">
        <f t="shared" si="40"/>
        <v>0</v>
      </c>
      <c r="AZ125" s="145">
        <f t="shared" si="41"/>
        <v>1</v>
      </c>
      <c r="BA125" s="146">
        <f t="shared" si="42"/>
        <v>1</v>
      </c>
      <c r="BB125" s="149">
        <f t="shared" si="43"/>
        <v>15</v>
      </c>
      <c r="BC125" s="150">
        <f t="shared" si="44"/>
        <v>14</v>
      </c>
      <c r="BD125" s="150">
        <f t="shared" si="45"/>
        <v>15</v>
      </c>
      <c r="BE125" s="211" t="str">
        <f t="shared" si="46"/>
        <v/>
      </c>
      <c r="BH125" s="172">
        <f>IF(AND(Input_Product=Elig!$C125,Elig_MatchAll_Ct&lt;22,$BC125=(Elig_MatchAll_Ct-1),AF125=0),C125,0)</f>
        <v>0</v>
      </c>
      <c r="BI125" s="173">
        <f>IF(AND(Input_Product=Elig!$C125,Elig_MatchAll_Ct&lt;22,$BC125=(Elig_MatchAll_Ct-1),AG125=0),D125,0)</f>
        <v>0</v>
      </c>
      <c r="BJ125" s="173">
        <f>IF(AND(Input_Product=Elig!$C125,Elig_MatchAll_Ct&lt;22,$BC125=(Elig_MatchAll_Ct-1),AH125=0),E125,0)</f>
        <v>0</v>
      </c>
      <c r="BK125" s="173">
        <f>IF(AND(Input_Product=Elig!$C125,Elig_MatchAll_Ct&lt;22,$BC125=(Elig_MatchAll_Ct-1),AI125=0),F125,0)</f>
        <v>0</v>
      </c>
      <c r="BL125" s="173">
        <f>IF(AND(Input_Product=Elig!$C125,Elig_MatchAll_Ct&lt;22,$BC125=(Elig_MatchAll_Ct-1),AJ125=0),G125,0)</f>
        <v>0</v>
      </c>
      <c r="BM125" s="173">
        <f>IF(AND(Input_Product=Elig!$C125,Elig_MatchAll_Ct&lt;22,$BC125=(Elig_MatchAll_Ct-1),AK125=0),H125,0)</f>
        <v>0</v>
      </c>
      <c r="BN125" s="173">
        <f>IF(AND(Input_Product=Elig!$C125,Elig_MatchAll_Ct&lt;22,$BC125=(Elig_MatchAll_Ct-1),AL125=0),I125,0)</f>
        <v>0</v>
      </c>
      <c r="BO125" s="173">
        <f>IF(AND(Input_Product=Elig!$C125,Elig_MatchAll_Ct&lt;22,$BC125=(Elig_MatchAll_Ct-1),AM125=0),J125,0)</f>
        <v>0</v>
      </c>
      <c r="BP125" s="173">
        <f>IF(AND(Input_Product=Elig!$C125,Elig_MatchAll_Ct&lt;22,$BC125=(Elig_MatchAll_Ct-1),AN125=0),K125,0)</f>
        <v>0</v>
      </c>
      <c r="BQ125" s="173">
        <f>IF(AND(Input_Product=Elig!$C125,Elig_MatchAll_Ct&lt;22,$BC125=(Elig_MatchAll_Ct-1),AP125=0),L125,0)</f>
        <v>0</v>
      </c>
      <c r="BR125" s="173">
        <f>IF(AND(Input_Product=Elig!$C125,Elig_MatchAll_Ct&lt;22,$BC125=(Elig_MatchAll_Ct-1),AO125=0),M125,0)</f>
        <v>0</v>
      </c>
      <c r="BS125" s="173">
        <f>IF(AND(Input_Product=Elig!$C125,Elig_MatchAll_Ct&lt;22,$BC125=(Elig_MatchAll_Ct-1),AQ125=0),N125,0)</f>
        <v>0</v>
      </c>
      <c r="BT125" s="173">
        <f>IF(AND(Input_Product=Elig!$C125,Elig_MatchAll_Ct&lt;22,$BC125=(Elig_MatchAll_Ct-1),AR125=0),O125,0)</f>
        <v>0</v>
      </c>
      <c r="BU125" s="173">
        <f>IF(AND(Input_Product=Elig!$C125,Elig_MatchAll_Ct&lt;22,$BC125=(Elig_MatchAll_Ct-1),AS125=0),P125,0)</f>
        <v>0</v>
      </c>
      <c r="BV125" s="174">
        <f>IF(AND(Input_Product=Elig!$C125,Elig_MatchAll_Ct&lt;22,$BC125=(Elig_MatchAll_Ct-1),AT125=0),Q125,0)</f>
        <v>0</v>
      </c>
      <c r="BW125" s="175">
        <f>IF(AND(Input_Product=Elig!$C125,Elig_MatchAll_Ct&lt;22,$BC125=(Elig_MatchAll_Ct-1),AU125=0),R125,0)</f>
        <v>0</v>
      </c>
      <c r="BX125" s="176">
        <f>IF(AND(Input_Product=Elig!$C125,Elig_MatchAll_Ct&lt;22,$BC125=(Elig_MatchAll_Ct-1),AU125=0),S125,0)</f>
        <v>0</v>
      </c>
      <c r="BY125" s="175">
        <f>IF(AND(Input_Product=Elig!$C125,Elig_MatchAll_Ct&lt;22,$BC125=(Elig_MatchAll_Ct-1),AV125=0),T125,0)</f>
        <v>0</v>
      </c>
      <c r="BZ125" s="176">
        <f>IF(AND(Input_Product=Elig!$C125,Elig_MatchAll_Ct&lt;22,$BC125=(Elig_MatchAll_Ct-1),AV125=0),U125,0)</f>
        <v>0</v>
      </c>
      <c r="CA125" s="175">
        <f>IF(AND(Input_Product=Elig!$C125,Elig_MatchAll_Ct&lt;22,$BC125=(Elig_MatchAll_Ct-1),AW125=0),V125,0)</f>
        <v>0</v>
      </c>
      <c r="CB125" s="176">
        <f>IF(AND(Input_Product=Elig!$C125,Elig_MatchAll_Ct&lt;22,$BC125=(Elig_MatchAll_Ct-1),AW125=0),W125,0)</f>
        <v>0</v>
      </c>
      <c r="CC125" s="175">
        <f>IF(AND(Input_Product=Elig!$C125,Elig_MatchAll_Ct&lt;22,$BC125=(Elig_MatchAll_Ct-1),AX125=0),X125,0)</f>
        <v>0</v>
      </c>
      <c r="CD125" s="176">
        <f>IF(AND(Input_Product=Elig!$C125,Elig_MatchAll_Ct&lt;22,$BC125=(Elig_MatchAll_Ct-1),AX125=0),Y125,0)</f>
        <v>0</v>
      </c>
      <c r="CE125" s="175">
        <f>IF(AND(Input_LTV&lt;=AE125,Input_Product=Elig!$C125,Elig_MatchAll_Ct&lt;22,$BC125=(Elig_MatchAll_Ct-1),AY125=0),Z125,0)</f>
        <v>0</v>
      </c>
      <c r="CF125" s="176">
        <f>IF(AND(Input_LTV&lt;=AE125,Input_Product=Elig!$C125,Elig_MatchAll_Ct&lt;22,$BC125=(Elig_MatchAll_Ct-1),AY125=0),AA125,0)</f>
        <v>0</v>
      </c>
      <c r="CG125" s="175">
        <f>IF(AND(Input_Product=Elig!$C125,Elig_MatchAll_Ct&lt;22,$BC125=(Elig_MatchAll_Ct-1),AZ125=0),AB125,0)</f>
        <v>0</v>
      </c>
      <c r="CH125" s="176">
        <f>IF(AND(Input_Product=Elig!$C125,Elig_MatchAll_Ct&lt;22,$BC125=(Elig_MatchAll_Ct-1),AZ125=0),AC125,0)</f>
        <v>0</v>
      </c>
      <c r="CI125" s="175">
        <f>IF(AND(Input_Product=Elig!$C125,Elig_MatchAll_Ct&lt;22,$BC125=(Elig_MatchAll_Ct-1),BA125=0),AD125,0)</f>
        <v>0</v>
      </c>
      <c r="CJ125" s="177">
        <f>IF(AND(Input_Product=Elig!$C125,Elig_MatchAll_Ct&lt;22,$BC125=(Elig_MatchAll_Ct-1),BA125=0),AE125,0)</f>
        <v>0</v>
      </c>
    </row>
    <row r="126" spans="1:88" ht="10.15" customHeight="1" x14ac:dyDescent="0.25">
      <c r="A126" s="1419" t="s">
        <v>76</v>
      </c>
      <c r="B126" s="1419" t="s">
        <v>821</v>
      </c>
      <c r="C126" s="116" t="str">
        <f t="shared" si="30"/>
        <v>NonQM OO</v>
      </c>
      <c r="D126" s="117" t="s">
        <v>1995</v>
      </c>
      <c r="E126" s="117" t="s">
        <v>166</v>
      </c>
      <c r="F126" s="117" t="s">
        <v>330</v>
      </c>
      <c r="G126" s="117" t="s">
        <v>303</v>
      </c>
      <c r="H126" s="117" t="s">
        <v>444</v>
      </c>
      <c r="I126" s="118" t="s">
        <v>273</v>
      </c>
      <c r="J126" s="118" t="s">
        <v>1130</v>
      </c>
      <c r="K126" s="118" t="s">
        <v>1398</v>
      </c>
      <c r="L126" s="117" t="s">
        <v>2025</v>
      </c>
      <c r="M126" s="117" t="s">
        <v>2289</v>
      </c>
      <c r="N126" s="117" t="s">
        <v>82</v>
      </c>
      <c r="O126" s="117" t="s">
        <v>309</v>
      </c>
      <c r="P126" s="117" t="s">
        <v>2433</v>
      </c>
      <c r="Q126" s="117" t="s">
        <v>293</v>
      </c>
      <c r="R126" s="117">
        <v>1500000.01</v>
      </c>
      <c r="S126" s="117">
        <v>2000000</v>
      </c>
      <c r="T126" s="117">
        <v>0</v>
      </c>
      <c r="U126" s="117">
        <v>0</v>
      </c>
      <c r="V126" s="117">
        <v>0</v>
      </c>
      <c r="W126" s="117">
        <v>55</v>
      </c>
      <c r="X126" s="117">
        <v>0</v>
      </c>
      <c r="Y126" s="117">
        <v>999</v>
      </c>
      <c r="Z126" s="119">
        <v>680</v>
      </c>
      <c r="AA126" s="119">
        <v>699</v>
      </c>
      <c r="AB126" s="1877">
        <v>0</v>
      </c>
      <c r="AC126" s="119">
        <v>999999</v>
      </c>
      <c r="AD126" s="117">
        <v>0</v>
      </c>
      <c r="AE126" s="117">
        <v>80</v>
      </c>
      <c r="AF126" s="144">
        <v>0</v>
      </c>
      <c r="AG126" s="145">
        <v>1</v>
      </c>
      <c r="AH126" s="145">
        <v>1</v>
      </c>
      <c r="AI126" s="145">
        <v>0</v>
      </c>
      <c r="AJ126" s="145">
        <v>0</v>
      </c>
      <c r="AK126" s="145">
        <v>0</v>
      </c>
      <c r="AL126" s="145">
        <v>1</v>
      </c>
      <c r="AM126" s="145">
        <v>1</v>
      </c>
      <c r="AN126" s="145">
        <v>1</v>
      </c>
      <c r="AO126" s="145">
        <v>1</v>
      </c>
      <c r="AP126" s="145">
        <v>1</v>
      </c>
      <c r="AQ126" s="145">
        <v>0</v>
      </c>
      <c r="AR126" s="145">
        <v>1</v>
      </c>
      <c r="AS126" s="145">
        <v>1</v>
      </c>
      <c r="AT126" s="145">
        <v>1</v>
      </c>
      <c r="AU126" s="145">
        <f t="shared" si="37"/>
        <v>0</v>
      </c>
      <c r="AV126" s="145">
        <f t="shared" si="38"/>
        <v>1</v>
      </c>
      <c r="AW126" s="145">
        <f t="shared" si="39"/>
        <v>1</v>
      </c>
      <c r="AX126" s="145">
        <f t="shared" si="32"/>
        <v>1</v>
      </c>
      <c r="AY126" s="145">
        <f t="shared" si="40"/>
        <v>0</v>
      </c>
      <c r="AZ126" s="145">
        <f t="shared" si="41"/>
        <v>1</v>
      </c>
      <c r="BA126" s="146">
        <f t="shared" si="42"/>
        <v>1</v>
      </c>
      <c r="BB126" s="149">
        <f t="shared" si="43"/>
        <v>15</v>
      </c>
      <c r="BC126" s="150">
        <f t="shared" si="44"/>
        <v>14</v>
      </c>
      <c r="BD126" s="150">
        <f t="shared" si="45"/>
        <v>15</v>
      </c>
      <c r="BE126" s="211" t="str">
        <f t="shared" si="46"/>
        <v/>
      </c>
      <c r="BH126" s="172">
        <f>IF(AND(Input_Product=Elig!$C126,Elig_MatchAll_Ct&lt;22,$BC126=(Elig_MatchAll_Ct-1),AF126=0),C126,0)</f>
        <v>0</v>
      </c>
      <c r="BI126" s="173">
        <f>IF(AND(Input_Product=Elig!$C126,Elig_MatchAll_Ct&lt;22,$BC126=(Elig_MatchAll_Ct-1),AG126=0),D126,0)</f>
        <v>0</v>
      </c>
      <c r="BJ126" s="173">
        <f>IF(AND(Input_Product=Elig!$C126,Elig_MatchAll_Ct&lt;22,$BC126=(Elig_MatchAll_Ct-1),AH126=0),E126,0)</f>
        <v>0</v>
      </c>
      <c r="BK126" s="173">
        <f>IF(AND(Input_Product=Elig!$C126,Elig_MatchAll_Ct&lt;22,$BC126=(Elig_MatchAll_Ct-1),AI126=0),F126,0)</f>
        <v>0</v>
      </c>
      <c r="BL126" s="173">
        <f>IF(AND(Input_Product=Elig!$C126,Elig_MatchAll_Ct&lt;22,$BC126=(Elig_MatchAll_Ct-1),AJ126=0),G126,0)</f>
        <v>0</v>
      </c>
      <c r="BM126" s="173">
        <f>IF(AND(Input_Product=Elig!$C126,Elig_MatchAll_Ct&lt;22,$BC126=(Elig_MatchAll_Ct-1),AK126=0),H126,0)</f>
        <v>0</v>
      </c>
      <c r="BN126" s="173">
        <f>IF(AND(Input_Product=Elig!$C126,Elig_MatchAll_Ct&lt;22,$BC126=(Elig_MatchAll_Ct-1),AL126=0),I126,0)</f>
        <v>0</v>
      </c>
      <c r="BO126" s="173">
        <f>IF(AND(Input_Product=Elig!$C126,Elig_MatchAll_Ct&lt;22,$BC126=(Elig_MatchAll_Ct-1),AM126=0),J126,0)</f>
        <v>0</v>
      </c>
      <c r="BP126" s="173">
        <f>IF(AND(Input_Product=Elig!$C126,Elig_MatchAll_Ct&lt;22,$BC126=(Elig_MatchAll_Ct-1),AN126=0),K126,0)</f>
        <v>0</v>
      </c>
      <c r="BQ126" s="173">
        <f>IF(AND(Input_Product=Elig!$C126,Elig_MatchAll_Ct&lt;22,$BC126=(Elig_MatchAll_Ct-1),AP126=0),L126,0)</f>
        <v>0</v>
      </c>
      <c r="BR126" s="173">
        <f>IF(AND(Input_Product=Elig!$C126,Elig_MatchAll_Ct&lt;22,$BC126=(Elig_MatchAll_Ct-1),AO126=0),M126,0)</f>
        <v>0</v>
      </c>
      <c r="BS126" s="173">
        <f>IF(AND(Input_Product=Elig!$C126,Elig_MatchAll_Ct&lt;22,$BC126=(Elig_MatchAll_Ct-1),AQ126=0),N126,0)</f>
        <v>0</v>
      </c>
      <c r="BT126" s="173">
        <f>IF(AND(Input_Product=Elig!$C126,Elig_MatchAll_Ct&lt;22,$BC126=(Elig_MatchAll_Ct-1),AR126=0),O126,0)</f>
        <v>0</v>
      </c>
      <c r="BU126" s="173">
        <f>IF(AND(Input_Product=Elig!$C126,Elig_MatchAll_Ct&lt;22,$BC126=(Elig_MatchAll_Ct-1),AS126=0),P126,0)</f>
        <v>0</v>
      </c>
      <c r="BV126" s="174">
        <f>IF(AND(Input_Product=Elig!$C126,Elig_MatchAll_Ct&lt;22,$BC126=(Elig_MatchAll_Ct-1),AT126=0),Q126,0)</f>
        <v>0</v>
      </c>
      <c r="BW126" s="175">
        <f>IF(AND(Input_Product=Elig!$C126,Elig_MatchAll_Ct&lt;22,$BC126=(Elig_MatchAll_Ct-1),AU126=0),R126,0)</f>
        <v>0</v>
      </c>
      <c r="BX126" s="176">
        <f>IF(AND(Input_Product=Elig!$C126,Elig_MatchAll_Ct&lt;22,$BC126=(Elig_MatchAll_Ct-1),AU126=0),S126,0)</f>
        <v>0</v>
      </c>
      <c r="BY126" s="175">
        <f>IF(AND(Input_Product=Elig!$C126,Elig_MatchAll_Ct&lt;22,$BC126=(Elig_MatchAll_Ct-1),AV126=0),T126,0)</f>
        <v>0</v>
      </c>
      <c r="BZ126" s="176">
        <f>IF(AND(Input_Product=Elig!$C126,Elig_MatchAll_Ct&lt;22,$BC126=(Elig_MatchAll_Ct-1),AV126=0),U126,0)</f>
        <v>0</v>
      </c>
      <c r="CA126" s="175">
        <f>IF(AND(Input_Product=Elig!$C126,Elig_MatchAll_Ct&lt;22,$BC126=(Elig_MatchAll_Ct-1),AW126=0),V126,0)</f>
        <v>0</v>
      </c>
      <c r="CB126" s="176">
        <f>IF(AND(Input_Product=Elig!$C126,Elig_MatchAll_Ct&lt;22,$BC126=(Elig_MatchAll_Ct-1),AW126=0),W126,0)</f>
        <v>0</v>
      </c>
      <c r="CC126" s="175">
        <f>IF(AND(Input_Product=Elig!$C126,Elig_MatchAll_Ct&lt;22,$BC126=(Elig_MatchAll_Ct-1),AX126=0),X126,0)</f>
        <v>0</v>
      </c>
      <c r="CD126" s="176">
        <f>IF(AND(Input_Product=Elig!$C126,Elig_MatchAll_Ct&lt;22,$BC126=(Elig_MatchAll_Ct-1),AX126=0),Y126,0)</f>
        <v>0</v>
      </c>
      <c r="CE126" s="175">
        <f>IF(AND(Input_LTV&lt;=AE126,Input_Product=Elig!$C126,Elig_MatchAll_Ct&lt;22,$BC126=(Elig_MatchAll_Ct-1),AY126=0),Z126,0)</f>
        <v>0</v>
      </c>
      <c r="CF126" s="176">
        <f>IF(AND(Input_LTV&lt;=AE126,Input_Product=Elig!$C126,Elig_MatchAll_Ct&lt;22,$BC126=(Elig_MatchAll_Ct-1),AY126=0),AA126,0)</f>
        <v>0</v>
      </c>
      <c r="CG126" s="175">
        <f>IF(AND(Input_Product=Elig!$C126,Elig_MatchAll_Ct&lt;22,$BC126=(Elig_MatchAll_Ct-1),AZ126=0),AB126,0)</f>
        <v>0</v>
      </c>
      <c r="CH126" s="176">
        <f>IF(AND(Input_Product=Elig!$C126,Elig_MatchAll_Ct&lt;22,$BC126=(Elig_MatchAll_Ct-1),AZ126=0),AC126,0)</f>
        <v>0</v>
      </c>
      <c r="CI126" s="175">
        <f>IF(AND(Input_Product=Elig!$C126,Elig_MatchAll_Ct&lt;22,$BC126=(Elig_MatchAll_Ct-1),BA126=0),AD126,0)</f>
        <v>0</v>
      </c>
      <c r="CJ126" s="177">
        <f>IF(AND(Input_Product=Elig!$C126,Elig_MatchAll_Ct&lt;22,$BC126=(Elig_MatchAll_Ct-1),BA126=0),AE126,0)</f>
        <v>0</v>
      </c>
    </row>
    <row r="127" spans="1:88" ht="10.15" customHeight="1" x14ac:dyDescent="0.25">
      <c r="A127" s="1419" t="s">
        <v>76</v>
      </c>
      <c r="B127" s="1419" t="s">
        <v>822</v>
      </c>
      <c r="C127" s="116" t="str">
        <f t="shared" si="30"/>
        <v>NonQM OO</v>
      </c>
      <c r="D127" s="117" t="s">
        <v>1995</v>
      </c>
      <c r="E127" s="117" t="s">
        <v>166</v>
      </c>
      <c r="F127" s="117" t="s">
        <v>330</v>
      </c>
      <c r="G127" s="117" t="s">
        <v>303</v>
      </c>
      <c r="H127" s="117" t="s">
        <v>444</v>
      </c>
      <c r="I127" s="117" t="s">
        <v>273</v>
      </c>
      <c r="J127" s="117" t="s">
        <v>1130</v>
      </c>
      <c r="K127" s="117" t="s">
        <v>1398</v>
      </c>
      <c r="L127" s="117" t="s">
        <v>2025</v>
      </c>
      <c r="M127" s="117" t="s">
        <v>2289</v>
      </c>
      <c r="N127" s="117" t="s">
        <v>82</v>
      </c>
      <c r="O127" s="117" t="s">
        <v>309</v>
      </c>
      <c r="P127" s="117" t="s">
        <v>2433</v>
      </c>
      <c r="Q127" s="117" t="s">
        <v>293</v>
      </c>
      <c r="R127" s="117">
        <v>1500000.01</v>
      </c>
      <c r="S127" s="117">
        <v>2000000</v>
      </c>
      <c r="T127" s="117">
        <v>0</v>
      </c>
      <c r="U127" s="117">
        <v>0</v>
      </c>
      <c r="V127" s="117">
        <v>0</v>
      </c>
      <c r="W127" s="117">
        <v>55</v>
      </c>
      <c r="X127" s="117">
        <v>0</v>
      </c>
      <c r="Y127" s="117">
        <v>999</v>
      </c>
      <c r="Z127" s="119">
        <v>660</v>
      </c>
      <c r="AA127" s="119">
        <v>679</v>
      </c>
      <c r="AB127" s="1877">
        <v>0</v>
      </c>
      <c r="AC127" s="119">
        <v>999999</v>
      </c>
      <c r="AD127" s="117">
        <v>0</v>
      </c>
      <c r="AE127" s="117">
        <v>75</v>
      </c>
      <c r="AF127" s="144">
        <v>0</v>
      </c>
      <c r="AG127" s="145">
        <v>1</v>
      </c>
      <c r="AH127" s="145">
        <v>1</v>
      </c>
      <c r="AI127" s="145">
        <v>0</v>
      </c>
      <c r="AJ127" s="145">
        <v>0</v>
      </c>
      <c r="AK127" s="145">
        <v>0</v>
      </c>
      <c r="AL127" s="145">
        <v>1</v>
      </c>
      <c r="AM127" s="145">
        <v>1</v>
      </c>
      <c r="AN127" s="145">
        <v>1</v>
      </c>
      <c r="AO127" s="145">
        <v>1</v>
      </c>
      <c r="AP127" s="145">
        <v>1</v>
      </c>
      <c r="AQ127" s="145">
        <v>0</v>
      </c>
      <c r="AR127" s="145">
        <v>1</v>
      </c>
      <c r="AS127" s="145">
        <v>1</v>
      </c>
      <c r="AT127" s="145">
        <v>1</v>
      </c>
      <c r="AU127" s="145">
        <f t="shared" si="37"/>
        <v>0</v>
      </c>
      <c r="AV127" s="145">
        <f t="shared" si="38"/>
        <v>1</v>
      </c>
      <c r="AW127" s="145">
        <f t="shared" si="39"/>
        <v>1</v>
      </c>
      <c r="AX127" s="145">
        <f t="shared" si="32"/>
        <v>1</v>
      </c>
      <c r="AY127" s="145">
        <f t="shared" si="40"/>
        <v>0</v>
      </c>
      <c r="AZ127" s="145">
        <f t="shared" si="41"/>
        <v>1</v>
      </c>
      <c r="BA127" s="146">
        <f t="shared" si="42"/>
        <v>1</v>
      </c>
      <c r="BB127" s="149">
        <f t="shared" si="43"/>
        <v>15</v>
      </c>
      <c r="BC127" s="150">
        <f t="shared" si="44"/>
        <v>14</v>
      </c>
      <c r="BD127" s="150">
        <f t="shared" si="45"/>
        <v>15</v>
      </c>
      <c r="BE127" s="211" t="str">
        <f t="shared" si="46"/>
        <v/>
      </c>
      <c r="BH127" s="172">
        <f>IF(AND(Input_Product=Elig!$C127,Elig_MatchAll_Ct&lt;22,$BC127=(Elig_MatchAll_Ct-1),AF127=0),C127,0)</f>
        <v>0</v>
      </c>
      <c r="BI127" s="173">
        <f>IF(AND(Input_Product=Elig!$C127,Elig_MatchAll_Ct&lt;22,$BC127=(Elig_MatchAll_Ct-1),AG127=0),D127,0)</f>
        <v>0</v>
      </c>
      <c r="BJ127" s="173">
        <f>IF(AND(Input_Product=Elig!$C127,Elig_MatchAll_Ct&lt;22,$BC127=(Elig_MatchAll_Ct-1),AH127=0),E127,0)</f>
        <v>0</v>
      </c>
      <c r="BK127" s="173">
        <f>IF(AND(Input_Product=Elig!$C127,Elig_MatchAll_Ct&lt;22,$BC127=(Elig_MatchAll_Ct-1),AI127=0),F127,0)</f>
        <v>0</v>
      </c>
      <c r="BL127" s="173">
        <f>IF(AND(Input_Product=Elig!$C127,Elig_MatchAll_Ct&lt;22,$BC127=(Elig_MatchAll_Ct-1),AJ127=0),G127,0)</f>
        <v>0</v>
      </c>
      <c r="BM127" s="173">
        <f>IF(AND(Input_Product=Elig!$C127,Elig_MatchAll_Ct&lt;22,$BC127=(Elig_MatchAll_Ct-1),AK127=0),H127,0)</f>
        <v>0</v>
      </c>
      <c r="BN127" s="173">
        <f>IF(AND(Input_Product=Elig!$C127,Elig_MatchAll_Ct&lt;22,$BC127=(Elig_MatchAll_Ct-1),AL127=0),I127,0)</f>
        <v>0</v>
      </c>
      <c r="BO127" s="173">
        <f>IF(AND(Input_Product=Elig!$C127,Elig_MatchAll_Ct&lt;22,$BC127=(Elig_MatchAll_Ct-1),AM127=0),J127,0)</f>
        <v>0</v>
      </c>
      <c r="BP127" s="173">
        <f>IF(AND(Input_Product=Elig!$C127,Elig_MatchAll_Ct&lt;22,$BC127=(Elig_MatchAll_Ct-1),AN127=0),K127,0)</f>
        <v>0</v>
      </c>
      <c r="BQ127" s="173">
        <f>IF(AND(Input_Product=Elig!$C127,Elig_MatchAll_Ct&lt;22,$BC127=(Elig_MatchAll_Ct-1),AP127=0),L127,0)</f>
        <v>0</v>
      </c>
      <c r="BR127" s="173">
        <f>IF(AND(Input_Product=Elig!$C127,Elig_MatchAll_Ct&lt;22,$BC127=(Elig_MatchAll_Ct-1),AO127=0),M127,0)</f>
        <v>0</v>
      </c>
      <c r="BS127" s="173">
        <f>IF(AND(Input_Product=Elig!$C127,Elig_MatchAll_Ct&lt;22,$BC127=(Elig_MatchAll_Ct-1),AQ127=0),N127,0)</f>
        <v>0</v>
      </c>
      <c r="BT127" s="173">
        <f>IF(AND(Input_Product=Elig!$C127,Elig_MatchAll_Ct&lt;22,$BC127=(Elig_MatchAll_Ct-1),AR127=0),O127,0)</f>
        <v>0</v>
      </c>
      <c r="BU127" s="173">
        <f>IF(AND(Input_Product=Elig!$C127,Elig_MatchAll_Ct&lt;22,$BC127=(Elig_MatchAll_Ct-1),AS127=0),P127,0)</f>
        <v>0</v>
      </c>
      <c r="BV127" s="174">
        <f>IF(AND(Input_Product=Elig!$C127,Elig_MatchAll_Ct&lt;22,$BC127=(Elig_MatchAll_Ct-1),AT127=0),Q127,0)</f>
        <v>0</v>
      </c>
      <c r="BW127" s="175">
        <f>IF(AND(Input_Product=Elig!$C127,Elig_MatchAll_Ct&lt;22,$BC127=(Elig_MatchAll_Ct-1),AU127=0),R127,0)</f>
        <v>0</v>
      </c>
      <c r="BX127" s="176">
        <f>IF(AND(Input_Product=Elig!$C127,Elig_MatchAll_Ct&lt;22,$BC127=(Elig_MatchAll_Ct-1),AU127=0),S127,0)</f>
        <v>0</v>
      </c>
      <c r="BY127" s="175">
        <f>IF(AND(Input_Product=Elig!$C127,Elig_MatchAll_Ct&lt;22,$BC127=(Elig_MatchAll_Ct-1),AV127=0),T127,0)</f>
        <v>0</v>
      </c>
      <c r="BZ127" s="176">
        <f>IF(AND(Input_Product=Elig!$C127,Elig_MatchAll_Ct&lt;22,$BC127=(Elig_MatchAll_Ct-1),AV127=0),U127,0)</f>
        <v>0</v>
      </c>
      <c r="CA127" s="175">
        <f>IF(AND(Input_Product=Elig!$C127,Elig_MatchAll_Ct&lt;22,$BC127=(Elig_MatchAll_Ct-1),AW127=0),V127,0)</f>
        <v>0</v>
      </c>
      <c r="CB127" s="176">
        <f>IF(AND(Input_Product=Elig!$C127,Elig_MatchAll_Ct&lt;22,$BC127=(Elig_MatchAll_Ct-1),AW127=0),W127,0)</f>
        <v>0</v>
      </c>
      <c r="CC127" s="175">
        <f>IF(AND(Input_Product=Elig!$C127,Elig_MatchAll_Ct&lt;22,$BC127=(Elig_MatchAll_Ct-1),AX127=0),X127,0)</f>
        <v>0</v>
      </c>
      <c r="CD127" s="176">
        <f>IF(AND(Input_Product=Elig!$C127,Elig_MatchAll_Ct&lt;22,$BC127=(Elig_MatchAll_Ct-1),AX127=0),Y127,0)</f>
        <v>0</v>
      </c>
      <c r="CE127" s="175">
        <f>IF(AND(Input_LTV&lt;=AE127,Input_Product=Elig!$C127,Elig_MatchAll_Ct&lt;22,$BC127=(Elig_MatchAll_Ct-1),AY127=0),Z127,0)</f>
        <v>0</v>
      </c>
      <c r="CF127" s="176">
        <f>IF(AND(Input_LTV&lt;=AE127,Input_Product=Elig!$C127,Elig_MatchAll_Ct&lt;22,$BC127=(Elig_MatchAll_Ct-1),AY127=0),AA127,0)</f>
        <v>0</v>
      </c>
      <c r="CG127" s="175">
        <f>IF(AND(Input_Product=Elig!$C127,Elig_MatchAll_Ct&lt;22,$BC127=(Elig_MatchAll_Ct-1),AZ127=0),AB127,0)</f>
        <v>0</v>
      </c>
      <c r="CH127" s="176">
        <f>IF(AND(Input_Product=Elig!$C127,Elig_MatchAll_Ct&lt;22,$BC127=(Elig_MatchAll_Ct-1),AZ127=0),AC127,0)</f>
        <v>0</v>
      </c>
      <c r="CI127" s="175">
        <f>IF(AND(Input_Product=Elig!$C127,Elig_MatchAll_Ct&lt;22,$BC127=(Elig_MatchAll_Ct-1),BA127=0),AD127,0)</f>
        <v>0</v>
      </c>
      <c r="CJ127" s="177">
        <f>IF(AND(Input_Product=Elig!$C127,Elig_MatchAll_Ct&lt;22,$BC127=(Elig_MatchAll_Ct-1),BA127=0),AE127,0)</f>
        <v>0</v>
      </c>
    </row>
    <row r="128" spans="1:88" ht="10.15" customHeight="1" x14ac:dyDescent="0.25">
      <c r="A128" s="1419" t="s">
        <v>76</v>
      </c>
      <c r="B128" s="1419" t="s">
        <v>823</v>
      </c>
      <c r="C128" s="116" t="str">
        <f t="shared" si="30"/>
        <v>NonQM OO</v>
      </c>
      <c r="D128" s="117" t="s">
        <v>1995</v>
      </c>
      <c r="E128" s="117" t="s">
        <v>166</v>
      </c>
      <c r="F128" s="117" t="s">
        <v>330</v>
      </c>
      <c r="G128" s="117" t="s">
        <v>303</v>
      </c>
      <c r="H128" s="117" t="s">
        <v>444</v>
      </c>
      <c r="I128" s="117" t="s">
        <v>273</v>
      </c>
      <c r="J128" s="117" t="s">
        <v>1130</v>
      </c>
      <c r="K128" s="117" t="s">
        <v>1398</v>
      </c>
      <c r="L128" s="117" t="s">
        <v>2025</v>
      </c>
      <c r="M128" s="117" t="s">
        <v>2289</v>
      </c>
      <c r="N128" s="117" t="s">
        <v>82</v>
      </c>
      <c r="O128" s="117" t="s">
        <v>309</v>
      </c>
      <c r="P128" s="117" t="s">
        <v>2433</v>
      </c>
      <c r="Q128" s="117" t="s">
        <v>293</v>
      </c>
      <c r="R128" s="117">
        <v>1500000.01</v>
      </c>
      <c r="S128" s="117">
        <v>2000000</v>
      </c>
      <c r="T128" s="117">
        <v>0</v>
      </c>
      <c r="U128" s="117">
        <v>0</v>
      </c>
      <c r="V128" s="117">
        <v>0</v>
      </c>
      <c r="W128" s="117">
        <v>55</v>
      </c>
      <c r="X128" s="117">
        <v>0</v>
      </c>
      <c r="Y128" s="117">
        <v>999</v>
      </c>
      <c r="Z128" s="119">
        <v>640</v>
      </c>
      <c r="AA128" s="119">
        <v>659</v>
      </c>
      <c r="AB128" s="1877">
        <v>0</v>
      </c>
      <c r="AC128" s="119">
        <v>999999</v>
      </c>
      <c r="AD128" s="117">
        <v>0</v>
      </c>
      <c r="AE128" s="117">
        <v>65</v>
      </c>
      <c r="AF128" s="144">
        <v>0</v>
      </c>
      <c r="AG128" s="145">
        <v>1</v>
      </c>
      <c r="AH128" s="145">
        <v>1</v>
      </c>
      <c r="AI128" s="145">
        <v>0</v>
      </c>
      <c r="AJ128" s="145">
        <v>0</v>
      </c>
      <c r="AK128" s="145">
        <v>0</v>
      </c>
      <c r="AL128" s="145">
        <v>1</v>
      </c>
      <c r="AM128" s="145">
        <v>1</v>
      </c>
      <c r="AN128" s="145">
        <v>1</v>
      </c>
      <c r="AO128" s="145">
        <v>1</v>
      </c>
      <c r="AP128" s="145">
        <v>1</v>
      </c>
      <c r="AQ128" s="145">
        <v>0</v>
      </c>
      <c r="AR128" s="145">
        <v>1</v>
      </c>
      <c r="AS128" s="145">
        <v>1</v>
      </c>
      <c r="AT128" s="145">
        <v>1</v>
      </c>
      <c r="AU128" s="145">
        <f t="shared" si="37"/>
        <v>0</v>
      </c>
      <c r="AV128" s="145">
        <f t="shared" si="38"/>
        <v>1</v>
      </c>
      <c r="AW128" s="145">
        <f t="shared" si="39"/>
        <v>1</v>
      </c>
      <c r="AX128" s="145">
        <f t="shared" si="32"/>
        <v>1</v>
      </c>
      <c r="AY128" s="145">
        <f t="shared" si="40"/>
        <v>0</v>
      </c>
      <c r="AZ128" s="145">
        <f t="shared" si="41"/>
        <v>1</v>
      </c>
      <c r="BA128" s="146">
        <f t="shared" si="42"/>
        <v>0</v>
      </c>
      <c r="BB128" s="149">
        <f t="shared" si="43"/>
        <v>14</v>
      </c>
      <c r="BC128" s="150">
        <f t="shared" si="44"/>
        <v>14</v>
      </c>
      <c r="BD128" s="150">
        <f t="shared" si="45"/>
        <v>14</v>
      </c>
      <c r="BE128" s="211" t="str">
        <f t="shared" si="46"/>
        <v/>
      </c>
      <c r="BH128" s="172">
        <f>IF(AND(Input_Product=Elig!$C128,Elig_MatchAll_Ct&lt;22,$BC128=(Elig_MatchAll_Ct-1),AF128=0),C128,0)</f>
        <v>0</v>
      </c>
      <c r="BI128" s="173">
        <f>IF(AND(Input_Product=Elig!$C128,Elig_MatchAll_Ct&lt;22,$BC128=(Elig_MatchAll_Ct-1),AG128=0),D128,0)</f>
        <v>0</v>
      </c>
      <c r="BJ128" s="173">
        <f>IF(AND(Input_Product=Elig!$C128,Elig_MatchAll_Ct&lt;22,$BC128=(Elig_MatchAll_Ct-1),AH128=0),E128,0)</f>
        <v>0</v>
      </c>
      <c r="BK128" s="173">
        <f>IF(AND(Input_Product=Elig!$C128,Elig_MatchAll_Ct&lt;22,$BC128=(Elig_MatchAll_Ct-1),AI128=0),F128,0)</f>
        <v>0</v>
      </c>
      <c r="BL128" s="173">
        <f>IF(AND(Input_Product=Elig!$C128,Elig_MatchAll_Ct&lt;22,$BC128=(Elig_MatchAll_Ct-1),AJ128=0),G128,0)</f>
        <v>0</v>
      </c>
      <c r="BM128" s="173">
        <f>IF(AND(Input_Product=Elig!$C128,Elig_MatchAll_Ct&lt;22,$BC128=(Elig_MatchAll_Ct-1),AK128=0),H128,0)</f>
        <v>0</v>
      </c>
      <c r="BN128" s="173">
        <f>IF(AND(Input_Product=Elig!$C128,Elig_MatchAll_Ct&lt;22,$BC128=(Elig_MatchAll_Ct-1),AL128=0),I128,0)</f>
        <v>0</v>
      </c>
      <c r="BO128" s="173">
        <f>IF(AND(Input_Product=Elig!$C128,Elig_MatchAll_Ct&lt;22,$BC128=(Elig_MatchAll_Ct-1),AM128=0),J128,0)</f>
        <v>0</v>
      </c>
      <c r="BP128" s="173">
        <f>IF(AND(Input_Product=Elig!$C128,Elig_MatchAll_Ct&lt;22,$BC128=(Elig_MatchAll_Ct-1),AN128=0),K128,0)</f>
        <v>0</v>
      </c>
      <c r="BQ128" s="173">
        <f>IF(AND(Input_Product=Elig!$C128,Elig_MatchAll_Ct&lt;22,$BC128=(Elig_MatchAll_Ct-1),AP128=0),L128,0)</f>
        <v>0</v>
      </c>
      <c r="BR128" s="173">
        <f>IF(AND(Input_Product=Elig!$C128,Elig_MatchAll_Ct&lt;22,$BC128=(Elig_MatchAll_Ct-1),AO128=0),M128,0)</f>
        <v>0</v>
      </c>
      <c r="BS128" s="173">
        <f>IF(AND(Input_Product=Elig!$C128,Elig_MatchAll_Ct&lt;22,$BC128=(Elig_MatchAll_Ct-1),AQ128=0),N128,0)</f>
        <v>0</v>
      </c>
      <c r="BT128" s="173">
        <f>IF(AND(Input_Product=Elig!$C128,Elig_MatchAll_Ct&lt;22,$BC128=(Elig_MatchAll_Ct-1),AR128=0),O128,0)</f>
        <v>0</v>
      </c>
      <c r="BU128" s="173">
        <f>IF(AND(Input_Product=Elig!$C128,Elig_MatchAll_Ct&lt;22,$BC128=(Elig_MatchAll_Ct-1),AS128=0),P128,0)</f>
        <v>0</v>
      </c>
      <c r="BV128" s="174">
        <f>IF(AND(Input_Product=Elig!$C128,Elig_MatchAll_Ct&lt;22,$BC128=(Elig_MatchAll_Ct-1),AT128=0),Q128,0)</f>
        <v>0</v>
      </c>
      <c r="BW128" s="175">
        <f>IF(AND(Input_Product=Elig!$C128,Elig_MatchAll_Ct&lt;22,$BC128=(Elig_MatchAll_Ct-1),AU128=0),R128,0)</f>
        <v>0</v>
      </c>
      <c r="BX128" s="176">
        <f>IF(AND(Input_Product=Elig!$C128,Elig_MatchAll_Ct&lt;22,$BC128=(Elig_MatchAll_Ct-1),AU128=0),S128,0)</f>
        <v>0</v>
      </c>
      <c r="BY128" s="175">
        <f>IF(AND(Input_Product=Elig!$C128,Elig_MatchAll_Ct&lt;22,$BC128=(Elig_MatchAll_Ct-1),AV128=0),T128,0)</f>
        <v>0</v>
      </c>
      <c r="BZ128" s="176">
        <f>IF(AND(Input_Product=Elig!$C128,Elig_MatchAll_Ct&lt;22,$BC128=(Elig_MatchAll_Ct-1),AV128=0),U128,0)</f>
        <v>0</v>
      </c>
      <c r="CA128" s="175">
        <f>IF(AND(Input_Product=Elig!$C128,Elig_MatchAll_Ct&lt;22,$BC128=(Elig_MatchAll_Ct-1),AW128=0),V128,0)</f>
        <v>0</v>
      </c>
      <c r="CB128" s="176">
        <f>IF(AND(Input_Product=Elig!$C128,Elig_MatchAll_Ct&lt;22,$BC128=(Elig_MatchAll_Ct-1),AW128=0),W128,0)</f>
        <v>0</v>
      </c>
      <c r="CC128" s="175">
        <f>IF(AND(Input_Product=Elig!$C128,Elig_MatchAll_Ct&lt;22,$BC128=(Elig_MatchAll_Ct-1),AX128=0),X128,0)</f>
        <v>0</v>
      </c>
      <c r="CD128" s="176">
        <f>IF(AND(Input_Product=Elig!$C128,Elig_MatchAll_Ct&lt;22,$BC128=(Elig_MatchAll_Ct-1),AX128=0),Y128,0)</f>
        <v>0</v>
      </c>
      <c r="CE128" s="175">
        <f>IF(AND(Input_LTV&lt;=AE128,Input_Product=Elig!$C128,Elig_MatchAll_Ct&lt;22,$BC128=(Elig_MatchAll_Ct-1),AY128=0),Z128,0)</f>
        <v>0</v>
      </c>
      <c r="CF128" s="176">
        <f>IF(AND(Input_LTV&lt;=AE128,Input_Product=Elig!$C128,Elig_MatchAll_Ct&lt;22,$BC128=(Elig_MatchAll_Ct-1),AY128=0),AA128,0)</f>
        <v>0</v>
      </c>
      <c r="CG128" s="175">
        <f>IF(AND(Input_Product=Elig!$C128,Elig_MatchAll_Ct&lt;22,$BC128=(Elig_MatchAll_Ct-1),AZ128=0),AB128,0)</f>
        <v>0</v>
      </c>
      <c r="CH128" s="176">
        <f>IF(AND(Input_Product=Elig!$C128,Elig_MatchAll_Ct&lt;22,$BC128=(Elig_MatchAll_Ct-1),AZ128=0),AC128,0)</f>
        <v>0</v>
      </c>
      <c r="CI128" s="175">
        <f>IF(AND(Input_Product=Elig!$C128,Elig_MatchAll_Ct&lt;22,$BC128=(Elig_MatchAll_Ct-1),BA128=0),AD128,0)</f>
        <v>0</v>
      </c>
      <c r="CJ128" s="177">
        <f>IF(AND(Input_Product=Elig!$C128,Elig_MatchAll_Ct&lt;22,$BC128=(Elig_MatchAll_Ct-1),BA128=0),AE128,0)</f>
        <v>0</v>
      </c>
    </row>
    <row r="129" spans="1:88" ht="10.15" customHeight="1" x14ac:dyDescent="0.25">
      <c r="A129" s="1419" t="s">
        <v>76</v>
      </c>
      <c r="B129" s="1419" t="s">
        <v>824</v>
      </c>
      <c r="C129" s="123" t="str">
        <f t="shared" si="30"/>
        <v>NonQM OO</v>
      </c>
      <c r="D129" s="124" t="s">
        <v>1995</v>
      </c>
      <c r="E129" s="125" t="s">
        <v>166</v>
      </c>
      <c r="F129" s="125" t="s">
        <v>330</v>
      </c>
      <c r="G129" s="125" t="s">
        <v>303</v>
      </c>
      <c r="H129" s="125" t="s">
        <v>444</v>
      </c>
      <c r="I129" s="124" t="s">
        <v>16</v>
      </c>
      <c r="J129" s="124" t="s">
        <v>1130</v>
      </c>
      <c r="K129" s="124" t="s">
        <v>1398</v>
      </c>
      <c r="L129" s="125" t="s">
        <v>2025</v>
      </c>
      <c r="M129" s="125" t="s">
        <v>2289</v>
      </c>
      <c r="N129" s="125" t="s">
        <v>82</v>
      </c>
      <c r="O129" s="125" t="s">
        <v>309</v>
      </c>
      <c r="P129" s="125" t="s">
        <v>2433</v>
      </c>
      <c r="Q129" s="125" t="s">
        <v>293</v>
      </c>
      <c r="R129" s="124">
        <v>1500000.01</v>
      </c>
      <c r="S129" s="124">
        <v>2000000</v>
      </c>
      <c r="T129" s="124">
        <v>0</v>
      </c>
      <c r="U129" s="124">
        <f t="shared" ref="U129:U132" si="48">S129</f>
        <v>2000000</v>
      </c>
      <c r="V129" s="124">
        <v>0</v>
      </c>
      <c r="W129" s="124">
        <v>55</v>
      </c>
      <c r="X129" s="124">
        <v>0</v>
      </c>
      <c r="Y129" s="124">
        <v>999</v>
      </c>
      <c r="Z129" s="126">
        <v>720</v>
      </c>
      <c r="AA129" s="126">
        <v>999</v>
      </c>
      <c r="AB129" s="1879">
        <v>0</v>
      </c>
      <c r="AC129" s="126">
        <v>999999</v>
      </c>
      <c r="AD129" s="124">
        <v>0</v>
      </c>
      <c r="AE129" s="124">
        <v>80</v>
      </c>
      <c r="AF129" s="144">
        <v>0</v>
      </c>
      <c r="AG129" s="145">
        <v>1</v>
      </c>
      <c r="AH129" s="145">
        <v>1</v>
      </c>
      <c r="AI129" s="145">
        <v>0</v>
      </c>
      <c r="AJ129" s="145">
        <v>0</v>
      </c>
      <c r="AK129" s="145">
        <v>0</v>
      </c>
      <c r="AL129" s="145">
        <v>0</v>
      </c>
      <c r="AM129" s="145">
        <v>1</v>
      </c>
      <c r="AN129" s="145">
        <v>1</v>
      </c>
      <c r="AO129" s="145">
        <v>1</v>
      </c>
      <c r="AP129" s="145">
        <v>1</v>
      </c>
      <c r="AQ129" s="145">
        <v>0</v>
      </c>
      <c r="AR129" s="145">
        <v>1</v>
      </c>
      <c r="AS129" s="145">
        <v>1</v>
      </c>
      <c r="AT129" s="145">
        <v>1</v>
      </c>
      <c r="AU129" s="145">
        <f t="shared" si="37"/>
        <v>0</v>
      </c>
      <c r="AV129" s="145">
        <f t="shared" si="38"/>
        <v>1</v>
      </c>
      <c r="AW129" s="145">
        <f t="shared" si="39"/>
        <v>1</v>
      </c>
      <c r="AX129" s="145">
        <f t="shared" si="32"/>
        <v>1</v>
      </c>
      <c r="AY129" s="145">
        <f t="shared" si="40"/>
        <v>1</v>
      </c>
      <c r="AZ129" s="145">
        <f t="shared" si="41"/>
        <v>1</v>
      </c>
      <c r="BA129" s="146">
        <f t="shared" si="42"/>
        <v>1</v>
      </c>
      <c r="BB129" s="149">
        <f t="shared" si="43"/>
        <v>15</v>
      </c>
      <c r="BC129" s="150">
        <f t="shared" si="44"/>
        <v>14</v>
      </c>
      <c r="BD129" s="150">
        <f t="shared" si="45"/>
        <v>15</v>
      </c>
      <c r="BE129" s="211" t="str">
        <f t="shared" si="46"/>
        <v/>
      </c>
      <c r="BH129" s="166">
        <f>IF(AND(Input_Product=Elig!$C129,Elig_MatchAll_Ct&lt;22,$BC129=(Elig_MatchAll_Ct-1),AF129=0),C129,0)</f>
        <v>0</v>
      </c>
      <c r="BI129" s="167">
        <f>IF(AND(Input_Product=Elig!$C129,Elig_MatchAll_Ct&lt;22,$BC129=(Elig_MatchAll_Ct-1),AG129=0),D129,0)</f>
        <v>0</v>
      </c>
      <c r="BJ129" s="167">
        <f>IF(AND(Input_Product=Elig!$C129,Elig_MatchAll_Ct&lt;22,$BC129=(Elig_MatchAll_Ct-1),AH129=0),E129,0)</f>
        <v>0</v>
      </c>
      <c r="BK129" s="167">
        <f>IF(AND(Input_Product=Elig!$C129,Elig_MatchAll_Ct&lt;22,$BC129=(Elig_MatchAll_Ct-1),AI129=0),F129,0)</f>
        <v>0</v>
      </c>
      <c r="BL129" s="167">
        <f>IF(AND(Input_Product=Elig!$C129,Elig_MatchAll_Ct&lt;22,$BC129=(Elig_MatchAll_Ct-1),AJ129=0),G129,0)</f>
        <v>0</v>
      </c>
      <c r="BM129" s="167">
        <f>IF(AND(Input_Product=Elig!$C129,Elig_MatchAll_Ct&lt;22,$BC129=(Elig_MatchAll_Ct-1),AK129=0),H129,0)</f>
        <v>0</v>
      </c>
      <c r="BN129" s="167">
        <f>IF(AND(Input_Product=Elig!$C129,Elig_MatchAll_Ct&lt;22,$BC129=(Elig_MatchAll_Ct-1),AL129=0),I129,0)</f>
        <v>0</v>
      </c>
      <c r="BO129" s="167">
        <f>IF(AND(Input_Product=Elig!$C129,Elig_MatchAll_Ct&lt;22,$BC129=(Elig_MatchAll_Ct-1),AM129=0),J129,0)</f>
        <v>0</v>
      </c>
      <c r="BP129" s="167">
        <f>IF(AND(Input_Product=Elig!$C129,Elig_MatchAll_Ct&lt;22,$BC129=(Elig_MatchAll_Ct-1),AN129=0),K129,0)</f>
        <v>0</v>
      </c>
      <c r="BQ129" s="167">
        <f>IF(AND(Input_Product=Elig!$C129,Elig_MatchAll_Ct&lt;22,$BC129=(Elig_MatchAll_Ct-1),AP129=0),L129,0)</f>
        <v>0</v>
      </c>
      <c r="BR129" s="167">
        <f>IF(AND(Input_Product=Elig!$C129,Elig_MatchAll_Ct&lt;22,$BC129=(Elig_MatchAll_Ct-1),AO129=0),M129,0)</f>
        <v>0</v>
      </c>
      <c r="BS129" s="167">
        <f>IF(AND(Input_Product=Elig!$C129,Elig_MatchAll_Ct&lt;22,$BC129=(Elig_MatchAll_Ct-1),AQ129=0),N129,0)</f>
        <v>0</v>
      </c>
      <c r="BT129" s="167">
        <f>IF(AND(Input_Product=Elig!$C129,Elig_MatchAll_Ct&lt;22,$BC129=(Elig_MatchAll_Ct-1),AR129=0),O129,0)</f>
        <v>0</v>
      </c>
      <c r="BU129" s="167">
        <f>IF(AND(Input_Product=Elig!$C129,Elig_MatchAll_Ct&lt;22,$BC129=(Elig_MatchAll_Ct-1),AS129=0),P129,0)</f>
        <v>0</v>
      </c>
      <c r="BV129" s="168">
        <f>IF(AND(Input_Product=Elig!$C129,Elig_MatchAll_Ct&lt;22,$BC129=(Elig_MatchAll_Ct-1),AT129=0),Q129,0)</f>
        <v>0</v>
      </c>
      <c r="BW129" s="169">
        <f>IF(AND(Input_Product=Elig!$C129,Elig_MatchAll_Ct&lt;22,$BC129=(Elig_MatchAll_Ct-1),AU129=0),R129,0)</f>
        <v>0</v>
      </c>
      <c r="BX129" s="170">
        <f>IF(AND(Input_Product=Elig!$C129,Elig_MatchAll_Ct&lt;22,$BC129=(Elig_MatchAll_Ct-1),AU129=0),S129,0)</f>
        <v>0</v>
      </c>
      <c r="BY129" s="169">
        <f>IF(AND(Input_Product=Elig!$C129,Elig_MatchAll_Ct&lt;22,$BC129=(Elig_MatchAll_Ct-1),AV129=0),T129,0)</f>
        <v>0</v>
      </c>
      <c r="BZ129" s="170">
        <f>IF(AND(Input_Product=Elig!$C129,Elig_MatchAll_Ct&lt;22,$BC129=(Elig_MatchAll_Ct-1),AV129=0),U129,0)</f>
        <v>0</v>
      </c>
      <c r="CA129" s="169">
        <f>IF(AND(Input_Product=Elig!$C129,Elig_MatchAll_Ct&lt;22,$BC129=(Elig_MatchAll_Ct-1),AW129=0),V129,0)</f>
        <v>0</v>
      </c>
      <c r="CB129" s="170">
        <f>IF(AND(Input_Product=Elig!$C129,Elig_MatchAll_Ct&lt;22,$BC129=(Elig_MatchAll_Ct-1),AW129=0),W129,0)</f>
        <v>0</v>
      </c>
      <c r="CC129" s="169">
        <f>IF(AND(Input_Product=Elig!$C129,Elig_MatchAll_Ct&lt;22,$BC129=(Elig_MatchAll_Ct-1),AX129=0),X129,0)</f>
        <v>0</v>
      </c>
      <c r="CD129" s="170">
        <f>IF(AND(Input_Product=Elig!$C129,Elig_MatchAll_Ct&lt;22,$BC129=(Elig_MatchAll_Ct-1),AX129=0),Y129,0)</f>
        <v>0</v>
      </c>
      <c r="CE129" s="169">
        <f>IF(AND(Input_LTV&lt;=AE129,Input_Product=Elig!$C129,Elig_MatchAll_Ct&lt;22,$BC129=(Elig_MatchAll_Ct-1),AY129=0),Z129,0)</f>
        <v>0</v>
      </c>
      <c r="CF129" s="170">
        <f>IF(AND(Input_LTV&lt;=AE129,Input_Product=Elig!$C129,Elig_MatchAll_Ct&lt;22,$BC129=(Elig_MatchAll_Ct-1),AY129=0),AA129,0)</f>
        <v>0</v>
      </c>
      <c r="CG129" s="169">
        <f>IF(AND(Input_Product=Elig!$C129,Elig_MatchAll_Ct&lt;22,$BC129=(Elig_MatchAll_Ct-1),AZ129=0),AB129,0)</f>
        <v>0</v>
      </c>
      <c r="CH129" s="170">
        <f>IF(AND(Input_Product=Elig!$C129,Elig_MatchAll_Ct&lt;22,$BC129=(Elig_MatchAll_Ct-1),AZ129=0),AC129,0)</f>
        <v>0</v>
      </c>
      <c r="CI129" s="169">
        <f>IF(AND(Input_Product=Elig!$C129,Elig_MatchAll_Ct&lt;22,$BC129=(Elig_MatchAll_Ct-1),BA129=0),AD129,0)</f>
        <v>0</v>
      </c>
      <c r="CJ129" s="171">
        <f>IF(AND(Input_Product=Elig!$C129,Elig_MatchAll_Ct&lt;22,$BC129=(Elig_MatchAll_Ct-1),BA129=0),AE129,0)</f>
        <v>0</v>
      </c>
    </row>
    <row r="130" spans="1:88" ht="10.15" customHeight="1" x14ac:dyDescent="0.25">
      <c r="A130" s="1419" t="s">
        <v>76</v>
      </c>
      <c r="B130" s="1419" t="s">
        <v>825</v>
      </c>
      <c r="C130" s="116" t="str">
        <f t="shared" si="30"/>
        <v>NonQM OO</v>
      </c>
      <c r="D130" s="117" t="s">
        <v>1995</v>
      </c>
      <c r="E130" s="117" t="s">
        <v>166</v>
      </c>
      <c r="F130" s="117" t="s">
        <v>330</v>
      </c>
      <c r="G130" s="117" t="s">
        <v>303</v>
      </c>
      <c r="H130" s="117" t="s">
        <v>444</v>
      </c>
      <c r="I130" s="118" t="s">
        <v>16</v>
      </c>
      <c r="J130" s="118" t="s">
        <v>1130</v>
      </c>
      <c r="K130" s="118" t="s">
        <v>1398</v>
      </c>
      <c r="L130" s="117" t="s">
        <v>2025</v>
      </c>
      <c r="M130" s="117" t="s">
        <v>2289</v>
      </c>
      <c r="N130" s="117" t="s">
        <v>82</v>
      </c>
      <c r="O130" s="117" t="s">
        <v>309</v>
      </c>
      <c r="P130" s="117" t="s">
        <v>2433</v>
      </c>
      <c r="Q130" s="117" t="s">
        <v>293</v>
      </c>
      <c r="R130" s="117">
        <v>1500000.01</v>
      </c>
      <c r="S130" s="117">
        <v>2000000</v>
      </c>
      <c r="T130" s="117">
        <v>0</v>
      </c>
      <c r="U130" s="117">
        <f t="shared" si="48"/>
        <v>2000000</v>
      </c>
      <c r="V130" s="117">
        <v>0</v>
      </c>
      <c r="W130" s="117">
        <v>55</v>
      </c>
      <c r="X130" s="117">
        <v>0</v>
      </c>
      <c r="Y130" s="117">
        <v>999</v>
      </c>
      <c r="Z130" s="119">
        <v>700</v>
      </c>
      <c r="AA130" s="119">
        <v>719</v>
      </c>
      <c r="AB130" s="1877">
        <v>0</v>
      </c>
      <c r="AC130" s="119">
        <v>999999</v>
      </c>
      <c r="AD130" s="117">
        <v>0</v>
      </c>
      <c r="AE130" s="117">
        <v>75</v>
      </c>
      <c r="AF130" s="144">
        <v>0</v>
      </c>
      <c r="AG130" s="145">
        <v>1</v>
      </c>
      <c r="AH130" s="145">
        <v>1</v>
      </c>
      <c r="AI130" s="145">
        <v>0</v>
      </c>
      <c r="AJ130" s="145">
        <v>0</v>
      </c>
      <c r="AK130" s="145">
        <v>0</v>
      </c>
      <c r="AL130" s="145">
        <v>0</v>
      </c>
      <c r="AM130" s="145">
        <v>1</v>
      </c>
      <c r="AN130" s="145">
        <v>1</v>
      </c>
      <c r="AO130" s="145">
        <v>1</v>
      </c>
      <c r="AP130" s="145">
        <v>1</v>
      </c>
      <c r="AQ130" s="145">
        <v>0</v>
      </c>
      <c r="AR130" s="145">
        <v>1</v>
      </c>
      <c r="AS130" s="145">
        <v>1</v>
      </c>
      <c r="AT130" s="145">
        <v>1</v>
      </c>
      <c r="AU130" s="145">
        <f t="shared" si="37"/>
        <v>0</v>
      </c>
      <c r="AV130" s="145">
        <f t="shared" si="38"/>
        <v>1</v>
      </c>
      <c r="AW130" s="145">
        <f t="shared" si="39"/>
        <v>1</v>
      </c>
      <c r="AX130" s="145">
        <f t="shared" si="32"/>
        <v>1</v>
      </c>
      <c r="AY130" s="145">
        <f t="shared" si="40"/>
        <v>0</v>
      </c>
      <c r="AZ130" s="145">
        <f t="shared" si="41"/>
        <v>1</v>
      </c>
      <c r="BA130" s="146">
        <f t="shared" si="42"/>
        <v>1</v>
      </c>
      <c r="BB130" s="149">
        <f t="shared" si="43"/>
        <v>14</v>
      </c>
      <c r="BC130" s="150">
        <f t="shared" si="44"/>
        <v>13</v>
      </c>
      <c r="BD130" s="150">
        <f t="shared" si="45"/>
        <v>14</v>
      </c>
      <c r="BE130" s="211" t="str">
        <f t="shared" si="46"/>
        <v/>
      </c>
      <c r="BH130" s="172">
        <f>IF(AND(Input_Product=Elig!$C130,Elig_MatchAll_Ct&lt;22,$BC130=(Elig_MatchAll_Ct-1),AF130=0),C130,0)</f>
        <v>0</v>
      </c>
      <c r="BI130" s="173">
        <f>IF(AND(Input_Product=Elig!$C130,Elig_MatchAll_Ct&lt;22,$BC130=(Elig_MatchAll_Ct-1),AG130=0),D130,0)</f>
        <v>0</v>
      </c>
      <c r="BJ130" s="173">
        <f>IF(AND(Input_Product=Elig!$C130,Elig_MatchAll_Ct&lt;22,$BC130=(Elig_MatchAll_Ct-1),AH130=0),E130,0)</f>
        <v>0</v>
      </c>
      <c r="BK130" s="173">
        <f>IF(AND(Input_Product=Elig!$C130,Elig_MatchAll_Ct&lt;22,$BC130=(Elig_MatchAll_Ct-1),AI130=0),F130,0)</f>
        <v>0</v>
      </c>
      <c r="BL130" s="173">
        <f>IF(AND(Input_Product=Elig!$C130,Elig_MatchAll_Ct&lt;22,$BC130=(Elig_MatchAll_Ct-1),AJ130=0),G130,0)</f>
        <v>0</v>
      </c>
      <c r="BM130" s="173">
        <f>IF(AND(Input_Product=Elig!$C130,Elig_MatchAll_Ct&lt;22,$BC130=(Elig_MatchAll_Ct-1),AK130=0),H130,0)</f>
        <v>0</v>
      </c>
      <c r="BN130" s="173">
        <f>IF(AND(Input_Product=Elig!$C130,Elig_MatchAll_Ct&lt;22,$BC130=(Elig_MatchAll_Ct-1),AL130=0),I130,0)</f>
        <v>0</v>
      </c>
      <c r="BO130" s="173">
        <f>IF(AND(Input_Product=Elig!$C130,Elig_MatchAll_Ct&lt;22,$BC130=(Elig_MatchAll_Ct-1),AM130=0),J130,0)</f>
        <v>0</v>
      </c>
      <c r="BP130" s="173">
        <f>IF(AND(Input_Product=Elig!$C130,Elig_MatchAll_Ct&lt;22,$BC130=(Elig_MatchAll_Ct-1),AN130=0),K130,0)</f>
        <v>0</v>
      </c>
      <c r="BQ130" s="173">
        <f>IF(AND(Input_Product=Elig!$C130,Elig_MatchAll_Ct&lt;22,$BC130=(Elig_MatchAll_Ct-1),AP130=0),L130,0)</f>
        <v>0</v>
      </c>
      <c r="BR130" s="173">
        <f>IF(AND(Input_Product=Elig!$C130,Elig_MatchAll_Ct&lt;22,$BC130=(Elig_MatchAll_Ct-1),AO130=0),M130,0)</f>
        <v>0</v>
      </c>
      <c r="BS130" s="173">
        <f>IF(AND(Input_Product=Elig!$C130,Elig_MatchAll_Ct&lt;22,$BC130=(Elig_MatchAll_Ct-1),AQ130=0),N130,0)</f>
        <v>0</v>
      </c>
      <c r="BT130" s="173">
        <f>IF(AND(Input_Product=Elig!$C130,Elig_MatchAll_Ct&lt;22,$BC130=(Elig_MatchAll_Ct-1),AR130=0),O130,0)</f>
        <v>0</v>
      </c>
      <c r="BU130" s="173">
        <f>IF(AND(Input_Product=Elig!$C130,Elig_MatchAll_Ct&lt;22,$BC130=(Elig_MatchAll_Ct-1),AS130=0),P130,0)</f>
        <v>0</v>
      </c>
      <c r="BV130" s="174">
        <f>IF(AND(Input_Product=Elig!$C130,Elig_MatchAll_Ct&lt;22,$BC130=(Elig_MatchAll_Ct-1),AT130=0),Q130,0)</f>
        <v>0</v>
      </c>
      <c r="BW130" s="175">
        <f>IF(AND(Input_Product=Elig!$C130,Elig_MatchAll_Ct&lt;22,$BC130=(Elig_MatchAll_Ct-1),AU130=0),R130,0)</f>
        <v>0</v>
      </c>
      <c r="BX130" s="176">
        <f>IF(AND(Input_Product=Elig!$C130,Elig_MatchAll_Ct&lt;22,$BC130=(Elig_MatchAll_Ct-1),AU130=0),S130,0)</f>
        <v>0</v>
      </c>
      <c r="BY130" s="175">
        <f>IF(AND(Input_Product=Elig!$C130,Elig_MatchAll_Ct&lt;22,$BC130=(Elig_MatchAll_Ct-1),AV130=0),T130,0)</f>
        <v>0</v>
      </c>
      <c r="BZ130" s="176">
        <f>IF(AND(Input_Product=Elig!$C130,Elig_MatchAll_Ct&lt;22,$BC130=(Elig_MatchAll_Ct-1),AV130=0),U130,0)</f>
        <v>0</v>
      </c>
      <c r="CA130" s="175">
        <f>IF(AND(Input_Product=Elig!$C130,Elig_MatchAll_Ct&lt;22,$BC130=(Elig_MatchAll_Ct-1),AW130=0),V130,0)</f>
        <v>0</v>
      </c>
      <c r="CB130" s="176">
        <f>IF(AND(Input_Product=Elig!$C130,Elig_MatchAll_Ct&lt;22,$BC130=(Elig_MatchAll_Ct-1),AW130=0),W130,0)</f>
        <v>0</v>
      </c>
      <c r="CC130" s="175">
        <f>IF(AND(Input_Product=Elig!$C130,Elig_MatchAll_Ct&lt;22,$BC130=(Elig_MatchAll_Ct-1),AX130=0),X130,0)</f>
        <v>0</v>
      </c>
      <c r="CD130" s="176">
        <f>IF(AND(Input_Product=Elig!$C130,Elig_MatchAll_Ct&lt;22,$BC130=(Elig_MatchAll_Ct-1),AX130=0),Y130,0)</f>
        <v>0</v>
      </c>
      <c r="CE130" s="175">
        <f>IF(AND(Input_LTV&lt;=AE130,Input_Product=Elig!$C130,Elig_MatchAll_Ct&lt;22,$BC130=(Elig_MatchAll_Ct-1),AY130=0),Z130,0)</f>
        <v>0</v>
      </c>
      <c r="CF130" s="176">
        <f>IF(AND(Input_LTV&lt;=AE130,Input_Product=Elig!$C130,Elig_MatchAll_Ct&lt;22,$BC130=(Elig_MatchAll_Ct-1),AY130=0),AA130,0)</f>
        <v>0</v>
      </c>
      <c r="CG130" s="175">
        <f>IF(AND(Input_Product=Elig!$C130,Elig_MatchAll_Ct&lt;22,$BC130=(Elig_MatchAll_Ct-1),AZ130=0),AB130,0)</f>
        <v>0</v>
      </c>
      <c r="CH130" s="176">
        <f>IF(AND(Input_Product=Elig!$C130,Elig_MatchAll_Ct&lt;22,$BC130=(Elig_MatchAll_Ct-1),AZ130=0),AC130,0)</f>
        <v>0</v>
      </c>
      <c r="CI130" s="175">
        <f>IF(AND(Input_Product=Elig!$C130,Elig_MatchAll_Ct&lt;22,$BC130=(Elig_MatchAll_Ct-1),BA130=0),AD130,0)</f>
        <v>0</v>
      </c>
      <c r="CJ130" s="177">
        <f>IF(AND(Input_Product=Elig!$C130,Elig_MatchAll_Ct&lt;22,$BC130=(Elig_MatchAll_Ct-1),BA130=0),AE130,0)</f>
        <v>0</v>
      </c>
    </row>
    <row r="131" spans="1:88" ht="10.15" customHeight="1" x14ac:dyDescent="0.25">
      <c r="A131" s="1419" t="s">
        <v>76</v>
      </c>
      <c r="B131" s="1419" t="s">
        <v>826</v>
      </c>
      <c r="C131" s="116" t="str">
        <f t="shared" si="30"/>
        <v>NonQM OO</v>
      </c>
      <c r="D131" s="117" t="s">
        <v>1995</v>
      </c>
      <c r="E131" s="117" t="s">
        <v>166</v>
      </c>
      <c r="F131" s="117" t="s">
        <v>330</v>
      </c>
      <c r="G131" s="117" t="s">
        <v>303</v>
      </c>
      <c r="H131" s="117" t="s">
        <v>444</v>
      </c>
      <c r="I131" s="118" t="s">
        <v>16</v>
      </c>
      <c r="J131" s="118" t="s">
        <v>1130</v>
      </c>
      <c r="K131" s="118" t="s">
        <v>1398</v>
      </c>
      <c r="L131" s="117" t="s">
        <v>2025</v>
      </c>
      <c r="M131" s="117" t="s">
        <v>2289</v>
      </c>
      <c r="N131" s="117" t="s">
        <v>82</v>
      </c>
      <c r="O131" s="117" t="s">
        <v>309</v>
      </c>
      <c r="P131" s="117" t="s">
        <v>2433</v>
      </c>
      <c r="Q131" s="117" t="s">
        <v>293</v>
      </c>
      <c r="R131" s="117">
        <v>1500000.01</v>
      </c>
      <c r="S131" s="117">
        <v>2000000</v>
      </c>
      <c r="T131" s="117">
        <v>0</v>
      </c>
      <c r="U131" s="117">
        <f t="shared" si="48"/>
        <v>2000000</v>
      </c>
      <c r="V131" s="117">
        <v>0</v>
      </c>
      <c r="W131" s="117">
        <v>55</v>
      </c>
      <c r="X131" s="117">
        <v>0</v>
      </c>
      <c r="Y131" s="117">
        <v>999</v>
      </c>
      <c r="Z131" s="119">
        <v>680</v>
      </c>
      <c r="AA131" s="119">
        <v>699</v>
      </c>
      <c r="AB131" s="1877">
        <v>0</v>
      </c>
      <c r="AC131" s="119">
        <v>999999</v>
      </c>
      <c r="AD131" s="117">
        <v>0</v>
      </c>
      <c r="AE131" s="117">
        <v>70</v>
      </c>
      <c r="AF131" s="144">
        <v>0</v>
      </c>
      <c r="AG131" s="145">
        <v>1</v>
      </c>
      <c r="AH131" s="145">
        <v>1</v>
      </c>
      <c r="AI131" s="145">
        <v>0</v>
      </c>
      <c r="AJ131" s="145">
        <v>0</v>
      </c>
      <c r="AK131" s="145">
        <v>0</v>
      </c>
      <c r="AL131" s="145">
        <v>0</v>
      </c>
      <c r="AM131" s="145">
        <v>1</v>
      </c>
      <c r="AN131" s="145">
        <v>1</v>
      </c>
      <c r="AO131" s="145">
        <v>1</v>
      </c>
      <c r="AP131" s="145">
        <v>1</v>
      </c>
      <c r="AQ131" s="145">
        <v>0</v>
      </c>
      <c r="AR131" s="145">
        <v>1</v>
      </c>
      <c r="AS131" s="145">
        <v>1</v>
      </c>
      <c r="AT131" s="145">
        <v>1</v>
      </c>
      <c r="AU131" s="145">
        <f t="shared" si="37"/>
        <v>0</v>
      </c>
      <c r="AV131" s="145">
        <f t="shared" si="38"/>
        <v>1</v>
      </c>
      <c r="AW131" s="145">
        <f t="shared" si="39"/>
        <v>1</v>
      </c>
      <c r="AX131" s="145">
        <f t="shared" ref="AX131:AX191" si="49">IF(AND(Input_DSCR&gt;=Elig_DSCR_Min,Input_DSCR&lt;=Elig_DSCR_Max),1,0)</f>
        <v>1</v>
      </c>
      <c r="AY131" s="145">
        <f t="shared" si="40"/>
        <v>0</v>
      </c>
      <c r="AZ131" s="145">
        <f t="shared" si="41"/>
        <v>1</v>
      </c>
      <c r="BA131" s="146">
        <f t="shared" si="42"/>
        <v>1</v>
      </c>
      <c r="BB131" s="149">
        <f t="shared" si="43"/>
        <v>14</v>
      </c>
      <c r="BC131" s="150">
        <f t="shared" si="44"/>
        <v>13</v>
      </c>
      <c r="BD131" s="150">
        <f t="shared" si="45"/>
        <v>14</v>
      </c>
      <c r="BE131" s="211" t="str">
        <f t="shared" si="46"/>
        <v/>
      </c>
      <c r="BH131" s="172">
        <f>IF(AND(Input_Product=Elig!$C131,Elig_MatchAll_Ct&lt;22,$BC131=(Elig_MatchAll_Ct-1),AF131=0),C131,0)</f>
        <v>0</v>
      </c>
      <c r="BI131" s="173">
        <f>IF(AND(Input_Product=Elig!$C131,Elig_MatchAll_Ct&lt;22,$BC131=(Elig_MatchAll_Ct-1),AG131=0),D131,0)</f>
        <v>0</v>
      </c>
      <c r="BJ131" s="173">
        <f>IF(AND(Input_Product=Elig!$C131,Elig_MatchAll_Ct&lt;22,$BC131=(Elig_MatchAll_Ct-1),AH131=0),E131,0)</f>
        <v>0</v>
      </c>
      <c r="BK131" s="173">
        <f>IF(AND(Input_Product=Elig!$C131,Elig_MatchAll_Ct&lt;22,$BC131=(Elig_MatchAll_Ct-1),AI131=0),F131,0)</f>
        <v>0</v>
      </c>
      <c r="BL131" s="173">
        <f>IF(AND(Input_Product=Elig!$C131,Elig_MatchAll_Ct&lt;22,$BC131=(Elig_MatchAll_Ct-1),AJ131=0),G131,0)</f>
        <v>0</v>
      </c>
      <c r="BM131" s="173">
        <f>IF(AND(Input_Product=Elig!$C131,Elig_MatchAll_Ct&lt;22,$BC131=(Elig_MatchAll_Ct-1),AK131=0),H131,0)</f>
        <v>0</v>
      </c>
      <c r="BN131" s="173">
        <f>IF(AND(Input_Product=Elig!$C131,Elig_MatchAll_Ct&lt;22,$BC131=(Elig_MatchAll_Ct-1),AL131=0),I131,0)</f>
        <v>0</v>
      </c>
      <c r="BO131" s="173">
        <f>IF(AND(Input_Product=Elig!$C131,Elig_MatchAll_Ct&lt;22,$BC131=(Elig_MatchAll_Ct-1),AM131=0),J131,0)</f>
        <v>0</v>
      </c>
      <c r="BP131" s="173">
        <f>IF(AND(Input_Product=Elig!$C131,Elig_MatchAll_Ct&lt;22,$BC131=(Elig_MatchAll_Ct-1),AN131=0),K131,0)</f>
        <v>0</v>
      </c>
      <c r="BQ131" s="173">
        <f>IF(AND(Input_Product=Elig!$C131,Elig_MatchAll_Ct&lt;22,$BC131=(Elig_MatchAll_Ct-1),AP131=0),L131,0)</f>
        <v>0</v>
      </c>
      <c r="BR131" s="173">
        <f>IF(AND(Input_Product=Elig!$C131,Elig_MatchAll_Ct&lt;22,$BC131=(Elig_MatchAll_Ct-1),AO131=0),M131,0)</f>
        <v>0</v>
      </c>
      <c r="BS131" s="173">
        <f>IF(AND(Input_Product=Elig!$C131,Elig_MatchAll_Ct&lt;22,$BC131=(Elig_MatchAll_Ct-1),AQ131=0),N131,0)</f>
        <v>0</v>
      </c>
      <c r="BT131" s="173">
        <f>IF(AND(Input_Product=Elig!$C131,Elig_MatchAll_Ct&lt;22,$BC131=(Elig_MatchAll_Ct-1),AR131=0),O131,0)</f>
        <v>0</v>
      </c>
      <c r="BU131" s="173">
        <f>IF(AND(Input_Product=Elig!$C131,Elig_MatchAll_Ct&lt;22,$BC131=(Elig_MatchAll_Ct-1),AS131=0),P131,0)</f>
        <v>0</v>
      </c>
      <c r="BV131" s="174">
        <f>IF(AND(Input_Product=Elig!$C131,Elig_MatchAll_Ct&lt;22,$BC131=(Elig_MatchAll_Ct-1),AT131=0),Q131,0)</f>
        <v>0</v>
      </c>
      <c r="BW131" s="175">
        <f>IF(AND(Input_Product=Elig!$C131,Elig_MatchAll_Ct&lt;22,$BC131=(Elig_MatchAll_Ct-1),AU131=0),R131,0)</f>
        <v>0</v>
      </c>
      <c r="BX131" s="176">
        <f>IF(AND(Input_Product=Elig!$C131,Elig_MatchAll_Ct&lt;22,$BC131=(Elig_MatchAll_Ct-1),AU131=0),S131,0)</f>
        <v>0</v>
      </c>
      <c r="BY131" s="175">
        <f>IF(AND(Input_Product=Elig!$C131,Elig_MatchAll_Ct&lt;22,$BC131=(Elig_MatchAll_Ct-1),AV131=0),T131,0)</f>
        <v>0</v>
      </c>
      <c r="BZ131" s="176">
        <f>IF(AND(Input_Product=Elig!$C131,Elig_MatchAll_Ct&lt;22,$BC131=(Elig_MatchAll_Ct-1),AV131=0),U131,0)</f>
        <v>0</v>
      </c>
      <c r="CA131" s="175">
        <f>IF(AND(Input_Product=Elig!$C131,Elig_MatchAll_Ct&lt;22,$BC131=(Elig_MatchAll_Ct-1),AW131=0),V131,0)</f>
        <v>0</v>
      </c>
      <c r="CB131" s="176">
        <f>IF(AND(Input_Product=Elig!$C131,Elig_MatchAll_Ct&lt;22,$BC131=(Elig_MatchAll_Ct-1),AW131=0),W131,0)</f>
        <v>0</v>
      </c>
      <c r="CC131" s="175">
        <f>IF(AND(Input_Product=Elig!$C131,Elig_MatchAll_Ct&lt;22,$BC131=(Elig_MatchAll_Ct-1),AX131=0),X131,0)</f>
        <v>0</v>
      </c>
      <c r="CD131" s="176">
        <f>IF(AND(Input_Product=Elig!$C131,Elig_MatchAll_Ct&lt;22,$BC131=(Elig_MatchAll_Ct-1),AX131=0),Y131,0)</f>
        <v>0</v>
      </c>
      <c r="CE131" s="175">
        <f>IF(AND(Input_LTV&lt;=AE131,Input_Product=Elig!$C131,Elig_MatchAll_Ct&lt;22,$BC131=(Elig_MatchAll_Ct-1),AY131=0),Z131,0)</f>
        <v>0</v>
      </c>
      <c r="CF131" s="176">
        <f>IF(AND(Input_LTV&lt;=AE131,Input_Product=Elig!$C131,Elig_MatchAll_Ct&lt;22,$BC131=(Elig_MatchAll_Ct-1),AY131=0),AA131,0)</f>
        <v>0</v>
      </c>
      <c r="CG131" s="175">
        <f>IF(AND(Input_Product=Elig!$C131,Elig_MatchAll_Ct&lt;22,$BC131=(Elig_MatchAll_Ct-1),AZ131=0),AB131,0)</f>
        <v>0</v>
      </c>
      <c r="CH131" s="176">
        <f>IF(AND(Input_Product=Elig!$C131,Elig_MatchAll_Ct&lt;22,$BC131=(Elig_MatchAll_Ct-1),AZ131=0),AC131,0)</f>
        <v>0</v>
      </c>
      <c r="CI131" s="175">
        <f>IF(AND(Input_Product=Elig!$C131,Elig_MatchAll_Ct&lt;22,$BC131=(Elig_MatchAll_Ct-1),BA131=0),AD131,0)</f>
        <v>0</v>
      </c>
      <c r="CJ131" s="177">
        <f>IF(AND(Input_Product=Elig!$C131,Elig_MatchAll_Ct&lt;22,$BC131=(Elig_MatchAll_Ct-1),BA131=0),AE131,0)</f>
        <v>0</v>
      </c>
    </row>
    <row r="132" spans="1:88" ht="10.15" customHeight="1" x14ac:dyDescent="0.25">
      <c r="A132" s="1419" t="s">
        <v>76</v>
      </c>
      <c r="B132" s="1419" t="s">
        <v>827</v>
      </c>
      <c r="C132" s="116" t="str">
        <f t="shared" si="30"/>
        <v>NonQM OO</v>
      </c>
      <c r="D132" s="117" t="s">
        <v>1995</v>
      </c>
      <c r="E132" s="117" t="s">
        <v>166</v>
      </c>
      <c r="F132" s="117" t="s">
        <v>330</v>
      </c>
      <c r="G132" s="117" t="s">
        <v>303</v>
      </c>
      <c r="H132" s="117" t="s">
        <v>444</v>
      </c>
      <c r="I132" s="117" t="s">
        <v>16</v>
      </c>
      <c r="J132" s="117" t="s">
        <v>1130</v>
      </c>
      <c r="K132" s="117" t="s">
        <v>1398</v>
      </c>
      <c r="L132" s="117" t="s">
        <v>2025</v>
      </c>
      <c r="M132" s="117" t="s">
        <v>2289</v>
      </c>
      <c r="N132" s="117" t="s">
        <v>82</v>
      </c>
      <c r="O132" s="117" t="s">
        <v>309</v>
      </c>
      <c r="P132" s="117" t="s">
        <v>2433</v>
      </c>
      <c r="Q132" s="117" t="s">
        <v>293</v>
      </c>
      <c r="R132" s="117">
        <v>1500000.01</v>
      </c>
      <c r="S132" s="117">
        <v>2000000</v>
      </c>
      <c r="T132" s="117">
        <v>0</v>
      </c>
      <c r="U132" s="117">
        <f t="shared" si="48"/>
        <v>2000000</v>
      </c>
      <c r="V132" s="117">
        <v>0</v>
      </c>
      <c r="W132" s="117">
        <v>55</v>
      </c>
      <c r="X132" s="117">
        <v>0</v>
      </c>
      <c r="Y132" s="117">
        <v>999</v>
      </c>
      <c r="Z132" s="119">
        <v>660</v>
      </c>
      <c r="AA132" s="119">
        <v>679</v>
      </c>
      <c r="AB132" s="1877">
        <v>0</v>
      </c>
      <c r="AC132" s="119">
        <v>999999</v>
      </c>
      <c r="AD132" s="117">
        <v>0</v>
      </c>
      <c r="AE132" s="117">
        <v>65</v>
      </c>
      <c r="AF132" s="144">
        <v>0</v>
      </c>
      <c r="AG132" s="145">
        <v>1</v>
      </c>
      <c r="AH132" s="145">
        <v>1</v>
      </c>
      <c r="AI132" s="145">
        <v>0</v>
      </c>
      <c r="AJ132" s="145">
        <v>0</v>
      </c>
      <c r="AK132" s="145">
        <v>0</v>
      </c>
      <c r="AL132" s="145">
        <v>0</v>
      </c>
      <c r="AM132" s="145">
        <v>1</v>
      </c>
      <c r="AN132" s="145">
        <v>1</v>
      </c>
      <c r="AO132" s="145">
        <v>1</v>
      </c>
      <c r="AP132" s="145">
        <v>1</v>
      </c>
      <c r="AQ132" s="145">
        <v>0</v>
      </c>
      <c r="AR132" s="145">
        <v>1</v>
      </c>
      <c r="AS132" s="145">
        <v>1</v>
      </c>
      <c r="AT132" s="145">
        <v>1</v>
      </c>
      <c r="AU132" s="145">
        <f t="shared" si="37"/>
        <v>0</v>
      </c>
      <c r="AV132" s="145">
        <f t="shared" si="38"/>
        <v>1</v>
      </c>
      <c r="AW132" s="145">
        <f t="shared" si="39"/>
        <v>1</v>
      </c>
      <c r="AX132" s="145">
        <f t="shared" si="49"/>
        <v>1</v>
      </c>
      <c r="AY132" s="145">
        <f t="shared" si="40"/>
        <v>0</v>
      </c>
      <c r="AZ132" s="145">
        <f t="shared" si="41"/>
        <v>1</v>
      </c>
      <c r="BA132" s="146">
        <f t="shared" si="42"/>
        <v>0</v>
      </c>
      <c r="BB132" s="149">
        <f t="shared" si="43"/>
        <v>13</v>
      </c>
      <c r="BC132" s="150">
        <f t="shared" si="44"/>
        <v>13</v>
      </c>
      <c r="BD132" s="150">
        <f t="shared" si="45"/>
        <v>13</v>
      </c>
      <c r="BE132" s="211" t="str">
        <f t="shared" si="46"/>
        <v/>
      </c>
      <c r="BH132" s="172">
        <f>IF(AND(Input_Product=Elig!$C132,Elig_MatchAll_Ct&lt;22,$BC132=(Elig_MatchAll_Ct-1),AF132=0),C132,0)</f>
        <v>0</v>
      </c>
      <c r="BI132" s="173">
        <f>IF(AND(Input_Product=Elig!$C132,Elig_MatchAll_Ct&lt;22,$BC132=(Elig_MatchAll_Ct-1),AG132=0),D132,0)</f>
        <v>0</v>
      </c>
      <c r="BJ132" s="173">
        <f>IF(AND(Input_Product=Elig!$C132,Elig_MatchAll_Ct&lt;22,$BC132=(Elig_MatchAll_Ct-1),AH132=0),E132,0)</f>
        <v>0</v>
      </c>
      <c r="BK132" s="173">
        <f>IF(AND(Input_Product=Elig!$C132,Elig_MatchAll_Ct&lt;22,$BC132=(Elig_MatchAll_Ct-1),AI132=0),F132,0)</f>
        <v>0</v>
      </c>
      <c r="BL132" s="173">
        <f>IF(AND(Input_Product=Elig!$C132,Elig_MatchAll_Ct&lt;22,$BC132=(Elig_MatchAll_Ct-1),AJ132=0),G132,0)</f>
        <v>0</v>
      </c>
      <c r="BM132" s="173">
        <f>IF(AND(Input_Product=Elig!$C132,Elig_MatchAll_Ct&lt;22,$BC132=(Elig_MatchAll_Ct-1),AK132=0),H132,0)</f>
        <v>0</v>
      </c>
      <c r="BN132" s="173">
        <f>IF(AND(Input_Product=Elig!$C132,Elig_MatchAll_Ct&lt;22,$BC132=(Elig_MatchAll_Ct-1),AL132=0),I132,0)</f>
        <v>0</v>
      </c>
      <c r="BO132" s="173">
        <f>IF(AND(Input_Product=Elig!$C132,Elig_MatchAll_Ct&lt;22,$BC132=(Elig_MatchAll_Ct-1),AM132=0),J132,0)</f>
        <v>0</v>
      </c>
      <c r="BP132" s="173">
        <f>IF(AND(Input_Product=Elig!$C132,Elig_MatchAll_Ct&lt;22,$BC132=(Elig_MatchAll_Ct-1),AN132=0),K132,0)</f>
        <v>0</v>
      </c>
      <c r="BQ132" s="173">
        <f>IF(AND(Input_Product=Elig!$C132,Elig_MatchAll_Ct&lt;22,$BC132=(Elig_MatchAll_Ct-1),AP132=0),L132,0)</f>
        <v>0</v>
      </c>
      <c r="BR132" s="173">
        <f>IF(AND(Input_Product=Elig!$C132,Elig_MatchAll_Ct&lt;22,$BC132=(Elig_MatchAll_Ct-1),AO132=0),M132,0)</f>
        <v>0</v>
      </c>
      <c r="BS132" s="173">
        <f>IF(AND(Input_Product=Elig!$C132,Elig_MatchAll_Ct&lt;22,$BC132=(Elig_MatchAll_Ct-1),AQ132=0),N132,0)</f>
        <v>0</v>
      </c>
      <c r="BT132" s="173">
        <f>IF(AND(Input_Product=Elig!$C132,Elig_MatchAll_Ct&lt;22,$BC132=(Elig_MatchAll_Ct-1),AR132=0),O132,0)</f>
        <v>0</v>
      </c>
      <c r="BU132" s="173">
        <f>IF(AND(Input_Product=Elig!$C132,Elig_MatchAll_Ct&lt;22,$BC132=(Elig_MatchAll_Ct-1),AS132=0),P132,0)</f>
        <v>0</v>
      </c>
      <c r="BV132" s="174">
        <f>IF(AND(Input_Product=Elig!$C132,Elig_MatchAll_Ct&lt;22,$BC132=(Elig_MatchAll_Ct-1),AT132=0),Q132,0)</f>
        <v>0</v>
      </c>
      <c r="BW132" s="175">
        <f>IF(AND(Input_Product=Elig!$C132,Elig_MatchAll_Ct&lt;22,$BC132=(Elig_MatchAll_Ct-1),AU132=0),R132,0)</f>
        <v>0</v>
      </c>
      <c r="BX132" s="176">
        <f>IF(AND(Input_Product=Elig!$C132,Elig_MatchAll_Ct&lt;22,$BC132=(Elig_MatchAll_Ct-1),AU132=0),S132,0)</f>
        <v>0</v>
      </c>
      <c r="BY132" s="175">
        <f>IF(AND(Input_Product=Elig!$C132,Elig_MatchAll_Ct&lt;22,$BC132=(Elig_MatchAll_Ct-1),AV132=0),T132,0)</f>
        <v>0</v>
      </c>
      <c r="BZ132" s="176">
        <f>IF(AND(Input_Product=Elig!$C132,Elig_MatchAll_Ct&lt;22,$BC132=(Elig_MatchAll_Ct-1),AV132=0),U132,0)</f>
        <v>0</v>
      </c>
      <c r="CA132" s="175">
        <f>IF(AND(Input_Product=Elig!$C132,Elig_MatchAll_Ct&lt;22,$BC132=(Elig_MatchAll_Ct-1),AW132=0),V132,0)</f>
        <v>0</v>
      </c>
      <c r="CB132" s="176">
        <f>IF(AND(Input_Product=Elig!$C132,Elig_MatchAll_Ct&lt;22,$BC132=(Elig_MatchAll_Ct-1),AW132=0),W132,0)</f>
        <v>0</v>
      </c>
      <c r="CC132" s="175">
        <f>IF(AND(Input_Product=Elig!$C132,Elig_MatchAll_Ct&lt;22,$BC132=(Elig_MatchAll_Ct-1),AX132=0),X132,0)</f>
        <v>0</v>
      </c>
      <c r="CD132" s="176">
        <f>IF(AND(Input_Product=Elig!$C132,Elig_MatchAll_Ct&lt;22,$BC132=(Elig_MatchAll_Ct-1),AX132=0),Y132,0)</f>
        <v>0</v>
      </c>
      <c r="CE132" s="175">
        <f>IF(AND(Input_LTV&lt;=AE132,Input_Product=Elig!$C132,Elig_MatchAll_Ct&lt;22,$BC132=(Elig_MatchAll_Ct-1),AY132=0),Z132,0)</f>
        <v>0</v>
      </c>
      <c r="CF132" s="176">
        <f>IF(AND(Input_LTV&lt;=AE132,Input_Product=Elig!$C132,Elig_MatchAll_Ct&lt;22,$BC132=(Elig_MatchAll_Ct-1),AY132=0),AA132,0)</f>
        <v>0</v>
      </c>
      <c r="CG132" s="175">
        <f>IF(AND(Input_Product=Elig!$C132,Elig_MatchAll_Ct&lt;22,$BC132=(Elig_MatchAll_Ct-1),AZ132=0),AB132,0)</f>
        <v>0</v>
      </c>
      <c r="CH132" s="176">
        <f>IF(AND(Input_Product=Elig!$C132,Elig_MatchAll_Ct&lt;22,$BC132=(Elig_MatchAll_Ct-1),AZ132=0),AC132,0)</f>
        <v>0</v>
      </c>
      <c r="CI132" s="175">
        <f>IF(AND(Input_Product=Elig!$C132,Elig_MatchAll_Ct&lt;22,$BC132=(Elig_MatchAll_Ct-1),BA132=0),AD132,0)</f>
        <v>0</v>
      </c>
      <c r="CJ132" s="177">
        <f>IF(AND(Input_Product=Elig!$C132,Elig_MatchAll_Ct&lt;22,$BC132=(Elig_MatchAll_Ct-1),BA132=0),AE132,0)</f>
        <v>0</v>
      </c>
    </row>
    <row r="133" spans="1:88" ht="10.15" customHeight="1" x14ac:dyDescent="0.25">
      <c r="A133" s="1419" t="s">
        <v>76</v>
      </c>
      <c r="B133" s="1419" t="s">
        <v>828</v>
      </c>
      <c r="C133" s="123" t="str">
        <f t="shared" si="30"/>
        <v>NonQM OO</v>
      </c>
      <c r="D133" s="124" t="s">
        <v>1995</v>
      </c>
      <c r="E133" s="125" t="s">
        <v>166</v>
      </c>
      <c r="F133" s="125" t="s">
        <v>330</v>
      </c>
      <c r="G133" s="125" t="s">
        <v>465</v>
      </c>
      <c r="H133" s="125" t="s">
        <v>135</v>
      </c>
      <c r="I133" s="124" t="s">
        <v>273</v>
      </c>
      <c r="J133" s="124" t="s">
        <v>1130</v>
      </c>
      <c r="K133" s="124" t="s">
        <v>1398</v>
      </c>
      <c r="L133" s="125" t="s">
        <v>2025</v>
      </c>
      <c r="M133" s="125" t="s">
        <v>2289</v>
      </c>
      <c r="N133" s="125" t="s">
        <v>82</v>
      </c>
      <c r="O133" s="125" t="s">
        <v>309</v>
      </c>
      <c r="P133" s="125" t="s">
        <v>2433</v>
      </c>
      <c r="Q133" s="125" t="s">
        <v>293</v>
      </c>
      <c r="R133" s="124">
        <v>1500000.01</v>
      </c>
      <c r="S133" s="124">
        <v>2000000</v>
      </c>
      <c r="T133" s="124">
        <v>0</v>
      </c>
      <c r="U133" s="124">
        <v>0</v>
      </c>
      <c r="V133" s="124">
        <v>0</v>
      </c>
      <c r="W133" s="124">
        <v>55</v>
      </c>
      <c r="X133" s="124">
        <v>0</v>
      </c>
      <c r="Y133" s="124">
        <v>999</v>
      </c>
      <c r="Z133" s="126">
        <v>720</v>
      </c>
      <c r="AA133" s="126">
        <v>999</v>
      </c>
      <c r="AB133" s="1879">
        <v>0</v>
      </c>
      <c r="AC133" s="126">
        <v>999999</v>
      </c>
      <c r="AD133" s="124">
        <v>0</v>
      </c>
      <c r="AE133" s="124">
        <v>90</v>
      </c>
      <c r="AF133" s="144">
        <v>0</v>
      </c>
      <c r="AG133" s="145">
        <v>1</v>
      </c>
      <c r="AH133" s="145">
        <v>1</v>
      </c>
      <c r="AI133" s="145">
        <v>0</v>
      </c>
      <c r="AJ133" s="145">
        <v>0</v>
      </c>
      <c r="AK133" s="145">
        <v>1</v>
      </c>
      <c r="AL133" s="145">
        <v>1</v>
      </c>
      <c r="AM133" s="145">
        <v>1</v>
      </c>
      <c r="AN133" s="145">
        <v>1</v>
      </c>
      <c r="AO133" s="145">
        <v>1</v>
      </c>
      <c r="AP133" s="145">
        <v>1</v>
      </c>
      <c r="AQ133" s="145">
        <v>0</v>
      </c>
      <c r="AR133" s="145">
        <v>1</v>
      </c>
      <c r="AS133" s="145">
        <v>1</v>
      </c>
      <c r="AT133" s="145">
        <v>1</v>
      </c>
      <c r="AU133" s="145">
        <f t="shared" si="37"/>
        <v>0</v>
      </c>
      <c r="AV133" s="145">
        <f t="shared" si="38"/>
        <v>1</v>
      </c>
      <c r="AW133" s="145">
        <f t="shared" si="39"/>
        <v>1</v>
      </c>
      <c r="AX133" s="145">
        <f t="shared" si="49"/>
        <v>1</v>
      </c>
      <c r="AY133" s="145">
        <f t="shared" si="40"/>
        <v>1</v>
      </c>
      <c r="AZ133" s="145">
        <f t="shared" si="41"/>
        <v>1</v>
      </c>
      <c r="BA133" s="146">
        <f t="shared" si="42"/>
        <v>1</v>
      </c>
      <c r="BB133" s="149">
        <f t="shared" si="43"/>
        <v>17</v>
      </c>
      <c r="BC133" s="150">
        <f t="shared" si="44"/>
        <v>16</v>
      </c>
      <c r="BD133" s="150">
        <f t="shared" si="45"/>
        <v>17</v>
      </c>
      <c r="BE133" s="211" t="str">
        <f t="shared" si="46"/>
        <v/>
      </c>
      <c r="BH133" s="166">
        <f>IF(AND(Input_Product=Elig!$C133,Elig_MatchAll_Ct&lt;22,$BC133=(Elig_MatchAll_Ct-1),AF133=0),C133,0)</f>
        <v>0</v>
      </c>
      <c r="BI133" s="167">
        <f>IF(AND(Input_Product=Elig!$C133,Elig_MatchAll_Ct&lt;22,$BC133=(Elig_MatchAll_Ct-1),AG133=0),D133,0)</f>
        <v>0</v>
      </c>
      <c r="BJ133" s="167">
        <f>IF(AND(Input_Product=Elig!$C133,Elig_MatchAll_Ct&lt;22,$BC133=(Elig_MatchAll_Ct-1),AH133=0),E133,0)</f>
        <v>0</v>
      </c>
      <c r="BK133" s="167">
        <f>IF(AND(Input_Product=Elig!$C133,Elig_MatchAll_Ct&lt;22,$BC133=(Elig_MatchAll_Ct-1),AI133=0),F133,0)</f>
        <v>0</v>
      </c>
      <c r="BL133" s="167">
        <f>IF(AND(Input_Product=Elig!$C133,Elig_MatchAll_Ct&lt;22,$BC133=(Elig_MatchAll_Ct-1),AJ133=0),G133,0)</f>
        <v>0</v>
      </c>
      <c r="BM133" s="167">
        <f>IF(AND(Input_Product=Elig!$C133,Elig_MatchAll_Ct&lt;22,$BC133=(Elig_MatchAll_Ct-1),AK133=0),H133,0)</f>
        <v>0</v>
      </c>
      <c r="BN133" s="167">
        <f>IF(AND(Input_Product=Elig!$C133,Elig_MatchAll_Ct&lt;22,$BC133=(Elig_MatchAll_Ct-1),AL133=0),I133,0)</f>
        <v>0</v>
      </c>
      <c r="BO133" s="167">
        <f>IF(AND(Input_Product=Elig!$C133,Elig_MatchAll_Ct&lt;22,$BC133=(Elig_MatchAll_Ct-1),AM133=0),J133,0)</f>
        <v>0</v>
      </c>
      <c r="BP133" s="167">
        <f>IF(AND(Input_Product=Elig!$C133,Elig_MatchAll_Ct&lt;22,$BC133=(Elig_MatchAll_Ct-1),AN133=0),K133,0)</f>
        <v>0</v>
      </c>
      <c r="BQ133" s="167">
        <f>IF(AND(Input_Product=Elig!$C133,Elig_MatchAll_Ct&lt;22,$BC133=(Elig_MatchAll_Ct-1),AP133=0),L133,0)</f>
        <v>0</v>
      </c>
      <c r="BR133" s="167">
        <f>IF(AND(Input_Product=Elig!$C133,Elig_MatchAll_Ct&lt;22,$BC133=(Elig_MatchAll_Ct-1),AO133=0),M133,0)</f>
        <v>0</v>
      </c>
      <c r="BS133" s="167">
        <f>IF(AND(Input_Product=Elig!$C133,Elig_MatchAll_Ct&lt;22,$BC133=(Elig_MatchAll_Ct-1),AQ133=0),N133,0)</f>
        <v>0</v>
      </c>
      <c r="BT133" s="167">
        <f>IF(AND(Input_Product=Elig!$C133,Elig_MatchAll_Ct&lt;22,$BC133=(Elig_MatchAll_Ct-1),AR133=0),O133,0)</f>
        <v>0</v>
      </c>
      <c r="BU133" s="167">
        <f>IF(AND(Input_Product=Elig!$C133,Elig_MatchAll_Ct&lt;22,$BC133=(Elig_MatchAll_Ct-1),AS133=0),P133,0)</f>
        <v>0</v>
      </c>
      <c r="BV133" s="168">
        <f>IF(AND(Input_Product=Elig!$C133,Elig_MatchAll_Ct&lt;22,$BC133=(Elig_MatchAll_Ct-1),AT133=0),Q133,0)</f>
        <v>0</v>
      </c>
      <c r="BW133" s="169">
        <f>IF(AND(Input_Product=Elig!$C133,Elig_MatchAll_Ct&lt;22,$BC133=(Elig_MatchAll_Ct-1),AU133=0),R133,0)</f>
        <v>0</v>
      </c>
      <c r="BX133" s="170">
        <f>IF(AND(Input_Product=Elig!$C133,Elig_MatchAll_Ct&lt;22,$BC133=(Elig_MatchAll_Ct-1),AU133=0),S133,0)</f>
        <v>0</v>
      </c>
      <c r="BY133" s="169">
        <f>IF(AND(Input_Product=Elig!$C133,Elig_MatchAll_Ct&lt;22,$BC133=(Elig_MatchAll_Ct-1),AV133=0),T133,0)</f>
        <v>0</v>
      </c>
      <c r="BZ133" s="170">
        <f>IF(AND(Input_Product=Elig!$C133,Elig_MatchAll_Ct&lt;22,$BC133=(Elig_MatchAll_Ct-1),AV133=0),U133,0)</f>
        <v>0</v>
      </c>
      <c r="CA133" s="169">
        <f>IF(AND(Input_Product=Elig!$C133,Elig_MatchAll_Ct&lt;22,$BC133=(Elig_MatchAll_Ct-1),AW133=0),V133,0)</f>
        <v>0</v>
      </c>
      <c r="CB133" s="170">
        <f>IF(AND(Input_Product=Elig!$C133,Elig_MatchAll_Ct&lt;22,$BC133=(Elig_MatchAll_Ct-1),AW133=0),W133,0)</f>
        <v>0</v>
      </c>
      <c r="CC133" s="169">
        <f>IF(AND(Input_Product=Elig!$C133,Elig_MatchAll_Ct&lt;22,$BC133=(Elig_MatchAll_Ct-1),AX133=0),X133,0)</f>
        <v>0</v>
      </c>
      <c r="CD133" s="170">
        <f>IF(AND(Input_Product=Elig!$C133,Elig_MatchAll_Ct&lt;22,$BC133=(Elig_MatchAll_Ct-1),AX133=0),Y133,0)</f>
        <v>0</v>
      </c>
      <c r="CE133" s="169">
        <f>IF(AND(Input_LTV&lt;=AE133,Input_Product=Elig!$C133,Elig_MatchAll_Ct&lt;22,$BC133=(Elig_MatchAll_Ct-1),AY133=0),Z133,0)</f>
        <v>0</v>
      </c>
      <c r="CF133" s="170">
        <f>IF(AND(Input_LTV&lt;=AE133,Input_Product=Elig!$C133,Elig_MatchAll_Ct&lt;22,$BC133=(Elig_MatchAll_Ct-1),AY133=0),AA133,0)</f>
        <v>0</v>
      </c>
      <c r="CG133" s="169">
        <f>IF(AND(Input_Product=Elig!$C133,Elig_MatchAll_Ct&lt;22,$BC133=(Elig_MatchAll_Ct-1),AZ133=0),AB133,0)</f>
        <v>0</v>
      </c>
      <c r="CH133" s="170">
        <f>IF(AND(Input_Product=Elig!$C133,Elig_MatchAll_Ct&lt;22,$BC133=(Elig_MatchAll_Ct-1),AZ133=0),AC133,0)</f>
        <v>0</v>
      </c>
      <c r="CI133" s="169">
        <f>IF(AND(Input_Product=Elig!$C133,Elig_MatchAll_Ct&lt;22,$BC133=(Elig_MatchAll_Ct-1),BA133=0),AD133,0)</f>
        <v>0</v>
      </c>
      <c r="CJ133" s="171">
        <f>IF(AND(Input_Product=Elig!$C133,Elig_MatchAll_Ct&lt;22,$BC133=(Elig_MatchAll_Ct-1),BA133=0),AE133,0)</f>
        <v>0</v>
      </c>
    </row>
    <row r="134" spans="1:88" ht="10.15" customHeight="1" x14ac:dyDescent="0.25">
      <c r="A134" s="1419" t="s">
        <v>76</v>
      </c>
      <c r="B134" s="1419" t="s">
        <v>829</v>
      </c>
      <c r="C134" s="116" t="str">
        <f t="shared" si="30"/>
        <v>NonQM OO</v>
      </c>
      <c r="D134" s="117" t="s">
        <v>1995</v>
      </c>
      <c r="E134" s="117" t="s">
        <v>166</v>
      </c>
      <c r="F134" s="117" t="s">
        <v>330</v>
      </c>
      <c r="G134" s="117" t="s">
        <v>465</v>
      </c>
      <c r="H134" s="117" t="s">
        <v>135</v>
      </c>
      <c r="I134" s="118" t="s">
        <v>273</v>
      </c>
      <c r="J134" s="118" t="s">
        <v>1130</v>
      </c>
      <c r="K134" s="118" t="s">
        <v>1398</v>
      </c>
      <c r="L134" s="117" t="s">
        <v>2025</v>
      </c>
      <c r="M134" s="117" t="s">
        <v>2289</v>
      </c>
      <c r="N134" s="117" t="s">
        <v>82</v>
      </c>
      <c r="O134" s="117" t="s">
        <v>309</v>
      </c>
      <c r="P134" s="117" t="s">
        <v>2433</v>
      </c>
      <c r="Q134" s="117" t="s">
        <v>293</v>
      </c>
      <c r="R134" s="117">
        <v>1500000.01</v>
      </c>
      <c r="S134" s="117">
        <v>2000000</v>
      </c>
      <c r="T134" s="117">
        <v>0</v>
      </c>
      <c r="U134" s="117">
        <v>0</v>
      </c>
      <c r="V134" s="117">
        <v>0</v>
      </c>
      <c r="W134" s="117">
        <v>55</v>
      </c>
      <c r="X134" s="117">
        <v>0</v>
      </c>
      <c r="Y134" s="117">
        <v>999</v>
      </c>
      <c r="Z134" s="119">
        <v>700</v>
      </c>
      <c r="AA134" s="119">
        <v>719</v>
      </c>
      <c r="AB134" s="1877">
        <v>0</v>
      </c>
      <c r="AC134" s="119">
        <v>999999</v>
      </c>
      <c r="AD134" s="117">
        <v>0</v>
      </c>
      <c r="AE134" s="117">
        <v>85</v>
      </c>
      <c r="AF134" s="144">
        <v>0</v>
      </c>
      <c r="AG134" s="145">
        <v>1</v>
      </c>
      <c r="AH134" s="145">
        <v>1</v>
      </c>
      <c r="AI134" s="145">
        <v>0</v>
      </c>
      <c r="AJ134" s="145">
        <v>0</v>
      </c>
      <c r="AK134" s="145">
        <v>1</v>
      </c>
      <c r="AL134" s="145">
        <v>1</v>
      </c>
      <c r="AM134" s="145">
        <v>1</v>
      </c>
      <c r="AN134" s="145">
        <v>1</v>
      </c>
      <c r="AO134" s="145">
        <v>1</v>
      </c>
      <c r="AP134" s="145">
        <v>1</v>
      </c>
      <c r="AQ134" s="145">
        <v>0</v>
      </c>
      <c r="AR134" s="145">
        <v>1</v>
      </c>
      <c r="AS134" s="145">
        <v>1</v>
      </c>
      <c r="AT134" s="145">
        <v>1</v>
      </c>
      <c r="AU134" s="145">
        <f t="shared" si="37"/>
        <v>0</v>
      </c>
      <c r="AV134" s="145">
        <f t="shared" si="38"/>
        <v>1</v>
      </c>
      <c r="AW134" s="145">
        <f t="shared" si="39"/>
        <v>1</v>
      </c>
      <c r="AX134" s="145">
        <f t="shared" si="49"/>
        <v>1</v>
      </c>
      <c r="AY134" s="145">
        <f t="shared" si="40"/>
        <v>0</v>
      </c>
      <c r="AZ134" s="145">
        <f t="shared" si="41"/>
        <v>1</v>
      </c>
      <c r="BA134" s="146">
        <f t="shared" si="42"/>
        <v>1</v>
      </c>
      <c r="BB134" s="149">
        <f t="shared" si="43"/>
        <v>16</v>
      </c>
      <c r="BC134" s="150">
        <f t="shared" si="44"/>
        <v>15</v>
      </c>
      <c r="BD134" s="150">
        <f t="shared" si="45"/>
        <v>16</v>
      </c>
      <c r="BE134" s="211" t="str">
        <f t="shared" si="46"/>
        <v/>
      </c>
      <c r="BH134" s="172">
        <f>IF(AND(Input_Product=Elig!$C134,Elig_MatchAll_Ct&lt;22,$BC134=(Elig_MatchAll_Ct-1),AF134=0),C134,0)</f>
        <v>0</v>
      </c>
      <c r="BI134" s="173">
        <f>IF(AND(Input_Product=Elig!$C134,Elig_MatchAll_Ct&lt;22,$BC134=(Elig_MatchAll_Ct-1),AG134=0),D134,0)</f>
        <v>0</v>
      </c>
      <c r="BJ134" s="173">
        <f>IF(AND(Input_Product=Elig!$C134,Elig_MatchAll_Ct&lt;22,$BC134=(Elig_MatchAll_Ct-1),AH134=0),E134,0)</f>
        <v>0</v>
      </c>
      <c r="BK134" s="173">
        <f>IF(AND(Input_Product=Elig!$C134,Elig_MatchAll_Ct&lt;22,$BC134=(Elig_MatchAll_Ct-1),AI134=0),F134,0)</f>
        <v>0</v>
      </c>
      <c r="BL134" s="173">
        <f>IF(AND(Input_Product=Elig!$C134,Elig_MatchAll_Ct&lt;22,$BC134=(Elig_MatchAll_Ct-1),AJ134=0),G134,0)</f>
        <v>0</v>
      </c>
      <c r="BM134" s="173">
        <f>IF(AND(Input_Product=Elig!$C134,Elig_MatchAll_Ct&lt;22,$BC134=(Elig_MatchAll_Ct-1),AK134=0),H134,0)</f>
        <v>0</v>
      </c>
      <c r="BN134" s="173">
        <f>IF(AND(Input_Product=Elig!$C134,Elig_MatchAll_Ct&lt;22,$BC134=(Elig_MatchAll_Ct-1),AL134=0),I134,0)</f>
        <v>0</v>
      </c>
      <c r="BO134" s="173">
        <f>IF(AND(Input_Product=Elig!$C134,Elig_MatchAll_Ct&lt;22,$BC134=(Elig_MatchAll_Ct-1),AM134=0),J134,0)</f>
        <v>0</v>
      </c>
      <c r="BP134" s="173">
        <f>IF(AND(Input_Product=Elig!$C134,Elig_MatchAll_Ct&lt;22,$BC134=(Elig_MatchAll_Ct-1),AN134=0),K134,0)</f>
        <v>0</v>
      </c>
      <c r="BQ134" s="173">
        <f>IF(AND(Input_Product=Elig!$C134,Elig_MatchAll_Ct&lt;22,$BC134=(Elig_MatchAll_Ct-1),AP134=0),L134,0)</f>
        <v>0</v>
      </c>
      <c r="BR134" s="173">
        <f>IF(AND(Input_Product=Elig!$C134,Elig_MatchAll_Ct&lt;22,$BC134=(Elig_MatchAll_Ct-1),AO134=0),M134,0)</f>
        <v>0</v>
      </c>
      <c r="BS134" s="173">
        <f>IF(AND(Input_Product=Elig!$C134,Elig_MatchAll_Ct&lt;22,$BC134=(Elig_MatchAll_Ct-1),AQ134=0),N134,0)</f>
        <v>0</v>
      </c>
      <c r="BT134" s="173">
        <f>IF(AND(Input_Product=Elig!$C134,Elig_MatchAll_Ct&lt;22,$BC134=(Elig_MatchAll_Ct-1),AR134=0),O134,0)</f>
        <v>0</v>
      </c>
      <c r="BU134" s="173">
        <f>IF(AND(Input_Product=Elig!$C134,Elig_MatchAll_Ct&lt;22,$BC134=(Elig_MatchAll_Ct-1),AS134=0),P134,0)</f>
        <v>0</v>
      </c>
      <c r="BV134" s="174">
        <f>IF(AND(Input_Product=Elig!$C134,Elig_MatchAll_Ct&lt;22,$BC134=(Elig_MatchAll_Ct-1),AT134=0),Q134,0)</f>
        <v>0</v>
      </c>
      <c r="BW134" s="175">
        <f>IF(AND(Input_Product=Elig!$C134,Elig_MatchAll_Ct&lt;22,$BC134=(Elig_MatchAll_Ct-1),AU134=0),R134,0)</f>
        <v>0</v>
      </c>
      <c r="BX134" s="176">
        <f>IF(AND(Input_Product=Elig!$C134,Elig_MatchAll_Ct&lt;22,$BC134=(Elig_MatchAll_Ct-1),AU134=0),S134,0)</f>
        <v>0</v>
      </c>
      <c r="BY134" s="175">
        <f>IF(AND(Input_Product=Elig!$C134,Elig_MatchAll_Ct&lt;22,$BC134=(Elig_MatchAll_Ct-1),AV134=0),T134,0)</f>
        <v>0</v>
      </c>
      <c r="BZ134" s="176">
        <f>IF(AND(Input_Product=Elig!$C134,Elig_MatchAll_Ct&lt;22,$BC134=(Elig_MatchAll_Ct-1),AV134=0),U134,0)</f>
        <v>0</v>
      </c>
      <c r="CA134" s="175">
        <f>IF(AND(Input_Product=Elig!$C134,Elig_MatchAll_Ct&lt;22,$BC134=(Elig_MatchAll_Ct-1),AW134=0),V134,0)</f>
        <v>0</v>
      </c>
      <c r="CB134" s="176">
        <f>IF(AND(Input_Product=Elig!$C134,Elig_MatchAll_Ct&lt;22,$BC134=(Elig_MatchAll_Ct-1),AW134=0),W134,0)</f>
        <v>0</v>
      </c>
      <c r="CC134" s="175">
        <f>IF(AND(Input_Product=Elig!$C134,Elig_MatchAll_Ct&lt;22,$BC134=(Elig_MatchAll_Ct-1),AX134=0),X134,0)</f>
        <v>0</v>
      </c>
      <c r="CD134" s="176">
        <f>IF(AND(Input_Product=Elig!$C134,Elig_MatchAll_Ct&lt;22,$BC134=(Elig_MatchAll_Ct-1),AX134=0),Y134,0)</f>
        <v>0</v>
      </c>
      <c r="CE134" s="175">
        <f>IF(AND(Input_LTV&lt;=AE134,Input_Product=Elig!$C134,Elig_MatchAll_Ct&lt;22,$BC134=(Elig_MatchAll_Ct-1),AY134=0),Z134,0)</f>
        <v>0</v>
      </c>
      <c r="CF134" s="176">
        <f>IF(AND(Input_LTV&lt;=AE134,Input_Product=Elig!$C134,Elig_MatchAll_Ct&lt;22,$BC134=(Elig_MatchAll_Ct-1),AY134=0),AA134,0)</f>
        <v>0</v>
      </c>
      <c r="CG134" s="175">
        <f>IF(AND(Input_Product=Elig!$C134,Elig_MatchAll_Ct&lt;22,$BC134=(Elig_MatchAll_Ct-1),AZ134=0),AB134,0)</f>
        <v>0</v>
      </c>
      <c r="CH134" s="176">
        <f>IF(AND(Input_Product=Elig!$C134,Elig_MatchAll_Ct&lt;22,$BC134=(Elig_MatchAll_Ct-1),AZ134=0),AC134,0)</f>
        <v>0</v>
      </c>
      <c r="CI134" s="175">
        <f>IF(AND(Input_Product=Elig!$C134,Elig_MatchAll_Ct&lt;22,$BC134=(Elig_MatchAll_Ct-1),BA134=0),AD134,0)</f>
        <v>0</v>
      </c>
      <c r="CJ134" s="177">
        <f>IF(AND(Input_Product=Elig!$C134,Elig_MatchAll_Ct&lt;22,$BC134=(Elig_MatchAll_Ct-1),BA134=0),AE134,0)</f>
        <v>0</v>
      </c>
    </row>
    <row r="135" spans="1:88" ht="10.15" customHeight="1" x14ac:dyDescent="0.25">
      <c r="A135" s="1419" t="s">
        <v>76</v>
      </c>
      <c r="B135" s="1419" t="s">
        <v>830</v>
      </c>
      <c r="C135" s="116" t="str">
        <f t="shared" si="30"/>
        <v>NonQM OO</v>
      </c>
      <c r="D135" s="117" t="s">
        <v>1995</v>
      </c>
      <c r="E135" s="117" t="s">
        <v>166</v>
      </c>
      <c r="F135" s="117" t="s">
        <v>330</v>
      </c>
      <c r="G135" s="117" t="s">
        <v>465</v>
      </c>
      <c r="H135" s="117" t="s">
        <v>135</v>
      </c>
      <c r="I135" s="118" t="s">
        <v>273</v>
      </c>
      <c r="J135" s="118" t="s">
        <v>1130</v>
      </c>
      <c r="K135" s="118" t="s">
        <v>1398</v>
      </c>
      <c r="L135" s="117" t="s">
        <v>2025</v>
      </c>
      <c r="M135" s="117" t="s">
        <v>2289</v>
      </c>
      <c r="N135" s="117" t="s">
        <v>82</v>
      </c>
      <c r="O135" s="117" t="s">
        <v>309</v>
      </c>
      <c r="P135" s="117" t="s">
        <v>2433</v>
      </c>
      <c r="Q135" s="117" t="s">
        <v>293</v>
      </c>
      <c r="R135" s="117">
        <v>1500000.01</v>
      </c>
      <c r="S135" s="117">
        <v>2000000</v>
      </c>
      <c r="T135" s="117">
        <v>0</v>
      </c>
      <c r="U135" s="117">
        <v>0</v>
      </c>
      <c r="V135" s="117">
        <v>0</v>
      </c>
      <c r="W135" s="117">
        <v>55</v>
      </c>
      <c r="X135" s="117">
        <v>0</v>
      </c>
      <c r="Y135" s="117">
        <v>999</v>
      </c>
      <c r="Z135" s="119">
        <v>680</v>
      </c>
      <c r="AA135" s="119">
        <v>699</v>
      </c>
      <c r="AB135" s="1877">
        <v>0</v>
      </c>
      <c r="AC135" s="119">
        <v>999999</v>
      </c>
      <c r="AD135" s="117">
        <v>0</v>
      </c>
      <c r="AE135" s="117">
        <v>80</v>
      </c>
      <c r="AF135" s="144">
        <v>0</v>
      </c>
      <c r="AG135" s="145">
        <v>1</v>
      </c>
      <c r="AH135" s="145">
        <v>1</v>
      </c>
      <c r="AI135" s="145">
        <v>0</v>
      </c>
      <c r="AJ135" s="145">
        <v>0</v>
      </c>
      <c r="AK135" s="145">
        <v>1</v>
      </c>
      <c r="AL135" s="145">
        <v>1</v>
      </c>
      <c r="AM135" s="145">
        <v>1</v>
      </c>
      <c r="AN135" s="145">
        <v>1</v>
      </c>
      <c r="AO135" s="145">
        <v>1</v>
      </c>
      <c r="AP135" s="145">
        <v>1</v>
      </c>
      <c r="AQ135" s="145">
        <v>0</v>
      </c>
      <c r="AR135" s="145">
        <v>1</v>
      </c>
      <c r="AS135" s="145">
        <v>1</v>
      </c>
      <c r="AT135" s="145">
        <v>1</v>
      </c>
      <c r="AU135" s="145">
        <f t="shared" si="37"/>
        <v>0</v>
      </c>
      <c r="AV135" s="145">
        <f t="shared" si="38"/>
        <v>1</v>
      </c>
      <c r="AW135" s="145">
        <f t="shared" si="39"/>
        <v>1</v>
      </c>
      <c r="AX135" s="145">
        <f t="shared" si="49"/>
        <v>1</v>
      </c>
      <c r="AY135" s="145">
        <f t="shared" si="40"/>
        <v>0</v>
      </c>
      <c r="AZ135" s="145">
        <f t="shared" si="41"/>
        <v>1</v>
      </c>
      <c r="BA135" s="146">
        <f t="shared" si="42"/>
        <v>1</v>
      </c>
      <c r="BB135" s="149">
        <f t="shared" si="43"/>
        <v>16</v>
      </c>
      <c r="BC135" s="150">
        <f t="shared" si="44"/>
        <v>15</v>
      </c>
      <c r="BD135" s="150">
        <f t="shared" si="45"/>
        <v>16</v>
      </c>
      <c r="BE135" s="211" t="str">
        <f t="shared" si="46"/>
        <v/>
      </c>
      <c r="BH135" s="172">
        <f>IF(AND(Input_Product=Elig!$C135,Elig_MatchAll_Ct&lt;22,$BC135=(Elig_MatchAll_Ct-1),AF135=0),C135,0)</f>
        <v>0</v>
      </c>
      <c r="BI135" s="173">
        <f>IF(AND(Input_Product=Elig!$C135,Elig_MatchAll_Ct&lt;22,$BC135=(Elig_MatchAll_Ct-1),AG135=0),D135,0)</f>
        <v>0</v>
      </c>
      <c r="BJ135" s="173">
        <f>IF(AND(Input_Product=Elig!$C135,Elig_MatchAll_Ct&lt;22,$BC135=(Elig_MatchAll_Ct-1),AH135=0),E135,0)</f>
        <v>0</v>
      </c>
      <c r="BK135" s="173">
        <f>IF(AND(Input_Product=Elig!$C135,Elig_MatchAll_Ct&lt;22,$BC135=(Elig_MatchAll_Ct-1),AI135=0),F135,0)</f>
        <v>0</v>
      </c>
      <c r="BL135" s="173">
        <f>IF(AND(Input_Product=Elig!$C135,Elig_MatchAll_Ct&lt;22,$BC135=(Elig_MatchAll_Ct-1),AJ135=0),G135,0)</f>
        <v>0</v>
      </c>
      <c r="BM135" s="173">
        <f>IF(AND(Input_Product=Elig!$C135,Elig_MatchAll_Ct&lt;22,$BC135=(Elig_MatchAll_Ct-1),AK135=0),H135,0)</f>
        <v>0</v>
      </c>
      <c r="BN135" s="173">
        <f>IF(AND(Input_Product=Elig!$C135,Elig_MatchAll_Ct&lt;22,$BC135=(Elig_MatchAll_Ct-1),AL135=0),I135,0)</f>
        <v>0</v>
      </c>
      <c r="BO135" s="173">
        <f>IF(AND(Input_Product=Elig!$C135,Elig_MatchAll_Ct&lt;22,$BC135=(Elig_MatchAll_Ct-1),AM135=0),J135,0)</f>
        <v>0</v>
      </c>
      <c r="BP135" s="173">
        <f>IF(AND(Input_Product=Elig!$C135,Elig_MatchAll_Ct&lt;22,$BC135=(Elig_MatchAll_Ct-1),AN135=0),K135,0)</f>
        <v>0</v>
      </c>
      <c r="BQ135" s="173">
        <f>IF(AND(Input_Product=Elig!$C135,Elig_MatchAll_Ct&lt;22,$BC135=(Elig_MatchAll_Ct-1),AP135=0),L135,0)</f>
        <v>0</v>
      </c>
      <c r="BR135" s="173">
        <f>IF(AND(Input_Product=Elig!$C135,Elig_MatchAll_Ct&lt;22,$BC135=(Elig_MatchAll_Ct-1),AO135=0),M135,0)</f>
        <v>0</v>
      </c>
      <c r="BS135" s="173">
        <f>IF(AND(Input_Product=Elig!$C135,Elig_MatchAll_Ct&lt;22,$BC135=(Elig_MatchAll_Ct-1),AQ135=0),N135,0)</f>
        <v>0</v>
      </c>
      <c r="BT135" s="173">
        <f>IF(AND(Input_Product=Elig!$C135,Elig_MatchAll_Ct&lt;22,$BC135=(Elig_MatchAll_Ct-1),AR135=0),O135,0)</f>
        <v>0</v>
      </c>
      <c r="BU135" s="173">
        <f>IF(AND(Input_Product=Elig!$C135,Elig_MatchAll_Ct&lt;22,$BC135=(Elig_MatchAll_Ct-1),AS135=0),P135,0)</f>
        <v>0</v>
      </c>
      <c r="BV135" s="174">
        <f>IF(AND(Input_Product=Elig!$C135,Elig_MatchAll_Ct&lt;22,$BC135=(Elig_MatchAll_Ct-1),AT135=0),Q135,0)</f>
        <v>0</v>
      </c>
      <c r="BW135" s="175">
        <f>IF(AND(Input_Product=Elig!$C135,Elig_MatchAll_Ct&lt;22,$BC135=(Elig_MatchAll_Ct-1),AU135=0),R135,0)</f>
        <v>0</v>
      </c>
      <c r="BX135" s="176">
        <f>IF(AND(Input_Product=Elig!$C135,Elig_MatchAll_Ct&lt;22,$BC135=(Elig_MatchAll_Ct-1),AU135=0),S135,0)</f>
        <v>0</v>
      </c>
      <c r="BY135" s="175">
        <f>IF(AND(Input_Product=Elig!$C135,Elig_MatchAll_Ct&lt;22,$BC135=(Elig_MatchAll_Ct-1),AV135=0),T135,0)</f>
        <v>0</v>
      </c>
      <c r="BZ135" s="176">
        <f>IF(AND(Input_Product=Elig!$C135,Elig_MatchAll_Ct&lt;22,$BC135=(Elig_MatchAll_Ct-1),AV135=0),U135,0)</f>
        <v>0</v>
      </c>
      <c r="CA135" s="175">
        <f>IF(AND(Input_Product=Elig!$C135,Elig_MatchAll_Ct&lt;22,$BC135=(Elig_MatchAll_Ct-1),AW135=0),V135,0)</f>
        <v>0</v>
      </c>
      <c r="CB135" s="176">
        <f>IF(AND(Input_Product=Elig!$C135,Elig_MatchAll_Ct&lt;22,$BC135=(Elig_MatchAll_Ct-1),AW135=0),W135,0)</f>
        <v>0</v>
      </c>
      <c r="CC135" s="175">
        <f>IF(AND(Input_Product=Elig!$C135,Elig_MatchAll_Ct&lt;22,$BC135=(Elig_MatchAll_Ct-1),AX135=0),X135,0)</f>
        <v>0</v>
      </c>
      <c r="CD135" s="176">
        <f>IF(AND(Input_Product=Elig!$C135,Elig_MatchAll_Ct&lt;22,$BC135=(Elig_MatchAll_Ct-1),AX135=0),Y135,0)</f>
        <v>0</v>
      </c>
      <c r="CE135" s="175">
        <f>IF(AND(Input_LTV&lt;=AE135,Input_Product=Elig!$C135,Elig_MatchAll_Ct&lt;22,$BC135=(Elig_MatchAll_Ct-1),AY135=0),Z135,0)</f>
        <v>0</v>
      </c>
      <c r="CF135" s="176">
        <f>IF(AND(Input_LTV&lt;=AE135,Input_Product=Elig!$C135,Elig_MatchAll_Ct&lt;22,$BC135=(Elig_MatchAll_Ct-1),AY135=0),AA135,0)</f>
        <v>0</v>
      </c>
      <c r="CG135" s="175">
        <f>IF(AND(Input_Product=Elig!$C135,Elig_MatchAll_Ct&lt;22,$BC135=(Elig_MatchAll_Ct-1),AZ135=0),AB135,0)</f>
        <v>0</v>
      </c>
      <c r="CH135" s="176">
        <f>IF(AND(Input_Product=Elig!$C135,Elig_MatchAll_Ct&lt;22,$BC135=(Elig_MatchAll_Ct-1),AZ135=0),AC135,0)</f>
        <v>0</v>
      </c>
      <c r="CI135" s="175">
        <f>IF(AND(Input_Product=Elig!$C135,Elig_MatchAll_Ct&lt;22,$BC135=(Elig_MatchAll_Ct-1),BA135=0),AD135,0)</f>
        <v>0</v>
      </c>
      <c r="CJ135" s="177">
        <f>IF(AND(Input_Product=Elig!$C135,Elig_MatchAll_Ct&lt;22,$BC135=(Elig_MatchAll_Ct-1),BA135=0),AE135,0)</f>
        <v>0</v>
      </c>
    </row>
    <row r="136" spans="1:88" ht="10.15" customHeight="1" x14ac:dyDescent="0.25">
      <c r="A136" s="1419" t="s">
        <v>76</v>
      </c>
      <c r="B136" s="1419" t="s">
        <v>831</v>
      </c>
      <c r="C136" s="116" t="str">
        <f t="shared" si="30"/>
        <v>NonQM OO</v>
      </c>
      <c r="D136" s="117" t="s">
        <v>1995</v>
      </c>
      <c r="E136" s="117" t="s">
        <v>166</v>
      </c>
      <c r="F136" s="117" t="s">
        <v>330</v>
      </c>
      <c r="G136" s="117" t="s">
        <v>465</v>
      </c>
      <c r="H136" s="117" t="s">
        <v>135</v>
      </c>
      <c r="I136" s="117" t="s">
        <v>273</v>
      </c>
      <c r="J136" s="117" t="s">
        <v>1130</v>
      </c>
      <c r="K136" s="117" t="s">
        <v>1398</v>
      </c>
      <c r="L136" s="117" t="s">
        <v>2025</v>
      </c>
      <c r="M136" s="117" t="s">
        <v>2289</v>
      </c>
      <c r="N136" s="117" t="s">
        <v>82</v>
      </c>
      <c r="O136" s="117" t="s">
        <v>309</v>
      </c>
      <c r="P136" s="117" t="s">
        <v>2433</v>
      </c>
      <c r="Q136" s="117" t="s">
        <v>293</v>
      </c>
      <c r="R136" s="117">
        <v>1500000.01</v>
      </c>
      <c r="S136" s="117">
        <v>2000000</v>
      </c>
      <c r="T136" s="117">
        <v>0</v>
      </c>
      <c r="U136" s="117">
        <v>0</v>
      </c>
      <c r="V136" s="117">
        <v>0</v>
      </c>
      <c r="W136" s="117">
        <v>55</v>
      </c>
      <c r="X136" s="117">
        <v>0</v>
      </c>
      <c r="Y136" s="117">
        <v>999</v>
      </c>
      <c r="Z136" s="119">
        <v>660</v>
      </c>
      <c r="AA136" s="119">
        <v>679</v>
      </c>
      <c r="AB136" s="1877">
        <v>0</v>
      </c>
      <c r="AC136" s="119">
        <v>999999</v>
      </c>
      <c r="AD136" s="117">
        <v>0</v>
      </c>
      <c r="AE136" s="117">
        <v>75</v>
      </c>
      <c r="AF136" s="144">
        <v>0</v>
      </c>
      <c r="AG136" s="145">
        <v>1</v>
      </c>
      <c r="AH136" s="145">
        <v>1</v>
      </c>
      <c r="AI136" s="145">
        <v>0</v>
      </c>
      <c r="AJ136" s="145">
        <v>0</v>
      </c>
      <c r="AK136" s="145">
        <v>1</v>
      </c>
      <c r="AL136" s="145">
        <v>1</v>
      </c>
      <c r="AM136" s="145">
        <v>1</v>
      </c>
      <c r="AN136" s="145">
        <v>1</v>
      </c>
      <c r="AO136" s="145">
        <v>1</v>
      </c>
      <c r="AP136" s="145">
        <v>1</v>
      </c>
      <c r="AQ136" s="145">
        <v>0</v>
      </c>
      <c r="AR136" s="145">
        <v>1</v>
      </c>
      <c r="AS136" s="145">
        <v>1</v>
      </c>
      <c r="AT136" s="145">
        <v>1</v>
      </c>
      <c r="AU136" s="145">
        <f t="shared" si="37"/>
        <v>0</v>
      </c>
      <c r="AV136" s="145">
        <f t="shared" si="38"/>
        <v>1</v>
      </c>
      <c r="AW136" s="145">
        <f t="shared" si="39"/>
        <v>1</v>
      </c>
      <c r="AX136" s="145">
        <f t="shared" si="49"/>
        <v>1</v>
      </c>
      <c r="AY136" s="145">
        <f t="shared" si="40"/>
        <v>0</v>
      </c>
      <c r="AZ136" s="145">
        <f t="shared" si="41"/>
        <v>1</v>
      </c>
      <c r="BA136" s="146">
        <f t="shared" si="42"/>
        <v>1</v>
      </c>
      <c r="BB136" s="149">
        <f t="shared" si="43"/>
        <v>16</v>
      </c>
      <c r="BC136" s="150">
        <f t="shared" si="44"/>
        <v>15</v>
      </c>
      <c r="BD136" s="150">
        <f t="shared" si="45"/>
        <v>16</v>
      </c>
      <c r="BE136" s="211" t="str">
        <f t="shared" si="46"/>
        <v/>
      </c>
      <c r="BH136" s="172">
        <f>IF(AND(Input_Product=Elig!$C136,Elig_MatchAll_Ct&lt;22,$BC136=(Elig_MatchAll_Ct-1),AF136=0),C136,0)</f>
        <v>0</v>
      </c>
      <c r="BI136" s="173">
        <f>IF(AND(Input_Product=Elig!$C136,Elig_MatchAll_Ct&lt;22,$BC136=(Elig_MatchAll_Ct-1),AG136=0),D136,0)</f>
        <v>0</v>
      </c>
      <c r="BJ136" s="173">
        <f>IF(AND(Input_Product=Elig!$C136,Elig_MatchAll_Ct&lt;22,$BC136=(Elig_MatchAll_Ct-1),AH136=0),E136,0)</f>
        <v>0</v>
      </c>
      <c r="BK136" s="173">
        <f>IF(AND(Input_Product=Elig!$C136,Elig_MatchAll_Ct&lt;22,$BC136=(Elig_MatchAll_Ct-1),AI136=0),F136,0)</f>
        <v>0</v>
      </c>
      <c r="BL136" s="173">
        <f>IF(AND(Input_Product=Elig!$C136,Elig_MatchAll_Ct&lt;22,$BC136=(Elig_MatchAll_Ct-1),AJ136=0),G136,0)</f>
        <v>0</v>
      </c>
      <c r="BM136" s="173">
        <f>IF(AND(Input_Product=Elig!$C136,Elig_MatchAll_Ct&lt;22,$BC136=(Elig_MatchAll_Ct-1),AK136=0),H136,0)</f>
        <v>0</v>
      </c>
      <c r="BN136" s="173">
        <f>IF(AND(Input_Product=Elig!$C136,Elig_MatchAll_Ct&lt;22,$BC136=(Elig_MatchAll_Ct-1),AL136=0),I136,0)</f>
        <v>0</v>
      </c>
      <c r="BO136" s="173">
        <f>IF(AND(Input_Product=Elig!$C136,Elig_MatchAll_Ct&lt;22,$BC136=(Elig_MatchAll_Ct-1),AM136=0),J136,0)</f>
        <v>0</v>
      </c>
      <c r="BP136" s="173">
        <f>IF(AND(Input_Product=Elig!$C136,Elig_MatchAll_Ct&lt;22,$BC136=(Elig_MatchAll_Ct-1),AN136=0),K136,0)</f>
        <v>0</v>
      </c>
      <c r="BQ136" s="173">
        <f>IF(AND(Input_Product=Elig!$C136,Elig_MatchAll_Ct&lt;22,$BC136=(Elig_MatchAll_Ct-1),AP136=0),L136,0)</f>
        <v>0</v>
      </c>
      <c r="BR136" s="173">
        <f>IF(AND(Input_Product=Elig!$C136,Elig_MatchAll_Ct&lt;22,$BC136=(Elig_MatchAll_Ct-1),AO136=0),M136,0)</f>
        <v>0</v>
      </c>
      <c r="BS136" s="173">
        <f>IF(AND(Input_Product=Elig!$C136,Elig_MatchAll_Ct&lt;22,$BC136=(Elig_MatchAll_Ct-1),AQ136=0),N136,0)</f>
        <v>0</v>
      </c>
      <c r="BT136" s="173">
        <f>IF(AND(Input_Product=Elig!$C136,Elig_MatchAll_Ct&lt;22,$BC136=(Elig_MatchAll_Ct-1),AR136=0),O136,0)</f>
        <v>0</v>
      </c>
      <c r="BU136" s="173">
        <f>IF(AND(Input_Product=Elig!$C136,Elig_MatchAll_Ct&lt;22,$BC136=(Elig_MatchAll_Ct-1),AS136=0),P136,0)</f>
        <v>0</v>
      </c>
      <c r="BV136" s="174">
        <f>IF(AND(Input_Product=Elig!$C136,Elig_MatchAll_Ct&lt;22,$BC136=(Elig_MatchAll_Ct-1),AT136=0),Q136,0)</f>
        <v>0</v>
      </c>
      <c r="BW136" s="175">
        <f>IF(AND(Input_Product=Elig!$C136,Elig_MatchAll_Ct&lt;22,$BC136=(Elig_MatchAll_Ct-1),AU136=0),R136,0)</f>
        <v>0</v>
      </c>
      <c r="BX136" s="176">
        <f>IF(AND(Input_Product=Elig!$C136,Elig_MatchAll_Ct&lt;22,$BC136=(Elig_MatchAll_Ct-1),AU136=0),S136,0)</f>
        <v>0</v>
      </c>
      <c r="BY136" s="175">
        <f>IF(AND(Input_Product=Elig!$C136,Elig_MatchAll_Ct&lt;22,$BC136=(Elig_MatchAll_Ct-1),AV136=0),T136,0)</f>
        <v>0</v>
      </c>
      <c r="BZ136" s="176">
        <f>IF(AND(Input_Product=Elig!$C136,Elig_MatchAll_Ct&lt;22,$BC136=(Elig_MatchAll_Ct-1),AV136=0),U136,0)</f>
        <v>0</v>
      </c>
      <c r="CA136" s="175">
        <f>IF(AND(Input_Product=Elig!$C136,Elig_MatchAll_Ct&lt;22,$BC136=(Elig_MatchAll_Ct-1),AW136=0),V136,0)</f>
        <v>0</v>
      </c>
      <c r="CB136" s="176">
        <f>IF(AND(Input_Product=Elig!$C136,Elig_MatchAll_Ct&lt;22,$BC136=(Elig_MatchAll_Ct-1),AW136=0),W136,0)</f>
        <v>0</v>
      </c>
      <c r="CC136" s="175">
        <f>IF(AND(Input_Product=Elig!$C136,Elig_MatchAll_Ct&lt;22,$BC136=(Elig_MatchAll_Ct-1),AX136=0),X136,0)</f>
        <v>0</v>
      </c>
      <c r="CD136" s="176">
        <f>IF(AND(Input_Product=Elig!$C136,Elig_MatchAll_Ct&lt;22,$BC136=(Elig_MatchAll_Ct-1),AX136=0),Y136,0)</f>
        <v>0</v>
      </c>
      <c r="CE136" s="175">
        <f>IF(AND(Input_LTV&lt;=AE136,Input_Product=Elig!$C136,Elig_MatchAll_Ct&lt;22,$BC136=(Elig_MatchAll_Ct-1),AY136=0),Z136,0)</f>
        <v>0</v>
      </c>
      <c r="CF136" s="176">
        <f>IF(AND(Input_LTV&lt;=AE136,Input_Product=Elig!$C136,Elig_MatchAll_Ct&lt;22,$BC136=(Elig_MatchAll_Ct-1),AY136=0),AA136,0)</f>
        <v>0</v>
      </c>
      <c r="CG136" s="175">
        <f>IF(AND(Input_Product=Elig!$C136,Elig_MatchAll_Ct&lt;22,$BC136=(Elig_MatchAll_Ct-1),AZ136=0),AB136,0)</f>
        <v>0</v>
      </c>
      <c r="CH136" s="176">
        <f>IF(AND(Input_Product=Elig!$C136,Elig_MatchAll_Ct&lt;22,$BC136=(Elig_MatchAll_Ct-1),AZ136=0),AC136,0)</f>
        <v>0</v>
      </c>
      <c r="CI136" s="175">
        <f>IF(AND(Input_Product=Elig!$C136,Elig_MatchAll_Ct&lt;22,$BC136=(Elig_MatchAll_Ct-1),BA136=0),AD136,0)</f>
        <v>0</v>
      </c>
      <c r="CJ136" s="177">
        <f>IF(AND(Input_Product=Elig!$C136,Elig_MatchAll_Ct&lt;22,$BC136=(Elig_MatchAll_Ct-1),BA136=0),AE136,0)</f>
        <v>0</v>
      </c>
    </row>
    <row r="137" spans="1:88" ht="10.15" customHeight="1" x14ac:dyDescent="0.25">
      <c r="A137" s="1419" t="s">
        <v>76</v>
      </c>
      <c r="B137" s="1419" t="s">
        <v>832</v>
      </c>
      <c r="C137" s="116" t="str">
        <f t="shared" si="30"/>
        <v>NonQM OO</v>
      </c>
      <c r="D137" s="117" t="s">
        <v>1995</v>
      </c>
      <c r="E137" s="117" t="s">
        <v>166</v>
      </c>
      <c r="F137" s="117" t="s">
        <v>330</v>
      </c>
      <c r="G137" s="117" t="s">
        <v>465</v>
      </c>
      <c r="H137" s="117" t="s">
        <v>135</v>
      </c>
      <c r="I137" s="117" t="s">
        <v>273</v>
      </c>
      <c r="J137" s="117" t="s">
        <v>1130</v>
      </c>
      <c r="K137" s="117" t="s">
        <v>1398</v>
      </c>
      <c r="L137" s="117" t="s">
        <v>2025</v>
      </c>
      <c r="M137" s="117" t="s">
        <v>2289</v>
      </c>
      <c r="N137" s="117" t="s">
        <v>82</v>
      </c>
      <c r="O137" s="117" t="s">
        <v>309</v>
      </c>
      <c r="P137" s="117" t="s">
        <v>2433</v>
      </c>
      <c r="Q137" s="117" t="s">
        <v>293</v>
      </c>
      <c r="R137" s="117">
        <v>1500000.01</v>
      </c>
      <c r="S137" s="117">
        <v>2000000</v>
      </c>
      <c r="T137" s="117">
        <v>0</v>
      </c>
      <c r="U137" s="117">
        <v>0</v>
      </c>
      <c r="V137" s="117">
        <v>0</v>
      </c>
      <c r="W137" s="117">
        <v>55</v>
      </c>
      <c r="X137" s="117">
        <v>0</v>
      </c>
      <c r="Y137" s="117">
        <v>999</v>
      </c>
      <c r="Z137" s="119">
        <v>640</v>
      </c>
      <c r="AA137" s="119">
        <v>659</v>
      </c>
      <c r="AB137" s="1877">
        <v>0</v>
      </c>
      <c r="AC137" s="119">
        <v>999999</v>
      </c>
      <c r="AD137" s="117">
        <v>0</v>
      </c>
      <c r="AE137" s="117">
        <v>65</v>
      </c>
      <c r="AF137" s="144">
        <v>0</v>
      </c>
      <c r="AG137" s="145">
        <v>1</v>
      </c>
      <c r="AH137" s="145">
        <v>1</v>
      </c>
      <c r="AI137" s="145">
        <v>0</v>
      </c>
      <c r="AJ137" s="145">
        <v>0</v>
      </c>
      <c r="AK137" s="145">
        <v>1</v>
      </c>
      <c r="AL137" s="145">
        <v>1</v>
      </c>
      <c r="AM137" s="145">
        <v>1</v>
      </c>
      <c r="AN137" s="145">
        <v>1</v>
      </c>
      <c r="AO137" s="145">
        <v>1</v>
      </c>
      <c r="AP137" s="145">
        <v>1</v>
      </c>
      <c r="AQ137" s="145">
        <v>0</v>
      </c>
      <c r="AR137" s="145">
        <v>1</v>
      </c>
      <c r="AS137" s="145">
        <v>1</v>
      </c>
      <c r="AT137" s="145">
        <v>1</v>
      </c>
      <c r="AU137" s="145">
        <f t="shared" si="37"/>
        <v>0</v>
      </c>
      <c r="AV137" s="145">
        <f t="shared" si="38"/>
        <v>1</v>
      </c>
      <c r="AW137" s="145">
        <f t="shared" si="39"/>
        <v>1</v>
      </c>
      <c r="AX137" s="145">
        <f t="shared" si="49"/>
        <v>1</v>
      </c>
      <c r="AY137" s="145">
        <f t="shared" si="40"/>
        <v>0</v>
      </c>
      <c r="AZ137" s="145">
        <f t="shared" si="41"/>
        <v>1</v>
      </c>
      <c r="BA137" s="146">
        <f t="shared" si="42"/>
        <v>0</v>
      </c>
      <c r="BB137" s="149">
        <f t="shared" si="43"/>
        <v>15</v>
      </c>
      <c r="BC137" s="150">
        <f t="shared" si="44"/>
        <v>15</v>
      </c>
      <c r="BD137" s="150">
        <f t="shared" si="45"/>
        <v>15</v>
      </c>
      <c r="BE137" s="211" t="str">
        <f t="shared" si="46"/>
        <v/>
      </c>
      <c r="BH137" s="172">
        <f>IF(AND(Input_Product=Elig!$C137,Elig_MatchAll_Ct&lt;22,$BC137=(Elig_MatchAll_Ct-1),AF137=0),C137,0)</f>
        <v>0</v>
      </c>
      <c r="BI137" s="173">
        <f>IF(AND(Input_Product=Elig!$C137,Elig_MatchAll_Ct&lt;22,$BC137=(Elig_MatchAll_Ct-1),AG137=0),D137,0)</f>
        <v>0</v>
      </c>
      <c r="BJ137" s="173">
        <f>IF(AND(Input_Product=Elig!$C137,Elig_MatchAll_Ct&lt;22,$BC137=(Elig_MatchAll_Ct-1),AH137=0),E137,0)</f>
        <v>0</v>
      </c>
      <c r="BK137" s="173">
        <f>IF(AND(Input_Product=Elig!$C137,Elig_MatchAll_Ct&lt;22,$BC137=(Elig_MatchAll_Ct-1),AI137=0),F137,0)</f>
        <v>0</v>
      </c>
      <c r="BL137" s="173">
        <f>IF(AND(Input_Product=Elig!$C137,Elig_MatchAll_Ct&lt;22,$BC137=(Elig_MatchAll_Ct-1),AJ137=0),G137,0)</f>
        <v>0</v>
      </c>
      <c r="BM137" s="173">
        <f>IF(AND(Input_Product=Elig!$C137,Elig_MatchAll_Ct&lt;22,$BC137=(Elig_MatchAll_Ct-1),AK137=0),H137,0)</f>
        <v>0</v>
      </c>
      <c r="BN137" s="173">
        <f>IF(AND(Input_Product=Elig!$C137,Elig_MatchAll_Ct&lt;22,$BC137=(Elig_MatchAll_Ct-1),AL137=0),I137,0)</f>
        <v>0</v>
      </c>
      <c r="BO137" s="173">
        <f>IF(AND(Input_Product=Elig!$C137,Elig_MatchAll_Ct&lt;22,$BC137=(Elig_MatchAll_Ct-1),AM137=0),J137,0)</f>
        <v>0</v>
      </c>
      <c r="BP137" s="173">
        <f>IF(AND(Input_Product=Elig!$C137,Elig_MatchAll_Ct&lt;22,$BC137=(Elig_MatchAll_Ct-1),AN137=0),K137,0)</f>
        <v>0</v>
      </c>
      <c r="BQ137" s="173">
        <f>IF(AND(Input_Product=Elig!$C137,Elig_MatchAll_Ct&lt;22,$BC137=(Elig_MatchAll_Ct-1),AP137=0),L137,0)</f>
        <v>0</v>
      </c>
      <c r="BR137" s="173">
        <f>IF(AND(Input_Product=Elig!$C137,Elig_MatchAll_Ct&lt;22,$BC137=(Elig_MatchAll_Ct-1),AO137=0),M137,0)</f>
        <v>0</v>
      </c>
      <c r="BS137" s="173">
        <f>IF(AND(Input_Product=Elig!$C137,Elig_MatchAll_Ct&lt;22,$BC137=(Elig_MatchAll_Ct-1),AQ137=0),N137,0)</f>
        <v>0</v>
      </c>
      <c r="BT137" s="173">
        <f>IF(AND(Input_Product=Elig!$C137,Elig_MatchAll_Ct&lt;22,$BC137=(Elig_MatchAll_Ct-1),AR137=0),O137,0)</f>
        <v>0</v>
      </c>
      <c r="BU137" s="173">
        <f>IF(AND(Input_Product=Elig!$C137,Elig_MatchAll_Ct&lt;22,$BC137=(Elig_MatchAll_Ct-1),AS137=0),P137,0)</f>
        <v>0</v>
      </c>
      <c r="BV137" s="174">
        <f>IF(AND(Input_Product=Elig!$C137,Elig_MatchAll_Ct&lt;22,$BC137=(Elig_MatchAll_Ct-1),AT137=0),Q137,0)</f>
        <v>0</v>
      </c>
      <c r="BW137" s="175">
        <f>IF(AND(Input_Product=Elig!$C137,Elig_MatchAll_Ct&lt;22,$BC137=(Elig_MatchAll_Ct-1),AU137=0),R137,0)</f>
        <v>0</v>
      </c>
      <c r="BX137" s="176">
        <f>IF(AND(Input_Product=Elig!$C137,Elig_MatchAll_Ct&lt;22,$BC137=(Elig_MatchAll_Ct-1),AU137=0),S137,0)</f>
        <v>0</v>
      </c>
      <c r="BY137" s="175">
        <f>IF(AND(Input_Product=Elig!$C137,Elig_MatchAll_Ct&lt;22,$BC137=(Elig_MatchAll_Ct-1),AV137=0),T137,0)</f>
        <v>0</v>
      </c>
      <c r="BZ137" s="176">
        <f>IF(AND(Input_Product=Elig!$C137,Elig_MatchAll_Ct&lt;22,$BC137=(Elig_MatchAll_Ct-1),AV137=0),U137,0)</f>
        <v>0</v>
      </c>
      <c r="CA137" s="175">
        <f>IF(AND(Input_Product=Elig!$C137,Elig_MatchAll_Ct&lt;22,$BC137=(Elig_MatchAll_Ct-1),AW137=0),V137,0)</f>
        <v>0</v>
      </c>
      <c r="CB137" s="176">
        <f>IF(AND(Input_Product=Elig!$C137,Elig_MatchAll_Ct&lt;22,$BC137=(Elig_MatchAll_Ct-1),AW137=0),W137,0)</f>
        <v>0</v>
      </c>
      <c r="CC137" s="175">
        <f>IF(AND(Input_Product=Elig!$C137,Elig_MatchAll_Ct&lt;22,$BC137=(Elig_MatchAll_Ct-1),AX137=0),X137,0)</f>
        <v>0</v>
      </c>
      <c r="CD137" s="176">
        <f>IF(AND(Input_Product=Elig!$C137,Elig_MatchAll_Ct&lt;22,$BC137=(Elig_MatchAll_Ct-1),AX137=0),Y137,0)</f>
        <v>0</v>
      </c>
      <c r="CE137" s="175">
        <f>IF(AND(Input_LTV&lt;=AE137,Input_Product=Elig!$C137,Elig_MatchAll_Ct&lt;22,$BC137=(Elig_MatchAll_Ct-1),AY137=0),Z137,0)</f>
        <v>0</v>
      </c>
      <c r="CF137" s="176">
        <f>IF(AND(Input_LTV&lt;=AE137,Input_Product=Elig!$C137,Elig_MatchAll_Ct&lt;22,$BC137=(Elig_MatchAll_Ct-1),AY137=0),AA137,0)</f>
        <v>0</v>
      </c>
      <c r="CG137" s="175">
        <f>IF(AND(Input_Product=Elig!$C137,Elig_MatchAll_Ct&lt;22,$BC137=(Elig_MatchAll_Ct-1),AZ137=0),AB137,0)</f>
        <v>0</v>
      </c>
      <c r="CH137" s="176">
        <f>IF(AND(Input_Product=Elig!$C137,Elig_MatchAll_Ct&lt;22,$BC137=(Elig_MatchAll_Ct-1),AZ137=0),AC137,0)</f>
        <v>0</v>
      </c>
      <c r="CI137" s="175">
        <f>IF(AND(Input_Product=Elig!$C137,Elig_MatchAll_Ct&lt;22,$BC137=(Elig_MatchAll_Ct-1),BA137=0),AD137,0)</f>
        <v>0</v>
      </c>
      <c r="CJ137" s="177">
        <f>IF(AND(Input_Product=Elig!$C137,Elig_MatchAll_Ct&lt;22,$BC137=(Elig_MatchAll_Ct-1),BA137=0),AE137,0)</f>
        <v>0</v>
      </c>
    </row>
    <row r="138" spans="1:88" ht="10.15" customHeight="1" x14ac:dyDescent="0.25">
      <c r="A138" s="1419" t="s">
        <v>76</v>
      </c>
      <c r="B138" s="1419" t="s">
        <v>833</v>
      </c>
      <c r="C138" s="123" t="str">
        <f t="shared" si="30"/>
        <v>NonQM OO</v>
      </c>
      <c r="D138" s="124" t="s">
        <v>1995</v>
      </c>
      <c r="E138" s="125" t="s">
        <v>166</v>
      </c>
      <c r="F138" s="125" t="s">
        <v>330</v>
      </c>
      <c r="G138" s="125" t="s">
        <v>465</v>
      </c>
      <c r="H138" s="125" t="s">
        <v>135</v>
      </c>
      <c r="I138" s="124" t="s">
        <v>16</v>
      </c>
      <c r="J138" s="124" t="s">
        <v>1130</v>
      </c>
      <c r="K138" s="124" t="s">
        <v>1398</v>
      </c>
      <c r="L138" s="125" t="s">
        <v>2025</v>
      </c>
      <c r="M138" s="125" t="s">
        <v>2289</v>
      </c>
      <c r="N138" s="125" t="s">
        <v>82</v>
      </c>
      <c r="O138" s="125" t="s">
        <v>309</v>
      </c>
      <c r="P138" s="125" t="s">
        <v>2433</v>
      </c>
      <c r="Q138" s="125" t="s">
        <v>293</v>
      </c>
      <c r="R138" s="124">
        <v>1500000.01</v>
      </c>
      <c r="S138" s="124">
        <v>2000000</v>
      </c>
      <c r="T138" s="124">
        <v>0</v>
      </c>
      <c r="U138" s="124">
        <f t="shared" ref="U138:U141" si="50">S138</f>
        <v>2000000</v>
      </c>
      <c r="V138" s="124">
        <v>0</v>
      </c>
      <c r="W138" s="124">
        <v>55</v>
      </c>
      <c r="X138" s="124">
        <v>0</v>
      </c>
      <c r="Y138" s="124">
        <v>999</v>
      </c>
      <c r="Z138" s="126">
        <v>720</v>
      </c>
      <c r="AA138" s="126">
        <v>999</v>
      </c>
      <c r="AB138" s="1879">
        <v>0</v>
      </c>
      <c r="AC138" s="126">
        <v>999999</v>
      </c>
      <c r="AD138" s="124">
        <v>0</v>
      </c>
      <c r="AE138" s="124">
        <v>80</v>
      </c>
      <c r="AF138" s="144">
        <v>0</v>
      </c>
      <c r="AG138" s="145">
        <v>1</v>
      </c>
      <c r="AH138" s="145">
        <v>1</v>
      </c>
      <c r="AI138" s="145">
        <v>0</v>
      </c>
      <c r="AJ138" s="145">
        <v>0</v>
      </c>
      <c r="AK138" s="145">
        <v>1</v>
      </c>
      <c r="AL138" s="145">
        <v>0</v>
      </c>
      <c r="AM138" s="145">
        <v>1</v>
      </c>
      <c r="AN138" s="145">
        <v>1</v>
      </c>
      <c r="AO138" s="145">
        <v>1</v>
      </c>
      <c r="AP138" s="145">
        <v>1</v>
      </c>
      <c r="AQ138" s="145">
        <v>0</v>
      </c>
      <c r="AR138" s="145">
        <v>1</v>
      </c>
      <c r="AS138" s="145">
        <v>1</v>
      </c>
      <c r="AT138" s="145">
        <v>1</v>
      </c>
      <c r="AU138" s="145">
        <f t="shared" si="37"/>
        <v>0</v>
      </c>
      <c r="AV138" s="145">
        <f t="shared" si="38"/>
        <v>1</v>
      </c>
      <c r="AW138" s="145">
        <f t="shared" si="39"/>
        <v>1</v>
      </c>
      <c r="AX138" s="145">
        <f t="shared" si="49"/>
        <v>1</v>
      </c>
      <c r="AY138" s="145">
        <f t="shared" si="40"/>
        <v>1</v>
      </c>
      <c r="AZ138" s="145">
        <f t="shared" si="41"/>
        <v>1</v>
      </c>
      <c r="BA138" s="146">
        <f t="shared" si="42"/>
        <v>1</v>
      </c>
      <c r="BB138" s="149">
        <f t="shared" si="43"/>
        <v>16</v>
      </c>
      <c r="BC138" s="150">
        <f t="shared" si="44"/>
        <v>15</v>
      </c>
      <c r="BD138" s="150">
        <f t="shared" si="45"/>
        <v>16</v>
      </c>
      <c r="BE138" s="211" t="str">
        <f t="shared" si="46"/>
        <v/>
      </c>
      <c r="BH138" s="166">
        <f>IF(AND(Input_Product=Elig!$C138,Elig_MatchAll_Ct&lt;22,$BC138=(Elig_MatchAll_Ct-1),AF138=0),C138,0)</f>
        <v>0</v>
      </c>
      <c r="BI138" s="167">
        <f>IF(AND(Input_Product=Elig!$C138,Elig_MatchAll_Ct&lt;22,$BC138=(Elig_MatchAll_Ct-1),AG138=0),D138,0)</f>
        <v>0</v>
      </c>
      <c r="BJ138" s="167">
        <f>IF(AND(Input_Product=Elig!$C138,Elig_MatchAll_Ct&lt;22,$BC138=(Elig_MatchAll_Ct-1),AH138=0),E138,0)</f>
        <v>0</v>
      </c>
      <c r="BK138" s="167">
        <f>IF(AND(Input_Product=Elig!$C138,Elig_MatchAll_Ct&lt;22,$BC138=(Elig_MatchAll_Ct-1),AI138=0),F138,0)</f>
        <v>0</v>
      </c>
      <c r="BL138" s="167">
        <f>IF(AND(Input_Product=Elig!$C138,Elig_MatchAll_Ct&lt;22,$BC138=(Elig_MatchAll_Ct-1),AJ138=0),G138,0)</f>
        <v>0</v>
      </c>
      <c r="BM138" s="167">
        <f>IF(AND(Input_Product=Elig!$C138,Elig_MatchAll_Ct&lt;22,$BC138=(Elig_MatchAll_Ct-1),AK138=0),H138,0)</f>
        <v>0</v>
      </c>
      <c r="BN138" s="167">
        <f>IF(AND(Input_Product=Elig!$C138,Elig_MatchAll_Ct&lt;22,$BC138=(Elig_MatchAll_Ct-1),AL138=0),I138,0)</f>
        <v>0</v>
      </c>
      <c r="BO138" s="167">
        <f>IF(AND(Input_Product=Elig!$C138,Elig_MatchAll_Ct&lt;22,$BC138=(Elig_MatchAll_Ct-1),AM138=0),J138,0)</f>
        <v>0</v>
      </c>
      <c r="BP138" s="167">
        <f>IF(AND(Input_Product=Elig!$C138,Elig_MatchAll_Ct&lt;22,$BC138=(Elig_MatchAll_Ct-1),AN138=0),K138,0)</f>
        <v>0</v>
      </c>
      <c r="BQ138" s="167">
        <f>IF(AND(Input_Product=Elig!$C138,Elig_MatchAll_Ct&lt;22,$BC138=(Elig_MatchAll_Ct-1),AP138=0),L138,0)</f>
        <v>0</v>
      </c>
      <c r="BR138" s="167">
        <f>IF(AND(Input_Product=Elig!$C138,Elig_MatchAll_Ct&lt;22,$BC138=(Elig_MatchAll_Ct-1),AO138=0),M138,0)</f>
        <v>0</v>
      </c>
      <c r="BS138" s="167">
        <f>IF(AND(Input_Product=Elig!$C138,Elig_MatchAll_Ct&lt;22,$BC138=(Elig_MatchAll_Ct-1),AQ138=0),N138,0)</f>
        <v>0</v>
      </c>
      <c r="BT138" s="167">
        <f>IF(AND(Input_Product=Elig!$C138,Elig_MatchAll_Ct&lt;22,$BC138=(Elig_MatchAll_Ct-1),AR138=0),O138,0)</f>
        <v>0</v>
      </c>
      <c r="BU138" s="167">
        <f>IF(AND(Input_Product=Elig!$C138,Elig_MatchAll_Ct&lt;22,$BC138=(Elig_MatchAll_Ct-1),AS138=0),P138,0)</f>
        <v>0</v>
      </c>
      <c r="BV138" s="168">
        <f>IF(AND(Input_Product=Elig!$C138,Elig_MatchAll_Ct&lt;22,$BC138=(Elig_MatchAll_Ct-1),AT138=0),Q138,0)</f>
        <v>0</v>
      </c>
      <c r="BW138" s="169">
        <f>IF(AND(Input_Product=Elig!$C138,Elig_MatchAll_Ct&lt;22,$BC138=(Elig_MatchAll_Ct-1),AU138=0),R138,0)</f>
        <v>0</v>
      </c>
      <c r="BX138" s="170">
        <f>IF(AND(Input_Product=Elig!$C138,Elig_MatchAll_Ct&lt;22,$BC138=(Elig_MatchAll_Ct-1),AU138=0),S138,0)</f>
        <v>0</v>
      </c>
      <c r="BY138" s="169">
        <f>IF(AND(Input_Product=Elig!$C138,Elig_MatchAll_Ct&lt;22,$BC138=(Elig_MatchAll_Ct-1),AV138=0),T138,0)</f>
        <v>0</v>
      </c>
      <c r="BZ138" s="170">
        <f>IF(AND(Input_Product=Elig!$C138,Elig_MatchAll_Ct&lt;22,$BC138=(Elig_MatchAll_Ct-1),AV138=0),U138,0)</f>
        <v>0</v>
      </c>
      <c r="CA138" s="169">
        <f>IF(AND(Input_Product=Elig!$C138,Elig_MatchAll_Ct&lt;22,$BC138=(Elig_MatchAll_Ct-1),AW138=0),V138,0)</f>
        <v>0</v>
      </c>
      <c r="CB138" s="170">
        <f>IF(AND(Input_Product=Elig!$C138,Elig_MatchAll_Ct&lt;22,$BC138=(Elig_MatchAll_Ct-1),AW138=0),W138,0)</f>
        <v>0</v>
      </c>
      <c r="CC138" s="169">
        <f>IF(AND(Input_Product=Elig!$C138,Elig_MatchAll_Ct&lt;22,$BC138=(Elig_MatchAll_Ct-1),AX138=0),X138,0)</f>
        <v>0</v>
      </c>
      <c r="CD138" s="170">
        <f>IF(AND(Input_Product=Elig!$C138,Elig_MatchAll_Ct&lt;22,$BC138=(Elig_MatchAll_Ct-1),AX138=0),Y138,0)</f>
        <v>0</v>
      </c>
      <c r="CE138" s="169">
        <f>IF(AND(Input_LTV&lt;=AE138,Input_Product=Elig!$C138,Elig_MatchAll_Ct&lt;22,$BC138=(Elig_MatchAll_Ct-1),AY138=0),Z138,0)</f>
        <v>0</v>
      </c>
      <c r="CF138" s="170">
        <f>IF(AND(Input_LTV&lt;=AE138,Input_Product=Elig!$C138,Elig_MatchAll_Ct&lt;22,$BC138=(Elig_MatchAll_Ct-1),AY138=0),AA138,0)</f>
        <v>0</v>
      </c>
      <c r="CG138" s="169">
        <f>IF(AND(Input_Product=Elig!$C138,Elig_MatchAll_Ct&lt;22,$BC138=(Elig_MatchAll_Ct-1),AZ138=0),AB138,0)</f>
        <v>0</v>
      </c>
      <c r="CH138" s="170">
        <f>IF(AND(Input_Product=Elig!$C138,Elig_MatchAll_Ct&lt;22,$BC138=(Elig_MatchAll_Ct-1),AZ138=0),AC138,0)</f>
        <v>0</v>
      </c>
      <c r="CI138" s="169">
        <f>IF(AND(Input_Product=Elig!$C138,Elig_MatchAll_Ct&lt;22,$BC138=(Elig_MatchAll_Ct-1),BA138=0),AD138,0)</f>
        <v>0</v>
      </c>
      <c r="CJ138" s="171">
        <f>IF(AND(Input_Product=Elig!$C138,Elig_MatchAll_Ct&lt;22,$BC138=(Elig_MatchAll_Ct-1),BA138=0),AE138,0)</f>
        <v>0</v>
      </c>
    </row>
    <row r="139" spans="1:88" ht="10.15" customHeight="1" x14ac:dyDescent="0.25">
      <c r="A139" s="1419" t="s">
        <v>76</v>
      </c>
      <c r="B139" s="1419" t="s">
        <v>834</v>
      </c>
      <c r="C139" s="116" t="str">
        <f t="shared" si="30"/>
        <v>NonQM OO</v>
      </c>
      <c r="D139" s="117" t="s">
        <v>1995</v>
      </c>
      <c r="E139" s="117" t="s">
        <v>166</v>
      </c>
      <c r="F139" s="117" t="s">
        <v>330</v>
      </c>
      <c r="G139" s="117" t="s">
        <v>465</v>
      </c>
      <c r="H139" s="117" t="s">
        <v>135</v>
      </c>
      <c r="I139" s="118" t="s">
        <v>16</v>
      </c>
      <c r="J139" s="118" t="s">
        <v>1130</v>
      </c>
      <c r="K139" s="118" t="s">
        <v>1398</v>
      </c>
      <c r="L139" s="117" t="s">
        <v>2025</v>
      </c>
      <c r="M139" s="117" t="s">
        <v>2289</v>
      </c>
      <c r="N139" s="117" t="s">
        <v>82</v>
      </c>
      <c r="O139" s="117" t="s">
        <v>309</v>
      </c>
      <c r="P139" s="117" t="s">
        <v>2433</v>
      </c>
      <c r="Q139" s="117" t="s">
        <v>293</v>
      </c>
      <c r="R139" s="117">
        <v>1500000.01</v>
      </c>
      <c r="S139" s="117">
        <v>2000000</v>
      </c>
      <c r="T139" s="117">
        <v>0</v>
      </c>
      <c r="U139" s="117">
        <f t="shared" si="50"/>
        <v>2000000</v>
      </c>
      <c r="V139" s="117">
        <v>0</v>
      </c>
      <c r="W139" s="117">
        <v>55</v>
      </c>
      <c r="X139" s="117">
        <v>0</v>
      </c>
      <c r="Y139" s="117">
        <v>999</v>
      </c>
      <c r="Z139" s="119">
        <v>700</v>
      </c>
      <c r="AA139" s="119">
        <v>719</v>
      </c>
      <c r="AB139" s="1877">
        <v>0</v>
      </c>
      <c r="AC139" s="119">
        <v>999999</v>
      </c>
      <c r="AD139" s="117">
        <v>0</v>
      </c>
      <c r="AE139" s="117">
        <v>75</v>
      </c>
      <c r="AF139" s="144">
        <v>0</v>
      </c>
      <c r="AG139" s="145">
        <v>1</v>
      </c>
      <c r="AH139" s="145">
        <v>1</v>
      </c>
      <c r="AI139" s="145">
        <v>0</v>
      </c>
      <c r="AJ139" s="145">
        <v>0</v>
      </c>
      <c r="AK139" s="145">
        <v>1</v>
      </c>
      <c r="AL139" s="145">
        <v>0</v>
      </c>
      <c r="AM139" s="145">
        <v>1</v>
      </c>
      <c r="AN139" s="145">
        <v>1</v>
      </c>
      <c r="AO139" s="145">
        <v>1</v>
      </c>
      <c r="AP139" s="145">
        <v>1</v>
      </c>
      <c r="AQ139" s="145">
        <v>0</v>
      </c>
      <c r="AR139" s="145">
        <v>1</v>
      </c>
      <c r="AS139" s="145">
        <v>1</v>
      </c>
      <c r="AT139" s="145">
        <v>1</v>
      </c>
      <c r="AU139" s="145">
        <f t="shared" si="37"/>
        <v>0</v>
      </c>
      <c r="AV139" s="145">
        <f t="shared" si="38"/>
        <v>1</v>
      </c>
      <c r="AW139" s="145">
        <f t="shared" si="39"/>
        <v>1</v>
      </c>
      <c r="AX139" s="145">
        <f t="shared" si="49"/>
        <v>1</v>
      </c>
      <c r="AY139" s="145">
        <f t="shared" si="40"/>
        <v>0</v>
      </c>
      <c r="AZ139" s="145">
        <f t="shared" si="41"/>
        <v>1</v>
      </c>
      <c r="BA139" s="146">
        <f t="shared" si="42"/>
        <v>1</v>
      </c>
      <c r="BB139" s="149">
        <f t="shared" si="43"/>
        <v>15</v>
      </c>
      <c r="BC139" s="150">
        <f t="shared" si="44"/>
        <v>14</v>
      </c>
      <c r="BD139" s="150">
        <f t="shared" si="45"/>
        <v>15</v>
      </c>
      <c r="BE139" s="211" t="str">
        <f t="shared" si="46"/>
        <v/>
      </c>
      <c r="BH139" s="172">
        <f>IF(AND(Input_Product=Elig!$C139,Elig_MatchAll_Ct&lt;22,$BC139=(Elig_MatchAll_Ct-1),AF139=0),C139,0)</f>
        <v>0</v>
      </c>
      <c r="BI139" s="173">
        <f>IF(AND(Input_Product=Elig!$C139,Elig_MatchAll_Ct&lt;22,$BC139=(Elig_MatchAll_Ct-1),AG139=0),D139,0)</f>
        <v>0</v>
      </c>
      <c r="BJ139" s="173">
        <f>IF(AND(Input_Product=Elig!$C139,Elig_MatchAll_Ct&lt;22,$BC139=(Elig_MatchAll_Ct-1),AH139=0),E139,0)</f>
        <v>0</v>
      </c>
      <c r="BK139" s="173">
        <f>IF(AND(Input_Product=Elig!$C139,Elig_MatchAll_Ct&lt;22,$BC139=(Elig_MatchAll_Ct-1),AI139=0),F139,0)</f>
        <v>0</v>
      </c>
      <c r="BL139" s="173">
        <f>IF(AND(Input_Product=Elig!$C139,Elig_MatchAll_Ct&lt;22,$BC139=(Elig_MatchAll_Ct-1),AJ139=0),G139,0)</f>
        <v>0</v>
      </c>
      <c r="BM139" s="173">
        <f>IF(AND(Input_Product=Elig!$C139,Elig_MatchAll_Ct&lt;22,$BC139=(Elig_MatchAll_Ct-1),AK139=0),H139,0)</f>
        <v>0</v>
      </c>
      <c r="BN139" s="173">
        <f>IF(AND(Input_Product=Elig!$C139,Elig_MatchAll_Ct&lt;22,$BC139=(Elig_MatchAll_Ct-1),AL139=0),I139,0)</f>
        <v>0</v>
      </c>
      <c r="BO139" s="173">
        <f>IF(AND(Input_Product=Elig!$C139,Elig_MatchAll_Ct&lt;22,$BC139=(Elig_MatchAll_Ct-1),AM139=0),J139,0)</f>
        <v>0</v>
      </c>
      <c r="BP139" s="173">
        <f>IF(AND(Input_Product=Elig!$C139,Elig_MatchAll_Ct&lt;22,$BC139=(Elig_MatchAll_Ct-1),AN139=0),K139,0)</f>
        <v>0</v>
      </c>
      <c r="BQ139" s="173">
        <f>IF(AND(Input_Product=Elig!$C139,Elig_MatchAll_Ct&lt;22,$BC139=(Elig_MatchAll_Ct-1),AP139=0),L139,0)</f>
        <v>0</v>
      </c>
      <c r="BR139" s="173">
        <f>IF(AND(Input_Product=Elig!$C139,Elig_MatchAll_Ct&lt;22,$BC139=(Elig_MatchAll_Ct-1),AO139=0),M139,0)</f>
        <v>0</v>
      </c>
      <c r="BS139" s="173">
        <f>IF(AND(Input_Product=Elig!$C139,Elig_MatchAll_Ct&lt;22,$BC139=(Elig_MatchAll_Ct-1),AQ139=0),N139,0)</f>
        <v>0</v>
      </c>
      <c r="BT139" s="173">
        <f>IF(AND(Input_Product=Elig!$C139,Elig_MatchAll_Ct&lt;22,$BC139=(Elig_MatchAll_Ct-1),AR139=0),O139,0)</f>
        <v>0</v>
      </c>
      <c r="BU139" s="173">
        <f>IF(AND(Input_Product=Elig!$C139,Elig_MatchAll_Ct&lt;22,$BC139=(Elig_MatchAll_Ct-1),AS139=0),P139,0)</f>
        <v>0</v>
      </c>
      <c r="BV139" s="174">
        <f>IF(AND(Input_Product=Elig!$C139,Elig_MatchAll_Ct&lt;22,$BC139=(Elig_MatchAll_Ct-1),AT139=0),Q139,0)</f>
        <v>0</v>
      </c>
      <c r="BW139" s="175">
        <f>IF(AND(Input_Product=Elig!$C139,Elig_MatchAll_Ct&lt;22,$BC139=(Elig_MatchAll_Ct-1),AU139=0),R139,0)</f>
        <v>0</v>
      </c>
      <c r="BX139" s="176">
        <f>IF(AND(Input_Product=Elig!$C139,Elig_MatchAll_Ct&lt;22,$BC139=(Elig_MatchAll_Ct-1),AU139=0),S139,0)</f>
        <v>0</v>
      </c>
      <c r="BY139" s="175">
        <f>IF(AND(Input_Product=Elig!$C139,Elig_MatchAll_Ct&lt;22,$BC139=(Elig_MatchAll_Ct-1),AV139=0),T139,0)</f>
        <v>0</v>
      </c>
      <c r="BZ139" s="176">
        <f>IF(AND(Input_Product=Elig!$C139,Elig_MatchAll_Ct&lt;22,$BC139=(Elig_MatchAll_Ct-1),AV139=0),U139,0)</f>
        <v>0</v>
      </c>
      <c r="CA139" s="175">
        <f>IF(AND(Input_Product=Elig!$C139,Elig_MatchAll_Ct&lt;22,$BC139=(Elig_MatchAll_Ct-1),AW139=0),V139,0)</f>
        <v>0</v>
      </c>
      <c r="CB139" s="176">
        <f>IF(AND(Input_Product=Elig!$C139,Elig_MatchAll_Ct&lt;22,$BC139=(Elig_MatchAll_Ct-1),AW139=0),W139,0)</f>
        <v>0</v>
      </c>
      <c r="CC139" s="175">
        <f>IF(AND(Input_Product=Elig!$C139,Elig_MatchAll_Ct&lt;22,$BC139=(Elig_MatchAll_Ct-1),AX139=0),X139,0)</f>
        <v>0</v>
      </c>
      <c r="CD139" s="176">
        <f>IF(AND(Input_Product=Elig!$C139,Elig_MatchAll_Ct&lt;22,$BC139=(Elig_MatchAll_Ct-1),AX139=0),Y139,0)</f>
        <v>0</v>
      </c>
      <c r="CE139" s="175">
        <f>IF(AND(Input_LTV&lt;=AE139,Input_Product=Elig!$C139,Elig_MatchAll_Ct&lt;22,$BC139=(Elig_MatchAll_Ct-1),AY139=0),Z139,0)</f>
        <v>0</v>
      </c>
      <c r="CF139" s="176">
        <f>IF(AND(Input_LTV&lt;=AE139,Input_Product=Elig!$C139,Elig_MatchAll_Ct&lt;22,$BC139=(Elig_MatchAll_Ct-1),AY139=0),AA139,0)</f>
        <v>0</v>
      </c>
      <c r="CG139" s="175">
        <f>IF(AND(Input_Product=Elig!$C139,Elig_MatchAll_Ct&lt;22,$BC139=(Elig_MatchAll_Ct-1),AZ139=0),AB139,0)</f>
        <v>0</v>
      </c>
      <c r="CH139" s="176">
        <f>IF(AND(Input_Product=Elig!$C139,Elig_MatchAll_Ct&lt;22,$BC139=(Elig_MatchAll_Ct-1),AZ139=0),AC139,0)</f>
        <v>0</v>
      </c>
      <c r="CI139" s="175">
        <f>IF(AND(Input_Product=Elig!$C139,Elig_MatchAll_Ct&lt;22,$BC139=(Elig_MatchAll_Ct-1),BA139=0),AD139,0)</f>
        <v>0</v>
      </c>
      <c r="CJ139" s="177">
        <f>IF(AND(Input_Product=Elig!$C139,Elig_MatchAll_Ct&lt;22,$BC139=(Elig_MatchAll_Ct-1),BA139=0),AE139,0)</f>
        <v>0</v>
      </c>
    </row>
    <row r="140" spans="1:88" ht="10.15" customHeight="1" x14ac:dyDescent="0.25">
      <c r="A140" s="1419" t="s">
        <v>76</v>
      </c>
      <c r="B140" s="1419" t="s">
        <v>835</v>
      </c>
      <c r="C140" s="116" t="str">
        <f t="shared" si="30"/>
        <v>NonQM OO</v>
      </c>
      <c r="D140" s="117" t="s">
        <v>1995</v>
      </c>
      <c r="E140" s="117" t="s">
        <v>166</v>
      </c>
      <c r="F140" s="117" t="s">
        <v>330</v>
      </c>
      <c r="G140" s="117" t="s">
        <v>465</v>
      </c>
      <c r="H140" s="117" t="s">
        <v>135</v>
      </c>
      <c r="I140" s="118" t="s">
        <v>16</v>
      </c>
      <c r="J140" s="118" t="s">
        <v>1130</v>
      </c>
      <c r="K140" s="118" t="s">
        <v>1398</v>
      </c>
      <c r="L140" s="117" t="s">
        <v>2025</v>
      </c>
      <c r="M140" s="117" t="s">
        <v>2289</v>
      </c>
      <c r="N140" s="117" t="s">
        <v>82</v>
      </c>
      <c r="O140" s="117" t="s">
        <v>309</v>
      </c>
      <c r="P140" s="117" t="s">
        <v>2433</v>
      </c>
      <c r="Q140" s="117" t="s">
        <v>293</v>
      </c>
      <c r="R140" s="117">
        <v>1500000.01</v>
      </c>
      <c r="S140" s="117">
        <v>2000000</v>
      </c>
      <c r="T140" s="117">
        <v>0</v>
      </c>
      <c r="U140" s="117">
        <f t="shared" si="50"/>
        <v>2000000</v>
      </c>
      <c r="V140" s="117">
        <v>0</v>
      </c>
      <c r="W140" s="117">
        <v>55</v>
      </c>
      <c r="X140" s="117">
        <v>0</v>
      </c>
      <c r="Y140" s="117">
        <v>999</v>
      </c>
      <c r="Z140" s="119">
        <v>680</v>
      </c>
      <c r="AA140" s="119">
        <v>699</v>
      </c>
      <c r="AB140" s="1877">
        <v>0</v>
      </c>
      <c r="AC140" s="119">
        <v>999999</v>
      </c>
      <c r="AD140" s="117">
        <v>0</v>
      </c>
      <c r="AE140" s="117">
        <v>70</v>
      </c>
      <c r="AF140" s="144">
        <v>0</v>
      </c>
      <c r="AG140" s="145">
        <v>1</v>
      </c>
      <c r="AH140" s="145">
        <v>1</v>
      </c>
      <c r="AI140" s="145">
        <v>0</v>
      </c>
      <c r="AJ140" s="145">
        <v>0</v>
      </c>
      <c r="AK140" s="145">
        <v>1</v>
      </c>
      <c r="AL140" s="145">
        <v>0</v>
      </c>
      <c r="AM140" s="145">
        <v>1</v>
      </c>
      <c r="AN140" s="145">
        <v>1</v>
      </c>
      <c r="AO140" s="145">
        <v>1</v>
      </c>
      <c r="AP140" s="145">
        <v>1</v>
      </c>
      <c r="AQ140" s="145">
        <v>0</v>
      </c>
      <c r="AR140" s="145">
        <v>1</v>
      </c>
      <c r="AS140" s="145">
        <v>1</v>
      </c>
      <c r="AT140" s="145">
        <v>1</v>
      </c>
      <c r="AU140" s="145">
        <f t="shared" si="37"/>
        <v>0</v>
      </c>
      <c r="AV140" s="145">
        <f t="shared" si="38"/>
        <v>1</v>
      </c>
      <c r="AW140" s="145">
        <f t="shared" si="39"/>
        <v>1</v>
      </c>
      <c r="AX140" s="145">
        <f t="shared" si="49"/>
        <v>1</v>
      </c>
      <c r="AY140" s="145">
        <f t="shared" si="40"/>
        <v>0</v>
      </c>
      <c r="AZ140" s="145">
        <f t="shared" si="41"/>
        <v>1</v>
      </c>
      <c r="BA140" s="146">
        <f t="shared" si="42"/>
        <v>1</v>
      </c>
      <c r="BB140" s="149">
        <f t="shared" si="43"/>
        <v>15</v>
      </c>
      <c r="BC140" s="150">
        <f t="shared" si="44"/>
        <v>14</v>
      </c>
      <c r="BD140" s="150">
        <f t="shared" si="45"/>
        <v>15</v>
      </c>
      <c r="BE140" s="211" t="str">
        <f t="shared" si="46"/>
        <v/>
      </c>
      <c r="BH140" s="172">
        <f>IF(AND(Input_Product=Elig!$C140,Elig_MatchAll_Ct&lt;22,$BC140=(Elig_MatchAll_Ct-1),AF140=0),C140,0)</f>
        <v>0</v>
      </c>
      <c r="BI140" s="173">
        <f>IF(AND(Input_Product=Elig!$C140,Elig_MatchAll_Ct&lt;22,$BC140=(Elig_MatchAll_Ct-1),AG140=0),D140,0)</f>
        <v>0</v>
      </c>
      <c r="BJ140" s="173">
        <f>IF(AND(Input_Product=Elig!$C140,Elig_MatchAll_Ct&lt;22,$BC140=(Elig_MatchAll_Ct-1),AH140=0),E140,0)</f>
        <v>0</v>
      </c>
      <c r="BK140" s="173">
        <f>IF(AND(Input_Product=Elig!$C140,Elig_MatchAll_Ct&lt;22,$BC140=(Elig_MatchAll_Ct-1),AI140=0),F140,0)</f>
        <v>0</v>
      </c>
      <c r="BL140" s="173">
        <f>IF(AND(Input_Product=Elig!$C140,Elig_MatchAll_Ct&lt;22,$BC140=(Elig_MatchAll_Ct-1),AJ140=0),G140,0)</f>
        <v>0</v>
      </c>
      <c r="BM140" s="173">
        <f>IF(AND(Input_Product=Elig!$C140,Elig_MatchAll_Ct&lt;22,$BC140=(Elig_MatchAll_Ct-1),AK140=0),H140,0)</f>
        <v>0</v>
      </c>
      <c r="BN140" s="173">
        <f>IF(AND(Input_Product=Elig!$C140,Elig_MatchAll_Ct&lt;22,$BC140=(Elig_MatchAll_Ct-1),AL140=0),I140,0)</f>
        <v>0</v>
      </c>
      <c r="BO140" s="173">
        <f>IF(AND(Input_Product=Elig!$C140,Elig_MatchAll_Ct&lt;22,$BC140=(Elig_MatchAll_Ct-1),AM140=0),J140,0)</f>
        <v>0</v>
      </c>
      <c r="BP140" s="173">
        <f>IF(AND(Input_Product=Elig!$C140,Elig_MatchAll_Ct&lt;22,$BC140=(Elig_MatchAll_Ct-1),AN140=0),K140,0)</f>
        <v>0</v>
      </c>
      <c r="BQ140" s="173">
        <f>IF(AND(Input_Product=Elig!$C140,Elig_MatchAll_Ct&lt;22,$BC140=(Elig_MatchAll_Ct-1),AP140=0),L140,0)</f>
        <v>0</v>
      </c>
      <c r="BR140" s="173">
        <f>IF(AND(Input_Product=Elig!$C140,Elig_MatchAll_Ct&lt;22,$BC140=(Elig_MatchAll_Ct-1),AO140=0),M140,0)</f>
        <v>0</v>
      </c>
      <c r="BS140" s="173">
        <f>IF(AND(Input_Product=Elig!$C140,Elig_MatchAll_Ct&lt;22,$BC140=(Elig_MatchAll_Ct-1),AQ140=0),N140,0)</f>
        <v>0</v>
      </c>
      <c r="BT140" s="173">
        <f>IF(AND(Input_Product=Elig!$C140,Elig_MatchAll_Ct&lt;22,$BC140=(Elig_MatchAll_Ct-1),AR140=0),O140,0)</f>
        <v>0</v>
      </c>
      <c r="BU140" s="173">
        <f>IF(AND(Input_Product=Elig!$C140,Elig_MatchAll_Ct&lt;22,$BC140=(Elig_MatchAll_Ct-1),AS140=0),P140,0)</f>
        <v>0</v>
      </c>
      <c r="BV140" s="174">
        <f>IF(AND(Input_Product=Elig!$C140,Elig_MatchAll_Ct&lt;22,$BC140=(Elig_MatchAll_Ct-1),AT140=0),Q140,0)</f>
        <v>0</v>
      </c>
      <c r="BW140" s="175">
        <f>IF(AND(Input_Product=Elig!$C140,Elig_MatchAll_Ct&lt;22,$BC140=(Elig_MatchAll_Ct-1),AU140=0),R140,0)</f>
        <v>0</v>
      </c>
      <c r="BX140" s="176">
        <f>IF(AND(Input_Product=Elig!$C140,Elig_MatchAll_Ct&lt;22,$BC140=(Elig_MatchAll_Ct-1),AU140=0),S140,0)</f>
        <v>0</v>
      </c>
      <c r="BY140" s="175">
        <f>IF(AND(Input_Product=Elig!$C140,Elig_MatchAll_Ct&lt;22,$BC140=(Elig_MatchAll_Ct-1),AV140=0),T140,0)</f>
        <v>0</v>
      </c>
      <c r="BZ140" s="176">
        <f>IF(AND(Input_Product=Elig!$C140,Elig_MatchAll_Ct&lt;22,$BC140=(Elig_MatchAll_Ct-1),AV140=0),U140,0)</f>
        <v>0</v>
      </c>
      <c r="CA140" s="175">
        <f>IF(AND(Input_Product=Elig!$C140,Elig_MatchAll_Ct&lt;22,$BC140=(Elig_MatchAll_Ct-1),AW140=0),V140,0)</f>
        <v>0</v>
      </c>
      <c r="CB140" s="176">
        <f>IF(AND(Input_Product=Elig!$C140,Elig_MatchAll_Ct&lt;22,$BC140=(Elig_MatchAll_Ct-1),AW140=0),W140,0)</f>
        <v>0</v>
      </c>
      <c r="CC140" s="175">
        <f>IF(AND(Input_Product=Elig!$C140,Elig_MatchAll_Ct&lt;22,$BC140=(Elig_MatchAll_Ct-1),AX140=0),X140,0)</f>
        <v>0</v>
      </c>
      <c r="CD140" s="176">
        <f>IF(AND(Input_Product=Elig!$C140,Elig_MatchAll_Ct&lt;22,$BC140=(Elig_MatchAll_Ct-1),AX140=0),Y140,0)</f>
        <v>0</v>
      </c>
      <c r="CE140" s="175">
        <f>IF(AND(Input_LTV&lt;=AE140,Input_Product=Elig!$C140,Elig_MatchAll_Ct&lt;22,$BC140=(Elig_MatchAll_Ct-1),AY140=0),Z140,0)</f>
        <v>0</v>
      </c>
      <c r="CF140" s="176">
        <f>IF(AND(Input_LTV&lt;=AE140,Input_Product=Elig!$C140,Elig_MatchAll_Ct&lt;22,$BC140=(Elig_MatchAll_Ct-1),AY140=0),AA140,0)</f>
        <v>0</v>
      </c>
      <c r="CG140" s="175">
        <f>IF(AND(Input_Product=Elig!$C140,Elig_MatchAll_Ct&lt;22,$BC140=(Elig_MatchAll_Ct-1),AZ140=0),AB140,0)</f>
        <v>0</v>
      </c>
      <c r="CH140" s="176">
        <f>IF(AND(Input_Product=Elig!$C140,Elig_MatchAll_Ct&lt;22,$BC140=(Elig_MatchAll_Ct-1),AZ140=0),AC140,0)</f>
        <v>0</v>
      </c>
      <c r="CI140" s="175">
        <f>IF(AND(Input_Product=Elig!$C140,Elig_MatchAll_Ct&lt;22,$BC140=(Elig_MatchAll_Ct-1),BA140=0),AD140,0)</f>
        <v>0</v>
      </c>
      <c r="CJ140" s="177">
        <f>IF(AND(Input_Product=Elig!$C140,Elig_MatchAll_Ct&lt;22,$BC140=(Elig_MatchAll_Ct-1),BA140=0),AE140,0)</f>
        <v>0</v>
      </c>
    </row>
    <row r="141" spans="1:88" ht="10.15" customHeight="1" x14ac:dyDescent="0.25">
      <c r="A141" s="1419" t="s">
        <v>76</v>
      </c>
      <c r="B141" s="1419" t="s">
        <v>836</v>
      </c>
      <c r="C141" s="116" t="str">
        <f t="shared" si="30"/>
        <v>NonQM OO</v>
      </c>
      <c r="D141" s="117" t="s">
        <v>1995</v>
      </c>
      <c r="E141" s="117" t="s">
        <v>166</v>
      </c>
      <c r="F141" s="117" t="s">
        <v>330</v>
      </c>
      <c r="G141" s="117" t="s">
        <v>465</v>
      </c>
      <c r="H141" s="117" t="s">
        <v>135</v>
      </c>
      <c r="I141" s="117" t="s">
        <v>16</v>
      </c>
      <c r="J141" s="117" t="s">
        <v>1130</v>
      </c>
      <c r="K141" s="117" t="s">
        <v>1398</v>
      </c>
      <c r="L141" s="117" t="s">
        <v>2025</v>
      </c>
      <c r="M141" s="117" t="s">
        <v>2289</v>
      </c>
      <c r="N141" s="117" t="s">
        <v>82</v>
      </c>
      <c r="O141" s="117" t="s">
        <v>309</v>
      </c>
      <c r="P141" s="117" t="s">
        <v>2433</v>
      </c>
      <c r="Q141" s="117" t="s">
        <v>293</v>
      </c>
      <c r="R141" s="117">
        <v>1500000.01</v>
      </c>
      <c r="S141" s="117">
        <v>2000000</v>
      </c>
      <c r="T141" s="117">
        <v>0</v>
      </c>
      <c r="U141" s="117">
        <f t="shared" si="50"/>
        <v>2000000</v>
      </c>
      <c r="V141" s="117">
        <v>0</v>
      </c>
      <c r="W141" s="117">
        <v>55</v>
      </c>
      <c r="X141" s="117">
        <v>0</v>
      </c>
      <c r="Y141" s="117">
        <v>999</v>
      </c>
      <c r="Z141" s="119">
        <v>660</v>
      </c>
      <c r="AA141" s="119">
        <v>679</v>
      </c>
      <c r="AB141" s="1877">
        <v>0</v>
      </c>
      <c r="AC141" s="119">
        <v>999999</v>
      </c>
      <c r="AD141" s="117">
        <v>0</v>
      </c>
      <c r="AE141" s="117">
        <v>65</v>
      </c>
      <c r="AF141" s="144">
        <v>0</v>
      </c>
      <c r="AG141" s="145">
        <v>1</v>
      </c>
      <c r="AH141" s="145">
        <v>1</v>
      </c>
      <c r="AI141" s="145">
        <v>0</v>
      </c>
      <c r="AJ141" s="145">
        <v>0</v>
      </c>
      <c r="AK141" s="145">
        <v>1</v>
      </c>
      <c r="AL141" s="145">
        <v>0</v>
      </c>
      <c r="AM141" s="145">
        <v>1</v>
      </c>
      <c r="AN141" s="145">
        <v>1</v>
      </c>
      <c r="AO141" s="145">
        <v>1</v>
      </c>
      <c r="AP141" s="145">
        <v>1</v>
      </c>
      <c r="AQ141" s="145">
        <v>0</v>
      </c>
      <c r="AR141" s="145">
        <v>1</v>
      </c>
      <c r="AS141" s="145">
        <v>1</v>
      </c>
      <c r="AT141" s="145">
        <v>1</v>
      </c>
      <c r="AU141" s="145">
        <f t="shared" si="37"/>
        <v>0</v>
      </c>
      <c r="AV141" s="145">
        <f t="shared" si="38"/>
        <v>1</v>
      </c>
      <c r="AW141" s="145">
        <f t="shared" si="39"/>
        <v>1</v>
      </c>
      <c r="AX141" s="145">
        <f t="shared" si="49"/>
        <v>1</v>
      </c>
      <c r="AY141" s="145">
        <f t="shared" si="40"/>
        <v>0</v>
      </c>
      <c r="AZ141" s="145">
        <f t="shared" si="41"/>
        <v>1</v>
      </c>
      <c r="BA141" s="146">
        <f t="shared" si="42"/>
        <v>0</v>
      </c>
      <c r="BB141" s="149">
        <f t="shared" si="43"/>
        <v>14</v>
      </c>
      <c r="BC141" s="150">
        <f t="shared" si="44"/>
        <v>14</v>
      </c>
      <c r="BD141" s="150">
        <f t="shared" si="45"/>
        <v>14</v>
      </c>
      <c r="BE141" s="211" t="str">
        <f t="shared" si="46"/>
        <v/>
      </c>
      <c r="BH141" s="172">
        <f>IF(AND(Input_Product=Elig!$C141,Elig_MatchAll_Ct&lt;22,$BC141=(Elig_MatchAll_Ct-1),AF141=0),C141,0)</f>
        <v>0</v>
      </c>
      <c r="BI141" s="173">
        <f>IF(AND(Input_Product=Elig!$C141,Elig_MatchAll_Ct&lt;22,$BC141=(Elig_MatchAll_Ct-1),AG141=0),D141,0)</f>
        <v>0</v>
      </c>
      <c r="BJ141" s="173">
        <f>IF(AND(Input_Product=Elig!$C141,Elig_MatchAll_Ct&lt;22,$BC141=(Elig_MatchAll_Ct-1),AH141=0),E141,0)</f>
        <v>0</v>
      </c>
      <c r="BK141" s="173">
        <f>IF(AND(Input_Product=Elig!$C141,Elig_MatchAll_Ct&lt;22,$BC141=(Elig_MatchAll_Ct-1),AI141=0),F141,0)</f>
        <v>0</v>
      </c>
      <c r="BL141" s="173">
        <f>IF(AND(Input_Product=Elig!$C141,Elig_MatchAll_Ct&lt;22,$BC141=(Elig_MatchAll_Ct-1),AJ141=0),G141,0)</f>
        <v>0</v>
      </c>
      <c r="BM141" s="173">
        <f>IF(AND(Input_Product=Elig!$C141,Elig_MatchAll_Ct&lt;22,$BC141=(Elig_MatchAll_Ct-1),AK141=0),H141,0)</f>
        <v>0</v>
      </c>
      <c r="BN141" s="173">
        <f>IF(AND(Input_Product=Elig!$C141,Elig_MatchAll_Ct&lt;22,$BC141=(Elig_MatchAll_Ct-1),AL141=0),I141,0)</f>
        <v>0</v>
      </c>
      <c r="BO141" s="173">
        <f>IF(AND(Input_Product=Elig!$C141,Elig_MatchAll_Ct&lt;22,$BC141=(Elig_MatchAll_Ct-1),AM141=0),J141,0)</f>
        <v>0</v>
      </c>
      <c r="BP141" s="173">
        <f>IF(AND(Input_Product=Elig!$C141,Elig_MatchAll_Ct&lt;22,$BC141=(Elig_MatchAll_Ct-1),AN141=0),K141,0)</f>
        <v>0</v>
      </c>
      <c r="BQ141" s="173">
        <f>IF(AND(Input_Product=Elig!$C141,Elig_MatchAll_Ct&lt;22,$BC141=(Elig_MatchAll_Ct-1),AP141=0),L141,0)</f>
        <v>0</v>
      </c>
      <c r="BR141" s="173">
        <f>IF(AND(Input_Product=Elig!$C141,Elig_MatchAll_Ct&lt;22,$BC141=(Elig_MatchAll_Ct-1),AO141=0),M141,0)</f>
        <v>0</v>
      </c>
      <c r="BS141" s="173">
        <f>IF(AND(Input_Product=Elig!$C141,Elig_MatchAll_Ct&lt;22,$BC141=(Elig_MatchAll_Ct-1),AQ141=0),N141,0)</f>
        <v>0</v>
      </c>
      <c r="BT141" s="173">
        <f>IF(AND(Input_Product=Elig!$C141,Elig_MatchAll_Ct&lt;22,$BC141=(Elig_MatchAll_Ct-1),AR141=0),O141,0)</f>
        <v>0</v>
      </c>
      <c r="BU141" s="173">
        <f>IF(AND(Input_Product=Elig!$C141,Elig_MatchAll_Ct&lt;22,$BC141=(Elig_MatchAll_Ct-1),AS141=0),P141,0)</f>
        <v>0</v>
      </c>
      <c r="BV141" s="174">
        <f>IF(AND(Input_Product=Elig!$C141,Elig_MatchAll_Ct&lt;22,$BC141=(Elig_MatchAll_Ct-1),AT141=0),Q141,0)</f>
        <v>0</v>
      </c>
      <c r="BW141" s="175">
        <f>IF(AND(Input_Product=Elig!$C141,Elig_MatchAll_Ct&lt;22,$BC141=(Elig_MatchAll_Ct-1),AU141=0),R141,0)</f>
        <v>0</v>
      </c>
      <c r="BX141" s="176">
        <f>IF(AND(Input_Product=Elig!$C141,Elig_MatchAll_Ct&lt;22,$BC141=(Elig_MatchAll_Ct-1),AU141=0),S141,0)</f>
        <v>0</v>
      </c>
      <c r="BY141" s="175">
        <f>IF(AND(Input_Product=Elig!$C141,Elig_MatchAll_Ct&lt;22,$BC141=(Elig_MatchAll_Ct-1),AV141=0),T141,0)</f>
        <v>0</v>
      </c>
      <c r="BZ141" s="176">
        <f>IF(AND(Input_Product=Elig!$C141,Elig_MatchAll_Ct&lt;22,$BC141=(Elig_MatchAll_Ct-1),AV141=0),U141,0)</f>
        <v>0</v>
      </c>
      <c r="CA141" s="175">
        <f>IF(AND(Input_Product=Elig!$C141,Elig_MatchAll_Ct&lt;22,$BC141=(Elig_MatchAll_Ct-1),AW141=0),V141,0)</f>
        <v>0</v>
      </c>
      <c r="CB141" s="176">
        <f>IF(AND(Input_Product=Elig!$C141,Elig_MatchAll_Ct&lt;22,$BC141=(Elig_MatchAll_Ct-1),AW141=0),W141,0)</f>
        <v>0</v>
      </c>
      <c r="CC141" s="175">
        <f>IF(AND(Input_Product=Elig!$C141,Elig_MatchAll_Ct&lt;22,$BC141=(Elig_MatchAll_Ct-1),AX141=0),X141,0)</f>
        <v>0</v>
      </c>
      <c r="CD141" s="176">
        <f>IF(AND(Input_Product=Elig!$C141,Elig_MatchAll_Ct&lt;22,$BC141=(Elig_MatchAll_Ct-1),AX141=0),Y141,0)</f>
        <v>0</v>
      </c>
      <c r="CE141" s="175">
        <f>IF(AND(Input_LTV&lt;=AE141,Input_Product=Elig!$C141,Elig_MatchAll_Ct&lt;22,$BC141=(Elig_MatchAll_Ct-1),AY141=0),Z141,0)</f>
        <v>0</v>
      </c>
      <c r="CF141" s="176">
        <f>IF(AND(Input_LTV&lt;=AE141,Input_Product=Elig!$C141,Elig_MatchAll_Ct&lt;22,$BC141=(Elig_MatchAll_Ct-1),AY141=0),AA141,0)</f>
        <v>0</v>
      </c>
      <c r="CG141" s="175">
        <f>IF(AND(Input_Product=Elig!$C141,Elig_MatchAll_Ct&lt;22,$BC141=(Elig_MatchAll_Ct-1),AZ141=0),AB141,0)</f>
        <v>0</v>
      </c>
      <c r="CH141" s="176">
        <f>IF(AND(Input_Product=Elig!$C141,Elig_MatchAll_Ct&lt;22,$BC141=(Elig_MatchAll_Ct-1),AZ141=0),AC141,0)</f>
        <v>0</v>
      </c>
      <c r="CI141" s="175">
        <f>IF(AND(Input_Product=Elig!$C141,Elig_MatchAll_Ct&lt;22,$BC141=(Elig_MatchAll_Ct-1),BA141=0),AD141,0)</f>
        <v>0</v>
      </c>
      <c r="CJ141" s="177">
        <f>IF(AND(Input_Product=Elig!$C141,Elig_MatchAll_Ct&lt;22,$BC141=(Elig_MatchAll_Ct-1),BA141=0),AE141,0)</f>
        <v>0</v>
      </c>
    </row>
    <row r="142" spans="1:88" ht="10.15" customHeight="1" x14ac:dyDescent="0.25">
      <c r="A142" s="1923" t="s">
        <v>2507</v>
      </c>
      <c r="B142" s="1923" t="s">
        <v>2479</v>
      </c>
      <c r="C142" s="1927" t="str">
        <f t="shared" si="30"/>
        <v>NonQM OO</v>
      </c>
      <c r="D142" s="1928" t="s">
        <v>1995</v>
      </c>
      <c r="E142" s="1929" t="s">
        <v>166</v>
      </c>
      <c r="F142" s="1929" t="s">
        <v>330</v>
      </c>
      <c r="G142" s="1929" t="s">
        <v>178</v>
      </c>
      <c r="H142" s="1929" t="s">
        <v>135</v>
      </c>
      <c r="I142" s="1928" t="s">
        <v>273</v>
      </c>
      <c r="J142" s="1928" t="s">
        <v>1130</v>
      </c>
      <c r="K142" s="1928" t="s">
        <v>1398</v>
      </c>
      <c r="L142" s="1929" t="s">
        <v>2025</v>
      </c>
      <c r="M142" s="1929" t="s">
        <v>2289</v>
      </c>
      <c r="N142" s="1929" t="s">
        <v>82</v>
      </c>
      <c r="O142" s="1929" t="s">
        <v>309</v>
      </c>
      <c r="P142" s="1929" t="s">
        <v>2433</v>
      </c>
      <c r="Q142" s="1929" t="s">
        <v>293</v>
      </c>
      <c r="R142" s="1928">
        <v>1500000.01</v>
      </c>
      <c r="S142" s="1928">
        <v>2000000</v>
      </c>
      <c r="T142" s="1928">
        <v>0</v>
      </c>
      <c r="U142" s="1928">
        <v>0</v>
      </c>
      <c r="V142" s="1928">
        <v>0</v>
      </c>
      <c r="W142" s="1928">
        <v>55</v>
      </c>
      <c r="X142" s="1928">
        <v>0</v>
      </c>
      <c r="Y142" s="1928">
        <v>999</v>
      </c>
      <c r="Z142" s="1879">
        <v>720</v>
      </c>
      <c r="AA142" s="1879">
        <v>999</v>
      </c>
      <c r="AB142" s="1879">
        <v>0</v>
      </c>
      <c r="AC142" s="1879">
        <v>999999</v>
      </c>
      <c r="AD142" s="1928">
        <v>80.010000000000005</v>
      </c>
      <c r="AE142" s="1928">
        <v>85</v>
      </c>
      <c r="AF142" s="144">
        <v>0</v>
      </c>
      <c r="AG142" s="145">
        <v>1</v>
      </c>
      <c r="AH142" s="145">
        <v>1</v>
      </c>
      <c r="AI142" s="145">
        <v>0</v>
      </c>
      <c r="AJ142" s="145">
        <v>0</v>
      </c>
      <c r="AK142" s="145">
        <v>1</v>
      </c>
      <c r="AL142" s="145">
        <v>1</v>
      </c>
      <c r="AM142" s="145">
        <v>1</v>
      </c>
      <c r="AN142" s="145">
        <v>1</v>
      </c>
      <c r="AO142" s="145">
        <v>1</v>
      </c>
      <c r="AP142" s="145">
        <v>1</v>
      </c>
      <c r="AQ142" s="145">
        <v>0</v>
      </c>
      <c r="AR142" s="145">
        <v>1</v>
      </c>
      <c r="AS142" s="145">
        <v>1</v>
      </c>
      <c r="AT142" s="145">
        <v>1</v>
      </c>
      <c r="AU142" s="145">
        <f t="shared" si="37"/>
        <v>0</v>
      </c>
      <c r="AV142" s="145">
        <f t="shared" si="38"/>
        <v>1</v>
      </c>
      <c r="AW142" s="145">
        <f t="shared" si="39"/>
        <v>1</v>
      </c>
      <c r="AX142" s="145">
        <f t="shared" si="49"/>
        <v>1</v>
      </c>
      <c r="AY142" s="145">
        <f t="shared" si="40"/>
        <v>1</v>
      </c>
      <c r="AZ142" s="145">
        <f t="shared" si="41"/>
        <v>1</v>
      </c>
      <c r="BA142" s="146">
        <f t="shared" si="42"/>
        <v>0</v>
      </c>
      <c r="BB142" s="149">
        <f t="shared" si="43"/>
        <v>16</v>
      </c>
      <c r="BC142" s="150">
        <f t="shared" si="44"/>
        <v>16</v>
      </c>
      <c r="BD142" s="150">
        <f t="shared" si="45"/>
        <v>16</v>
      </c>
      <c r="BE142" s="211" t="str">
        <f t="shared" si="46"/>
        <v/>
      </c>
      <c r="BH142" s="166">
        <f>IF(AND(Input_Product=Elig!$C142,Elig_MatchAll_Ct&lt;22,$BC142=(Elig_MatchAll_Ct-1),AF142=0),C142,0)</f>
        <v>0</v>
      </c>
      <c r="BI142" s="167">
        <f>IF(AND(Input_Product=Elig!$C142,Elig_MatchAll_Ct&lt;22,$BC142=(Elig_MatchAll_Ct-1),AG142=0),D142,0)</f>
        <v>0</v>
      </c>
      <c r="BJ142" s="167">
        <f>IF(AND(Input_Product=Elig!$C142,Elig_MatchAll_Ct&lt;22,$BC142=(Elig_MatchAll_Ct-1),AH142=0),E142,0)</f>
        <v>0</v>
      </c>
      <c r="BK142" s="167">
        <f>IF(AND(Input_Product=Elig!$C142,Elig_MatchAll_Ct&lt;22,$BC142=(Elig_MatchAll_Ct-1),AI142=0),F142,0)</f>
        <v>0</v>
      </c>
      <c r="BL142" s="167">
        <f>IF(AND(Input_Product=Elig!$C142,Elig_MatchAll_Ct&lt;22,$BC142=(Elig_MatchAll_Ct-1),AJ142=0),G142,0)</f>
        <v>0</v>
      </c>
      <c r="BM142" s="167">
        <f>IF(AND(Input_Product=Elig!$C142,Elig_MatchAll_Ct&lt;22,$BC142=(Elig_MatchAll_Ct-1),AK142=0),H142,0)</f>
        <v>0</v>
      </c>
      <c r="BN142" s="167">
        <f>IF(AND(Input_Product=Elig!$C142,Elig_MatchAll_Ct&lt;22,$BC142=(Elig_MatchAll_Ct-1),AL142=0),I142,0)</f>
        <v>0</v>
      </c>
      <c r="BO142" s="167">
        <f>IF(AND(Input_Product=Elig!$C142,Elig_MatchAll_Ct&lt;22,$BC142=(Elig_MatchAll_Ct-1),AM142=0),J142,0)</f>
        <v>0</v>
      </c>
      <c r="BP142" s="167">
        <f>IF(AND(Input_Product=Elig!$C142,Elig_MatchAll_Ct&lt;22,$BC142=(Elig_MatchAll_Ct-1),AN142=0),K142,0)</f>
        <v>0</v>
      </c>
      <c r="BQ142" s="167">
        <f>IF(AND(Input_Product=Elig!$C142,Elig_MatchAll_Ct&lt;22,$BC142=(Elig_MatchAll_Ct-1),AP142=0),L142,0)</f>
        <v>0</v>
      </c>
      <c r="BR142" s="167">
        <f>IF(AND(Input_Product=Elig!$C142,Elig_MatchAll_Ct&lt;22,$BC142=(Elig_MatchAll_Ct-1),AO142=0),M142,0)</f>
        <v>0</v>
      </c>
      <c r="BS142" s="167">
        <f>IF(AND(Input_Product=Elig!$C142,Elig_MatchAll_Ct&lt;22,$BC142=(Elig_MatchAll_Ct-1),AQ142=0),N142,0)</f>
        <v>0</v>
      </c>
      <c r="BT142" s="167">
        <f>IF(AND(Input_Product=Elig!$C142,Elig_MatchAll_Ct&lt;22,$BC142=(Elig_MatchAll_Ct-1),AR142=0),O142,0)</f>
        <v>0</v>
      </c>
      <c r="BU142" s="167">
        <f>IF(AND(Input_Product=Elig!$C142,Elig_MatchAll_Ct&lt;22,$BC142=(Elig_MatchAll_Ct-1),AS142=0),P142,0)</f>
        <v>0</v>
      </c>
      <c r="BV142" s="168">
        <f>IF(AND(Input_Product=Elig!$C142,Elig_MatchAll_Ct&lt;22,$BC142=(Elig_MatchAll_Ct-1),AT142=0),Q142,0)</f>
        <v>0</v>
      </c>
      <c r="BW142" s="169">
        <f>IF(AND(Input_Product=Elig!$C142,Elig_MatchAll_Ct&lt;22,$BC142=(Elig_MatchAll_Ct-1),AU142=0),R142,0)</f>
        <v>0</v>
      </c>
      <c r="BX142" s="170">
        <f>IF(AND(Input_Product=Elig!$C142,Elig_MatchAll_Ct&lt;22,$BC142=(Elig_MatchAll_Ct-1),AU142=0),S142,0)</f>
        <v>0</v>
      </c>
      <c r="BY142" s="169">
        <f>IF(AND(Input_Product=Elig!$C142,Elig_MatchAll_Ct&lt;22,$BC142=(Elig_MatchAll_Ct-1),AV142=0),T142,0)</f>
        <v>0</v>
      </c>
      <c r="BZ142" s="170">
        <f>IF(AND(Input_Product=Elig!$C142,Elig_MatchAll_Ct&lt;22,$BC142=(Elig_MatchAll_Ct-1),AV142=0),U142,0)</f>
        <v>0</v>
      </c>
      <c r="CA142" s="169">
        <f>IF(AND(Input_Product=Elig!$C142,Elig_MatchAll_Ct&lt;22,$BC142=(Elig_MatchAll_Ct-1),AW142=0),V142,0)</f>
        <v>0</v>
      </c>
      <c r="CB142" s="170">
        <f>IF(AND(Input_Product=Elig!$C142,Elig_MatchAll_Ct&lt;22,$BC142=(Elig_MatchAll_Ct-1),AW142=0),W142,0)</f>
        <v>0</v>
      </c>
      <c r="CC142" s="169">
        <f>IF(AND(Input_Product=Elig!$C142,Elig_MatchAll_Ct&lt;22,$BC142=(Elig_MatchAll_Ct-1),AX142=0),X142,0)</f>
        <v>0</v>
      </c>
      <c r="CD142" s="170">
        <f>IF(AND(Input_Product=Elig!$C142,Elig_MatchAll_Ct&lt;22,$BC142=(Elig_MatchAll_Ct-1),AX142=0),Y142,0)</f>
        <v>0</v>
      </c>
      <c r="CE142" s="169">
        <f>IF(AND(Input_LTV&lt;=AE142,Input_Product=Elig!$C142,Elig_MatchAll_Ct&lt;22,$BC142=(Elig_MatchAll_Ct-1),AY142=0),Z142,0)</f>
        <v>0</v>
      </c>
      <c r="CF142" s="170">
        <f>IF(AND(Input_LTV&lt;=AE142,Input_Product=Elig!$C142,Elig_MatchAll_Ct&lt;22,$BC142=(Elig_MatchAll_Ct-1),AY142=0),AA142,0)</f>
        <v>0</v>
      </c>
      <c r="CG142" s="169">
        <f>IF(AND(Input_Product=Elig!$C142,Elig_MatchAll_Ct&lt;22,$BC142=(Elig_MatchAll_Ct-1),AZ142=0),AB142,0)</f>
        <v>0</v>
      </c>
      <c r="CH142" s="170">
        <f>IF(AND(Input_Product=Elig!$C142,Elig_MatchAll_Ct&lt;22,$BC142=(Elig_MatchAll_Ct-1),AZ142=0),AC142,0)</f>
        <v>0</v>
      </c>
      <c r="CI142" s="169">
        <f>IF(AND(Input_Product=Elig!$C142,Elig_MatchAll_Ct&lt;22,$BC142=(Elig_MatchAll_Ct-1),BA142=0),AD142,0)</f>
        <v>0</v>
      </c>
      <c r="CJ142" s="171">
        <f>IF(AND(Input_Product=Elig!$C142,Elig_MatchAll_Ct&lt;22,$BC142=(Elig_MatchAll_Ct-1),BA142=0),AE142,0)</f>
        <v>0</v>
      </c>
    </row>
    <row r="143" spans="1:88" ht="10.15" customHeight="1" x14ac:dyDescent="0.25">
      <c r="A143" s="1419" t="s">
        <v>76</v>
      </c>
      <c r="B143" s="1419" t="s">
        <v>837</v>
      </c>
      <c r="C143" s="123" t="str">
        <f t="shared" si="30"/>
        <v>NonQM OO</v>
      </c>
      <c r="D143" s="124" t="s">
        <v>1995</v>
      </c>
      <c r="E143" s="125" t="s">
        <v>166</v>
      </c>
      <c r="F143" s="125" t="s">
        <v>330</v>
      </c>
      <c r="G143" s="125" t="s">
        <v>178</v>
      </c>
      <c r="H143" s="125" t="s">
        <v>135</v>
      </c>
      <c r="I143" s="124" t="s">
        <v>273</v>
      </c>
      <c r="J143" s="124" t="s">
        <v>1130</v>
      </c>
      <c r="K143" s="124" t="s">
        <v>1398</v>
      </c>
      <c r="L143" s="125" t="s">
        <v>2025</v>
      </c>
      <c r="M143" s="125" t="s">
        <v>2289</v>
      </c>
      <c r="N143" s="125" t="s">
        <v>82</v>
      </c>
      <c r="O143" s="125" t="s">
        <v>309</v>
      </c>
      <c r="P143" s="125" t="s">
        <v>2433</v>
      </c>
      <c r="Q143" s="125" t="s">
        <v>293</v>
      </c>
      <c r="R143" s="124">
        <v>1500000.01</v>
      </c>
      <c r="S143" s="124">
        <v>2000000</v>
      </c>
      <c r="T143" s="124">
        <v>0</v>
      </c>
      <c r="U143" s="124">
        <v>0</v>
      </c>
      <c r="V143" s="124">
        <v>0</v>
      </c>
      <c r="W143" s="124">
        <v>55</v>
      </c>
      <c r="X143" s="124">
        <v>0</v>
      </c>
      <c r="Y143" s="124">
        <v>999</v>
      </c>
      <c r="Z143" s="126">
        <v>720</v>
      </c>
      <c r="AA143" s="126">
        <v>999</v>
      </c>
      <c r="AB143" s="1879">
        <v>0</v>
      </c>
      <c r="AC143" s="126">
        <v>999999</v>
      </c>
      <c r="AD143" s="124">
        <v>0</v>
      </c>
      <c r="AE143" s="124">
        <v>80</v>
      </c>
      <c r="AF143" s="144">
        <v>0</v>
      </c>
      <c r="AG143" s="145">
        <v>1</v>
      </c>
      <c r="AH143" s="145">
        <v>1</v>
      </c>
      <c r="AI143" s="145">
        <v>0</v>
      </c>
      <c r="AJ143" s="145">
        <v>0</v>
      </c>
      <c r="AK143" s="145">
        <v>1</v>
      </c>
      <c r="AL143" s="145">
        <v>1</v>
      </c>
      <c r="AM143" s="145">
        <v>1</v>
      </c>
      <c r="AN143" s="145">
        <v>1</v>
      </c>
      <c r="AO143" s="145">
        <v>1</v>
      </c>
      <c r="AP143" s="145">
        <v>1</v>
      </c>
      <c r="AQ143" s="145">
        <v>0</v>
      </c>
      <c r="AR143" s="145">
        <v>1</v>
      </c>
      <c r="AS143" s="145">
        <v>1</v>
      </c>
      <c r="AT143" s="145">
        <v>1</v>
      </c>
      <c r="AU143" s="145">
        <f t="shared" si="37"/>
        <v>0</v>
      </c>
      <c r="AV143" s="145">
        <f t="shared" si="38"/>
        <v>1</v>
      </c>
      <c r="AW143" s="145">
        <f t="shared" si="39"/>
        <v>1</v>
      </c>
      <c r="AX143" s="145">
        <f t="shared" si="49"/>
        <v>1</v>
      </c>
      <c r="AY143" s="145">
        <f t="shared" si="40"/>
        <v>1</v>
      </c>
      <c r="AZ143" s="145">
        <f t="shared" si="41"/>
        <v>1</v>
      </c>
      <c r="BA143" s="146">
        <f t="shared" si="42"/>
        <v>1</v>
      </c>
      <c r="BB143" s="149">
        <f t="shared" si="43"/>
        <v>17</v>
      </c>
      <c r="BC143" s="150">
        <f t="shared" si="44"/>
        <v>16</v>
      </c>
      <c r="BD143" s="150">
        <f t="shared" si="45"/>
        <v>17</v>
      </c>
      <c r="BE143" s="211" t="str">
        <f t="shared" si="46"/>
        <v/>
      </c>
      <c r="BH143" s="166">
        <f>IF(AND(Input_Product=Elig!$C143,Elig_MatchAll_Ct&lt;22,$BC143=(Elig_MatchAll_Ct-1),AF143=0),C143,0)</f>
        <v>0</v>
      </c>
      <c r="BI143" s="167">
        <f>IF(AND(Input_Product=Elig!$C143,Elig_MatchAll_Ct&lt;22,$BC143=(Elig_MatchAll_Ct-1),AG143=0),D143,0)</f>
        <v>0</v>
      </c>
      <c r="BJ143" s="167">
        <f>IF(AND(Input_Product=Elig!$C143,Elig_MatchAll_Ct&lt;22,$BC143=(Elig_MatchAll_Ct-1),AH143=0),E143,0)</f>
        <v>0</v>
      </c>
      <c r="BK143" s="167">
        <f>IF(AND(Input_Product=Elig!$C143,Elig_MatchAll_Ct&lt;22,$BC143=(Elig_MatchAll_Ct-1),AI143=0),F143,0)</f>
        <v>0</v>
      </c>
      <c r="BL143" s="167">
        <f>IF(AND(Input_Product=Elig!$C143,Elig_MatchAll_Ct&lt;22,$BC143=(Elig_MatchAll_Ct-1),AJ143=0),G143,0)</f>
        <v>0</v>
      </c>
      <c r="BM143" s="167">
        <f>IF(AND(Input_Product=Elig!$C143,Elig_MatchAll_Ct&lt;22,$BC143=(Elig_MatchAll_Ct-1),AK143=0),H143,0)</f>
        <v>0</v>
      </c>
      <c r="BN143" s="167">
        <f>IF(AND(Input_Product=Elig!$C143,Elig_MatchAll_Ct&lt;22,$BC143=(Elig_MatchAll_Ct-1),AL143=0),I143,0)</f>
        <v>0</v>
      </c>
      <c r="BO143" s="167">
        <f>IF(AND(Input_Product=Elig!$C143,Elig_MatchAll_Ct&lt;22,$BC143=(Elig_MatchAll_Ct-1),AM143=0),J143,0)</f>
        <v>0</v>
      </c>
      <c r="BP143" s="167">
        <f>IF(AND(Input_Product=Elig!$C143,Elig_MatchAll_Ct&lt;22,$BC143=(Elig_MatchAll_Ct-1),AN143=0),K143,0)</f>
        <v>0</v>
      </c>
      <c r="BQ143" s="167">
        <f>IF(AND(Input_Product=Elig!$C143,Elig_MatchAll_Ct&lt;22,$BC143=(Elig_MatchAll_Ct-1),AP143=0),L143,0)</f>
        <v>0</v>
      </c>
      <c r="BR143" s="167">
        <f>IF(AND(Input_Product=Elig!$C143,Elig_MatchAll_Ct&lt;22,$BC143=(Elig_MatchAll_Ct-1),AO143=0),M143,0)</f>
        <v>0</v>
      </c>
      <c r="BS143" s="167">
        <f>IF(AND(Input_Product=Elig!$C143,Elig_MatchAll_Ct&lt;22,$BC143=(Elig_MatchAll_Ct-1),AQ143=0),N143,0)</f>
        <v>0</v>
      </c>
      <c r="BT143" s="167">
        <f>IF(AND(Input_Product=Elig!$C143,Elig_MatchAll_Ct&lt;22,$BC143=(Elig_MatchAll_Ct-1),AR143=0),O143,0)</f>
        <v>0</v>
      </c>
      <c r="BU143" s="167">
        <f>IF(AND(Input_Product=Elig!$C143,Elig_MatchAll_Ct&lt;22,$BC143=(Elig_MatchAll_Ct-1),AS143=0),P143,0)</f>
        <v>0</v>
      </c>
      <c r="BV143" s="168">
        <f>IF(AND(Input_Product=Elig!$C143,Elig_MatchAll_Ct&lt;22,$BC143=(Elig_MatchAll_Ct-1),AT143=0),Q143,0)</f>
        <v>0</v>
      </c>
      <c r="BW143" s="169">
        <f>IF(AND(Input_Product=Elig!$C143,Elig_MatchAll_Ct&lt;22,$BC143=(Elig_MatchAll_Ct-1),AU143=0),R143,0)</f>
        <v>0</v>
      </c>
      <c r="BX143" s="170">
        <f>IF(AND(Input_Product=Elig!$C143,Elig_MatchAll_Ct&lt;22,$BC143=(Elig_MatchAll_Ct-1),AU143=0),S143,0)</f>
        <v>0</v>
      </c>
      <c r="BY143" s="169">
        <f>IF(AND(Input_Product=Elig!$C143,Elig_MatchAll_Ct&lt;22,$BC143=(Elig_MatchAll_Ct-1),AV143=0),T143,0)</f>
        <v>0</v>
      </c>
      <c r="BZ143" s="170">
        <f>IF(AND(Input_Product=Elig!$C143,Elig_MatchAll_Ct&lt;22,$BC143=(Elig_MatchAll_Ct-1),AV143=0),U143,0)</f>
        <v>0</v>
      </c>
      <c r="CA143" s="169">
        <f>IF(AND(Input_Product=Elig!$C143,Elig_MatchAll_Ct&lt;22,$BC143=(Elig_MatchAll_Ct-1),AW143=0),V143,0)</f>
        <v>0</v>
      </c>
      <c r="CB143" s="170">
        <f>IF(AND(Input_Product=Elig!$C143,Elig_MatchAll_Ct&lt;22,$BC143=(Elig_MatchAll_Ct-1),AW143=0),W143,0)</f>
        <v>0</v>
      </c>
      <c r="CC143" s="169">
        <f>IF(AND(Input_Product=Elig!$C143,Elig_MatchAll_Ct&lt;22,$BC143=(Elig_MatchAll_Ct-1),AX143=0),X143,0)</f>
        <v>0</v>
      </c>
      <c r="CD143" s="170">
        <f>IF(AND(Input_Product=Elig!$C143,Elig_MatchAll_Ct&lt;22,$BC143=(Elig_MatchAll_Ct-1),AX143=0),Y143,0)</f>
        <v>0</v>
      </c>
      <c r="CE143" s="169">
        <f>IF(AND(Input_LTV&lt;=AE143,Input_Product=Elig!$C143,Elig_MatchAll_Ct&lt;22,$BC143=(Elig_MatchAll_Ct-1),AY143=0),Z143,0)</f>
        <v>0</v>
      </c>
      <c r="CF143" s="170">
        <f>IF(AND(Input_LTV&lt;=AE143,Input_Product=Elig!$C143,Elig_MatchAll_Ct&lt;22,$BC143=(Elig_MatchAll_Ct-1),AY143=0),AA143,0)</f>
        <v>0</v>
      </c>
      <c r="CG143" s="169">
        <f>IF(AND(Input_Product=Elig!$C143,Elig_MatchAll_Ct&lt;22,$BC143=(Elig_MatchAll_Ct-1),AZ143=0),AB143,0)</f>
        <v>0</v>
      </c>
      <c r="CH143" s="170">
        <f>IF(AND(Input_Product=Elig!$C143,Elig_MatchAll_Ct&lt;22,$BC143=(Elig_MatchAll_Ct-1),AZ143=0),AC143,0)</f>
        <v>0</v>
      </c>
      <c r="CI143" s="169">
        <f>IF(AND(Input_Product=Elig!$C143,Elig_MatchAll_Ct&lt;22,$BC143=(Elig_MatchAll_Ct-1),BA143=0),AD143,0)</f>
        <v>0</v>
      </c>
      <c r="CJ143" s="171">
        <f>IF(AND(Input_Product=Elig!$C143,Elig_MatchAll_Ct&lt;22,$BC143=(Elig_MatchAll_Ct-1),BA143=0),AE143,0)</f>
        <v>0</v>
      </c>
    </row>
    <row r="144" spans="1:88" ht="10.15" customHeight="1" x14ac:dyDescent="0.25">
      <c r="A144" s="1419" t="s">
        <v>76</v>
      </c>
      <c r="B144" s="1419" t="s">
        <v>838</v>
      </c>
      <c r="C144" s="116" t="str">
        <f t="shared" si="30"/>
        <v>NonQM OO</v>
      </c>
      <c r="D144" s="117" t="s">
        <v>1995</v>
      </c>
      <c r="E144" s="117" t="s">
        <v>166</v>
      </c>
      <c r="F144" s="117" t="s">
        <v>330</v>
      </c>
      <c r="G144" s="117" t="s">
        <v>178</v>
      </c>
      <c r="H144" s="117" t="s">
        <v>135</v>
      </c>
      <c r="I144" s="118" t="s">
        <v>273</v>
      </c>
      <c r="J144" s="118" t="s">
        <v>1130</v>
      </c>
      <c r="K144" s="118" t="s">
        <v>1398</v>
      </c>
      <c r="L144" s="117" t="s">
        <v>2025</v>
      </c>
      <c r="M144" s="117" t="s">
        <v>2289</v>
      </c>
      <c r="N144" s="117" t="s">
        <v>82</v>
      </c>
      <c r="O144" s="117" t="s">
        <v>309</v>
      </c>
      <c r="P144" s="117" t="s">
        <v>2433</v>
      </c>
      <c r="Q144" s="117" t="s">
        <v>293</v>
      </c>
      <c r="R144" s="117">
        <v>1500000.01</v>
      </c>
      <c r="S144" s="117">
        <v>2000000</v>
      </c>
      <c r="T144" s="117">
        <v>0</v>
      </c>
      <c r="U144" s="117">
        <v>0</v>
      </c>
      <c r="V144" s="117">
        <v>0</v>
      </c>
      <c r="W144" s="117">
        <v>55</v>
      </c>
      <c r="X144" s="117">
        <v>0</v>
      </c>
      <c r="Y144" s="117">
        <v>999</v>
      </c>
      <c r="Z144" s="119">
        <v>700</v>
      </c>
      <c r="AA144" s="119">
        <v>719</v>
      </c>
      <c r="AB144" s="1877">
        <v>0</v>
      </c>
      <c r="AC144" s="119">
        <v>999999</v>
      </c>
      <c r="AD144" s="117">
        <v>0</v>
      </c>
      <c r="AE144" s="117">
        <v>80</v>
      </c>
      <c r="AF144" s="144">
        <v>0</v>
      </c>
      <c r="AG144" s="145">
        <v>1</v>
      </c>
      <c r="AH144" s="145">
        <v>1</v>
      </c>
      <c r="AI144" s="145">
        <v>0</v>
      </c>
      <c r="AJ144" s="145">
        <v>0</v>
      </c>
      <c r="AK144" s="145">
        <v>1</v>
      </c>
      <c r="AL144" s="145">
        <v>1</v>
      </c>
      <c r="AM144" s="145">
        <v>1</v>
      </c>
      <c r="AN144" s="145">
        <v>1</v>
      </c>
      <c r="AO144" s="145">
        <v>1</v>
      </c>
      <c r="AP144" s="145">
        <v>1</v>
      </c>
      <c r="AQ144" s="145">
        <v>0</v>
      </c>
      <c r="AR144" s="145">
        <v>1</v>
      </c>
      <c r="AS144" s="145">
        <v>1</v>
      </c>
      <c r="AT144" s="145">
        <v>1</v>
      </c>
      <c r="AU144" s="145">
        <f t="shared" si="37"/>
        <v>0</v>
      </c>
      <c r="AV144" s="145">
        <f t="shared" si="38"/>
        <v>1</v>
      </c>
      <c r="AW144" s="145">
        <f t="shared" si="39"/>
        <v>1</v>
      </c>
      <c r="AX144" s="145">
        <f t="shared" si="49"/>
        <v>1</v>
      </c>
      <c r="AY144" s="145">
        <f t="shared" si="40"/>
        <v>0</v>
      </c>
      <c r="AZ144" s="145">
        <f t="shared" si="41"/>
        <v>1</v>
      </c>
      <c r="BA144" s="146">
        <f t="shared" si="42"/>
        <v>1</v>
      </c>
      <c r="BB144" s="149">
        <f t="shared" si="43"/>
        <v>16</v>
      </c>
      <c r="BC144" s="150">
        <f t="shared" si="44"/>
        <v>15</v>
      </c>
      <c r="BD144" s="150">
        <f t="shared" si="45"/>
        <v>16</v>
      </c>
      <c r="BE144" s="211" t="str">
        <f t="shared" si="46"/>
        <v/>
      </c>
      <c r="BH144" s="172">
        <f>IF(AND(Input_Product=Elig!$C144,Elig_MatchAll_Ct&lt;22,$BC144=(Elig_MatchAll_Ct-1),AF144=0),C144,0)</f>
        <v>0</v>
      </c>
      <c r="BI144" s="173">
        <f>IF(AND(Input_Product=Elig!$C144,Elig_MatchAll_Ct&lt;22,$BC144=(Elig_MatchAll_Ct-1),AG144=0),D144,0)</f>
        <v>0</v>
      </c>
      <c r="BJ144" s="173">
        <f>IF(AND(Input_Product=Elig!$C144,Elig_MatchAll_Ct&lt;22,$BC144=(Elig_MatchAll_Ct-1),AH144=0),E144,0)</f>
        <v>0</v>
      </c>
      <c r="BK144" s="173">
        <f>IF(AND(Input_Product=Elig!$C144,Elig_MatchAll_Ct&lt;22,$BC144=(Elig_MatchAll_Ct-1),AI144=0),F144,0)</f>
        <v>0</v>
      </c>
      <c r="BL144" s="173">
        <f>IF(AND(Input_Product=Elig!$C144,Elig_MatchAll_Ct&lt;22,$BC144=(Elig_MatchAll_Ct-1),AJ144=0),G144,0)</f>
        <v>0</v>
      </c>
      <c r="BM144" s="173">
        <f>IF(AND(Input_Product=Elig!$C144,Elig_MatchAll_Ct&lt;22,$BC144=(Elig_MatchAll_Ct-1),AK144=0),H144,0)</f>
        <v>0</v>
      </c>
      <c r="BN144" s="173">
        <f>IF(AND(Input_Product=Elig!$C144,Elig_MatchAll_Ct&lt;22,$BC144=(Elig_MatchAll_Ct-1),AL144=0),I144,0)</f>
        <v>0</v>
      </c>
      <c r="BO144" s="173">
        <f>IF(AND(Input_Product=Elig!$C144,Elig_MatchAll_Ct&lt;22,$BC144=(Elig_MatchAll_Ct-1),AM144=0),J144,0)</f>
        <v>0</v>
      </c>
      <c r="BP144" s="173">
        <f>IF(AND(Input_Product=Elig!$C144,Elig_MatchAll_Ct&lt;22,$BC144=(Elig_MatchAll_Ct-1),AN144=0),K144,0)</f>
        <v>0</v>
      </c>
      <c r="BQ144" s="173">
        <f>IF(AND(Input_Product=Elig!$C144,Elig_MatchAll_Ct&lt;22,$BC144=(Elig_MatchAll_Ct-1),AP144=0),L144,0)</f>
        <v>0</v>
      </c>
      <c r="BR144" s="173">
        <f>IF(AND(Input_Product=Elig!$C144,Elig_MatchAll_Ct&lt;22,$BC144=(Elig_MatchAll_Ct-1),AO144=0),M144,0)</f>
        <v>0</v>
      </c>
      <c r="BS144" s="173">
        <f>IF(AND(Input_Product=Elig!$C144,Elig_MatchAll_Ct&lt;22,$BC144=(Elig_MatchAll_Ct-1),AQ144=0),N144,0)</f>
        <v>0</v>
      </c>
      <c r="BT144" s="173">
        <f>IF(AND(Input_Product=Elig!$C144,Elig_MatchAll_Ct&lt;22,$BC144=(Elig_MatchAll_Ct-1),AR144=0),O144,0)</f>
        <v>0</v>
      </c>
      <c r="BU144" s="173">
        <f>IF(AND(Input_Product=Elig!$C144,Elig_MatchAll_Ct&lt;22,$BC144=(Elig_MatchAll_Ct-1),AS144=0),P144,0)</f>
        <v>0</v>
      </c>
      <c r="BV144" s="174">
        <f>IF(AND(Input_Product=Elig!$C144,Elig_MatchAll_Ct&lt;22,$BC144=(Elig_MatchAll_Ct-1),AT144=0),Q144,0)</f>
        <v>0</v>
      </c>
      <c r="BW144" s="175">
        <f>IF(AND(Input_Product=Elig!$C144,Elig_MatchAll_Ct&lt;22,$BC144=(Elig_MatchAll_Ct-1),AU144=0),R144,0)</f>
        <v>0</v>
      </c>
      <c r="BX144" s="176">
        <f>IF(AND(Input_Product=Elig!$C144,Elig_MatchAll_Ct&lt;22,$BC144=(Elig_MatchAll_Ct-1),AU144=0),S144,0)</f>
        <v>0</v>
      </c>
      <c r="BY144" s="175">
        <f>IF(AND(Input_Product=Elig!$C144,Elig_MatchAll_Ct&lt;22,$BC144=(Elig_MatchAll_Ct-1),AV144=0),T144,0)</f>
        <v>0</v>
      </c>
      <c r="BZ144" s="176">
        <f>IF(AND(Input_Product=Elig!$C144,Elig_MatchAll_Ct&lt;22,$BC144=(Elig_MatchAll_Ct-1),AV144=0),U144,0)</f>
        <v>0</v>
      </c>
      <c r="CA144" s="175">
        <f>IF(AND(Input_Product=Elig!$C144,Elig_MatchAll_Ct&lt;22,$BC144=(Elig_MatchAll_Ct-1),AW144=0),V144,0)</f>
        <v>0</v>
      </c>
      <c r="CB144" s="176">
        <f>IF(AND(Input_Product=Elig!$C144,Elig_MatchAll_Ct&lt;22,$BC144=(Elig_MatchAll_Ct-1),AW144=0),W144,0)</f>
        <v>0</v>
      </c>
      <c r="CC144" s="175">
        <f>IF(AND(Input_Product=Elig!$C144,Elig_MatchAll_Ct&lt;22,$BC144=(Elig_MatchAll_Ct-1),AX144=0),X144,0)</f>
        <v>0</v>
      </c>
      <c r="CD144" s="176">
        <f>IF(AND(Input_Product=Elig!$C144,Elig_MatchAll_Ct&lt;22,$BC144=(Elig_MatchAll_Ct-1),AX144=0),Y144,0)</f>
        <v>0</v>
      </c>
      <c r="CE144" s="175">
        <f>IF(AND(Input_LTV&lt;=AE144,Input_Product=Elig!$C144,Elig_MatchAll_Ct&lt;22,$BC144=(Elig_MatchAll_Ct-1),AY144=0),Z144,0)</f>
        <v>0</v>
      </c>
      <c r="CF144" s="176">
        <f>IF(AND(Input_LTV&lt;=AE144,Input_Product=Elig!$C144,Elig_MatchAll_Ct&lt;22,$BC144=(Elig_MatchAll_Ct-1),AY144=0),AA144,0)</f>
        <v>0</v>
      </c>
      <c r="CG144" s="175">
        <f>IF(AND(Input_Product=Elig!$C144,Elig_MatchAll_Ct&lt;22,$BC144=(Elig_MatchAll_Ct-1),AZ144=0),AB144,0)</f>
        <v>0</v>
      </c>
      <c r="CH144" s="176">
        <f>IF(AND(Input_Product=Elig!$C144,Elig_MatchAll_Ct&lt;22,$BC144=(Elig_MatchAll_Ct-1),AZ144=0),AC144,0)</f>
        <v>0</v>
      </c>
      <c r="CI144" s="175">
        <f>IF(AND(Input_Product=Elig!$C144,Elig_MatchAll_Ct&lt;22,$BC144=(Elig_MatchAll_Ct-1),BA144=0),AD144,0)</f>
        <v>0</v>
      </c>
      <c r="CJ144" s="177">
        <f>IF(AND(Input_Product=Elig!$C144,Elig_MatchAll_Ct&lt;22,$BC144=(Elig_MatchAll_Ct-1),BA144=0),AE144,0)</f>
        <v>0</v>
      </c>
    </row>
    <row r="145" spans="1:88" ht="10.15" customHeight="1" x14ac:dyDescent="0.25">
      <c r="A145" s="1419" t="s">
        <v>76</v>
      </c>
      <c r="B145" s="1419" t="s">
        <v>839</v>
      </c>
      <c r="C145" s="116" t="str">
        <f t="shared" si="30"/>
        <v>NonQM OO</v>
      </c>
      <c r="D145" s="117" t="s">
        <v>1995</v>
      </c>
      <c r="E145" s="117" t="s">
        <v>166</v>
      </c>
      <c r="F145" s="117" t="s">
        <v>330</v>
      </c>
      <c r="G145" s="117" t="s">
        <v>178</v>
      </c>
      <c r="H145" s="117" t="s">
        <v>135</v>
      </c>
      <c r="I145" s="118" t="s">
        <v>273</v>
      </c>
      <c r="J145" s="118" t="s">
        <v>1130</v>
      </c>
      <c r="K145" s="118" t="s">
        <v>1398</v>
      </c>
      <c r="L145" s="117" t="s">
        <v>2025</v>
      </c>
      <c r="M145" s="117" t="s">
        <v>2289</v>
      </c>
      <c r="N145" s="117" t="s">
        <v>82</v>
      </c>
      <c r="O145" s="117" t="s">
        <v>309</v>
      </c>
      <c r="P145" s="117" t="s">
        <v>2433</v>
      </c>
      <c r="Q145" s="117" t="s">
        <v>293</v>
      </c>
      <c r="R145" s="117">
        <v>1500000.01</v>
      </c>
      <c r="S145" s="117">
        <v>2000000</v>
      </c>
      <c r="T145" s="117">
        <v>0</v>
      </c>
      <c r="U145" s="117">
        <v>0</v>
      </c>
      <c r="V145" s="117">
        <v>0</v>
      </c>
      <c r="W145" s="117">
        <v>55</v>
      </c>
      <c r="X145" s="117">
        <v>0</v>
      </c>
      <c r="Y145" s="117">
        <v>999</v>
      </c>
      <c r="Z145" s="119">
        <v>680</v>
      </c>
      <c r="AA145" s="119">
        <v>699</v>
      </c>
      <c r="AB145" s="1877">
        <v>0</v>
      </c>
      <c r="AC145" s="119">
        <v>999999</v>
      </c>
      <c r="AD145" s="117">
        <v>0</v>
      </c>
      <c r="AE145" s="117">
        <v>75</v>
      </c>
      <c r="AF145" s="144">
        <v>0</v>
      </c>
      <c r="AG145" s="145">
        <v>1</v>
      </c>
      <c r="AH145" s="145">
        <v>1</v>
      </c>
      <c r="AI145" s="145">
        <v>0</v>
      </c>
      <c r="AJ145" s="145">
        <v>0</v>
      </c>
      <c r="AK145" s="145">
        <v>1</v>
      </c>
      <c r="AL145" s="145">
        <v>1</v>
      </c>
      <c r="AM145" s="145">
        <v>1</v>
      </c>
      <c r="AN145" s="145">
        <v>1</v>
      </c>
      <c r="AO145" s="145">
        <v>1</v>
      </c>
      <c r="AP145" s="145">
        <v>1</v>
      </c>
      <c r="AQ145" s="145">
        <v>0</v>
      </c>
      <c r="AR145" s="145">
        <v>1</v>
      </c>
      <c r="AS145" s="145">
        <v>1</v>
      </c>
      <c r="AT145" s="145">
        <v>1</v>
      </c>
      <c r="AU145" s="145">
        <f t="shared" si="37"/>
        <v>0</v>
      </c>
      <c r="AV145" s="145">
        <f t="shared" si="38"/>
        <v>1</v>
      </c>
      <c r="AW145" s="145">
        <f t="shared" si="39"/>
        <v>1</v>
      </c>
      <c r="AX145" s="145">
        <f t="shared" si="49"/>
        <v>1</v>
      </c>
      <c r="AY145" s="145">
        <f t="shared" si="40"/>
        <v>0</v>
      </c>
      <c r="AZ145" s="145">
        <f t="shared" si="41"/>
        <v>1</v>
      </c>
      <c r="BA145" s="146">
        <f t="shared" si="42"/>
        <v>1</v>
      </c>
      <c r="BB145" s="149">
        <f t="shared" si="43"/>
        <v>16</v>
      </c>
      <c r="BC145" s="150">
        <f t="shared" si="44"/>
        <v>15</v>
      </c>
      <c r="BD145" s="150">
        <f t="shared" si="45"/>
        <v>16</v>
      </c>
      <c r="BE145" s="211" t="str">
        <f t="shared" si="46"/>
        <v/>
      </c>
      <c r="BH145" s="172">
        <f>IF(AND(Input_Product=Elig!$C145,Elig_MatchAll_Ct&lt;22,$BC145=(Elig_MatchAll_Ct-1),AF145=0),C145,0)</f>
        <v>0</v>
      </c>
      <c r="BI145" s="173">
        <f>IF(AND(Input_Product=Elig!$C145,Elig_MatchAll_Ct&lt;22,$BC145=(Elig_MatchAll_Ct-1),AG145=0),D145,0)</f>
        <v>0</v>
      </c>
      <c r="BJ145" s="173">
        <f>IF(AND(Input_Product=Elig!$C145,Elig_MatchAll_Ct&lt;22,$BC145=(Elig_MatchAll_Ct-1),AH145=0),E145,0)</f>
        <v>0</v>
      </c>
      <c r="BK145" s="173">
        <f>IF(AND(Input_Product=Elig!$C145,Elig_MatchAll_Ct&lt;22,$BC145=(Elig_MatchAll_Ct-1),AI145=0),F145,0)</f>
        <v>0</v>
      </c>
      <c r="BL145" s="173">
        <f>IF(AND(Input_Product=Elig!$C145,Elig_MatchAll_Ct&lt;22,$BC145=(Elig_MatchAll_Ct-1),AJ145=0),G145,0)</f>
        <v>0</v>
      </c>
      <c r="BM145" s="173">
        <f>IF(AND(Input_Product=Elig!$C145,Elig_MatchAll_Ct&lt;22,$BC145=(Elig_MatchAll_Ct-1),AK145=0),H145,0)</f>
        <v>0</v>
      </c>
      <c r="BN145" s="173">
        <f>IF(AND(Input_Product=Elig!$C145,Elig_MatchAll_Ct&lt;22,$BC145=(Elig_MatchAll_Ct-1),AL145=0),I145,0)</f>
        <v>0</v>
      </c>
      <c r="BO145" s="173">
        <f>IF(AND(Input_Product=Elig!$C145,Elig_MatchAll_Ct&lt;22,$BC145=(Elig_MatchAll_Ct-1),AM145=0),J145,0)</f>
        <v>0</v>
      </c>
      <c r="BP145" s="173">
        <f>IF(AND(Input_Product=Elig!$C145,Elig_MatchAll_Ct&lt;22,$BC145=(Elig_MatchAll_Ct-1),AN145=0),K145,0)</f>
        <v>0</v>
      </c>
      <c r="BQ145" s="173">
        <f>IF(AND(Input_Product=Elig!$C145,Elig_MatchAll_Ct&lt;22,$BC145=(Elig_MatchAll_Ct-1),AP145=0),L145,0)</f>
        <v>0</v>
      </c>
      <c r="BR145" s="173">
        <f>IF(AND(Input_Product=Elig!$C145,Elig_MatchAll_Ct&lt;22,$BC145=(Elig_MatchAll_Ct-1),AO145=0),M145,0)</f>
        <v>0</v>
      </c>
      <c r="BS145" s="173">
        <f>IF(AND(Input_Product=Elig!$C145,Elig_MatchAll_Ct&lt;22,$BC145=(Elig_MatchAll_Ct-1),AQ145=0),N145,0)</f>
        <v>0</v>
      </c>
      <c r="BT145" s="173">
        <f>IF(AND(Input_Product=Elig!$C145,Elig_MatchAll_Ct&lt;22,$BC145=(Elig_MatchAll_Ct-1),AR145=0),O145,0)</f>
        <v>0</v>
      </c>
      <c r="BU145" s="173">
        <f>IF(AND(Input_Product=Elig!$C145,Elig_MatchAll_Ct&lt;22,$BC145=(Elig_MatchAll_Ct-1),AS145=0),P145,0)</f>
        <v>0</v>
      </c>
      <c r="BV145" s="174">
        <f>IF(AND(Input_Product=Elig!$C145,Elig_MatchAll_Ct&lt;22,$BC145=(Elig_MatchAll_Ct-1),AT145=0),Q145,0)</f>
        <v>0</v>
      </c>
      <c r="BW145" s="175">
        <f>IF(AND(Input_Product=Elig!$C145,Elig_MatchAll_Ct&lt;22,$BC145=(Elig_MatchAll_Ct-1),AU145=0),R145,0)</f>
        <v>0</v>
      </c>
      <c r="BX145" s="176">
        <f>IF(AND(Input_Product=Elig!$C145,Elig_MatchAll_Ct&lt;22,$BC145=(Elig_MatchAll_Ct-1),AU145=0),S145,0)</f>
        <v>0</v>
      </c>
      <c r="BY145" s="175">
        <f>IF(AND(Input_Product=Elig!$C145,Elig_MatchAll_Ct&lt;22,$BC145=(Elig_MatchAll_Ct-1),AV145=0),T145,0)</f>
        <v>0</v>
      </c>
      <c r="BZ145" s="176">
        <f>IF(AND(Input_Product=Elig!$C145,Elig_MatchAll_Ct&lt;22,$BC145=(Elig_MatchAll_Ct-1),AV145=0),U145,0)</f>
        <v>0</v>
      </c>
      <c r="CA145" s="175">
        <f>IF(AND(Input_Product=Elig!$C145,Elig_MatchAll_Ct&lt;22,$BC145=(Elig_MatchAll_Ct-1),AW145=0),V145,0)</f>
        <v>0</v>
      </c>
      <c r="CB145" s="176">
        <f>IF(AND(Input_Product=Elig!$C145,Elig_MatchAll_Ct&lt;22,$BC145=(Elig_MatchAll_Ct-1),AW145=0),W145,0)</f>
        <v>0</v>
      </c>
      <c r="CC145" s="175">
        <f>IF(AND(Input_Product=Elig!$C145,Elig_MatchAll_Ct&lt;22,$BC145=(Elig_MatchAll_Ct-1),AX145=0),X145,0)</f>
        <v>0</v>
      </c>
      <c r="CD145" s="176">
        <f>IF(AND(Input_Product=Elig!$C145,Elig_MatchAll_Ct&lt;22,$BC145=(Elig_MatchAll_Ct-1),AX145=0),Y145,0)</f>
        <v>0</v>
      </c>
      <c r="CE145" s="175">
        <f>IF(AND(Input_LTV&lt;=AE145,Input_Product=Elig!$C145,Elig_MatchAll_Ct&lt;22,$BC145=(Elig_MatchAll_Ct-1),AY145=0),Z145,0)</f>
        <v>0</v>
      </c>
      <c r="CF145" s="176">
        <f>IF(AND(Input_LTV&lt;=AE145,Input_Product=Elig!$C145,Elig_MatchAll_Ct&lt;22,$BC145=(Elig_MatchAll_Ct-1),AY145=0),AA145,0)</f>
        <v>0</v>
      </c>
      <c r="CG145" s="175">
        <f>IF(AND(Input_Product=Elig!$C145,Elig_MatchAll_Ct&lt;22,$BC145=(Elig_MatchAll_Ct-1),AZ145=0),AB145,0)</f>
        <v>0</v>
      </c>
      <c r="CH145" s="176">
        <f>IF(AND(Input_Product=Elig!$C145,Elig_MatchAll_Ct&lt;22,$BC145=(Elig_MatchAll_Ct-1),AZ145=0),AC145,0)</f>
        <v>0</v>
      </c>
      <c r="CI145" s="175">
        <f>IF(AND(Input_Product=Elig!$C145,Elig_MatchAll_Ct&lt;22,$BC145=(Elig_MatchAll_Ct-1),BA145=0),AD145,0)</f>
        <v>0</v>
      </c>
      <c r="CJ145" s="177">
        <f>IF(AND(Input_Product=Elig!$C145,Elig_MatchAll_Ct&lt;22,$BC145=(Elig_MatchAll_Ct-1),BA145=0),AE145,0)</f>
        <v>0</v>
      </c>
    </row>
    <row r="146" spans="1:88" ht="10.15" customHeight="1" x14ac:dyDescent="0.25">
      <c r="A146" s="1419" t="s">
        <v>76</v>
      </c>
      <c r="B146" s="1419" t="s">
        <v>840</v>
      </c>
      <c r="C146" s="129" t="str">
        <f t="shared" si="30"/>
        <v>NonQM OO</v>
      </c>
      <c r="D146" s="130" t="s">
        <v>1995</v>
      </c>
      <c r="E146" s="130" t="s">
        <v>166</v>
      </c>
      <c r="F146" s="130" t="s">
        <v>330</v>
      </c>
      <c r="G146" s="117" t="s">
        <v>178</v>
      </c>
      <c r="H146" s="130" t="s">
        <v>135</v>
      </c>
      <c r="I146" s="131" t="s">
        <v>273</v>
      </c>
      <c r="J146" s="131" t="s">
        <v>1130</v>
      </c>
      <c r="K146" s="131" t="s">
        <v>1398</v>
      </c>
      <c r="L146" s="130" t="s">
        <v>2025</v>
      </c>
      <c r="M146" s="130" t="s">
        <v>2289</v>
      </c>
      <c r="N146" s="130" t="s">
        <v>82</v>
      </c>
      <c r="O146" s="130" t="s">
        <v>309</v>
      </c>
      <c r="P146" s="130" t="s">
        <v>2433</v>
      </c>
      <c r="Q146" s="130" t="s">
        <v>293</v>
      </c>
      <c r="R146" s="117">
        <v>1500000.01</v>
      </c>
      <c r="S146" s="117">
        <v>2000000</v>
      </c>
      <c r="T146" s="130">
        <v>0</v>
      </c>
      <c r="U146" s="130">
        <v>0</v>
      </c>
      <c r="V146" s="130">
        <v>0</v>
      </c>
      <c r="W146" s="130">
        <v>55</v>
      </c>
      <c r="X146" s="130">
        <v>0</v>
      </c>
      <c r="Y146" s="130">
        <v>999</v>
      </c>
      <c r="Z146" s="119">
        <v>660</v>
      </c>
      <c r="AA146" s="119">
        <v>679</v>
      </c>
      <c r="AB146" s="1877">
        <v>0</v>
      </c>
      <c r="AC146" s="119">
        <v>999999</v>
      </c>
      <c r="AD146" s="117">
        <v>0</v>
      </c>
      <c r="AE146" s="117">
        <v>75</v>
      </c>
      <c r="AF146" s="144">
        <v>0</v>
      </c>
      <c r="AG146" s="145">
        <v>1</v>
      </c>
      <c r="AH146" s="145">
        <v>1</v>
      </c>
      <c r="AI146" s="145">
        <v>0</v>
      </c>
      <c r="AJ146" s="145">
        <v>0</v>
      </c>
      <c r="AK146" s="145">
        <v>1</v>
      </c>
      <c r="AL146" s="145">
        <v>1</v>
      </c>
      <c r="AM146" s="145">
        <v>1</v>
      </c>
      <c r="AN146" s="145">
        <v>1</v>
      </c>
      <c r="AO146" s="145">
        <v>1</v>
      </c>
      <c r="AP146" s="145">
        <v>1</v>
      </c>
      <c r="AQ146" s="145">
        <v>0</v>
      </c>
      <c r="AR146" s="145">
        <v>1</v>
      </c>
      <c r="AS146" s="145">
        <v>1</v>
      </c>
      <c r="AT146" s="145">
        <v>1</v>
      </c>
      <c r="AU146" s="145">
        <f t="shared" si="37"/>
        <v>0</v>
      </c>
      <c r="AV146" s="145">
        <f t="shared" si="38"/>
        <v>1</v>
      </c>
      <c r="AW146" s="145">
        <f t="shared" si="39"/>
        <v>1</v>
      </c>
      <c r="AX146" s="145">
        <f t="shared" si="49"/>
        <v>1</v>
      </c>
      <c r="AY146" s="145">
        <f t="shared" si="40"/>
        <v>0</v>
      </c>
      <c r="AZ146" s="145">
        <f t="shared" si="41"/>
        <v>1</v>
      </c>
      <c r="BA146" s="146">
        <f t="shared" si="42"/>
        <v>1</v>
      </c>
      <c r="BB146" s="149">
        <f t="shared" si="43"/>
        <v>16</v>
      </c>
      <c r="BC146" s="150">
        <f t="shared" si="44"/>
        <v>15</v>
      </c>
      <c r="BD146" s="150">
        <f t="shared" si="45"/>
        <v>16</v>
      </c>
      <c r="BE146" s="211" t="str">
        <f t="shared" si="46"/>
        <v/>
      </c>
      <c r="BH146" s="172">
        <f>IF(AND(Input_Product=Elig!$C146,Elig_MatchAll_Ct&lt;22,$BC146=(Elig_MatchAll_Ct-1),AF146=0),C146,0)</f>
        <v>0</v>
      </c>
      <c r="BI146" s="173">
        <f>IF(AND(Input_Product=Elig!$C146,Elig_MatchAll_Ct&lt;22,$BC146=(Elig_MatchAll_Ct-1),AG146=0),D146,0)</f>
        <v>0</v>
      </c>
      <c r="BJ146" s="173">
        <f>IF(AND(Input_Product=Elig!$C146,Elig_MatchAll_Ct&lt;22,$BC146=(Elig_MatchAll_Ct-1),AH146=0),E146,0)</f>
        <v>0</v>
      </c>
      <c r="BK146" s="173">
        <f>IF(AND(Input_Product=Elig!$C146,Elig_MatchAll_Ct&lt;22,$BC146=(Elig_MatchAll_Ct-1),AI146=0),F146,0)</f>
        <v>0</v>
      </c>
      <c r="BL146" s="173">
        <f>IF(AND(Input_Product=Elig!$C146,Elig_MatchAll_Ct&lt;22,$BC146=(Elig_MatchAll_Ct-1),AJ146=0),G146,0)</f>
        <v>0</v>
      </c>
      <c r="BM146" s="173">
        <f>IF(AND(Input_Product=Elig!$C146,Elig_MatchAll_Ct&lt;22,$BC146=(Elig_MatchAll_Ct-1),AK146=0),H146,0)</f>
        <v>0</v>
      </c>
      <c r="BN146" s="173">
        <f>IF(AND(Input_Product=Elig!$C146,Elig_MatchAll_Ct&lt;22,$BC146=(Elig_MatchAll_Ct-1),AL146=0),I146,0)</f>
        <v>0</v>
      </c>
      <c r="BO146" s="173">
        <f>IF(AND(Input_Product=Elig!$C146,Elig_MatchAll_Ct&lt;22,$BC146=(Elig_MatchAll_Ct-1),AM146=0),J146,0)</f>
        <v>0</v>
      </c>
      <c r="BP146" s="173">
        <f>IF(AND(Input_Product=Elig!$C146,Elig_MatchAll_Ct&lt;22,$BC146=(Elig_MatchAll_Ct-1),AN146=0),K146,0)</f>
        <v>0</v>
      </c>
      <c r="BQ146" s="173">
        <f>IF(AND(Input_Product=Elig!$C146,Elig_MatchAll_Ct&lt;22,$BC146=(Elig_MatchAll_Ct-1),AP146=0),L146,0)</f>
        <v>0</v>
      </c>
      <c r="BR146" s="173">
        <f>IF(AND(Input_Product=Elig!$C146,Elig_MatchAll_Ct&lt;22,$BC146=(Elig_MatchAll_Ct-1),AO146=0),M146,0)</f>
        <v>0</v>
      </c>
      <c r="BS146" s="173">
        <f>IF(AND(Input_Product=Elig!$C146,Elig_MatchAll_Ct&lt;22,$BC146=(Elig_MatchAll_Ct-1),AQ146=0),N146,0)</f>
        <v>0</v>
      </c>
      <c r="BT146" s="173">
        <f>IF(AND(Input_Product=Elig!$C146,Elig_MatchAll_Ct&lt;22,$BC146=(Elig_MatchAll_Ct-1),AR146=0),O146,0)</f>
        <v>0</v>
      </c>
      <c r="BU146" s="173">
        <f>IF(AND(Input_Product=Elig!$C146,Elig_MatchAll_Ct&lt;22,$BC146=(Elig_MatchAll_Ct-1),AS146=0),P146,0)</f>
        <v>0</v>
      </c>
      <c r="BV146" s="174">
        <f>IF(AND(Input_Product=Elig!$C146,Elig_MatchAll_Ct&lt;22,$BC146=(Elig_MatchAll_Ct-1),AT146=0),Q146,0)</f>
        <v>0</v>
      </c>
      <c r="BW146" s="175">
        <f>IF(AND(Input_Product=Elig!$C146,Elig_MatchAll_Ct&lt;22,$BC146=(Elig_MatchAll_Ct-1),AU146=0),R146,0)</f>
        <v>0</v>
      </c>
      <c r="BX146" s="176">
        <f>IF(AND(Input_Product=Elig!$C146,Elig_MatchAll_Ct&lt;22,$BC146=(Elig_MatchAll_Ct-1),AU146=0),S146,0)</f>
        <v>0</v>
      </c>
      <c r="BY146" s="175">
        <f>IF(AND(Input_Product=Elig!$C146,Elig_MatchAll_Ct&lt;22,$BC146=(Elig_MatchAll_Ct-1),AV146=0),T146,0)</f>
        <v>0</v>
      </c>
      <c r="BZ146" s="176">
        <f>IF(AND(Input_Product=Elig!$C146,Elig_MatchAll_Ct&lt;22,$BC146=(Elig_MatchAll_Ct-1),AV146=0),U146,0)</f>
        <v>0</v>
      </c>
      <c r="CA146" s="175">
        <f>IF(AND(Input_Product=Elig!$C146,Elig_MatchAll_Ct&lt;22,$BC146=(Elig_MatchAll_Ct-1),AW146=0),V146,0)</f>
        <v>0</v>
      </c>
      <c r="CB146" s="176">
        <f>IF(AND(Input_Product=Elig!$C146,Elig_MatchAll_Ct&lt;22,$BC146=(Elig_MatchAll_Ct-1),AW146=0),W146,0)</f>
        <v>0</v>
      </c>
      <c r="CC146" s="175">
        <f>IF(AND(Input_Product=Elig!$C146,Elig_MatchAll_Ct&lt;22,$BC146=(Elig_MatchAll_Ct-1),AX146=0),X146,0)</f>
        <v>0</v>
      </c>
      <c r="CD146" s="176">
        <f>IF(AND(Input_Product=Elig!$C146,Elig_MatchAll_Ct&lt;22,$BC146=(Elig_MatchAll_Ct-1),AX146=0),Y146,0)</f>
        <v>0</v>
      </c>
      <c r="CE146" s="175">
        <f>IF(AND(Input_LTV&lt;=AE146,Input_Product=Elig!$C146,Elig_MatchAll_Ct&lt;22,$BC146=(Elig_MatchAll_Ct-1),AY146=0),Z146,0)</f>
        <v>0</v>
      </c>
      <c r="CF146" s="176">
        <f>IF(AND(Input_LTV&lt;=AE146,Input_Product=Elig!$C146,Elig_MatchAll_Ct&lt;22,$BC146=(Elig_MatchAll_Ct-1),AY146=0),AA146,0)</f>
        <v>0</v>
      </c>
      <c r="CG146" s="175">
        <f>IF(AND(Input_Product=Elig!$C146,Elig_MatchAll_Ct&lt;22,$BC146=(Elig_MatchAll_Ct-1),AZ146=0),AB146,0)</f>
        <v>0</v>
      </c>
      <c r="CH146" s="176">
        <f>IF(AND(Input_Product=Elig!$C146,Elig_MatchAll_Ct&lt;22,$BC146=(Elig_MatchAll_Ct-1),AZ146=0),AC146,0)</f>
        <v>0</v>
      </c>
      <c r="CI146" s="175">
        <f>IF(AND(Input_Product=Elig!$C146,Elig_MatchAll_Ct&lt;22,$BC146=(Elig_MatchAll_Ct-1),BA146=0),AD146,0)</f>
        <v>0</v>
      </c>
      <c r="CJ146" s="177">
        <f>IF(AND(Input_Product=Elig!$C146,Elig_MatchAll_Ct&lt;22,$BC146=(Elig_MatchAll_Ct-1),BA146=0),AE146,0)</f>
        <v>0</v>
      </c>
    </row>
    <row r="147" spans="1:88" ht="10.15" customHeight="1" x14ac:dyDescent="0.25">
      <c r="A147" s="1923" t="s">
        <v>2507</v>
      </c>
      <c r="B147" s="1923" t="s">
        <v>2480</v>
      </c>
      <c r="C147" s="1927" t="str">
        <f t="shared" si="30"/>
        <v>NonQM OO</v>
      </c>
      <c r="D147" s="1928" t="s">
        <v>1995</v>
      </c>
      <c r="E147" s="1929" t="s">
        <v>166</v>
      </c>
      <c r="F147" s="1929" t="s">
        <v>330</v>
      </c>
      <c r="G147" s="1929" t="s">
        <v>178</v>
      </c>
      <c r="H147" s="1929" t="s">
        <v>135</v>
      </c>
      <c r="I147" s="1928" t="s">
        <v>16</v>
      </c>
      <c r="J147" s="1928" t="s">
        <v>1130</v>
      </c>
      <c r="K147" s="1928" t="s">
        <v>1398</v>
      </c>
      <c r="L147" s="1929" t="s">
        <v>2025</v>
      </c>
      <c r="M147" s="1929" t="s">
        <v>2289</v>
      </c>
      <c r="N147" s="1929" t="s">
        <v>82</v>
      </c>
      <c r="O147" s="1929" t="s">
        <v>309</v>
      </c>
      <c r="P147" s="1929" t="s">
        <v>2433</v>
      </c>
      <c r="Q147" s="1929" t="s">
        <v>293</v>
      </c>
      <c r="R147" s="1928">
        <v>1500000.01</v>
      </c>
      <c r="S147" s="1928">
        <v>2000000</v>
      </c>
      <c r="T147" s="1928">
        <v>0</v>
      </c>
      <c r="U147" s="1928">
        <f t="shared" ref="U147" si="51">S147</f>
        <v>2000000</v>
      </c>
      <c r="V147" s="1928">
        <v>0</v>
      </c>
      <c r="W147" s="1928">
        <v>55</v>
      </c>
      <c r="X147" s="1928">
        <v>0</v>
      </c>
      <c r="Y147" s="1928">
        <v>999</v>
      </c>
      <c r="Z147" s="1879">
        <v>720</v>
      </c>
      <c r="AA147" s="1879">
        <v>999</v>
      </c>
      <c r="AB147" s="1879">
        <v>0</v>
      </c>
      <c r="AC147" s="1879">
        <v>999999</v>
      </c>
      <c r="AD147" s="1928">
        <v>70.010000000000005</v>
      </c>
      <c r="AE147" s="1928">
        <v>80</v>
      </c>
      <c r="AF147" s="144">
        <v>0</v>
      </c>
      <c r="AG147" s="145">
        <v>1</v>
      </c>
      <c r="AH147" s="145">
        <v>1</v>
      </c>
      <c r="AI147" s="145">
        <v>0</v>
      </c>
      <c r="AJ147" s="145">
        <v>0</v>
      </c>
      <c r="AK147" s="145">
        <v>1</v>
      </c>
      <c r="AL147" s="145">
        <v>0</v>
      </c>
      <c r="AM147" s="145">
        <v>1</v>
      </c>
      <c r="AN147" s="145">
        <v>1</v>
      </c>
      <c r="AO147" s="145">
        <v>1</v>
      </c>
      <c r="AP147" s="145">
        <v>1</v>
      </c>
      <c r="AQ147" s="145">
        <v>0</v>
      </c>
      <c r="AR147" s="145">
        <v>1</v>
      </c>
      <c r="AS147" s="145">
        <v>1</v>
      </c>
      <c r="AT147" s="145">
        <v>1</v>
      </c>
      <c r="AU147" s="145">
        <f t="shared" si="37"/>
        <v>0</v>
      </c>
      <c r="AV147" s="145">
        <f t="shared" si="38"/>
        <v>1</v>
      </c>
      <c r="AW147" s="145">
        <f t="shared" si="39"/>
        <v>1</v>
      </c>
      <c r="AX147" s="145">
        <f t="shared" si="49"/>
        <v>1</v>
      </c>
      <c r="AY147" s="145">
        <f t="shared" si="40"/>
        <v>1</v>
      </c>
      <c r="AZ147" s="145">
        <f t="shared" si="41"/>
        <v>1</v>
      </c>
      <c r="BA147" s="146">
        <f t="shared" si="42"/>
        <v>0</v>
      </c>
      <c r="BB147" s="149">
        <f t="shared" si="43"/>
        <v>15</v>
      </c>
      <c r="BC147" s="150">
        <f t="shared" si="44"/>
        <v>15</v>
      </c>
      <c r="BD147" s="150">
        <f t="shared" si="45"/>
        <v>15</v>
      </c>
      <c r="BE147" s="211" t="str">
        <f t="shared" si="46"/>
        <v/>
      </c>
      <c r="BH147" s="166">
        <f>IF(AND(Input_Product=Elig!$C147,Elig_MatchAll_Ct&lt;22,$BC147=(Elig_MatchAll_Ct-1),AF147=0),C147,0)</f>
        <v>0</v>
      </c>
      <c r="BI147" s="167">
        <f>IF(AND(Input_Product=Elig!$C147,Elig_MatchAll_Ct&lt;22,$BC147=(Elig_MatchAll_Ct-1),AG147=0),D147,0)</f>
        <v>0</v>
      </c>
      <c r="BJ147" s="167">
        <f>IF(AND(Input_Product=Elig!$C147,Elig_MatchAll_Ct&lt;22,$BC147=(Elig_MatchAll_Ct-1),AH147=0),E147,0)</f>
        <v>0</v>
      </c>
      <c r="BK147" s="167">
        <f>IF(AND(Input_Product=Elig!$C147,Elig_MatchAll_Ct&lt;22,$BC147=(Elig_MatchAll_Ct-1),AI147=0),F147,0)</f>
        <v>0</v>
      </c>
      <c r="BL147" s="167">
        <f>IF(AND(Input_Product=Elig!$C147,Elig_MatchAll_Ct&lt;22,$BC147=(Elig_MatchAll_Ct-1),AJ147=0),G147,0)</f>
        <v>0</v>
      </c>
      <c r="BM147" s="167">
        <f>IF(AND(Input_Product=Elig!$C147,Elig_MatchAll_Ct&lt;22,$BC147=(Elig_MatchAll_Ct-1),AK147=0),H147,0)</f>
        <v>0</v>
      </c>
      <c r="BN147" s="167">
        <f>IF(AND(Input_Product=Elig!$C147,Elig_MatchAll_Ct&lt;22,$BC147=(Elig_MatchAll_Ct-1),AL147=0),I147,0)</f>
        <v>0</v>
      </c>
      <c r="BO147" s="167">
        <f>IF(AND(Input_Product=Elig!$C147,Elig_MatchAll_Ct&lt;22,$BC147=(Elig_MatchAll_Ct-1),AM147=0),J147,0)</f>
        <v>0</v>
      </c>
      <c r="BP147" s="167">
        <f>IF(AND(Input_Product=Elig!$C147,Elig_MatchAll_Ct&lt;22,$BC147=(Elig_MatchAll_Ct-1),AN147=0),K147,0)</f>
        <v>0</v>
      </c>
      <c r="BQ147" s="167">
        <f>IF(AND(Input_Product=Elig!$C147,Elig_MatchAll_Ct&lt;22,$BC147=(Elig_MatchAll_Ct-1),AP147=0),L147,0)</f>
        <v>0</v>
      </c>
      <c r="BR147" s="167">
        <f>IF(AND(Input_Product=Elig!$C147,Elig_MatchAll_Ct&lt;22,$BC147=(Elig_MatchAll_Ct-1),AO147=0),M147,0)</f>
        <v>0</v>
      </c>
      <c r="BS147" s="167">
        <f>IF(AND(Input_Product=Elig!$C147,Elig_MatchAll_Ct&lt;22,$BC147=(Elig_MatchAll_Ct-1),AQ147=0),N147,0)</f>
        <v>0</v>
      </c>
      <c r="BT147" s="167">
        <f>IF(AND(Input_Product=Elig!$C147,Elig_MatchAll_Ct&lt;22,$BC147=(Elig_MatchAll_Ct-1),AR147=0),O147,0)</f>
        <v>0</v>
      </c>
      <c r="BU147" s="167">
        <f>IF(AND(Input_Product=Elig!$C147,Elig_MatchAll_Ct&lt;22,$BC147=(Elig_MatchAll_Ct-1),AS147=0),P147,0)</f>
        <v>0</v>
      </c>
      <c r="BV147" s="168">
        <f>IF(AND(Input_Product=Elig!$C147,Elig_MatchAll_Ct&lt;22,$BC147=(Elig_MatchAll_Ct-1),AT147=0),Q147,0)</f>
        <v>0</v>
      </c>
      <c r="BW147" s="169">
        <f>IF(AND(Input_Product=Elig!$C147,Elig_MatchAll_Ct&lt;22,$BC147=(Elig_MatchAll_Ct-1),AU147=0),R147,0)</f>
        <v>0</v>
      </c>
      <c r="BX147" s="170">
        <f>IF(AND(Input_Product=Elig!$C147,Elig_MatchAll_Ct&lt;22,$BC147=(Elig_MatchAll_Ct-1),AU147=0),S147,0)</f>
        <v>0</v>
      </c>
      <c r="BY147" s="169">
        <f>IF(AND(Input_Product=Elig!$C147,Elig_MatchAll_Ct&lt;22,$BC147=(Elig_MatchAll_Ct-1),AV147=0),T147,0)</f>
        <v>0</v>
      </c>
      <c r="BZ147" s="170">
        <f>IF(AND(Input_Product=Elig!$C147,Elig_MatchAll_Ct&lt;22,$BC147=(Elig_MatchAll_Ct-1),AV147=0),U147,0)</f>
        <v>0</v>
      </c>
      <c r="CA147" s="169">
        <f>IF(AND(Input_Product=Elig!$C147,Elig_MatchAll_Ct&lt;22,$BC147=(Elig_MatchAll_Ct-1),AW147=0),V147,0)</f>
        <v>0</v>
      </c>
      <c r="CB147" s="170">
        <f>IF(AND(Input_Product=Elig!$C147,Elig_MatchAll_Ct&lt;22,$BC147=(Elig_MatchAll_Ct-1),AW147=0),W147,0)</f>
        <v>0</v>
      </c>
      <c r="CC147" s="169">
        <f>IF(AND(Input_Product=Elig!$C147,Elig_MatchAll_Ct&lt;22,$BC147=(Elig_MatchAll_Ct-1),AX147=0),X147,0)</f>
        <v>0</v>
      </c>
      <c r="CD147" s="170">
        <f>IF(AND(Input_Product=Elig!$C147,Elig_MatchAll_Ct&lt;22,$BC147=(Elig_MatchAll_Ct-1),AX147=0),Y147,0)</f>
        <v>0</v>
      </c>
      <c r="CE147" s="169">
        <f>IF(AND(Input_LTV&lt;=AE147,Input_Product=Elig!$C147,Elig_MatchAll_Ct&lt;22,$BC147=(Elig_MatchAll_Ct-1),AY147=0),Z147,0)</f>
        <v>0</v>
      </c>
      <c r="CF147" s="170">
        <f>IF(AND(Input_LTV&lt;=AE147,Input_Product=Elig!$C147,Elig_MatchAll_Ct&lt;22,$BC147=(Elig_MatchAll_Ct-1),AY147=0),AA147,0)</f>
        <v>0</v>
      </c>
      <c r="CG147" s="169">
        <f>IF(AND(Input_Product=Elig!$C147,Elig_MatchAll_Ct&lt;22,$BC147=(Elig_MatchAll_Ct-1),AZ147=0),AB147,0)</f>
        <v>0</v>
      </c>
      <c r="CH147" s="170">
        <f>IF(AND(Input_Product=Elig!$C147,Elig_MatchAll_Ct&lt;22,$BC147=(Elig_MatchAll_Ct-1),AZ147=0),AC147,0)</f>
        <v>0</v>
      </c>
      <c r="CI147" s="169">
        <f>IF(AND(Input_Product=Elig!$C147,Elig_MatchAll_Ct&lt;22,$BC147=(Elig_MatchAll_Ct-1),BA147=0),AD147,0)</f>
        <v>0</v>
      </c>
      <c r="CJ147" s="171">
        <f>IF(AND(Input_Product=Elig!$C147,Elig_MatchAll_Ct&lt;22,$BC147=(Elig_MatchAll_Ct-1),BA147=0),AE147,0)</f>
        <v>0</v>
      </c>
    </row>
    <row r="148" spans="1:88" ht="10.15" customHeight="1" x14ac:dyDescent="0.25">
      <c r="A148" s="1419" t="s">
        <v>76</v>
      </c>
      <c r="B148" s="1419" t="s">
        <v>841</v>
      </c>
      <c r="C148" s="123" t="str">
        <f t="shared" si="30"/>
        <v>NonQM OO</v>
      </c>
      <c r="D148" s="124" t="s">
        <v>1995</v>
      </c>
      <c r="E148" s="125" t="s">
        <v>166</v>
      </c>
      <c r="F148" s="125" t="s">
        <v>330</v>
      </c>
      <c r="G148" s="125" t="s">
        <v>178</v>
      </c>
      <c r="H148" s="125" t="s">
        <v>135</v>
      </c>
      <c r="I148" s="124" t="s">
        <v>16</v>
      </c>
      <c r="J148" s="124" t="s">
        <v>1130</v>
      </c>
      <c r="K148" s="124" t="s">
        <v>1398</v>
      </c>
      <c r="L148" s="125" t="s">
        <v>2025</v>
      </c>
      <c r="M148" s="125" t="s">
        <v>2289</v>
      </c>
      <c r="N148" s="125" t="s">
        <v>82</v>
      </c>
      <c r="O148" s="125" t="s">
        <v>309</v>
      </c>
      <c r="P148" s="125" t="s">
        <v>2433</v>
      </c>
      <c r="Q148" s="125" t="s">
        <v>293</v>
      </c>
      <c r="R148" s="124">
        <v>1500000.01</v>
      </c>
      <c r="S148" s="124">
        <v>2000000</v>
      </c>
      <c r="T148" s="124">
        <v>0</v>
      </c>
      <c r="U148" s="124">
        <f t="shared" ref="U148:U151" si="52">S148</f>
        <v>2000000</v>
      </c>
      <c r="V148" s="124">
        <v>0</v>
      </c>
      <c r="W148" s="124">
        <v>55</v>
      </c>
      <c r="X148" s="124">
        <v>0</v>
      </c>
      <c r="Y148" s="124">
        <v>999</v>
      </c>
      <c r="Z148" s="126">
        <v>720</v>
      </c>
      <c r="AA148" s="126">
        <v>999</v>
      </c>
      <c r="AB148" s="1879">
        <v>0</v>
      </c>
      <c r="AC148" s="126">
        <v>999999</v>
      </c>
      <c r="AD148" s="124">
        <v>0</v>
      </c>
      <c r="AE148" s="124">
        <v>70</v>
      </c>
      <c r="AF148" s="144">
        <v>0</v>
      </c>
      <c r="AG148" s="145">
        <v>1</v>
      </c>
      <c r="AH148" s="145">
        <v>1</v>
      </c>
      <c r="AI148" s="145">
        <v>0</v>
      </c>
      <c r="AJ148" s="145">
        <v>0</v>
      </c>
      <c r="AK148" s="145">
        <v>1</v>
      </c>
      <c r="AL148" s="145">
        <v>0</v>
      </c>
      <c r="AM148" s="145">
        <v>1</v>
      </c>
      <c r="AN148" s="145">
        <v>1</v>
      </c>
      <c r="AO148" s="145">
        <v>1</v>
      </c>
      <c r="AP148" s="145">
        <v>1</v>
      </c>
      <c r="AQ148" s="145">
        <v>0</v>
      </c>
      <c r="AR148" s="145">
        <v>1</v>
      </c>
      <c r="AS148" s="145">
        <v>1</v>
      </c>
      <c r="AT148" s="145">
        <v>1</v>
      </c>
      <c r="AU148" s="145">
        <f t="shared" si="37"/>
        <v>0</v>
      </c>
      <c r="AV148" s="145">
        <f t="shared" si="38"/>
        <v>1</v>
      </c>
      <c r="AW148" s="145">
        <f t="shared" si="39"/>
        <v>1</v>
      </c>
      <c r="AX148" s="145">
        <f t="shared" si="49"/>
        <v>1</v>
      </c>
      <c r="AY148" s="145">
        <f t="shared" si="40"/>
        <v>1</v>
      </c>
      <c r="AZ148" s="145">
        <f t="shared" si="41"/>
        <v>1</v>
      </c>
      <c r="BA148" s="146">
        <f t="shared" si="42"/>
        <v>1</v>
      </c>
      <c r="BB148" s="149">
        <f t="shared" si="43"/>
        <v>16</v>
      </c>
      <c r="BC148" s="150">
        <f t="shared" si="44"/>
        <v>15</v>
      </c>
      <c r="BD148" s="150">
        <f t="shared" si="45"/>
        <v>16</v>
      </c>
      <c r="BE148" s="211" t="str">
        <f t="shared" si="46"/>
        <v/>
      </c>
      <c r="BH148" s="166">
        <f>IF(AND(Input_Product=Elig!$C148,Elig_MatchAll_Ct&lt;22,$BC148=(Elig_MatchAll_Ct-1),AF148=0),C148,0)</f>
        <v>0</v>
      </c>
      <c r="BI148" s="167">
        <f>IF(AND(Input_Product=Elig!$C148,Elig_MatchAll_Ct&lt;22,$BC148=(Elig_MatchAll_Ct-1),AG148=0),D148,0)</f>
        <v>0</v>
      </c>
      <c r="BJ148" s="167">
        <f>IF(AND(Input_Product=Elig!$C148,Elig_MatchAll_Ct&lt;22,$BC148=(Elig_MatchAll_Ct-1),AH148=0),E148,0)</f>
        <v>0</v>
      </c>
      <c r="BK148" s="167">
        <f>IF(AND(Input_Product=Elig!$C148,Elig_MatchAll_Ct&lt;22,$BC148=(Elig_MatchAll_Ct-1),AI148=0),F148,0)</f>
        <v>0</v>
      </c>
      <c r="BL148" s="167">
        <f>IF(AND(Input_Product=Elig!$C148,Elig_MatchAll_Ct&lt;22,$BC148=(Elig_MatchAll_Ct-1),AJ148=0),G148,0)</f>
        <v>0</v>
      </c>
      <c r="BM148" s="167">
        <f>IF(AND(Input_Product=Elig!$C148,Elig_MatchAll_Ct&lt;22,$BC148=(Elig_MatchAll_Ct-1),AK148=0),H148,0)</f>
        <v>0</v>
      </c>
      <c r="BN148" s="167">
        <f>IF(AND(Input_Product=Elig!$C148,Elig_MatchAll_Ct&lt;22,$BC148=(Elig_MatchAll_Ct-1),AL148=0),I148,0)</f>
        <v>0</v>
      </c>
      <c r="BO148" s="167">
        <f>IF(AND(Input_Product=Elig!$C148,Elig_MatchAll_Ct&lt;22,$BC148=(Elig_MatchAll_Ct-1),AM148=0),J148,0)</f>
        <v>0</v>
      </c>
      <c r="BP148" s="167">
        <f>IF(AND(Input_Product=Elig!$C148,Elig_MatchAll_Ct&lt;22,$BC148=(Elig_MatchAll_Ct-1),AN148=0),K148,0)</f>
        <v>0</v>
      </c>
      <c r="BQ148" s="167">
        <f>IF(AND(Input_Product=Elig!$C148,Elig_MatchAll_Ct&lt;22,$BC148=(Elig_MatchAll_Ct-1),AP148=0),L148,0)</f>
        <v>0</v>
      </c>
      <c r="BR148" s="167">
        <f>IF(AND(Input_Product=Elig!$C148,Elig_MatchAll_Ct&lt;22,$BC148=(Elig_MatchAll_Ct-1),AO148=0),M148,0)</f>
        <v>0</v>
      </c>
      <c r="BS148" s="167">
        <f>IF(AND(Input_Product=Elig!$C148,Elig_MatchAll_Ct&lt;22,$BC148=(Elig_MatchAll_Ct-1),AQ148=0),N148,0)</f>
        <v>0</v>
      </c>
      <c r="BT148" s="167">
        <f>IF(AND(Input_Product=Elig!$C148,Elig_MatchAll_Ct&lt;22,$BC148=(Elig_MatchAll_Ct-1),AR148=0),O148,0)</f>
        <v>0</v>
      </c>
      <c r="BU148" s="167">
        <f>IF(AND(Input_Product=Elig!$C148,Elig_MatchAll_Ct&lt;22,$BC148=(Elig_MatchAll_Ct-1),AS148=0),P148,0)</f>
        <v>0</v>
      </c>
      <c r="BV148" s="168">
        <f>IF(AND(Input_Product=Elig!$C148,Elig_MatchAll_Ct&lt;22,$BC148=(Elig_MatchAll_Ct-1),AT148=0),Q148,0)</f>
        <v>0</v>
      </c>
      <c r="BW148" s="169">
        <f>IF(AND(Input_Product=Elig!$C148,Elig_MatchAll_Ct&lt;22,$BC148=(Elig_MatchAll_Ct-1),AU148=0),R148,0)</f>
        <v>0</v>
      </c>
      <c r="BX148" s="170">
        <f>IF(AND(Input_Product=Elig!$C148,Elig_MatchAll_Ct&lt;22,$BC148=(Elig_MatchAll_Ct-1),AU148=0),S148,0)</f>
        <v>0</v>
      </c>
      <c r="BY148" s="169">
        <f>IF(AND(Input_Product=Elig!$C148,Elig_MatchAll_Ct&lt;22,$BC148=(Elig_MatchAll_Ct-1),AV148=0),T148,0)</f>
        <v>0</v>
      </c>
      <c r="BZ148" s="170">
        <f>IF(AND(Input_Product=Elig!$C148,Elig_MatchAll_Ct&lt;22,$BC148=(Elig_MatchAll_Ct-1),AV148=0),U148,0)</f>
        <v>0</v>
      </c>
      <c r="CA148" s="169">
        <f>IF(AND(Input_Product=Elig!$C148,Elig_MatchAll_Ct&lt;22,$BC148=(Elig_MatchAll_Ct-1),AW148=0),V148,0)</f>
        <v>0</v>
      </c>
      <c r="CB148" s="170">
        <f>IF(AND(Input_Product=Elig!$C148,Elig_MatchAll_Ct&lt;22,$BC148=(Elig_MatchAll_Ct-1),AW148=0),W148,0)</f>
        <v>0</v>
      </c>
      <c r="CC148" s="169">
        <f>IF(AND(Input_Product=Elig!$C148,Elig_MatchAll_Ct&lt;22,$BC148=(Elig_MatchAll_Ct-1),AX148=0),X148,0)</f>
        <v>0</v>
      </c>
      <c r="CD148" s="170">
        <f>IF(AND(Input_Product=Elig!$C148,Elig_MatchAll_Ct&lt;22,$BC148=(Elig_MatchAll_Ct-1),AX148=0),Y148,0)</f>
        <v>0</v>
      </c>
      <c r="CE148" s="169">
        <f>IF(AND(Input_LTV&lt;=AE148,Input_Product=Elig!$C148,Elig_MatchAll_Ct&lt;22,$BC148=(Elig_MatchAll_Ct-1),AY148=0),Z148,0)</f>
        <v>0</v>
      </c>
      <c r="CF148" s="170">
        <f>IF(AND(Input_LTV&lt;=AE148,Input_Product=Elig!$C148,Elig_MatchAll_Ct&lt;22,$BC148=(Elig_MatchAll_Ct-1),AY148=0),AA148,0)</f>
        <v>0</v>
      </c>
      <c r="CG148" s="169">
        <f>IF(AND(Input_Product=Elig!$C148,Elig_MatchAll_Ct&lt;22,$BC148=(Elig_MatchAll_Ct-1),AZ148=0),AB148,0)</f>
        <v>0</v>
      </c>
      <c r="CH148" s="170">
        <f>IF(AND(Input_Product=Elig!$C148,Elig_MatchAll_Ct&lt;22,$BC148=(Elig_MatchAll_Ct-1),AZ148=0),AC148,0)</f>
        <v>0</v>
      </c>
      <c r="CI148" s="169">
        <f>IF(AND(Input_Product=Elig!$C148,Elig_MatchAll_Ct&lt;22,$BC148=(Elig_MatchAll_Ct-1),BA148=0),AD148,0)</f>
        <v>0</v>
      </c>
      <c r="CJ148" s="171">
        <f>IF(AND(Input_Product=Elig!$C148,Elig_MatchAll_Ct&lt;22,$BC148=(Elig_MatchAll_Ct-1),BA148=0),AE148,0)</f>
        <v>0</v>
      </c>
    </row>
    <row r="149" spans="1:88" ht="10.15" customHeight="1" x14ac:dyDescent="0.25">
      <c r="A149" s="1419" t="s">
        <v>76</v>
      </c>
      <c r="B149" s="1419" t="s">
        <v>842</v>
      </c>
      <c r="C149" s="116" t="str">
        <f t="shared" si="30"/>
        <v>NonQM OO</v>
      </c>
      <c r="D149" s="117" t="s">
        <v>1995</v>
      </c>
      <c r="E149" s="117" t="s">
        <v>166</v>
      </c>
      <c r="F149" s="117" t="s">
        <v>330</v>
      </c>
      <c r="G149" s="117" t="s">
        <v>178</v>
      </c>
      <c r="H149" s="117" t="s">
        <v>135</v>
      </c>
      <c r="I149" s="118" t="s">
        <v>16</v>
      </c>
      <c r="J149" s="118" t="s">
        <v>1130</v>
      </c>
      <c r="K149" s="118" t="s">
        <v>1398</v>
      </c>
      <c r="L149" s="117" t="s">
        <v>2025</v>
      </c>
      <c r="M149" s="117" t="s">
        <v>2289</v>
      </c>
      <c r="N149" s="117" t="s">
        <v>82</v>
      </c>
      <c r="O149" s="117" t="s">
        <v>309</v>
      </c>
      <c r="P149" s="117" t="s">
        <v>2433</v>
      </c>
      <c r="Q149" s="117" t="s">
        <v>293</v>
      </c>
      <c r="R149" s="117">
        <v>1500000.01</v>
      </c>
      <c r="S149" s="117">
        <v>2000000</v>
      </c>
      <c r="T149" s="117">
        <v>0</v>
      </c>
      <c r="U149" s="117">
        <f t="shared" si="52"/>
        <v>2000000</v>
      </c>
      <c r="V149" s="117">
        <v>0</v>
      </c>
      <c r="W149" s="117">
        <v>55</v>
      </c>
      <c r="X149" s="117">
        <v>0</v>
      </c>
      <c r="Y149" s="117">
        <v>999</v>
      </c>
      <c r="Z149" s="119">
        <v>700</v>
      </c>
      <c r="AA149" s="119">
        <v>719</v>
      </c>
      <c r="AB149" s="1877">
        <v>0</v>
      </c>
      <c r="AC149" s="119">
        <v>999999</v>
      </c>
      <c r="AD149" s="117">
        <v>0</v>
      </c>
      <c r="AE149" s="117">
        <v>70</v>
      </c>
      <c r="AF149" s="144">
        <v>0</v>
      </c>
      <c r="AG149" s="145">
        <v>1</v>
      </c>
      <c r="AH149" s="145">
        <v>1</v>
      </c>
      <c r="AI149" s="145">
        <v>0</v>
      </c>
      <c r="AJ149" s="145">
        <v>0</v>
      </c>
      <c r="AK149" s="145">
        <v>1</v>
      </c>
      <c r="AL149" s="145">
        <v>0</v>
      </c>
      <c r="AM149" s="145">
        <v>1</v>
      </c>
      <c r="AN149" s="145">
        <v>1</v>
      </c>
      <c r="AO149" s="145">
        <v>1</v>
      </c>
      <c r="AP149" s="145">
        <v>1</v>
      </c>
      <c r="AQ149" s="145">
        <v>0</v>
      </c>
      <c r="AR149" s="145">
        <v>1</v>
      </c>
      <c r="AS149" s="145">
        <v>1</v>
      </c>
      <c r="AT149" s="145">
        <v>1</v>
      </c>
      <c r="AU149" s="145">
        <f t="shared" si="37"/>
        <v>0</v>
      </c>
      <c r="AV149" s="145">
        <f t="shared" si="38"/>
        <v>1</v>
      </c>
      <c r="AW149" s="145">
        <f t="shared" si="39"/>
        <v>1</v>
      </c>
      <c r="AX149" s="145">
        <f t="shared" si="49"/>
        <v>1</v>
      </c>
      <c r="AY149" s="145">
        <f t="shared" si="40"/>
        <v>0</v>
      </c>
      <c r="AZ149" s="145">
        <f t="shared" si="41"/>
        <v>1</v>
      </c>
      <c r="BA149" s="146">
        <f t="shared" si="42"/>
        <v>1</v>
      </c>
      <c r="BB149" s="149">
        <f t="shared" si="43"/>
        <v>15</v>
      </c>
      <c r="BC149" s="150">
        <f t="shared" si="44"/>
        <v>14</v>
      </c>
      <c r="BD149" s="150">
        <f t="shared" si="45"/>
        <v>15</v>
      </c>
      <c r="BE149" s="211" t="str">
        <f t="shared" si="46"/>
        <v/>
      </c>
      <c r="BH149" s="172">
        <f>IF(AND(Input_Product=Elig!$C149,Elig_MatchAll_Ct&lt;22,$BC149=(Elig_MatchAll_Ct-1),AF149=0),C149,0)</f>
        <v>0</v>
      </c>
      <c r="BI149" s="173">
        <f>IF(AND(Input_Product=Elig!$C149,Elig_MatchAll_Ct&lt;22,$BC149=(Elig_MatchAll_Ct-1),AG149=0),D149,0)</f>
        <v>0</v>
      </c>
      <c r="BJ149" s="173">
        <f>IF(AND(Input_Product=Elig!$C149,Elig_MatchAll_Ct&lt;22,$BC149=(Elig_MatchAll_Ct-1),AH149=0),E149,0)</f>
        <v>0</v>
      </c>
      <c r="BK149" s="173">
        <f>IF(AND(Input_Product=Elig!$C149,Elig_MatchAll_Ct&lt;22,$BC149=(Elig_MatchAll_Ct-1),AI149=0),F149,0)</f>
        <v>0</v>
      </c>
      <c r="BL149" s="173">
        <f>IF(AND(Input_Product=Elig!$C149,Elig_MatchAll_Ct&lt;22,$BC149=(Elig_MatchAll_Ct-1),AJ149=0),G149,0)</f>
        <v>0</v>
      </c>
      <c r="BM149" s="173">
        <f>IF(AND(Input_Product=Elig!$C149,Elig_MatchAll_Ct&lt;22,$BC149=(Elig_MatchAll_Ct-1),AK149=0),H149,0)</f>
        <v>0</v>
      </c>
      <c r="BN149" s="173">
        <f>IF(AND(Input_Product=Elig!$C149,Elig_MatchAll_Ct&lt;22,$BC149=(Elig_MatchAll_Ct-1),AL149=0),I149,0)</f>
        <v>0</v>
      </c>
      <c r="BO149" s="173">
        <f>IF(AND(Input_Product=Elig!$C149,Elig_MatchAll_Ct&lt;22,$BC149=(Elig_MatchAll_Ct-1),AM149=0),J149,0)</f>
        <v>0</v>
      </c>
      <c r="BP149" s="173">
        <f>IF(AND(Input_Product=Elig!$C149,Elig_MatchAll_Ct&lt;22,$BC149=(Elig_MatchAll_Ct-1),AN149=0),K149,0)</f>
        <v>0</v>
      </c>
      <c r="BQ149" s="173">
        <f>IF(AND(Input_Product=Elig!$C149,Elig_MatchAll_Ct&lt;22,$BC149=(Elig_MatchAll_Ct-1),AP149=0),L149,0)</f>
        <v>0</v>
      </c>
      <c r="BR149" s="173">
        <f>IF(AND(Input_Product=Elig!$C149,Elig_MatchAll_Ct&lt;22,$BC149=(Elig_MatchAll_Ct-1),AO149=0),M149,0)</f>
        <v>0</v>
      </c>
      <c r="BS149" s="173">
        <f>IF(AND(Input_Product=Elig!$C149,Elig_MatchAll_Ct&lt;22,$BC149=(Elig_MatchAll_Ct-1),AQ149=0),N149,0)</f>
        <v>0</v>
      </c>
      <c r="BT149" s="173">
        <f>IF(AND(Input_Product=Elig!$C149,Elig_MatchAll_Ct&lt;22,$BC149=(Elig_MatchAll_Ct-1),AR149=0),O149,0)</f>
        <v>0</v>
      </c>
      <c r="BU149" s="173">
        <f>IF(AND(Input_Product=Elig!$C149,Elig_MatchAll_Ct&lt;22,$BC149=(Elig_MatchAll_Ct-1),AS149=0),P149,0)</f>
        <v>0</v>
      </c>
      <c r="BV149" s="174">
        <f>IF(AND(Input_Product=Elig!$C149,Elig_MatchAll_Ct&lt;22,$BC149=(Elig_MatchAll_Ct-1),AT149=0),Q149,0)</f>
        <v>0</v>
      </c>
      <c r="BW149" s="175">
        <f>IF(AND(Input_Product=Elig!$C149,Elig_MatchAll_Ct&lt;22,$BC149=(Elig_MatchAll_Ct-1),AU149=0),R149,0)</f>
        <v>0</v>
      </c>
      <c r="BX149" s="176">
        <f>IF(AND(Input_Product=Elig!$C149,Elig_MatchAll_Ct&lt;22,$BC149=(Elig_MatchAll_Ct-1),AU149=0),S149,0)</f>
        <v>0</v>
      </c>
      <c r="BY149" s="175">
        <f>IF(AND(Input_Product=Elig!$C149,Elig_MatchAll_Ct&lt;22,$BC149=(Elig_MatchAll_Ct-1),AV149=0),T149,0)</f>
        <v>0</v>
      </c>
      <c r="BZ149" s="176">
        <f>IF(AND(Input_Product=Elig!$C149,Elig_MatchAll_Ct&lt;22,$BC149=(Elig_MatchAll_Ct-1),AV149=0),U149,0)</f>
        <v>0</v>
      </c>
      <c r="CA149" s="175">
        <f>IF(AND(Input_Product=Elig!$C149,Elig_MatchAll_Ct&lt;22,$BC149=(Elig_MatchAll_Ct-1),AW149=0),V149,0)</f>
        <v>0</v>
      </c>
      <c r="CB149" s="176">
        <f>IF(AND(Input_Product=Elig!$C149,Elig_MatchAll_Ct&lt;22,$BC149=(Elig_MatchAll_Ct-1),AW149=0),W149,0)</f>
        <v>0</v>
      </c>
      <c r="CC149" s="175">
        <f>IF(AND(Input_Product=Elig!$C149,Elig_MatchAll_Ct&lt;22,$BC149=(Elig_MatchAll_Ct-1),AX149=0),X149,0)</f>
        <v>0</v>
      </c>
      <c r="CD149" s="176">
        <f>IF(AND(Input_Product=Elig!$C149,Elig_MatchAll_Ct&lt;22,$BC149=(Elig_MatchAll_Ct-1),AX149=0),Y149,0)</f>
        <v>0</v>
      </c>
      <c r="CE149" s="175">
        <f>IF(AND(Input_LTV&lt;=AE149,Input_Product=Elig!$C149,Elig_MatchAll_Ct&lt;22,$BC149=(Elig_MatchAll_Ct-1),AY149=0),Z149,0)</f>
        <v>0</v>
      </c>
      <c r="CF149" s="176">
        <f>IF(AND(Input_LTV&lt;=AE149,Input_Product=Elig!$C149,Elig_MatchAll_Ct&lt;22,$BC149=(Elig_MatchAll_Ct-1),AY149=0),AA149,0)</f>
        <v>0</v>
      </c>
      <c r="CG149" s="175">
        <f>IF(AND(Input_Product=Elig!$C149,Elig_MatchAll_Ct&lt;22,$BC149=(Elig_MatchAll_Ct-1),AZ149=0),AB149,0)</f>
        <v>0</v>
      </c>
      <c r="CH149" s="176">
        <f>IF(AND(Input_Product=Elig!$C149,Elig_MatchAll_Ct&lt;22,$BC149=(Elig_MatchAll_Ct-1),AZ149=0),AC149,0)</f>
        <v>0</v>
      </c>
      <c r="CI149" s="175">
        <f>IF(AND(Input_Product=Elig!$C149,Elig_MatchAll_Ct&lt;22,$BC149=(Elig_MatchAll_Ct-1),BA149=0),AD149,0)</f>
        <v>0</v>
      </c>
      <c r="CJ149" s="177">
        <f>IF(AND(Input_Product=Elig!$C149,Elig_MatchAll_Ct&lt;22,$BC149=(Elig_MatchAll_Ct-1),BA149=0),AE149,0)</f>
        <v>0</v>
      </c>
    </row>
    <row r="150" spans="1:88" ht="10.15" customHeight="1" x14ac:dyDescent="0.25">
      <c r="A150" s="1419" t="s">
        <v>76</v>
      </c>
      <c r="B150" s="1419" t="s">
        <v>843</v>
      </c>
      <c r="C150" s="116" t="str">
        <f t="shared" ref="C150:C217" si="53">Input_Name_Product1</f>
        <v>NonQM OO</v>
      </c>
      <c r="D150" s="117" t="s">
        <v>1995</v>
      </c>
      <c r="E150" s="117" t="s">
        <v>166</v>
      </c>
      <c r="F150" s="117" t="s">
        <v>330</v>
      </c>
      <c r="G150" s="117" t="s">
        <v>178</v>
      </c>
      <c r="H150" s="117" t="s">
        <v>135</v>
      </c>
      <c r="I150" s="118" t="s">
        <v>16</v>
      </c>
      <c r="J150" s="118" t="s">
        <v>1130</v>
      </c>
      <c r="K150" s="118" t="s">
        <v>1398</v>
      </c>
      <c r="L150" s="117" t="s">
        <v>2025</v>
      </c>
      <c r="M150" s="117" t="s">
        <v>2289</v>
      </c>
      <c r="N150" s="117" t="s">
        <v>82</v>
      </c>
      <c r="O150" s="117" t="s">
        <v>309</v>
      </c>
      <c r="P150" s="117" t="s">
        <v>2433</v>
      </c>
      <c r="Q150" s="117" t="s">
        <v>293</v>
      </c>
      <c r="R150" s="117">
        <v>1500000.01</v>
      </c>
      <c r="S150" s="117">
        <v>2000000</v>
      </c>
      <c r="T150" s="117">
        <v>0</v>
      </c>
      <c r="U150" s="117">
        <f t="shared" si="52"/>
        <v>2000000</v>
      </c>
      <c r="V150" s="117">
        <v>0</v>
      </c>
      <c r="W150" s="117">
        <v>55</v>
      </c>
      <c r="X150" s="117">
        <v>0</v>
      </c>
      <c r="Y150" s="117">
        <v>999</v>
      </c>
      <c r="Z150" s="119">
        <v>680</v>
      </c>
      <c r="AA150" s="119">
        <v>699</v>
      </c>
      <c r="AB150" s="1877">
        <v>0</v>
      </c>
      <c r="AC150" s="119">
        <v>999999</v>
      </c>
      <c r="AD150" s="117">
        <v>0</v>
      </c>
      <c r="AE150" s="117">
        <v>65</v>
      </c>
      <c r="AF150" s="144">
        <v>0</v>
      </c>
      <c r="AG150" s="145">
        <v>1</v>
      </c>
      <c r="AH150" s="145">
        <v>1</v>
      </c>
      <c r="AI150" s="145">
        <v>0</v>
      </c>
      <c r="AJ150" s="145">
        <v>0</v>
      </c>
      <c r="AK150" s="145">
        <v>1</v>
      </c>
      <c r="AL150" s="145">
        <v>0</v>
      </c>
      <c r="AM150" s="145">
        <v>1</v>
      </c>
      <c r="AN150" s="145">
        <v>1</v>
      </c>
      <c r="AO150" s="145">
        <v>1</v>
      </c>
      <c r="AP150" s="145">
        <v>1</v>
      </c>
      <c r="AQ150" s="145">
        <v>0</v>
      </c>
      <c r="AR150" s="145">
        <v>1</v>
      </c>
      <c r="AS150" s="145">
        <v>1</v>
      </c>
      <c r="AT150" s="145">
        <v>1</v>
      </c>
      <c r="AU150" s="145">
        <f t="shared" si="37"/>
        <v>0</v>
      </c>
      <c r="AV150" s="145">
        <f t="shared" si="38"/>
        <v>1</v>
      </c>
      <c r="AW150" s="145">
        <f t="shared" si="39"/>
        <v>1</v>
      </c>
      <c r="AX150" s="145">
        <f t="shared" si="49"/>
        <v>1</v>
      </c>
      <c r="AY150" s="145">
        <f t="shared" si="40"/>
        <v>0</v>
      </c>
      <c r="AZ150" s="145">
        <f t="shared" si="41"/>
        <v>1</v>
      </c>
      <c r="BA150" s="146">
        <f t="shared" si="42"/>
        <v>0</v>
      </c>
      <c r="BB150" s="149">
        <f t="shared" si="43"/>
        <v>14</v>
      </c>
      <c r="BC150" s="150">
        <f t="shared" si="44"/>
        <v>14</v>
      </c>
      <c r="BD150" s="150">
        <f t="shared" si="45"/>
        <v>14</v>
      </c>
      <c r="BE150" s="211" t="str">
        <f t="shared" si="46"/>
        <v/>
      </c>
      <c r="BH150" s="172">
        <f>IF(AND(Input_Product=Elig!$C150,Elig_MatchAll_Ct&lt;22,$BC150=(Elig_MatchAll_Ct-1),AF150=0),C150,0)</f>
        <v>0</v>
      </c>
      <c r="BI150" s="173">
        <f>IF(AND(Input_Product=Elig!$C150,Elig_MatchAll_Ct&lt;22,$BC150=(Elig_MatchAll_Ct-1),AG150=0),D150,0)</f>
        <v>0</v>
      </c>
      <c r="BJ150" s="173">
        <f>IF(AND(Input_Product=Elig!$C150,Elig_MatchAll_Ct&lt;22,$BC150=(Elig_MatchAll_Ct-1),AH150=0),E150,0)</f>
        <v>0</v>
      </c>
      <c r="BK150" s="173">
        <f>IF(AND(Input_Product=Elig!$C150,Elig_MatchAll_Ct&lt;22,$BC150=(Elig_MatchAll_Ct-1),AI150=0),F150,0)</f>
        <v>0</v>
      </c>
      <c r="BL150" s="173">
        <f>IF(AND(Input_Product=Elig!$C150,Elig_MatchAll_Ct&lt;22,$BC150=(Elig_MatchAll_Ct-1),AJ150=0),G150,0)</f>
        <v>0</v>
      </c>
      <c r="BM150" s="173">
        <f>IF(AND(Input_Product=Elig!$C150,Elig_MatchAll_Ct&lt;22,$BC150=(Elig_MatchAll_Ct-1),AK150=0),H150,0)</f>
        <v>0</v>
      </c>
      <c r="BN150" s="173">
        <f>IF(AND(Input_Product=Elig!$C150,Elig_MatchAll_Ct&lt;22,$BC150=(Elig_MatchAll_Ct-1),AL150=0),I150,0)</f>
        <v>0</v>
      </c>
      <c r="BO150" s="173">
        <f>IF(AND(Input_Product=Elig!$C150,Elig_MatchAll_Ct&lt;22,$BC150=(Elig_MatchAll_Ct-1),AM150=0),J150,0)</f>
        <v>0</v>
      </c>
      <c r="BP150" s="173">
        <f>IF(AND(Input_Product=Elig!$C150,Elig_MatchAll_Ct&lt;22,$BC150=(Elig_MatchAll_Ct-1),AN150=0),K150,0)</f>
        <v>0</v>
      </c>
      <c r="BQ150" s="173">
        <f>IF(AND(Input_Product=Elig!$C150,Elig_MatchAll_Ct&lt;22,$BC150=(Elig_MatchAll_Ct-1),AP150=0),L150,0)</f>
        <v>0</v>
      </c>
      <c r="BR150" s="173">
        <f>IF(AND(Input_Product=Elig!$C150,Elig_MatchAll_Ct&lt;22,$BC150=(Elig_MatchAll_Ct-1),AO150=0),M150,0)</f>
        <v>0</v>
      </c>
      <c r="BS150" s="173">
        <f>IF(AND(Input_Product=Elig!$C150,Elig_MatchAll_Ct&lt;22,$BC150=(Elig_MatchAll_Ct-1),AQ150=0),N150,0)</f>
        <v>0</v>
      </c>
      <c r="BT150" s="173">
        <f>IF(AND(Input_Product=Elig!$C150,Elig_MatchAll_Ct&lt;22,$BC150=(Elig_MatchAll_Ct-1),AR150=0),O150,0)</f>
        <v>0</v>
      </c>
      <c r="BU150" s="173">
        <f>IF(AND(Input_Product=Elig!$C150,Elig_MatchAll_Ct&lt;22,$BC150=(Elig_MatchAll_Ct-1),AS150=0),P150,0)</f>
        <v>0</v>
      </c>
      <c r="BV150" s="174">
        <f>IF(AND(Input_Product=Elig!$C150,Elig_MatchAll_Ct&lt;22,$BC150=(Elig_MatchAll_Ct-1),AT150=0),Q150,0)</f>
        <v>0</v>
      </c>
      <c r="BW150" s="175">
        <f>IF(AND(Input_Product=Elig!$C150,Elig_MatchAll_Ct&lt;22,$BC150=(Elig_MatchAll_Ct-1),AU150=0),R150,0)</f>
        <v>0</v>
      </c>
      <c r="BX150" s="176">
        <f>IF(AND(Input_Product=Elig!$C150,Elig_MatchAll_Ct&lt;22,$BC150=(Elig_MatchAll_Ct-1),AU150=0),S150,0)</f>
        <v>0</v>
      </c>
      <c r="BY150" s="175">
        <f>IF(AND(Input_Product=Elig!$C150,Elig_MatchAll_Ct&lt;22,$BC150=(Elig_MatchAll_Ct-1),AV150=0),T150,0)</f>
        <v>0</v>
      </c>
      <c r="BZ150" s="176">
        <f>IF(AND(Input_Product=Elig!$C150,Elig_MatchAll_Ct&lt;22,$BC150=(Elig_MatchAll_Ct-1),AV150=0),U150,0)</f>
        <v>0</v>
      </c>
      <c r="CA150" s="175">
        <f>IF(AND(Input_Product=Elig!$C150,Elig_MatchAll_Ct&lt;22,$BC150=(Elig_MatchAll_Ct-1),AW150=0),V150,0)</f>
        <v>0</v>
      </c>
      <c r="CB150" s="176">
        <f>IF(AND(Input_Product=Elig!$C150,Elig_MatchAll_Ct&lt;22,$BC150=(Elig_MatchAll_Ct-1),AW150=0),W150,0)</f>
        <v>0</v>
      </c>
      <c r="CC150" s="175">
        <f>IF(AND(Input_Product=Elig!$C150,Elig_MatchAll_Ct&lt;22,$BC150=(Elig_MatchAll_Ct-1),AX150=0),X150,0)</f>
        <v>0</v>
      </c>
      <c r="CD150" s="176">
        <f>IF(AND(Input_Product=Elig!$C150,Elig_MatchAll_Ct&lt;22,$BC150=(Elig_MatchAll_Ct-1),AX150=0),Y150,0)</f>
        <v>0</v>
      </c>
      <c r="CE150" s="175">
        <f>IF(AND(Input_LTV&lt;=AE150,Input_Product=Elig!$C150,Elig_MatchAll_Ct&lt;22,$BC150=(Elig_MatchAll_Ct-1),AY150=0),Z150,0)</f>
        <v>0</v>
      </c>
      <c r="CF150" s="176">
        <f>IF(AND(Input_LTV&lt;=AE150,Input_Product=Elig!$C150,Elig_MatchAll_Ct&lt;22,$BC150=(Elig_MatchAll_Ct-1),AY150=0),AA150,0)</f>
        <v>0</v>
      </c>
      <c r="CG150" s="175">
        <f>IF(AND(Input_Product=Elig!$C150,Elig_MatchAll_Ct&lt;22,$BC150=(Elig_MatchAll_Ct-1),AZ150=0),AB150,0)</f>
        <v>0</v>
      </c>
      <c r="CH150" s="176">
        <f>IF(AND(Input_Product=Elig!$C150,Elig_MatchAll_Ct&lt;22,$BC150=(Elig_MatchAll_Ct-1),AZ150=0),AC150,0)</f>
        <v>0</v>
      </c>
      <c r="CI150" s="175">
        <f>IF(AND(Input_Product=Elig!$C150,Elig_MatchAll_Ct&lt;22,$BC150=(Elig_MatchAll_Ct-1),BA150=0),AD150,0)</f>
        <v>0</v>
      </c>
      <c r="CJ150" s="177">
        <f>IF(AND(Input_Product=Elig!$C150,Elig_MatchAll_Ct&lt;22,$BC150=(Elig_MatchAll_Ct-1),BA150=0),AE150,0)</f>
        <v>0</v>
      </c>
    </row>
    <row r="151" spans="1:88" ht="10.15" customHeight="1" x14ac:dyDescent="0.25">
      <c r="A151" s="1419" t="s">
        <v>76</v>
      </c>
      <c r="B151" s="1419" t="s">
        <v>844</v>
      </c>
      <c r="C151" s="129" t="str">
        <f t="shared" si="53"/>
        <v>NonQM OO</v>
      </c>
      <c r="D151" s="130" t="s">
        <v>1995</v>
      </c>
      <c r="E151" s="130" t="s">
        <v>166</v>
      </c>
      <c r="F151" s="130" t="s">
        <v>330</v>
      </c>
      <c r="G151" s="117" t="s">
        <v>178</v>
      </c>
      <c r="H151" s="130" t="s">
        <v>135</v>
      </c>
      <c r="I151" s="131" t="s">
        <v>16</v>
      </c>
      <c r="J151" s="131" t="s">
        <v>1130</v>
      </c>
      <c r="K151" s="131" t="s">
        <v>1398</v>
      </c>
      <c r="L151" s="130" t="s">
        <v>2025</v>
      </c>
      <c r="M151" s="130" t="s">
        <v>2289</v>
      </c>
      <c r="N151" s="130" t="s">
        <v>82</v>
      </c>
      <c r="O151" s="130" t="s">
        <v>309</v>
      </c>
      <c r="P151" s="130" t="s">
        <v>2433</v>
      </c>
      <c r="Q151" s="130" t="s">
        <v>293</v>
      </c>
      <c r="R151" s="130">
        <v>1500000.01</v>
      </c>
      <c r="S151" s="130">
        <v>2000000</v>
      </c>
      <c r="T151" s="130">
        <v>0</v>
      </c>
      <c r="U151" s="130">
        <f t="shared" si="52"/>
        <v>2000000</v>
      </c>
      <c r="V151" s="130">
        <v>0</v>
      </c>
      <c r="W151" s="130">
        <v>55</v>
      </c>
      <c r="X151" s="130">
        <v>0</v>
      </c>
      <c r="Y151" s="130">
        <v>999</v>
      </c>
      <c r="Z151" s="119">
        <v>660</v>
      </c>
      <c r="AA151" s="119">
        <v>679</v>
      </c>
      <c r="AB151" s="1877">
        <v>0</v>
      </c>
      <c r="AC151" s="119">
        <v>999999</v>
      </c>
      <c r="AD151" s="117">
        <v>0</v>
      </c>
      <c r="AE151" s="117">
        <v>65</v>
      </c>
      <c r="AF151" s="144">
        <v>0</v>
      </c>
      <c r="AG151" s="145">
        <v>1</v>
      </c>
      <c r="AH151" s="145">
        <v>1</v>
      </c>
      <c r="AI151" s="145">
        <v>0</v>
      </c>
      <c r="AJ151" s="145">
        <v>0</v>
      </c>
      <c r="AK151" s="145">
        <v>1</v>
      </c>
      <c r="AL151" s="145">
        <v>0</v>
      </c>
      <c r="AM151" s="145">
        <v>1</v>
      </c>
      <c r="AN151" s="145">
        <v>1</v>
      </c>
      <c r="AO151" s="145">
        <v>1</v>
      </c>
      <c r="AP151" s="145">
        <v>1</v>
      </c>
      <c r="AQ151" s="145">
        <v>0</v>
      </c>
      <c r="AR151" s="145">
        <v>1</v>
      </c>
      <c r="AS151" s="145">
        <v>1</v>
      </c>
      <c r="AT151" s="145">
        <v>1</v>
      </c>
      <c r="AU151" s="145">
        <f t="shared" si="37"/>
        <v>0</v>
      </c>
      <c r="AV151" s="145">
        <f t="shared" si="38"/>
        <v>1</v>
      </c>
      <c r="AW151" s="145">
        <f t="shared" si="39"/>
        <v>1</v>
      </c>
      <c r="AX151" s="145">
        <f t="shared" si="49"/>
        <v>1</v>
      </c>
      <c r="AY151" s="145">
        <f t="shared" si="40"/>
        <v>0</v>
      </c>
      <c r="AZ151" s="145">
        <f t="shared" si="41"/>
        <v>1</v>
      </c>
      <c r="BA151" s="146">
        <f t="shared" si="42"/>
        <v>0</v>
      </c>
      <c r="BB151" s="149">
        <f t="shared" si="43"/>
        <v>14</v>
      </c>
      <c r="BC151" s="150">
        <f t="shared" si="44"/>
        <v>14</v>
      </c>
      <c r="BD151" s="150">
        <f t="shared" si="45"/>
        <v>14</v>
      </c>
      <c r="BE151" s="211" t="str">
        <f t="shared" si="46"/>
        <v/>
      </c>
      <c r="BH151" s="172">
        <f>IF(AND(Input_Product=Elig!$C151,Elig_MatchAll_Ct&lt;22,$BC151=(Elig_MatchAll_Ct-1),AF151=0),C151,0)</f>
        <v>0</v>
      </c>
      <c r="BI151" s="173">
        <f>IF(AND(Input_Product=Elig!$C151,Elig_MatchAll_Ct&lt;22,$BC151=(Elig_MatchAll_Ct-1),AG151=0),D151,0)</f>
        <v>0</v>
      </c>
      <c r="BJ151" s="173">
        <f>IF(AND(Input_Product=Elig!$C151,Elig_MatchAll_Ct&lt;22,$BC151=(Elig_MatchAll_Ct-1),AH151=0),E151,0)</f>
        <v>0</v>
      </c>
      <c r="BK151" s="173">
        <f>IF(AND(Input_Product=Elig!$C151,Elig_MatchAll_Ct&lt;22,$BC151=(Elig_MatchAll_Ct-1),AI151=0),F151,0)</f>
        <v>0</v>
      </c>
      <c r="BL151" s="173">
        <f>IF(AND(Input_Product=Elig!$C151,Elig_MatchAll_Ct&lt;22,$BC151=(Elig_MatchAll_Ct-1),AJ151=0),G151,0)</f>
        <v>0</v>
      </c>
      <c r="BM151" s="173">
        <f>IF(AND(Input_Product=Elig!$C151,Elig_MatchAll_Ct&lt;22,$BC151=(Elig_MatchAll_Ct-1),AK151=0),H151,0)</f>
        <v>0</v>
      </c>
      <c r="BN151" s="173">
        <f>IF(AND(Input_Product=Elig!$C151,Elig_MatchAll_Ct&lt;22,$BC151=(Elig_MatchAll_Ct-1),AL151=0),I151,0)</f>
        <v>0</v>
      </c>
      <c r="BO151" s="173">
        <f>IF(AND(Input_Product=Elig!$C151,Elig_MatchAll_Ct&lt;22,$BC151=(Elig_MatchAll_Ct-1),AM151=0),J151,0)</f>
        <v>0</v>
      </c>
      <c r="BP151" s="173">
        <f>IF(AND(Input_Product=Elig!$C151,Elig_MatchAll_Ct&lt;22,$BC151=(Elig_MatchAll_Ct-1),AN151=0),K151,0)</f>
        <v>0</v>
      </c>
      <c r="BQ151" s="173">
        <f>IF(AND(Input_Product=Elig!$C151,Elig_MatchAll_Ct&lt;22,$BC151=(Elig_MatchAll_Ct-1),AP151=0),L151,0)</f>
        <v>0</v>
      </c>
      <c r="BR151" s="173">
        <f>IF(AND(Input_Product=Elig!$C151,Elig_MatchAll_Ct&lt;22,$BC151=(Elig_MatchAll_Ct-1),AO151=0),M151,0)</f>
        <v>0</v>
      </c>
      <c r="BS151" s="173">
        <f>IF(AND(Input_Product=Elig!$C151,Elig_MatchAll_Ct&lt;22,$BC151=(Elig_MatchAll_Ct-1),AQ151=0),N151,0)</f>
        <v>0</v>
      </c>
      <c r="BT151" s="173">
        <f>IF(AND(Input_Product=Elig!$C151,Elig_MatchAll_Ct&lt;22,$BC151=(Elig_MatchAll_Ct-1),AR151=0),O151,0)</f>
        <v>0</v>
      </c>
      <c r="BU151" s="173">
        <f>IF(AND(Input_Product=Elig!$C151,Elig_MatchAll_Ct&lt;22,$BC151=(Elig_MatchAll_Ct-1),AS151=0),P151,0)</f>
        <v>0</v>
      </c>
      <c r="BV151" s="174">
        <f>IF(AND(Input_Product=Elig!$C151,Elig_MatchAll_Ct&lt;22,$BC151=(Elig_MatchAll_Ct-1),AT151=0),Q151,0)</f>
        <v>0</v>
      </c>
      <c r="BW151" s="175">
        <f>IF(AND(Input_Product=Elig!$C151,Elig_MatchAll_Ct&lt;22,$BC151=(Elig_MatchAll_Ct-1),AU151=0),R151,0)</f>
        <v>0</v>
      </c>
      <c r="BX151" s="176">
        <f>IF(AND(Input_Product=Elig!$C151,Elig_MatchAll_Ct&lt;22,$BC151=(Elig_MatchAll_Ct-1),AU151=0),S151,0)</f>
        <v>0</v>
      </c>
      <c r="BY151" s="175">
        <f>IF(AND(Input_Product=Elig!$C151,Elig_MatchAll_Ct&lt;22,$BC151=(Elig_MatchAll_Ct-1),AV151=0),T151,0)</f>
        <v>0</v>
      </c>
      <c r="BZ151" s="176">
        <f>IF(AND(Input_Product=Elig!$C151,Elig_MatchAll_Ct&lt;22,$BC151=(Elig_MatchAll_Ct-1),AV151=0),U151,0)</f>
        <v>0</v>
      </c>
      <c r="CA151" s="175">
        <f>IF(AND(Input_Product=Elig!$C151,Elig_MatchAll_Ct&lt;22,$BC151=(Elig_MatchAll_Ct-1),AW151=0),V151,0)</f>
        <v>0</v>
      </c>
      <c r="CB151" s="176">
        <f>IF(AND(Input_Product=Elig!$C151,Elig_MatchAll_Ct&lt;22,$BC151=(Elig_MatchAll_Ct-1),AW151=0),W151,0)</f>
        <v>0</v>
      </c>
      <c r="CC151" s="175">
        <f>IF(AND(Input_Product=Elig!$C151,Elig_MatchAll_Ct&lt;22,$BC151=(Elig_MatchAll_Ct-1),AX151=0),X151,0)</f>
        <v>0</v>
      </c>
      <c r="CD151" s="176">
        <f>IF(AND(Input_Product=Elig!$C151,Elig_MatchAll_Ct&lt;22,$BC151=(Elig_MatchAll_Ct-1),AX151=0),Y151,0)</f>
        <v>0</v>
      </c>
      <c r="CE151" s="175">
        <f>IF(AND(Input_LTV&lt;=AE151,Input_Product=Elig!$C151,Elig_MatchAll_Ct&lt;22,$BC151=(Elig_MatchAll_Ct-1),AY151=0),Z151,0)</f>
        <v>0</v>
      </c>
      <c r="CF151" s="176">
        <f>IF(AND(Input_LTV&lt;=AE151,Input_Product=Elig!$C151,Elig_MatchAll_Ct&lt;22,$BC151=(Elig_MatchAll_Ct-1),AY151=0),AA151,0)</f>
        <v>0</v>
      </c>
      <c r="CG151" s="175">
        <f>IF(AND(Input_Product=Elig!$C151,Elig_MatchAll_Ct&lt;22,$BC151=(Elig_MatchAll_Ct-1),AZ151=0),AB151,0)</f>
        <v>0</v>
      </c>
      <c r="CH151" s="176">
        <f>IF(AND(Input_Product=Elig!$C151,Elig_MatchAll_Ct&lt;22,$BC151=(Elig_MatchAll_Ct-1),AZ151=0),AC151,0)</f>
        <v>0</v>
      </c>
      <c r="CI151" s="175">
        <f>IF(AND(Input_Product=Elig!$C151,Elig_MatchAll_Ct&lt;22,$BC151=(Elig_MatchAll_Ct-1),BA151=0),AD151,0)</f>
        <v>0</v>
      </c>
      <c r="CJ151" s="177">
        <f>IF(AND(Input_Product=Elig!$C151,Elig_MatchAll_Ct&lt;22,$BC151=(Elig_MatchAll_Ct-1),BA151=0),AE151,0)</f>
        <v>0</v>
      </c>
    </row>
    <row r="152" spans="1:88" ht="10.15" customHeight="1" x14ac:dyDescent="0.25">
      <c r="A152" s="1419" t="s">
        <v>76</v>
      </c>
      <c r="B152" s="1419" t="s">
        <v>845</v>
      </c>
      <c r="C152" s="123" t="str">
        <f t="shared" si="53"/>
        <v>NonQM OO</v>
      </c>
      <c r="D152" s="124" t="s">
        <v>1995</v>
      </c>
      <c r="E152" s="125" t="s">
        <v>166</v>
      </c>
      <c r="F152" s="125" t="s">
        <v>330</v>
      </c>
      <c r="G152" s="125" t="s">
        <v>470</v>
      </c>
      <c r="H152" s="125" t="s">
        <v>135</v>
      </c>
      <c r="I152" s="124" t="s">
        <v>273</v>
      </c>
      <c r="J152" s="124" t="s">
        <v>1130</v>
      </c>
      <c r="K152" s="124" t="s">
        <v>1398</v>
      </c>
      <c r="L152" s="125" t="s">
        <v>2025</v>
      </c>
      <c r="M152" s="125" t="s">
        <v>2289</v>
      </c>
      <c r="N152" s="125" t="s">
        <v>82</v>
      </c>
      <c r="O152" s="125" t="s">
        <v>309</v>
      </c>
      <c r="P152" s="125" t="s">
        <v>2433</v>
      </c>
      <c r="Q152" s="125" t="s">
        <v>293</v>
      </c>
      <c r="R152" s="124">
        <v>1500000.01</v>
      </c>
      <c r="S152" s="124">
        <v>2000000</v>
      </c>
      <c r="T152" s="124">
        <v>0</v>
      </c>
      <c r="U152" s="124">
        <v>0</v>
      </c>
      <c r="V152" s="124">
        <v>0</v>
      </c>
      <c r="W152" s="124">
        <v>55</v>
      </c>
      <c r="X152" s="124">
        <v>0</v>
      </c>
      <c r="Y152" s="124">
        <v>999</v>
      </c>
      <c r="Z152" s="126">
        <v>720</v>
      </c>
      <c r="AA152" s="126">
        <v>999</v>
      </c>
      <c r="AB152" s="1879">
        <v>0</v>
      </c>
      <c r="AC152" s="126">
        <v>999999</v>
      </c>
      <c r="AD152" s="124">
        <v>0</v>
      </c>
      <c r="AE152" s="124">
        <v>70</v>
      </c>
      <c r="AF152" s="144">
        <v>0</v>
      </c>
      <c r="AG152" s="145">
        <v>1</v>
      </c>
      <c r="AH152" s="145">
        <v>1</v>
      </c>
      <c r="AI152" s="145">
        <v>0</v>
      </c>
      <c r="AJ152" s="145">
        <v>0</v>
      </c>
      <c r="AK152" s="145">
        <v>1</v>
      </c>
      <c r="AL152" s="145">
        <v>1</v>
      </c>
      <c r="AM152" s="145">
        <v>1</v>
      </c>
      <c r="AN152" s="145">
        <v>1</v>
      </c>
      <c r="AO152" s="145">
        <v>1</v>
      </c>
      <c r="AP152" s="145">
        <v>1</v>
      </c>
      <c r="AQ152" s="145">
        <v>0</v>
      </c>
      <c r="AR152" s="145">
        <v>1</v>
      </c>
      <c r="AS152" s="145">
        <v>1</v>
      </c>
      <c r="AT152" s="145">
        <v>1</v>
      </c>
      <c r="AU152" s="145">
        <f t="shared" si="37"/>
        <v>0</v>
      </c>
      <c r="AV152" s="145">
        <f t="shared" si="38"/>
        <v>1</v>
      </c>
      <c r="AW152" s="145">
        <f t="shared" si="39"/>
        <v>1</v>
      </c>
      <c r="AX152" s="145">
        <f t="shared" si="49"/>
        <v>1</v>
      </c>
      <c r="AY152" s="145">
        <f t="shared" si="40"/>
        <v>1</v>
      </c>
      <c r="AZ152" s="145">
        <f t="shared" si="41"/>
        <v>1</v>
      </c>
      <c r="BA152" s="146">
        <f t="shared" si="42"/>
        <v>1</v>
      </c>
      <c r="BB152" s="149">
        <f t="shared" si="43"/>
        <v>17</v>
      </c>
      <c r="BC152" s="150">
        <f t="shared" si="44"/>
        <v>16</v>
      </c>
      <c r="BD152" s="150">
        <f t="shared" si="45"/>
        <v>17</v>
      </c>
      <c r="BE152" s="211" t="str">
        <f t="shared" si="46"/>
        <v/>
      </c>
      <c r="BH152" s="166">
        <f>IF(AND(Input_Product=Elig!$C152,Elig_MatchAll_Ct&lt;22,$BC152=(Elig_MatchAll_Ct-1),AF152=0),C152,0)</f>
        <v>0</v>
      </c>
      <c r="BI152" s="167">
        <f>IF(AND(Input_Product=Elig!$C152,Elig_MatchAll_Ct&lt;22,$BC152=(Elig_MatchAll_Ct-1),AG152=0),D152,0)</f>
        <v>0</v>
      </c>
      <c r="BJ152" s="167">
        <f>IF(AND(Input_Product=Elig!$C152,Elig_MatchAll_Ct&lt;22,$BC152=(Elig_MatchAll_Ct-1),AH152=0),E152,0)</f>
        <v>0</v>
      </c>
      <c r="BK152" s="167">
        <f>IF(AND(Input_Product=Elig!$C152,Elig_MatchAll_Ct&lt;22,$BC152=(Elig_MatchAll_Ct-1),AI152=0),F152,0)</f>
        <v>0</v>
      </c>
      <c r="BL152" s="167">
        <f>IF(AND(Input_Product=Elig!$C152,Elig_MatchAll_Ct&lt;22,$BC152=(Elig_MatchAll_Ct-1),AJ152=0),G152,0)</f>
        <v>0</v>
      </c>
      <c r="BM152" s="167">
        <f>IF(AND(Input_Product=Elig!$C152,Elig_MatchAll_Ct&lt;22,$BC152=(Elig_MatchAll_Ct-1),AK152=0),H152,0)</f>
        <v>0</v>
      </c>
      <c r="BN152" s="167">
        <f>IF(AND(Input_Product=Elig!$C152,Elig_MatchAll_Ct&lt;22,$BC152=(Elig_MatchAll_Ct-1),AL152=0),I152,0)</f>
        <v>0</v>
      </c>
      <c r="BO152" s="167">
        <f>IF(AND(Input_Product=Elig!$C152,Elig_MatchAll_Ct&lt;22,$BC152=(Elig_MatchAll_Ct-1),AM152=0),J152,0)</f>
        <v>0</v>
      </c>
      <c r="BP152" s="167">
        <f>IF(AND(Input_Product=Elig!$C152,Elig_MatchAll_Ct&lt;22,$BC152=(Elig_MatchAll_Ct-1),AN152=0),K152,0)</f>
        <v>0</v>
      </c>
      <c r="BQ152" s="167">
        <f>IF(AND(Input_Product=Elig!$C152,Elig_MatchAll_Ct&lt;22,$BC152=(Elig_MatchAll_Ct-1),AP152=0),L152,0)</f>
        <v>0</v>
      </c>
      <c r="BR152" s="167">
        <f>IF(AND(Input_Product=Elig!$C152,Elig_MatchAll_Ct&lt;22,$BC152=(Elig_MatchAll_Ct-1),AO152=0),M152,0)</f>
        <v>0</v>
      </c>
      <c r="BS152" s="167">
        <f>IF(AND(Input_Product=Elig!$C152,Elig_MatchAll_Ct&lt;22,$BC152=(Elig_MatchAll_Ct-1),AQ152=0),N152,0)</f>
        <v>0</v>
      </c>
      <c r="BT152" s="167">
        <f>IF(AND(Input_Product=Elig!$C152,Elig_MatchAll_Ct&lt;22,$BC152=(Elig_MatchAll_Ct-1),AR152=0),O152,0)</f>
        <v>0</v>
      </c>
      <c r="BU152" s="167">
        <f>IF(AND(Input_Product=Elig!$C152,Elig_MatchAll_Ct&lt;22,$BC152=(Elig_MatchAll_Ct-1),AS152=0),P152,0)</f>
        <v>0</v>
      </c>
      <c r="BV152" s="168">
        <f>IF(AND(Input_Product=Elig!$C152,Elig_MatchAll_Ct&lt;22,$BC152=(Elig_MatchAll_Ct-1),AT152=0),Q152,0)</f>
        <v>0</v>
      </c>
      <c r="BW152" s="169">
        <f>IF(AND(Input_Product=Elig!$C152,Elig_MatchAll_Ct&lt;22,$BC152=(Elig_MatchAll_Ct-1),AU152=0),R152,0)</f>
        <v>0</v>
      </c>
      <c r="BX152" s="170">
        <f>IF(AND(Input_Product=Elig!$C152,Elig_MatchAll_Ct&lt;22,$BC152=(Elig_MatchAll_Ct-1),AU152=0),S152,0)</f>
        <v>0</v>
      </c>
      <c r="BY152" s="169">
        <f>IF(AND(Input_Product=Elig!$C152,Elig_MatchAll_Ct&lt;22,$BC152=(Elig_MatchAll_Ct-1),AV152=0),T152,0)</f>
        <v>0</v>
      </c>
      <c r="BZ152" s="170">
        <f>IF(AND(Input_Product=Elig!$C152,Elig_MatchAll_Ct&lt;22,$BC152=(Elig_MatchAll_Ct-1),AV152=0),U152,0)</f>
        <v>0</v>
      </c>
      <c r="CA152" s="169">
        <f>IF(AND(Input_Product=Elig!$C152,Elig_MatchAll_Ct&lt;22,$BC152=(Elig_MatchAll_Ct-1),AW152=0),V152,0)</f>
        <v>0</v>
      </c>
      <c r="CB152" s="170">
        <f>IF(AND(Input_Product=Elig!$C152,Elig_MatchAll_Ct&lt;22,$BC152=(Elig_MatchAll_Ct-1),AW152=0),W152,0)</f>
        <v>0</v>
      </c>
      <c r="CC152" s="169">
        <f>IF(AND(Input_Product=Elig!$C152,Elig_MatchAll_Ct&lt;22,$BC152=(Elig_MatchAll_Ct-1),AX152=0),X152,0)</f>
        <v>0</v>
      </c>
      <c r="CD152" s="170">
        <f>IF(AND(Input_Product=Elig!$C152,Elig_MatchAll_Ct&lt;22,$BC152=(Elig_MatchAll_Ct-1),AX152=0),Y152,0)</f>
        <v>0</v>
      </c>
      <c r="CE152" s="169">
        <f>IF(AND(Input_LTV&lt;=AE152,Input_Product=Elig!$C152,Elig_MatchAll_Ct&lt;22,$BC152=(Elig_MatchAll_Ct-1),AY152=0),Z152,0)</f>
        <v>0</v>
      </c>
      <c r="CF152" s="170">
        <f>IF(AND(Input_LTV&lt;=AE152,Input_Product=Elig!$C152,Elig_MatchAll_Ct&lt;22,$BC152=(Elig_MatchAll_Ct-1),AY152=0),AA152,0)</f>
        <v>0</v>
      </c>
      <c r="CG152" s="169">
        <f>IF(AND(Input_Product=Elig!$C152,Elig_MatchAll_Ct&lt;22,$BC152=(Elig_MatchAll_Ct-1),AZ152=0),AB152,0)</f>
        <v>0</v>
      </c>
      <c r="CH152" s="170">
        <f>IF(AND(Input_Product=Elig!$C152,Elig_MatchAll_Ct&lt;22,$BC152=(Elig_MatchAll_Ct-1),AZ152=0),AC152,0)</f>
        <v>0</v>
      </c>
      <c r="CI152" s="169">
        <f>IF(AND(Input_Product=Elig!$C152,Elig_MatchAll_Ct&lt;22,$BC152=(Elig_MatchAll_Ct-1),BA152=0),AD152,0)</f>
        <v>0</v>
      </c>
      <c r="CJ152" s="171">
        <f>IF(AND(Input_Product=Elig!$C152,Elig_MatchAll_Ct&lt;22,$BC152=(Elig_MatchAll_Ct-1),BA152=0),AE152,0)</f>
        <v>0</v>
      </c>
    </row>
    <row r="153" spans="1:88" ht="10.15" customHeight="1" x14ac:dyDescent="0.25">
      <c r="A153" s="1419" t="s">
        <v>76</v>
      </c>
      <c r="B153" s="1419" t="s">
        <v>846</v>
      </c>
      <c r="C153" s="116" t="str">
        <f t="shared" si="53"/>
        <v>NonQM OO</v>
      </c>
      <c r="D153" s="117" t="s">
        <v>1995</v>
      </c>
      <c r="E153" s="117" t="s">
        <v>166</v>
      </c>
      <c r="F153" s="117" t="s">
        <v>330</v>
      </c>
      <c r="G153" s="117" t="s">
        <v>470</v>
      </c>
      <c r="H153" s="117" t="s">
        <v>135</v>
      </c>
      <c r="I153" s="118" t="s">
        <v>273</v>
      </c>
      <c r="J153" s="118" t="s">
        <v>1130</v>
      </c>
      <c r="K153" s="118" t="s">
        <v>1398</v>
      </c>
      <c r="L153" s="117" t="s">
        <v>2025</v>
      </c>
      <c r="M153" s="117" t="s">
        <v>2289</v>
      </c>
      <c r="N153" s="117" t="s">
        <v>82</v>
      </c>
      <c r="O153" s="117" t="s">
        <v>309</v>
      </c>
      <c r="P153" s="117" t="s">
        <v>2433</v>
      </c>
      <c r="Q153" s="117" t="s">
        <v>293</v>
      </c>
      <c r="R153" s="117">
        <v>1500000.01</v>
      </c>
      <c r="S153" s="117">
        <v>2000000</v>
      </c>
      <c r="T153" s="117">
        <v>0</v>
      </c>
      <c r="U153" s="117">
        <v>0</v>
      </c>
      <c r="V153" s="117">
        <v>0</v>
      </c>
      <c r="W153" s="117">
        <v>55</v>
      </c>
      <c r="X153" s="117">
        <v>0</v>
      </c>
      <c r="Y153" s="117">
        <v>999</v>
      </c>
      <c r="Z153" s="119">
        <v>700</v>
      </c>
      <c r="AA153" s="119">
        <v>719</v>
      </c>
      <c r="AB153" s="1877">
        <v>0</v>
      </c>
      <c r="AC153" s="119">
        <v>999999</v>
      </c>
      <c r="AD153" s="117">
        <v>0</v>
      </c>
      <c r="AE153" s="117">
        <v>70</v>
      </c>
      <c r="AF153" s="144">
        <v>0</v>
      </c>
      <c r="AG153" s="145">
        <v>1</v>
      </c>
      <c r="AH153" s="145">
        <v>1</v>
      </c>
      <c r="AI153" s="145">
        <v>0</v>
      </c>
      <c r="AJ153" s="145">
        <v>0</v>
      </c>
      <c r="AK153" s="145">
        <v>1</v>
      </c>
      <c r="AL153" s="145">
        <v>1</v>
      </c>
      <c r="AM153" s="145">
        <v>1</v>
      </c>
      <c r="AN153" s="145">
        <v>1</v>
      </c>
      <c r="AO153" s="145">
        <v>1</v>
      </c>
      <c r="AP153" s="145">
        <v>1</v>
      </c>
      <c r="AQ153" s="145">
        <v>0</v>
      </c>
      <c r="AR153" s="145">
        <v>1</v>
      </c>
      <c r="AS153" s="145">
        <v>1</v>
      </c>
      <c r="AT153" s="145">
        <v>1</v>
      </c>
      <c r="AU153" s="145">
        <f t="shared" si="37"/>
        <v>0</v>
      </c>
      <c r="AV153" s="145">
        <f t="shared" si="38"/>
        <v>1</v>
      </c>
      <c r="AW153" s="145">
        <f t="shared" si="39"/>
        <v>1</v>
      </c>
      <c r="AX153" s="145">
        <f t="shared" si="49"/>
        <v>1</v>
      </c>
      <c r="AY153" s="145">
        <f t="shared" si="40"/>
        <v>0</v>
      </c>
      <c r="AZ153" s="145">
        <f t="shared" si="41"/>
        <v>1</v>
      </c>
      <c r="BA153" s="146">
        <f t="shared" si="42"/>
        <v>1</v>
      </c>
      <c r="BB153" s="149">
        <f t="shared" si="43"/>
        <v>16</v>
      </c>
      <c r="BC153" s="150">
        <f t="shared" si="44"/>
        <v>15</v>
      </c>
      <c r="BD153" s="150">
        <f t="shared" si="45"/>
        <v>16</v>
      </c>
      <c r="BE153" s="211" t="str">
        <f t="shared" si="46"/>
        <v/>
      </c>
      <c r="BH153" s="172">
        <f>IF(AND(Input_Product=Elig!$C153,Elig_MatchAll_Ct&lt;22,$BC153=(Elig_MatchAll_Ct-1),AF153=0),C153,0)</f>
        <v>0</v>
      </c>
      <c r="BI153" s="173">
        <f>IF(AND(Input_Product=Elig!$C153,Elig_MatchAll_Ct&lt;22,$BC153=(Elig_MatchAll_Ct-1),AG153=0),D153,0)</f>
        <v>0</v>
      </c>
      <c r="BJ153" s="173">
        <f>IF(AND(Input_Product=Elig!$C153,Elig_MatchAll_Ct&lt;22,$BC153=(Elig_MatchAll_Ct-1),AH153=0),E153,0)</f>
        <v>0</v>
      </c>
      <c r="BK153" s="173">
        <f>IF(AND(Input_Product=Elig!$C153,Elig_MatchAll_Ct&lt;22,$BC153=(Elig_MatchAll_Ct-1),AI153=0),F153,0)</f>
        <v>0</v>
      </c>
      <c r="BL153" s="173">
        <f>IF(AND(Input_Product=Elig!$C153,Elig_MatchAll_Ct&lt;22,$BC153=(Elig_MatchAll_Ct-1),AJ153=0),G153,0)</f>
        <v>0</v>
      </c>
      <c r="BM153" s="173">
        <f>IF(AND(Input_Product=Elig!$C153,Elig_MatchAll_Ct&lt;22,$BC153=(Elig_MatchAll_Ct-1),AK153=0),H153,0)</f>
        <v>0</v>
      </c>
      <c r="BN153" s="173">
        <f>IF(AND(Input_Product=Elig!$C153,Elig_MatchAll_Ct&lt;22,$BC153=(Elig_MatchAll_Ct-1),AL153=0),I153,0)</f>
        <v>0</v>
      </c>
      <c r="BO153" s="173">
        <f>IF(AND(Input_Product=Elig!$C153,Elig_MatchAll_Ct&lt;22,$BC153=(Elig_MatchAll_Ct-1),AM153=0),J153,0)</f>
        <v>0</v>
      </c>
      <c r="BP153" s="173">
        <f>IF(AND(Input_Product=Elig!$C153,Elig_MatchAll_Ct&lt;22,$BC153=(Elig_MatchAll_Ct-1),AN153=0),K153,0)</f>
        <v>0</v>
      </c>
      <c r="BQ153" s="173">
        <f>IF(AND(Input_Product=Elig!$C153,Elig_MatchAll_Ct&lt;22,$BC153=(Elig_MatchAll_Ct-1),AP153=0),L153,0)</f>
        <v>0</v>
      </c>
      <c r="BR153" s="173">
        <f>IF(AND(Input_Product=Elig!$C153,Elig_MatchAll_Ct&lt;22,$BC153=(Elig_MatchAll_Ct-1),AO153=0),M153,0)</f>
        <v>0</v>
      </c>
      <c r="BS153" s="173">
        <f>IF(AND(Input_Product=Elig!$C153,Elig_MatchAll_Ct&lt;22,$BC153=(Elig_MatchAll_Ct-1),AQ153=0),N153,0)</f>
        <v>0</v>
      </c>
      <c r="BT153" s="173">
        <f>IF(AND(Input_Product=Elig!$C153,Elig_MatchAll_Ct&lt;22,$BC153=(Elig_MatchAll_Ct-1),AR153=0),O153,0)</f>
        <v>0</v>
      </c>
      <c r="BU153" s="173">
        <f>IF(AND(Input_Product=Elig!$C153,Elig_MatchAll_Ct&lt;22,$BC153=(Elig_MatchAll_Ct-1),AS153=0),P153,0)</f>
        <v>0</v>
      </c>
      <c r="BV153" s="174">
        <f>IF(AND(Input_Product=Elig!$C153,Elig_MatchAll_Ct&lt;22,$BC153=(Elig_MatchAll_Ct-1),AT153=0),Q153,0)</f>
        <v>0</v>
      </c>
      <c r="BW153" s="175">
        <f>IF(AND(Input_Product=Elig!$C153,Elig_MatchAll_Ct&lt;22,$BC153=(Elig_MatchAll_Ct-1),AU153=0),R153,0)</f>
        <v>0</v>
      </c>
      <c r="BX153" s="176">
        <f>IF(AND(Input_Product=Elig!$C153,Elig_MatchAll_Ct&lt;22,$BC153=(Elig_MatchAll_Ct-1),AU153=0),S153,0)</f>
        <v>0</v>
      </c>
      <c r="BY153" s="175">
        <f>IF(AND(Input_Product=Elig!$C153,Elig_MatchAll_Ct&lt;22,$BC153=(Elig_MatchAll_Ct-1),AV153=0),T153,0)</f>
        <v>0</v>
      </c>
      <c r="BZ153" s="176">
        <f>IF(AND(Input_Product=Elig!$C153,Elig_MatchAll_Ct&lt;22,$BC153=(Elig_MatchAll_Ct-1),AV153=0),U153,0)</f>
        <v>0</v>
      </c>
      <c r="CA153" s="175">
        <f>IF(AND(Input_Product=Elig!$C153,Elig_MatchAll_Ct&lt;22,$BC153=(Elig_MatchAll_Ct-1),AW153=0),V153,0)</f>
        <v>0</v>
      </c>
      <c r="CB153" s="176">
        <f>IF(AND(Input_Product=Elig!$C153,Elig_MatchAll_Ct&lt;22,$BC153=(Elig_MatchAll_Ct-1),AW153=0),W153,0)</f>
        <v>0</v>
      </c>
      <c r="CC153" s="175">
        <f>IF(AND(Input_Product=Elig!$C153,Elig_MatchAll_Ct&lt;22,$BC153=(Elig_MatchAll_Ct-1),AX153=0),X153,0)</f>
        <v>0</v>
      </c>
      <c r="CD153" s="176">
        <f>IF(AND(Input_Product=Elig!$C153,Elig_MatchAll_Ct&lt;22,$BC153=(Elig_MatchAll_Ct-1),AX153=0),Y153,0)</f>
        <v>0</v>
      </c>
      <c r="CE153" s="175">
        <f>IF(AND(Input_LTV&lt;=AE153,Input_Product=Elig!$C153,Elig_MatchAll_Ct&lt;22,$BC153=(Elig_MatchAll_Ct-1),AY153=0),Z153,0)</f>
        <v>0</v>
      </c>
      <c r="CF153" s="176">
        <f>IF(AND(Input_LTV&lt;=AE153,Input_Product=Elig!$C153,Elig_MatchAll_Ct&lt;22,$BC153=(Elig_MatchAll_Ct-1),AY153=0),AA153,0)</f>
        <v>0</v>
      </c>
      <c r="CG153" s="175">
        <f>IF(AND(Input_Product=Elig!$C153,Elig_MatchAll_Ct&lt;22,$BC153=(Elig_MatchAll_Ct-1),AZ153=0),AB153,0)</f>
        <v>0</v>
      </c>
      <c r="CH153" s="176">
        <f>IF(AND(Input_Product=Elig!$C153,Elig_MatchAll_Ct&lt;22,$BC153=(Elig_MatchAll_Ct-1),AZ153=0),AC153,0)</f>
        <v>0</v>
      </c>
      <c r="CI153" s="175">
        <f>IF(AND(Input_Product=Elig!$C153,Elig_MatchAll_Ct&lt;22,$BC153=(Elig_MatchAll_Ct-1),BA153=0),AD153,0)</f>
        <v>0</v>
      </c>
      <c r="CJ153" s="177">
        <f>IF(AND(Input_Product=Elig!$C153,Elig_MatchAll_Ct&lt;22,$BC153=(Elig_MatchAll_Ct-1),BA153=0),AE153,0)</f>
        <v>0</v>
      </c>
    </row>
    <row r="154" spans="1:88" ht="10.15" customHeight="1" x14ac:dyDescent="0.25">
      <c r="A154" s="1419" t="s">
        <v>76</v>
      </c>
      <c r="B154" s="1419" t="s">
        <v>847</v>
      </c>
      <c r="C154" s="116" t="str">
        <f t="shared" si="53"/>
        <v>NonQM OO</v>
      </c>
      <c r="D154" s="117" t="s">
        <v>1995</v>
      </c>
      <c r="E154" s="117" t="s">
        <v>166</v>
      </c>
      <c r="F154" s="117" t="s">
        <v>330</v>
      </c>
      <c r="G154" s="117" t="s">
        <v>470</v>
      </c>
      <c r="H154" s="117" t="s">
        <v>135</v>
      </c>
      <c r="I154" s="118" t="s">
        <v>273</v>
      </c>
      <c r="J154" s="118" t="s">
        <v>1130</v>
      </c>
      <c r="K154" s="118" t="s">
        <v>1398</v>
      </c>
      <c r="L154" s="117" t="s">
        <v>2025</v>
      </c>
      <c r="M154" s="117" t="s">
        <v>2289</v>
      </c>
      <c r="N154" s="117" t="s">
        <v>82</v>
      </c>
      <c r="O154" s="117" t="s">
        <v>309</v>
      </c>
      <c r="P154" s="117" t="s">
        <v>2433</v>
      </c>
      <c r="Q154" s="117" t="s">
        <v>293</v>
      </c>
      <c r="R154" s="117">
        <v>1500000.01</v>
      </c>
      <c r="S154" s="117">
        <v>2000000</v>
      </c>
      <c r="T154" s="117">
        <v>0</v>
      </c>
      <c r="U154" s="117">
        <v>0</v>
      </c>
      <c r="V154" s="117">
        <v>0</v>
      </c>
      <c r="W154" s="117">
        <v>55</v>
      </c>
      <c r="X154" s="117">
        <v>0</v>
      </c>
      <c r="Y154" s="117">
        <v>999</v>
      </c>
      <c r="Z154" s="119">
        <v>680</v>
      </c>
      <c r="AA154" s="119">
        <v>699</v>
      </c>
      <c r="AB154" s="1877">
        <v>0</v>
      </c>
      <c r="AC154" s="119">
        <v>999999</v>
      </c>
      <c r="AD154" s="117">
        <v>0</v>
      </c>
      <c r="AE154" s="117">
        <v>70</v>
      </c>
      <c r="AF154" s="144">
        <v>0</v>
      </c>
      <c r="AG154" s="145">
        <v>1</v>
      </c>
      <c r="AH154" s="145">
        <v>1</v>
      </c>
      <c r="AI154" s="145">
        <v>0</v>
      </c>
      <c r="AJ154" s="145">
        <v>0</v>
      </c>
      <c r="AK154" s="145">
        <v>1</v>
      </c>
      <c r="AL154" s="145">
        <v>1</v>
      </c>
      <c r="AM154" s="145">
        <v>1</v>
      </c>
      <c r="AN154" s="145">
        <v>1</v>
      </c>
      <c r="AO154" s="145">
        <v>1</v>
      </c>
      <c r="AP154" s="145">
        <v>1</v>
      </c>
      <c r="AQ154" s="145">
        <v>0</v>
      </c>
      <c r="AR154" s="145">
        <v>1</v>
      </c>
      <c r="AS154" s="145">
        <v>1</v>
      </c>
      <c r="AT154" s="145">
        <v>1</v>
      </c>
      <c r="AU154" s="145">
        <f t="shared" si="37"/>
        <v>0</v>
      </c>
      <c r="AV154" s="145">
        <f t="shared" si="38"/>
        <v>1</v>
      </c>
      <c r="AW154" s="145">
        <f t="shared" si="39"/>
        <v>1</v>
      </c>
      <c r="AX154" s="145">
        <f t="shared" si="49"/>
        <v>1</v>
      </c>
      <c r="AY154" s="145">
        <f t="shared" si="40"/>
        <v>0</v>
      </c>
      <c r="AZ154" s="145">
        <f t="shared" si="41"/>
        <v>1</v>
      </c>
      <c r="BA154" s="146">
        <f t="shared" si="42"/>
        <v>1</v>
      </c>
      <c r="BB154" s="149">
        <f t="shared" si="43"/>
        <v>16</v>
      </c>
      <c r="BC154" s="150">
        <f t="shared" si="44"/>
        <v>15</v>
      </c>
      <c r="BD154" s="150">
        <f t="shared" si="45"/>
        <v>16</v>
      </c>
      <c r="BE154" s="211" t="str">
        <f t="shared" si="46"/>
        <v/>
      </c>
      <c r="BH154" s="172">
        <f>IF(AND(Input_Product=Elig!$C154,Elig_MatchAll_Ct&lt;22,$BC154=(Elig_MatchAll_Ct-1),AF154=0),C154,0)</f>
        <v>0</v>
      </c>
      <c r="BI154" s="173">
        <f>IF(AND(Input_Product=Elig!$C154,Elig_MatchAll_Ct&lt;22,$BC154=(Elig_MatchAll_Ct-1),AG154=0),D154,0)</f>
        <v>0</v>
      </c>
      <c r="BJ154" s="173">
        <f>IF(AND(Input_Product=Elig!$C154,Elig_MatchAll_Ct&lt;22,$BC154=(Elig_MatchAll_Ct-1),AH154=0),E154,0)</f>
        <v>0</v>
      </c>
      <c r="BK154" s="173">
        <f>IF(AND(Input_Product=Elig!$C154,Elig_MatchAll_Ct&lt;22,$BC154=(Elig_MatchAll_Ct-1),AI154=0),F154,0)</f>
        <v>0</v>
      </c>
      <c r="BL154" s="173">
        <f>IF(AND(Input_Product=Elig!$C154,Elig_MatchAll_Ct&lt;22,$BC154=(Elig_MatchAll_Ct-1),AJ154=0),G154,0)</f>
        <v>0</v>
      </c>
      <c r="BM154" s="173">
        <f>IF(AND(Input_Product=Elig!$C154,Elig_MatchAll_Ct&lt;22,$BC154=(Elig_MatchAll_Ct-1),AK154=0),H154,0)</f>
        <v>0</v>
      </c>
      <c r="BN154" s="173">
        <f>IF(AND(Input_Product=Elig!$C154,Elig_MatchAll_Ct&lt;22,$BC154=(Elig_MatchAll_Ct-1),AL154=0),I154,0)</f>
        <v>0</v>
      </c>
      <c r="BO154" s="173">
        <f>IF(AND(Input_Product=Elig!$C154,Elig_MatchAll_Ct&lt;22,$BC154=(Elig_MatchAll_Ct-1),AM154=0),J154,0)</f>
        <v>0</v>
      </c>
      <c r="BP154" s="173">
        <f>IF(AND(Input_Product=Elig!$C154,Elig_MatchAll_Ct&lt;22,$BC154=(Elig_MatchAll_Ct-1),AN154=0),K154,0)</f>
        <v>0</v>
      </c>
      <c r="BQ154" s="173">
        <f>IF(AND(Input_Product=Elig!$C154,Elig_MatchAll_Ct&lt;22,$BC154=(Elig_MatchAll_Ct-1),AP154=0),L154,0)</f>
        <v>0</v>
      </c>
      <c r="BR154" s="173">
        <f>IF(AND(Input_Product=Elig!$C154,Elig_MatchAll_Ct&lt;22,$BC154=(Elig_MatchAll_Ct-1),AO154=0),M154,0)</f>
        <v>0</v>
      </c>
      <c r="BS154" s="173">
        <f>IF(AND(Input_Product=Elig!$C154,Elig_MatchAll_Ct&lt;22,$BC154=(Elig_MatchAll_Ct-1),AQ154=0),N154,0)</f>
        <v>0</v>
      </c>
      <c r="BT154" s="173">
        <f>IF(AND(Input_Product=Elig!$C154,Elig_MatchAll_Ct&lt;22,$BC154=(Elig_MatchAll_Ct-1),AR154=0),O154,0)</f>
        <v>0</v>
      </c>
      <c r="BU154" s="173">
        <f>IF(AND(Input_Product=Elig!$C154,Elig_MatchAll_Ct&lt;22,$BC154=(Elig_MatchAll_Ct-1),AS154=0),P154,0)</f>
        <v>0</v>
      </c>
      <c r="BV154" s="174">
        <f>IF(AND(Input_Product=Elig!$C154,Elig_MatchAll_Ct&lt;22,$BC154=(Elig_MatchAll_Ct-1),AT154=0),Q154,0)</f>
        <v>0</v>
      </c>
      <c r="BW154" s="175">
        <f>IF(AND(Input_Product=Elig!$C154,Elig_MatchAll_Ct&lt;22,$BC154=(Elig_MatchAll_Ct-1),AU154=0),R154,0)</f>
        <v>0</v>
      </c>
      <c r="BX154" s="176">
        <f>IF(AND(Input_Product=Elig!$C154,Elig_MatchAll_Ct&lt;22,$BC154=(Elig_MatchAll_Ct-1),AU154=0),S154,0)</f>
        <v>0</v>
      </c>
      <c r="BY154" s="175">
        <f>IF(AND(Input_Product=Elig!$C154,Elig_MatchAll_Ct&lt;22,$BC154=(Elig_MatchAll_Ct-1),AV154=0),T154,0)</f>
        <v>0</v>
      </c>
      <c r="BZ154" s="176">
        <f>IF(AND(Input_Product=Elig!$C154,Elig_MatchAll_Ct&lt;22,$BC154=(Elig_MatchAll_Ct-1),AV154=0),U154,0)</f>
        <v>0</v>
      </c>
      <c r="CA154" s="175">
        <f>IF(AND(Input_Product=Elig!$C154,Elig_MatchAll_Ct&lt;22,$BC154=(Elig_MatchAll_Ct-1),AW154=0),V154,0)</f>
        <v>0</v>
      </c>
      <c r="CB154" s="176">
        <f>IF(AND(Input_Product=Elig!$C154,Elig_MatchAll_Ct&lt;22,$BC154=(Elig_MatchAll_Ct-1),AW154=0),W154,0)</f>
        <v>0</v>
      </c>
      <c r="CC154" s="175">
        <f>IF(AND(Input_Product=Elig!$C154,Elig_MatchAll_Ct&lt;22,$BC154=(Elig_MatchAll_Ct-1),AX154=0),X154,0)</f>
        <v>0</v>
      </c>
      <c r="CD154" s="176">
        <f>IF(AND(Input_Product=Elig!$C154,Elig_MatchAll_Ct&lt;22,$BC154=(Elig_MatchAll_Ct-1),AX154=0),Y154,0)</f>
        <v>0</v>
      </c>
      <c r="CE154" s="175">
        <f>IF(AND(Input_LTV&lt;=AE154,Input_Product=Elig!$C154,Elig_MatchAll_Ct&lt;22,$BC154=(Elig_MatchAll_Ct-1),AY154=0),Z154,0)</f>
        <v>0</v>
      </c>
      <c r="CF154" s="176">
        <f>IF(AND(Input_LTV&lt;=AE154,Input_Product=Elig!$C154,Elig_MatchAll_Ct&lt;22,$BC154=(Elig_MatchAll_Ct-1),AY154=0),AA154,0)</f>
        <v>0</v>
      </c>
      <c r="CG154" s="175">
        <f>IF(AND(Input_Product=Elig!$C154,Elig_MatchAll_Ct&lt;22,$BC154=(Elig_MatchAll_Ct-1),AZ154=0),AB154,0)</f>
        <v>0</v>
      </c>
      <c r="CH154" s="176">
        <f>IF(AND(Input_Product=Elig!$C154,Elig_MatchAll_Ct&lt;22,$BC154=(Elig_MatchAll_Ct-1),AZ154=0),AC154,0)</f>
        <v>0</v>
      </c>
      <c r="CI154" s="175">
        <f>IF(AND(Input_Product=Elig!$C154,Elig_MatchAll_Ct&lt;22,$BC154=(Elig_MatchAll_Ct-1),BA154=0),AD154,0)</f>
        <v>0</v>
      </c>
      <c r="CJ154" s="177">
        <f>IF(AND(Input_Product=Elig!$C154,Elig_MatchAll_Ct&lt;22,$BC154=(Elig_MatchAll_Ct-1),BA154=0),AE154,0)</f>
        <v>0</v>
      </c>
    </row>
    <row r="155" spans="1:88" ht="10.15" customHeight="1" x14ac:dyDescent="0.25">
      <c r="A155" s="1419" t="s">
        <v>76</v>
      </c>
      <c r="B155" s="1419" t="s">
        <v>848</v>
      </c>
      <c r="C155" s="116" t="str">
        <f t="shared" si="53"/>
        <v>NonQM OO</v>
      </c>
      <c r="D155" s="117" t="s">
        <v>1995</v>
      </c>
      <c r="E155" s="117" t="s">
        <v>166</v>
      </c>
      <c r="F155" s="117" t="s">
        <v>330</v>
      </c>
      <c r="G155" s="117" t="s">
        <v>470</v>
      </c>
      <c r="H155" s="117" t="s">
        <v>135</v>
      </c>
      <c r="I155" s="117" t="s">
        <v>273</v>
      </c>
      <c r="J155" s="117" t="s">
        <v>1130</v>
      </c>
      <c r="K155" s="117" t="s">
        <v>1398</v>
      </c>
      <c r="L155" s="117" t="s">
        <v>2025</v>
      </c>
      <c r="M155" s="117" t="s">
        <v>2289</v>
      </c>
      <c r="N155" s="117" t="s">
        <v>82</v>
      </c>
      <c r="O155" s="117" t="s">
        <v>309</v>
      </c>
      <c r="P155" s="117" t="s">
        <v>2433</v>
      </c>
      <c r="Q155" s="117" t="s">
        <v>293</v>
      </c>
      <c r="R155" s="117">
        <v>1500000.01</v>
      </c>
      <c r="S155" s="117">
        <v>2000000</v>
      </c>
      <c r="T155" s="117">
        <v>0</v>
      </c>
      <c r="U155" s="117">
        <v>0</v>
      </c>
      <c r="V155" s="117">
        <v>0</v>
      </c>
      <c r="W155" s="117">
        <v>55</v>
      </c>
      <c r="X155" s="117">
        <v>0</v>
      </c>
      <c r="Y155" s="117">
        <v>999</v>
      </c>
      <c r="Z155" s="119">
        <v>660</v>
      </c>
      <c r="AA155" s="119">
        <v>679</v>
      </c>
      <c r="AB155" s="1877">
        <v>0</v>
      </c>
      <c r="AC155" s="119">
        <v>999999</v>
      </c>
      <c r="AD155" s="117">
        <v>0</v>
      </c>
      <c r="AE155" s="117">
        <v>70</v>
      </c>
      <c r="AF155" s="144">
        <v>0</v>
      </c>
      <c r="AG155" s="145">
        <v>1</v>
      </c>
      <c r="AH155" s="145">
        <v>1</v>
      </c>
      <c r="AI155" s="145">
        <v>0</v>
      </c>
      <c r="AJ155" s="145">
        <v>0</v>
      </c>
      <c r="AK155" s="145">
        <v>1</v>
      </c>
      <c r="AL155" s="145">
        <v>1</v>
      </c>
      <c r="AM155" s="145">
        <v>1</v>
      </c>
      <c r="AN155" s="145">
        <v>1</v>
      </c>
      <c r="AO155" s="145">
        <v>1</v>
      </c>
      <c r="AP155" s="145">
        <v>1</v>
      </c>
      <c r="AQ155" s="145">
        <v>0</v>
      </c>
      <c r="AR155" s="145">
        <v>1</v>
      </c>
      <c r="AS155" s="145">
        <v>1</v>
      </c>
      <c r="AT155" s="145">
        <v>1</v>
      </c>
      <c r="AU155" s="145">
        <f t="shared" si="37"/>
        <v>0</v>
      </c>
      <c r="AV155" s="145">
        <f t="shared" si="38"/>
        <v>1</v>
      </c>
      <c r="AW155" s="145">
        <f t="shared" si="39"/>
        <v>1</v>
      </c>
      <c r="AX155" s="145">
        <f t="shared" si="49"/>
        <v>1</v>
      </c>
      <c r="AY155" s="145">
        <f t="shared" si="40"/>
        <v>0</v>
      </c>
      <c r="AZ155" s="145">
        <f t="shared" si="41"/>
        <v>1</v>
      </c>
      <c r="BA155" s="146">
        <f t="shared" si="42"/>
        <v>1</v>
      </c>
      <c r="BB155" s="149">
        <f t="shared" si="43"/>
        <v>16</v>
      </c>
      <c r="BC155" s="150">
        <f t="shared" si="44"/>
        <v>15</v>
      </c>
      <c r="BD155" s="150">
        <f t="shared" si="45"/>
        <v>16</v>
      </c>
      <c r="BE155" s="211" t="str">
        <f t="shared" si="46"/>
        <v/>
      </c>
      <c r="BH155" s="172">
        <f>IF(AND(Input_Product=Elig!$C155,Elig_MatchAll_Ct&lt;22,$BC155=(Elig_MatchAll_Ct-1),AF155=0),C155,0)</f>
        <v>0</v>
      </c>
      <c r="BI155" s="173">
        <f>IF(AND(Input_Product=Elig!$C155,Elig_MatchAll_Ct&lt;22,$BC155=(Elig_MatchAll_Ct-1),AG155=0),D155,0)</f>
        <v>0</v>
      </c>
      <c r="BJ155" s="173">
        <f>IF(AND(Input_Product=Elig!$C155,Elig_MatchAll_Ct&lt;22,$BC155=(Elig_MatchAll_Ct-1),AH155=0),E155,0)</f>
        <v>0</v>
      </c>
      <c r="BK155" s="173">
        <f>IF(AND(Input_Product=Elig!$C155,Elig_MatchAll_Ct&lt;22,$BC155=(Elig_MatchAll_Ct-1),AI155=0),F155,0)</f>
        <v>0</v>
      </c>
      <c r="BL155" s="173">
        <f>IF(AND(Input_Product=Elig!$C155,Elig_MatchAll_Ct&lt;22,$BC155=(Elig_MatchAll_Ct-1),AJ155=0),G155,0)</f>
        <v>0</v>
      </c>
      <c r="BM155" s="173">
        <f>IF(AND(Input_Product=Elig!$C155,Elig_MatchAll_Ct&lt;22,$BC155=(Elig_MatchAll_Ct-1),AK155=0),H155,0)</f>
        <v>0</v>
      </c>
      <c r="BN155" s="173">
        <f>IF(AND(Input_Product=Elig!$C155,Elig_MatchAll_Ct&lt;22,$BC155=(Elig_MatchAll_Ct-1),AL155=0),I155,0)</f>
        <v>0</v>
      </c>
      <c r="BO155" s="173">
        <f>IF(AND(Input_Product=Elig!$C155,Elig_MatchAll_Ct&lt;22,$BC155=(Elig_MatchAll_Ct-1),AM155=0),J155,0)</f>
        <v>0</v>
      </c>
      <c r="BP155" s="173">
        <f>IF(AND(Input_Product=Elig!$C155,Elig_MatchAll_Ct&lt;22,$BC155=(Elig_MatchAll_Ct-1),AN155=0),K155,0)</f>
        <v>0</v>
      </c>
      <c r="BQ155" s="173">
        <f>IF(AND(Input_Product=Elig!$C155,Elig_MatchAll_Ct&lt;22,$BC155=(Elig_MatchAll_Ct-1),AP155=0),L155,0)</f>
        <v>0</v>
      </c>
      <c r="BR155" s="173">
        <f>IF(AND(Input_Product=Elig!$C155,Elig_MatchAll_Ct&lt;22,$BC155=(Elig_MatchAll_Ct-1),AO155=0),M155,0)</f>
        <v>0</v>
      </c>
      <c r="BS155" s="173">
        <f>IF(AND(Input_Product=Elig!$C155,Elig_MatchAll_Ct&lt;22,$BC155=(Elig_MatchAll_Ct-1),AQ155=0),N155,0)</f>
        <v>0</v>
      </c>
      <c r="BT155" s="173">
        <f>IF(AND(Input_Product=Elig!$C155,Elig_MatchAll_Ct&lt;22,$BC155=(Elig_MatchAll_Ct-1),AR155=0),O155,0)</f>
        <v>0</v>
      </c>
      <c r="BU155" s="173">
        <f>IF(AND(Input_Product=Elig!$C155,Elig_MatchAll_Ct&lt;22,$BC155=(Elig_MatchAll_Ct-1),AS155=0),P155,0)</f>
        <v>0</v>
      </c>
      <c r="BV155" s="174">
        <f>IF(AND(Input_Product=Elig!$C155,Elig_MatchAll_Ct&lt;22,$BC155=(Elig_MatchAll_Ct-1),AT155=0),Q155,0)</f>
        <v>0</v>
      </c>
      <c r="BW155" s="175">
        <f>IF(AND(Input_Product=Elig!$C155,Elig_MatchAll_Ct&lt;22,$BC155=(Elig_MatchAll_Ct-1),AU155=0),R155,0)</f>
        <v>0</v>
      </c>
      <c r="BX155" s="176">
        <f>IF(AND(Input_Product=Elig!$C155,Elig_MatchAll_Ct&lt;22,$BC155=(Elig_MatchAll_Ct-1),AU155=0),S155,0)</f>
        <v>0</v>
      </c>
      <c r="BY155" s="175">
        <f>IF(AND(Input_Product=Elig!$C155,Elig_MatchAll_Ct&lt;22,$BC155=(Elig_MatchAll_Ct-1),AV155=0),T155,0)</f>
        <v>0</v>
      </c>
      <c r="BZ155" s="176">
        <f>IF(AND(Input_Product=Elig!$C155,Elig_MatchAll_Ct&lt;22,$BC155=(Elig_MatchAll_Ct-1),AV155=0),U155,0)</f>
        <v>0</v>
      </c>
      <c r="CA155" s="175">
        <f>IF(AND(Input_Product=Elig!$C155,Elig_MatchAll_Ct&lt;22,$BC155=(Elig_MatchAll_Ct-1),AW155=0),V155,0)</f>
        <v>0</v>
      </c>
      <c r="CB155" s="176">
        <f>IF(AND(Input_Product=Elig!$C155,Elig_MatchAll_Ct&lt;22,$BC155=(Elig_MatchAll_Ct-1),AW155=0),W155,0)</f>
        <v>0</v>
      </c>
      <c r="CC155" s="175">
        <f>IF(AND(Input_Product=Elig!$C155,Elig_MatchAll_Ct&lt;22,$BC155=(Elig_MatchAll_Ct-1),AX155=0),X155,0)</f>
        <v>0</v>
      </c>
      <c r="CD155" s="176">
        <f>IF(AND(Input_Product=Elig!$C155,Elig_MatchAll_Ct&lt;22,$BC155=(Elig_MatchAll_Ct-1),AX155=0),Y155,0)</f>
        <v>0</v>
      </c>
      <c r="CE155" s="175">
        <f>IF(AND(Input_LTV&lt;=AE155,Input_Product=Elig!$C155,Elig_MatchAll_Ct&lt;22,$BC155=(Elig_MatchAll_Ct-1),AY155=0),Z155,0)</f>
        <v>0</v>
      </c>
      <c r="CF155" s="176">
        <f>IF(AND(Input_LTV&lt;=AE155,Input_Product=Elig!$C155,Elig_MatchAll_Ct&lt;22,$BC155=(Elig_MatchAll_Ct-1),AY155=0),AA155,0)</f>
        <v>0</v>
      </c>
      <c r="CG155" s="175">
        <f>IF(AND(Input_Product=Elig!$C155,Elig_MatchAll_Ct&lt;22,$BC155=(Elig_MatchAll_Ct-1),AZ155=0),AB155,0)</f>
        <v>0</v>
      </c>
      <c r="CH155" s="176">
        <f>IF(AND(Input_Product=Elig!$C155,Elig_MatchAll_Ct&lt;22,$BC155=(Elig_MatchAll_Ct-1),AZ155=0),AC155,0)</f>
        <v>0</v>
      </c>
      <c r="CI155" s="175">
        <f>IF(AND(Input_Product=Elig!$C155,Elig_MatchAll_Ct&lt;22,$BC155=(Elig_MatchAll_Ct-1),BA155=0),AD155,0)</f>
        <v>0</v>
      </c>
      <c r="CJ155" s="177">
        <f>IF(AND(Input_Product=Elig!$C155,Elig_MatchAll_Ct&lt;22,$BC155=(Elig_MatchAll_Ct-1),BA155=0),AE155,0)</f>
        <v>0</v>
      </c>
    </row>
    <row r="156" spans="1:88" ht="10.15" customHeight="1" x14ac:dyDescent="0.25">
      <c r="A156" s="1419" t="s">
        <v>76</v>
      </c>
      <c r="B156" s="1419" t="s">
        <v>849</v>
      </c>
      <c r="C156" s="123" t="str">
        <f t="shared" si="53"/>
        <v>NonQM OO</v>
      </c>
      <c r="D156" s="124" t="s">
        <v>1995</v>
      </c>
      <c r="E156" s="125" t="s">
        <v>166</v>
      </c>
      <c r="F156" s="125" t="s">
        <v>330</v>
      </c>
      <c r="G156" s="125" t="s">
        <v>470</v>
      </c>
      <c r="H156" s="125" t="s">
        <v>135</v>
      </c>
      <c r="I156" s="124" t="s">
        <v>16</v>
      </c>
      <c r="J156" s="124" t="s">
        <v>1130</v>
      </c>
      <c r="K156" s="124" t="s">
        <v>1398</v>
      </c>
      <c r="L156" s="125" t="s">
        <v>2025</v>
      </c>
      <c r="M156" s="125" t="s">
        <v>2289</v>
      </c>
      <c r="N156" s="125" t="s">
        <v>82</v>
      </c>
      <c r="O156" s="125" t="s">
        <v>309</v>
      </c>
      <c r="P156" s="125" t="s">
        <v>2433</v>
      </c>
      <c r="Q156" s="125" t="s">
        <v>293</v>
      </c>
      <c r="R156" s="124">
        <v>1500000.01</v>
      </c>
      <c r="S156" s="124">
        <v>2000000</v>
      </c>
      <c r="T156" s="124">
        <v>0</v>
      </c>
      <c r="U156" s="124">
        <f t="shared" ref="U156:U159" si="54">S156</f>
        <v>2000000</v>
      </c>
      <c r="V156" s="124">
        <v>0</v>
      </c>
      <c r="W156" s="124">
        <v>55</v>
      </c>
      <c r="X156" s="124">
        <v>0</v>
      </c>
      <c r="Y156" s="124">
        <v>999</v>
      </c>
      <c r="Z156" s="126">
        <v>720</v>
      </c>
      <c r="AA156" s="126">
        <v>999</v>
      </c>
      <c r="AB156" s="1879">
        <v>0</v>
      </c>
      <c r="AC156" s="126">
        <v>999999</v>
      </c>
      <c r="AD156" s="124">
        <v>0</v>
      </c>
      <c r="AE156" s="124">
        <v>65</v>
      </c>
      <c r="AF156" s="144">
        <v>0</v>
      </c>
      <c r="AG156" s="145">
        <v>1</v>
      </c>
      <c r="AH156" s="145">
        <v>1</v>
      </c>
      <c r="AI156" s="145">
        <v>0</v>
      </c>
      <c r="AJ156" s="145">
        <v>0</v>
      </c>
      <c r="AK156" s="145">
        <v>1</v>
      </c>
      <c r="AL156" s="145">
        <v>0</v>
      </c>
      <c r="AM156" s="145">
        <v>1</v>
      </c>
      <c r="AN156" s="145">
        <v>1</v>
      </c>
      <c r="AO156" s="145">
        <v>1</v>
      </c>
      <c r="AP156" s="145">
        <v>1</v>
      </c>
      <c r="AQ156" s="145">
        <v>0</v>
      </c>
      <c r="AR156" s="145">
        <v>1</v>
      </c>
      <c r="AS156" s="145">
        <v>1</v>
      </c>
      <c r="AT156" s="145">
        <v>1</v>
      </c>
      <c r="AU156" s="145">
        <f t="shared" si="37"/>
        <v>0</v>
      </c>
      <c r="AV156" s="145">
        <f t="shared" si="38"/>
        <v>1</v>
      </c>
      <c r="AW156" s="145">
        <f t="shared" si="39"/>
        <v>1</v>
      </c>
      <c r="AX156" s="145">
        <f t="shared" si="49"/>
        <v>1</v>
      </c>
      <c r="AY156" s="145">
        <f t="shared" si="40"/>
        <v>1</v>
      </c>
      <c r="AZ156" s="145">
        <f t="shared" si="41"/>
        <v>1</v>
      </c>
      <c r="BA156" s="146">
        <f t="shared" si="42"/>
        <v>0</v>
      </c>
      <c r="BB156" s="149">
        <f t="shared" si="43"/>
        <v>15</v>
      </c>
      <c r="BC156" s="150">
        <f t="shared" si="44"/>
        <v>15</v>
      </c>
      <c r="BD156" s="150">
        <f t="shared" si="45"/>
        <v>15</v>
      </c>
      <c r="BE156" s="211" t="str">
        <f t="shared" si="46"/>
        <v/>
      </c>
      <c r="BH156" s="166">
        <f>IF(AND(Input_Product=Elig!$C156,Elig_MatchAll_Ct&lt;22,$BC156=(Elig_MatchAll_Ct-1),AF156=0),C156,0)</f>
        <v>0</v>
      </c>
      <c r="BI156" s="167">
        <f>IF(AND(Input_Product=Elig!$C156,Elig_MatchAll_Ct&lt;22,$BC156=(Elig_MatchAll_Ct-1),AG156=0),D156,0)</f>
        <v>0</v>
      </c>
      <c r="BJ156" s="167">
        <f>IF(AND(Input_Product=Elig!$C156,Elig_MatchAll_Ct&lt;22,$BC156=(Elig_MatchAll_Ct-1),AH156=0),E156,0)</f>
        <v>0</v>
      </c>
      <c r="BK156" s="167">
        <f>IF(AND(Input_Product=Elig!$C156,Elig_MatchAll_Ct&lt;22,$BC156=(Elig_MatchAll_Ct-1),AI156=0),F156,0)</f>
        <v>0</v>
      </c>
      <c r="BL156" s="167">
        <f>IF(AND(Input_Product=Elig!$C156,Elig_MatchAll_Ct&lt;22,$BC156=(Elig_MatchAll_Ct-1),AJ156=0),G156,0)</f>
        <v>0</v>
      </c>
      <c r="BM156" s="167">
        <f>IF(AND(Input_Product=Elig!$C156,Elig_MatchAll_Ct&lt;22,$BC156=(Elig_MatchAll_Ct-1),AK156=0),H156,0)</f>
        <v>0</v>
      </c>
      <c r="BN156" s="167">
        <f>IF(AND(Input_Product=Elig!$C156,Elig_MatchAll_Ct&lt;22,$BC156=(Elig_MatchAll_Ct-1),AL156=0),I156,0)</f>
        <v>0</v>
      </c>
      <c r="BO156" s="167">
        <f>IF(AND(Input_Product=Elig!$C156,Elig_MatchAll_Ct&lt;22,$BC156=(Elig_MatchAll_Ct-1),AM156=0),J156,0)</f>
        <v>0</v>
      </c>
      <c r="BP156" s="167">
        <f>IF(AND(Input_Product=Elig!$C156,Elig_MatchAll_Ct&lt;22,$BC156=(Elig_MatchAll_Ct-1),AN156=0),K156,0)</f>
        <v>0</v>
      </c>
      <c r="BQ156" s="167">
        <f>IF(AND(Input_Product=Elig!$C156,Elig_MatchAll_Ct&lt;22,$BC156=(Elig_MatchAll_Ct-1),AP156=0),L156,0)</f>
        <v>0</v>
      </c>
      <c r="BR156" s="167">
        <f>IF(AND(Input_Product=Elig!$C156,Elig_MatchAll_Ct&lt;22,$BC156=(Elig_MatchAll_Ct-1),AO156=0),M156,0)</f>
        <v>0</v>
      </c>
      <c r="BS156" s="167">
        <f>IF(AND(Input_Product=Elig!$C156,Elig_MatchAll_Ct&lt;22,$BC156=(Elig_MatchAll_Ct-1),AQ156=0),N156,0)</f>
        <v>0</v>
      </c>
      <c r="BT156" s="167">
        <f>IF(AND(Input_Product=Elig!$C156,Elig_MatchAll_Ct&lt;22,$BC156=(Elig_MatchAll_Ct-1),AR156=0),O156,0)</f>
        <v>0</v>
      </c>
      <c r="BU156" s="167">
        <f>IF(AND(Input_Product=Elig!$C156,Elig_MatchAll_Ct&lt;22,$BC156=(Elig_MatchAll_Ct-1),AS156=0),P156,0)</f>
        <v>0</v>
      </c>
      <c r="BV156" s="168">
        <f>IF(AND(Input_Product=Elig!$C156,Elig_MatchAll_Ct&lt;22,$BC156=(Elig_MatchAll_Ct-1),AT156=0),Q156,0)</f>
        <v>0</v>
      </c>
      <c r="BW156" s="169">
        <f>IF(AND(Input_Product=Elig!$C156,Elig_MatchAll_Ct&lt;22,$BC156=(Elig_MatchAll_Ct-1),AU156=0),R156,0)</f>
        <v>0</v>
      </c>
      <c r="BX156" s="170">
        <f>IF(AND(Input_Product=Elig!$C156,Elig_MatchAll_Ct&lt;22,$BC156=(Elig_MatchAll_Ct-1),AU156=0),S156,0)</f>
        <v>0</v>
      </c>
      <c r="BY156" s="169">
        <f>IF(AND(Input_Product=Elig!$C156,Elig_MatchAll_Ct&lt;22,$BC156=(Elig_MatchAll_Ct-1),AV156=0),T156,0)</f>
        <v>0</v>
      </c>
      <c r="BZ156" s="170">
        <f>IF(AND(Input_Product=Elig!$C156,Elig_MatchAll_Ct&lt;22,$BC156=(Elig_MatchAll_Ct-1),AV156=0),U156,0)</f>
        <v>0</v>
      </c>
      <c r="CA156" s="169">
        <f>IF(AND(Input_Product=Elig!$C156,Elig_MatchAll_Ct&lt;22,$BC156=(Elig_MatchAll_Ct-1),AW156=0),V156,0)</f>
        <v>0</v>
      </c>
      <c r="CB156" s="170">
        <f>IF(AND(Input_Product=Elig!$C156,Elig_MatchAll_Ct&lt;22,$BC156=(Elig_MatchAll_Ct-1),AW156=0),W156,0)</f>
        <v>0</v>
      </c>
      <c r="CC156" s="169">
        <f>IF(AND(Input_Product=Elig!$C156,Elig_MatchAll_Ct&lt;22,$BC156=(Elig_MatchAll_Ct-1),AX156=0),X156,0)</f>
        <v>0</v>
      </c>
      <c r="CD156" s="170">
        <f>IF(AND(Input_Product=Elig!$C156,Elig_MatchAll_Ct&lt;22,$BC156=(Elig_MatchAll_Ct-1),AX156=0),Y156,0)</f>
        <v>0</v>
      </c>
      <c r="CE156" s="169">
        <f>IF(AND(Input_LTV&lt;=AE156,Input_Product=Elig!$C156,Elig_MatchAll_Ct&lt;22,$BC156=(Elig_MatchAll_Ct-1),AY156=0),Z156,0)</f>
        <v>0</v>
      </c>
      <c r="CF156" s="170">
        <f>IF(AND(Input_LTV&lt;=AE156,Input_Product=Elig!$C156,Elig_MatchAll_Ct&lt;22,$BC156=(Elig_MatchAll_Ct-1),AY156=0),AA156,0)</f>
        <v>0</v>
      </c>
      <c r="CG156" s="169">
        <f>IF(AND(Input_Product=Elig!$C156,Elig_MatchAll_Ct&lt;22,$BC156=(Elig_MatchAll_Ct-1),AZ156=0),AB156,0)</f>
        <v>0</v>
      </c>
      <c r="CH156" s="170">
        <f>IF(AND(Input_Product=Elig!$C156,Elig_MatchAll_Ct&lt;22,$BC156=(Elig_MatchAll_Ct-1),AZ156=0),AC156,0)</f>
        <v>0</v>
      </c>
      <c r="CI156" s="169">
        <f>IF(AND(Input_Product=Elig!$C156,Elig_MatchAll_Ct&lt;22,$BC156=(Elig_MatchAll_Ct-1),BA156=0),AD156,0)</f>
        <v>0</v>
      </c>
      <c r="CJ156" s="171">
        <f>IF(AND(Input_Product=Elig!$C156,Elig_MatchAll_Ct&lt;22,$BC156=(Elig_MatchAll_Ct-1),BA156=0),AE156,0)</f>
        <v>0</v>
      </c>
    </row>
    <row r="157" spans="1:88" ht="10.15" customHeight="1" x14ac:dyDescent="0.25">
      <c r="A157" s="1419" t="s">
        <v>76</v>
      </c>
      <c r="B157" s="1419" t="s">
        <v>850</v>
      </c>
      <c r="C157" s="116" t="str">
        <f t="shared" si="53"/>
        <v>NonQM OO</v>
      </c>
      <c r="D157" s="117" t="s">
        <v>1995</v>
      </c>
      <c r="E157" s="117" t="s">
        <v>166</v>
      </c>
      <c r="F157" s="117" t="s">
        <v>330</v>
      </c>
      <c r="G157" s="117" t="s">
        <v>470</v>
      </c>
      <c r="H157" s="117" t="s">
        <v>135</v>
      </c>
      <c r="I157" s="118" t="s">
        <v>16</v>
      </c>
      <c r="J157" s="118" t="s">
        <v>1130</v>
      </c>
      <c r="K157" s="118" t="s">
        <v>1398</v>
      </c>
      <c r="L157" s="117" t="s">
        <v>2025</v>
      </c>
      <c r="M157" s="117" t="s">
        <v>2289</v>
      </c>
      <c r="N157" s="117" t="s">
        <v>82</v>
      </c>
      <c r="O157" s="117" t="s">
        <v>309</v>
      </c>
      <c r="P157" s="117" t="s">
        <v>2433</v>
      </c>
      <c r="Q157" s="117" t="s">
        <v>293</v>
      </c>
      <c r="R157" s="117">
        <v>1500000.01</v>
      </c>
      <c r="S157" s="117">
        <v>2000000</v>
      </c>
      <c r="T157" s="117">
        <v>0</v>
      </c>
      <c r="U157" s="117">
        <f t="shared" si="54"/>
        <v>2000000</v>
      </c>
      <c r="V157" s="117">
        <v>0</v>
      </c>
      <c r="W157" s="117">
        <v>55</v>
      </c>
      <c r="X157" s="117">
        <v>0</v>
      </c>
      <c r="Y157" s="117">
        <v>999</v>
      </c>
      <c r="Z157" s="119">
        <v>700</v>
      </c>
      <c r="AA157" s="119">
        <v>719</v>
      </c>
      <c r="AB157" s="1877">
        <v>0</v>
      </c>
      <c r="AC157" s="119">
        <v>999999</v>
      </c>
      <c r="AD157" s="117">
        <v>0</v>
      </c>
      <c r="AE157" s="117">
        <v>65</v>
      </c>
      <c r="AF157" s="144">
        <v>0</v>
      </c>
      <c r="AG157" s="145">
        <v>1</v>
      </c>
      <c r="AH157" s="145">
        <v>1</v>
      </c>
      <c r="AI157" s="145">
        <v>0</v>
      </c>
      <c r="AJ157" s="145">
        <v>0</v>
      </c>
      <c r="AK157" s="145">
        <v>1</v>
      </c>
      <c r="AL157" s="145">
        <v>0</v>
      </c>
      <c r="AM157" s="145">
        <v>1</v>
      </c>
      <c r="AN157" s="145">
        <v>1</v>
      </c>
      <c r="AO157" s="145">
        <v>1</v>
      </c>
      <c r="AP157" s="145">
        <v>1</v>
      </c>
      <c r="AQ157" s="145">
        <v>0</v>
      </c>
      <c r="AR157" s="145">
        <v>1</v>
      </c>
      <c r="AS157" s="145">
        <v>1</v>
      </c>
      <c r="AT157" s="145">
        <v>1</v>
      </c>
      <c r="AU157" s="145">
        <f t="shared" si="37"/>
        <v>0</v>
      </c>
      <c r="AV157" s="145">
        <f t="shared" si="38"/>
        <v>1</v>
      </c>
      <c r="AW157" s="145">
        <f t="shared" si="39"/>
        <v>1</v>
      </c>
      <c r="AX157" s="145">
        <f t="shared" si="49"/>
        <v>1</v>
      </c>
      <c r="AY157" s="145">
        <f t="shared" si="40"/>
        <v>0</v>
      </c>
      <c r="AZ157" s="145">
        <f t="shared" si="41"/>
        <v>1</v>
      </c>
      <c r="BA157" s="146">
        <f t="shared" si="42"/>
        <v>0</v>
      </c>
      <c r="BB157" s="149">
        <f t="shared" si="43"/>
        <v>14</v>
      </c>
      <c r="BC157" s="150">
        <f t="shared" si="44"/>
        <v>14</v>
      </c>
      <c r="BD157" s="150">
        <f t="shared" si="45"/>
        <v>14</v>
      </c>
      <c r="BE157" s="211" t="str">
        <f t="shared" si="46"/>
        <v/>
      </c>
      <c r="BH157" s="172">
        <f>IF(AND(Input_Product=Elig!$C157,Elig_MatchAll_Ct&lt;22,$BC157=(Elig_MatchAll_Ct-1),AF157=0),C157,0)</f>
        <v>0</v>
      </c>
      <c r="BI157" s="173">
        <f>IF(AND(Input_Product=Elig!$C157,Elig_MatchAll_Ct&lt;22,$BC157=(Elig_MatchAll_Ct-1),AG157=0),D157,0)</f>
        <v>0</v>
      </c>
      <c r="BJ157" s="173">
        <f>IF(AND(Input_Product=Elig!$C157,Elig_MatchAll_Ct&lt;22,$BC157=(Elig_MatchAll_Ct-1),AH157=0),E157,0)</f>
        <v>0</v>
      </c>
      <c r="BK157" s="173">
        <f>IF(AND(Input_Product=Elig!$C157,Elig_MatchAll_Ct&lt;22,$BC157=(Elig_MatchAll_Ct-1),AI157=0),F157,0)</f>
        <v>0</v>
      </c>
      <c r="BL157" s="173">
        <f>IF(AND(Input_Product=Elig!$C157,Elig_MatchAll_Ct&lt;22,$BC157=(Elig_MatchAll_Ct-1),AJ157=0),G157,0)</f>
        <v>0</v>
      </c>
      <c r="BM157" s="173">
        <f>IF(AND(Input_Product=Elig!$C157,Elig_MatchAll_Ct&lt;22,$BC157=(Elig_MatchAll_Ct-1),AK157=0),H157,0)</f>
        <v>0</v>
      </c>
      <c r="BN157" s="173">
        <f>IF(AND(Input_Product=Elig!$C157,Elig_MatchAll_Ct&lt;22,$BC157=(Elig_MatchAll_Ct-1),AL157=0),I157,0)</f>
        <v>0</v>
      </c>
      <c r="BO157" s="173">
        <f>IF(AND(Input_Product=Elig!$C157,Elig_MatchAll_Ct&lt;22,$BC157=(Elig_MatchAll_Ct-1),AM157=0),J157,0)</f>
        <v>0</v>
      </c>
      <c r="BP157" s="173">
        <f>IF(AND(Input_Product=Elig!$C157,Elig_MatchAll_Ct&lt;22,$BC157=(Elig_MatchAll_Ct-1),AN157=0),K157,0)</f>
        <v>0</v>
      </c>
      <c r="BQ157" s="173">
        <f>IF(AND(Input_Product=Elig!$C157,Elig_MatchAll_Ct&lt;22,$BC157=(Elig_MatchAll_Ct-1),AP157=0),L157,0)</f>
        <v>0</v>
      </c>
      <c r="BR157" s="173">
        <f>IF(AND(Input_Product=Elig!$C157,Elig_MatchAll_Ct&lt;22,$BC157=(Elig_MatchAll_Ct-1),AO157=0),M157,0)</f>
        <v>0</v>
      </c>
      <c r="BS157" s="173">
        <f>IF(AND(Input_Product=Elig!$C157,Elig_MatchAll_Ct&lt;22,$BC157=(Elig_MatchAll_Ct-1),AQ157=0),N157,0)</f>
        <v>0</v>
      </c>
      <c r="BT157" s="173">
        <f>IF(AND(Input_Product=Elig!$C157,Elig_MatchAll_Ct&lt;22,$BC157=(Elig_MatchAll_Ct-1),AR157=0),O157,0)</f>
        <v>0</v>
      </c>
      <c r="BU157" s="173">
        <f>IF(AND(Input_Product=Elig!$C157,Elig_MatchAll_Ct&lt;22,$BC157=(Elig_MatchAll_Ct-1),AS157=0),P157,0)</f>
        <v>0</v>
      </c>
      <c r="BV157" s="174">
        <f>IF(AND(Input_Product=Elig!$C157,Elig_MatchAll_Ct&lt;22,$BC157=(Elig_MatchAll_Ct-1),AT157=0),Q157,0)</f>
        <v>0</v>
      </c>
      <c r="BW157" s="175">
        <f>IF(AND(Input_Product=Elig!$C157,Elig_MatchAll_Ct&lt;22,$BC157=(Elig_MatchAll_Ct-1),AU157=0),R157,0)</f>
        <v>0</v>
      </c>
      <c r="BX157" s="176">
        <f>IF(AND(Input_Product=Elig!$C157,Elig_MatchAll_Ct&lt;22,$BC157=(Elig_MatchAll_Ct-1),AU157=0),S157,0)</f>
        <v>0</v>
      </c>
      <c r="BY157" s="175">
        <f>IF(AND(Input_Product=Elig!$C157,Elig_MatchAll_Ct&lt;22,$BC157=(Elig_MatchAll_Ct-1),AV157=0),T157,0)</f>
        <v>0</v>
      </c>
      <c r="BZ157" s="176">
        <f>IF(AND(Input_Product=Elig!$C157,Elig_MatchAll_Ct&lt;22,$BC157=(Elig_MatchAll_Ct-1),AV157=0),U157,0)</f>
        <v>0</v>
      </c>
      <c r="CA157" s="175">
        <f>IF(AND(Input_Product=Elig!$C157,Elig_MatchAll_Ct&lt;22,$BC157=(Elig_MatchAll_Ct-1),AW157=0),V157,0)</f>
        <v>0</v>
      </c>
      <c r="CB157" s="176">
        <f>IF(AND(Input_Product=Elig!$C157,Elig_MatchAll_Ct&lt;22,$BC157=(Elig_MatchAll_Ct-1),AW157=0),W157,0)</f>
        <v>0</v>
      </c>
      <c r="CC157" s="175">
        <f>IF(AND(Input_Product=Elig!$C157,Elig_MatchAll_Ct&lt;22,$BC157=(Elig_MatchAll_Ct-1),AX157=0),X157,0)</f>
        <v>0</v>
      </c>
      <c r="CD157" s="176">
        <f>IF(AND(Input_Product=Elig!$C157,Elig_MatchAll_Ct&lt;22,$BC157=(Elig_MatchAll_Ct-1),AX157=0),Y157,0)</f>
        <v>0</v>
      </c>
      <c r="CE157" s="175">
        <f>IF(AND(Input_LTV&lt;=AE157,Input_Product=Elig!$C157,Elig_MatchAll_Ct&lt;22,$BC157=(Elig_MatchAll_Ct-1),AY157=0),Z157,0)</f>
        <v>0</v>
      </c>
      <c r="CF157" s="176">
        <f>IF(AND(Input_LTV&lt;=AE157,Input_Product=Elig!$C157,Elig_MatchAll_Ct&lt;22,$BC157=(Elig_MatchAll_Ct-1),AY157=0),AA157,0)</f>
        <v>0</v>
      </c>
      <c r="CG157" s="175">
        <f>IF(AND(Input_Product=Elig!$C157,Elig_MatchAll_Ct&lt;22,$BC157=(Elig_MatchAll_Ct-1),AZ157=0),AB157,0)</f>
        <v>0</v>
      </c>
      <c r="CH157" s="176">
        <f>IF(AND(Input_Product=Elig!$C157,Elig_MatchAll_Ct&lt;22,$BC157=(Elig_MatchAll_Ct-1),AZ157=0),AC157,0)</f>
        <v>0</v>
      </c>
      <c r="CI157" s="175">
        <f>IF(AND(Input_Product=Elig!$C157,Elig_MatchAll_Ct&lt;22,$BC157=(Elig_MatchAll_Ct-1),BA157=0),AD157,0)</f>
        <v>0</v>
      </c>
      <c r="CJ157" s="177">
        <f>IF(AND(Input_Product=Elig!$C157,Elig_MatchAll_Ct&lt;22,$BC157=(Elig_MatchAll_Ct-1),BA157=0),AE157,0)</f>
        <v>0</v>
      </c>
    </row>
    <row r="158" spans="1:88" ht="10.15" customHeight="1" x14ac:dyDescent="0.25">
      <c r="A158" s="1419" t="s">
        <v>76</v>
      </c>
      <c r="B158" s="1419" t="s">
        <v>851</v>
      </c>
      <c r="C158" s="116" t="str">
        <f t="shared" si="53"/>
        <v>NonQM OO</v>
      </c>
      <c r="D158" s="117" t="s">
        <v>1995</v>
      </c>
      <c r="E158" s="117" t="s">
        <v>166</v>
      </c>
      <c r="F158" s="117" t="s">
        <v>330</v>
      </c>
      <c r="G158" s="117" t="s">
        <v>470</v>
      </c>
      <c r="H158" s="117" t="s">
        <v>135</v>
      </c>
      <c r="I158" s="118" t="s">
        <v>16</v>
      </c>
      <c r="J158" s="118" t="s">
        <v>1130</v>
      </c>
      <c r="K158" s="118" t="s">
        <v>1398</v>
      </c>
      <c r="L158" s="117" t="s">
        <v>2025</v>
      </c>
      <c r="M158" s="117" t="s">
        <v>2289</v>
      </c>
      <c r="N158" s="117" t="s">
        <v>82</v>
      </c>
      <c r="O158" s="117" t="s">
        <v>309</v>
      </c>
      <c r="P158" s="117" t="s">
        <v>2433</v>
      </c>
      <c r="Q158" s="117" t="s">
        <v>293</v>
      </c>
      <c r="R158" s="117">
        <v>1500000.01</v>
      </c>
      <c r="S158" s="117">
        <v>2000000</v>
      </c>
      <c r="T158" s="117">
        <v>0</v>
      </c>
      <c r="U158" s="117">
        <f t="shared" si="54"/>
        <v>2000000</v>
      </c>
      <c r="V158" s="117">
        <v>0</v>
      </c>
      <c r="W158" s="117">
        <v>55</v>
      </c>
      <c r="X158" s="117">
        <v>0</v>
      </c>
      <c r="Y158" s="117">
        <v>999</v>
      </c>
      <c r="Z158" s="119">
        <v>680</v>
      </c>
      <c r="AA158" s="119">
        <v>699</v>
      </c>
      <c r="AB158" s="1877">
        <v>0</v>
      </c>
      <c r="AC158" s="119">
        <v>999999</v>
      </c>
      <c r="AD158" s="117">
        <v>0</v>
      </c>
      <c r="AE158" s="117">
        <v>65</v>
      </c>
      <c r="AF158" s="144">
        <v>0</v>
      </c>
      <c r="AG158" s="145">
        <v>1</v>
      </c>
      <c r="AH158" s="145">
        <v>1</v>
      </c>
      <c r="AI158" s="145">
        <v>0</v>
      </c>
      <c r="AJ158" s="145">
        <v>0</v>
      </c>
      <c r="AK158" s="145">
        <v>1</v>
      </c>
      <c r="AL158" s="145">
        <v>0</v>
      </c>
      <c r="AM158" s="145">
        <v>1</v>
      </c>
      <c r="AN158" s="145">
        <v>1</v>
      </c>
      <c r="AO158" s="145">
        <v>1</v>
      </c>
      <c r="AP158" s="145">
        <v>1</v>
      </c>
      <c r="AQ158" s="145">
        <v>0</v>
      </c>
      <c r="AR158" s="145">
        <v>1</v>
      </c>
      <c r="AS158" s="145">
        <v>1</v>
      </c>
      <c r="AT158" s="145">
        <v>1</v>
      </c>
      <c r="AU158" s="145">
        <f t="shared" si="37"/>
        <v>0</v>
      </c>
      <c r="AV158" s="145">
        <f t="shared" si="38"/>
        <v>1</v>
      </c>
      <c r="AW158" s="145">
        <f t="shared" si="39"/>
        <v>1</v>
      </c>
      <c r="AX158" s="145">
        <f t="shared" si="49"/>
        <v>1</v>
      </c>
      <c r="AY158" s="145">
        <f t="shared" si="40"/>
        <v>0</v>
      </c>
      <c r="AZ158" s="145">
        <f t="shared" si="41"/>
        <v>1</v>
      </c>
      <c r="BA158" s="146">
        <f t="shared" si="42"/>
        <v>0</v>
      </c>
      <c r="BB158" s="149">
        <f t="shared" si="43"/>
        <v>14</v>
      </c>
      <c r="BC158" s="150">
        <f t="shared" si="44"/>
        <v>14</v>
      </c>
      <c r="BD158" s="150">
        <f t="shared" si="45"/>
        <v>14</v>
      </c>
      <c r="BE158" s="211" t="str">
        <f t="shared" si="46"/>
        <v/>
      </c>
      <c r="BH158" s="172">
        <f>IF(AND(Input_Product=Elig!$C158,Elig_MatchAll_Ct&lt;22,$BC158=(Elig_MatchAll_Ct-1),AF158=0),C158,0)</f>
        <v>0</v>
      </c>
      <c r="BI158" s="173">
        <f>IF(AND(Input_Product=Elig!$C158,Elig_MatchAll_Ct&lt;22,$BC158=(Elig_MatchAll_Ct-1),AG158=0),D158,0)</f>
        <v>0</v>
      </c>
      <c r="BJ158" s="173">
        <f>IF(AND(Input_Product=Elig!$C158,Elig_MatchAll_Ct&lt;22,$BC158=(Elig_MatchAll_Ct-1),AH158=0),E158,0)</f>
        <v>0</v>
      </c>
      <c r="BK158" s="173">
        <f>IF(AND(Input_Product=Elig!$C158,Elig_MatchAll_Ct&lt;22,$BC158=(Elig_MatchAll_Ct-1),AI158=0),F158,0)</f>
        <v>0</v>
      </c>
      <c r="BL158" s="173">
        <f>IF(AND(Input_Product=Elig!$C158,Elig_MatchAll_Ct&lt;22,$BC158=(Elig_MatchAll_Ct-1),AJ158=0),G158,0)</f>
        <v>0</v>
      </c>
      <c r="BM158" s="173">
        <f>IF(AND(Input_Product=Elig!$C158,Elig_MatchAll_Ct&lt;22,$BC158=(Elig_MatchAll_Ct-1),AK158=0),H158,0)</f>
        <v>0</v>
      </c>
      <c r="BN158" s="173">
        <f>IF(AND(Input_Product=Elig!$C158,Elig_MatchAll_Ct&lt;22,$BC158=(Elig_MatchAll_Ct-1),AL158=0),I158,0)</f>
        <v>0</v>
      </c>
      <c r="BO158" s="173">
        <f>IF(AND(Input_Product=Elig!$C158,Elig_MatchAll_Ct&lt;22,$BC158=(Elig_MatchAll_Ct-1),AM158=0),J158,0)</f>
        <v>0</v>
      </c>
      <c r="BP158" s="173">
        <f>IF(AND(Input_Product=Elig!$C158,Elig_MatchAll_Ct&lt;22,$BC158=(Elig_MatchAll_Ct-1),AN158=0),K158,0)</f>
        <v>0</v>
      </c>
      <c r="BQ158" s="173">
        <f>IF(AND(Input_Product=Elig!$C158,Elig_MatchAll_Ct&lt;22,$BC158=(Elig_MatchAll_Ct-1),AP158=0),L158,0)</f>
        <v>0</v>
      </c>
      <c r="BR158" s="173">
        <f>IF(AND(Input_Product=Elig!$C158,Elig_MatchAll_Ct&lt;22,$BC158=(Elig_MatchAll_Ct-1),AO158=0),M158,0)</f>
        <v>0</v>
      </c>
      <c r="BS158" s="173">
        <f>IF(AND(Input_Product=Elig!$C158,Elig_MatchAll_Ct&lt;22,$BC158=(Elig_MatchAll_Ct-1),AQ158=0),N158,0)</f>
        <v>0</v>
      </c>
      <c r="BT158" s="173">
        <f>IF(AND(Input_Product=Elig!$C158,Elig_MatchAll_Ct&lt;22,$BC158=(Elig_MatchAll_Ct-1),AR158=0),O158,0)</f>
        <v>0</v>
      </c>
      <c r="BU158" s="173">
        <f>IF(AND(Input_Product=Elig!$C158,Elig_MatchAll_Ct&lt;22,$BC158=(Elig_MatchAll_Ct-1),AS158=0),P158,0)</f>
        <v>0</v>
      </c>
      <c r="BV158" s="174">
        <f>IF(AND(Input_Product=Elig!$C158,Elig_MatchAll_Ct&lt;22,$BC158=(Elig_MatchAll_Ct-1),AT158=0),Q158,0)</f>
        <v>0</v>
      </c>
      <c r="BW158" s="175">
        <f>IF(AND(Input_Product=Elig!$C158,Elig_MatchAll_Ct&lt;22,$BC158=(Elig_MatchAll_Ct-1),AU158=0),R158,0)</f>
        <v>0</v>
      </c>
      <c r="BX158" s="176">
        <f>IF(AND(Input_Product=Elig!$C158,Elig_MatchAll_Ct&lt;22,$BC158=(Elig_MatchAll_Ct-1),AU158=0),S158,0)</f>
        <v>0</v>
      </c>
      <c r="BY158" s="175">
        <f>IF(AND(Input_Product=Elig!$C158,Elig_MatchAll_Ct&lt;22,$BC158=(Elig_MatchAll_Ct-1),AV158=0),T158,0)</f>
        <v>0</v>
      </c>
      <c r="BZ158" s="176">
        <f>IF(AND(Input_Product=Elig!$C158,Elig_MatchAll_Ct&lt;22,$BC158=(Elig_MatchAll_Ct-1),AV158=0),U158,0)</f>
        <v>0</v>
      </c>
      <c r="CA158" s="175">
        <f>IF(AND(Input_Product=Elig!$C158,Elig_MatchAll_Ct&lt;22,$BC158=(Elig_MatchAll_Ct-1),AW158=0),V158,0)</f>
        <v>0</v>
      </c>
      <c r="CB158" s="176">
        <f>IF(AND(Input_Product=Elig!$C158,Elig_MatchAll_Ct&lt;22,$BC158=(Elig_MatchAll_Ct-1),AW158=0),W158,0)</f>
        <v>0</v>
      </c>
      <c r="CC158" s="175">
        <f>IF(AND(Input_Product=Elig!$C158,Elig_MatchAll_Ct&lt;22,$BC158=(Elig_MatchAll_Ct-1),AX158=0),X158,0)</f>
        <v>0</v>
      </c>
      <c r="CD158" s="176">
        <f>IF(AND(Input_Product=Elig!$C158,Elig_MatchAll_Ct&lt;22,$BC158=(Elig_MatchAll_Ct-1),AX158=0),Y158,0)</f>
        <v>0</v>
      </c>
      <c r="CE158" s="175">
        <f>IF(AND(Input_LTV&lt;=AE158,Input_Product=Elig!$C158,Elig_MatchAll_Ct&lt;22,$BC158=(Elig_MatchAll_Ct-1),AY158=0),Z158,0)</f>
        <v>0</v>
      </c>
      <c r="CF158" s="176">
        <f>IF(AND(Input_LTV&lt;=AE158,Input_Product=Elig!$C158,Elig_MatchAll_Ct&lt;22,$BC158=(Elig_MatchAll_Ct-1),AY158=0),AA158,0)</f>
        <v>0</v>
      </c>
      <c r="CG158" s="175">
        <f>IF(AND(Input_Product=Elig!$C158,Elig_MatchAll_Ct&lt;22,$BC158=(Elig_MatchAll_Ct-1),AZ158=0),AB158,0)</f>
        <v>0</v>
      </c>
      <c r="CH158" s="176">
        <f>IF(AND(Input_Product=Elig!$C158,Elig_MatchAll_Ct&lt;22,$BC158=(Elig_MatchAll_Ct-1),AZ158=0),AC158,0)</f>
        <v>0</v>
      </c>
      <c r="CI158" s="175">
        <f>IF(AND(Input_Product=Elig!$C158,Elig_MatchAll_Ct&lt;22,$BC158=(Elig_MatchAll_Ct-1),BA158=0),AD158,0)</f>
        <v>0</v>
      </c>
      <c r="CJ158" s="177">
        <f>IF(AND(Input_Product=Elig!$C158,Elig_MatchAll_Ct&lt;22,$BC158=(Elig_MatchAll_Ct-1),BA158=0),AE158,0)</f>
        <v>0</v>
      </c>
    </row>
    <row r="159" spans="1:88" ht="10.15" customHeight="1" x14ac:dyDescent="0.25">
      <c r="A159" s="1419" t="s">
        <v>76</v>
      </c>
      <c r="B159" s="1419" t="s">
        <v>852</v>
      </c>
      <c r="C159" s="116" t="str">
        <f t="shared" si="53"/>
        <v>NonQM OO</v>
      </c>
      <c r="D159" s="117" t="s">
        <v>1995</v>
      </c>
      <c r="E159" s="117" t="s">
        <v>166</v>
      </c>
      <c r="F159" s="117" t="s">
        <v>330</v>
      </c>
      <c r="G159" s="117" t="s">
        <v>470</v>
      </c>
      <c r="H159" s="117" t="s">
        <v>135</v>
      </c>
      <c r="I159" s="117" t="s">
        <v>16</v>
      </c>
      <c r="J159" s="117" t="s">
        <v>1130</v>
      </c>
      <c r="K159" s="117" t="s">
        <v>1398</v>
      </c>
      <c r="L159" s="117" t="s">
        <v>2025</v>
      </c>
      <c r="M159" s="117" t="s">
        <v>2289</v>
      </c>
      <c r="N159" s="117" t="s">
        <v>82</v>
      </c>
      <c r="O159" s="117" t="s">
        <v>309</v>
      </c>
      <c r="P159" s="117" t="s">
        <v>2433</v>
      </c>
      <c r="Q159" s="117" t="s">
        <v>293</v>
      </c>
      <c r="R159" s="117">
        <v>1500000.01</v>
      </c>
      <c r="S159" s="117">
        <v>2000000</v>
      </c>
      <c r="T159" s="117">
        <v>0</v>
      </c>
      <c r="U159" s="117">
        <f t="shared" si="54"/>
        <v>2000000</v>
      </c>
      <c r="V159" s="117">
        <v>0</v>
      </c>
      <c r="W159" s="117">
        <v>55</v>
      </c>
      <c r="X159" s="117">
        <v>0</v>
      </c>
      <c r="Y159" s="117">
        <v>999</v>
      </c>
      <c r="Z159" s="119">
        <v>660</v>
      </c>
      <c r="AA159" s="119">
        <v>679</v>
      </c>
      <c r="AB159" s="1877">
        <v>0</v>
      </c>
      <c r="AC159" s="119">
        <v>999999</v>
      </c>
      <c r="AD159" s="117">
        <v>0</v>
      </c>
      <c r="AE159" s="117">
        <v>65</v>
      </c>
      <c r="AF159" s="144">
        <v>0</v>
      </c>
      <c r="AG159" s="145">
        <v>1</v>
      </c>
      <c r="AH159" s="145">
        <v>1</v>
      </c>
      <c r="AI159" s="145">
        <v>0</v>
      </c>
      <c r="AJ159" s="145">
        <v>0</v>
      </c>
      <c r="AK159" s="145">
        <v>1</v>
      </c>
      <c r="AL159" s="145">
        <v>0</v>
      </c>
      <c r="AM159" s="145">
        <v>1</v>
      </c>
      <c r="AN159" s="145">
        <v>1</v>
      </c>
      <c r="AO159" s="145">
        <v>1</v>
      </c>
      <c r="AP159" s="145">
        <v>1</v>
      </c>
      <c r="AQ159" s="145">
        <v>0</v>
      </c>
      <c r="AR159" s="145">
        <v>1</v>
      </c>
      <c r="AS159" s="145">
        <v>1</v>
      </c>
      <c r="AT159" s="145">
        <v>1</v>
      </c>
      <c r="AU159" s="145">
        <f t="shared" si="37"/>
        <v>0</v>
      </c>
      <c r="AV159" s="145">
        <f t="shared" si="38"/>
        <v>1</v>
      </c>
      <c r="AW159" s="145">
        <f t="shared" si="39"/>
        <v>1</v>
      </c>
      <c r="AX159" s="145">
        <f t="shared" si="49"/>
        <v>1</v>
      </c>
      <c r="AY159" s="145">
        <f t="shared" si="40"/>
        <v>0</v>
      </c>
      <c r="AZ159" s="145">
        <f t="shared" si="41"/>
        <v>1</v>
      </c>
      <c r="BA159" s="146">
        <f t="shared" si="42"/>
        <v>0</v>
      </c>
      <c r="BB159" s="149">
        <f t="shared" si="43"/>
        <v>14</v>
      </c>
      <c r="BC159" s="150">
        <f t="shared" si="44"/>
        <v>14</v>
      </c>
      <c r="BD159" s="150">
        <f t="shared" si="45"/>
        <v>14</v>
      </c>
      <c r="BE159" s="211" t="str">
        <f t="shared" si="46"/>
        <v/>
      </c>
      <c r="BH159" s="172">
        <f>IF(AND(Input_Product=Elig!$C159,Elig_MatchAll_Ct&lt;22,$BC159=(Elig_MatchAll_Ct-1),AF159=0),C159,0)</f>
        <v>0</v>
      </c>
      <c r="BI159" s="173">
        <f>IF(AND(Input_Product=Elig!$C159,Elig_MatchAll_Ct&lt;22,$BC159=(Elig_MatchAll_Ct-1),AG159=0),D159,0)</f>
        <v>0</v>
      </c>
      <c r="BJ159" s="173">
        <f>IF(AND(Input_Product=Elig!$C159,Elig_MatchAll_Ct&lt;22,$BC159=(Elig_MatchAll_Ct-1),AH159=0),E159,0)</f>
        <v>0</v>
      </c>
      <c r="BK159" s="173">
        <f>IF(AND(Input_Product=Elig!$C159,Elig_MatchAll_Ct&lt;22,$BC159=(Elig_MatchAll_Ct-1),AI159=0),F159,0)</f>
        <v>0</v>
      </c>
      <c r="BL159" s="173">
        <f>IF(AND(Input_Product=Elig!$C159,Elig_MatchAll_Ct&lt;22,$BC159=(Elig_MatchAll_Ct-1),AJ159=0),G159,0)</f>
        <v>0</v>
      </c>
      <c r="BM159" s="173">
        <f>IF(AND(Input_Product=Elig!$C159,Elig_MatchAll_Ct&lt;22,$BC159=(Elig_MatchAll_Ct-1),AK159=0),H159,0)</f>
        <v>0</v>
      </c>
      <c r="BN159" s="173">
        <f>IF(AND(Input_Product=Elig!$C159,Elig_MatchAll_Ct&lt;22,$BC159=(Elig_MatchAll_Ct-1),AL159=0),I159,0)</f>
        <v>0</v>
      </c>
      <c r="BO159" s="173">
        <f>IF(AND(Input_Product=Elig!$C159,Elig_MatchAll_Ct&lt;22,$BC159=(Elig_MatchAll_Ct-1),AM159=0),J159,0)</f>
        <v>0</v>
      </c>
      <c r="BP159" s="173">
        <f>IF(AND(Input_Product=Elig!$C159,Elig_MatchAll_Ct&lt;22,$BC159=(Elig_MatchAll_Ct-1),AN159=0),K159,0)</f>
        <v>0</v>
      </c>
      <c r="BQ159" s="173">
        <f>IF(AND(Input_Product=Elig!$C159,Elig_MatchAll_Ct&lt;22,$BC159=(Elig_MatchAll_Ct-1),AP159=0),L159,0)</f>
        <v>0</v>
      </c>
      <c r="BR159" s="173">
        <f>IF(AND(Input_Product=Elig!$C159,Elig_MatchAll_Ct&lt;22,$BC159=(Elig_MatchAll_Ct-1),AO159=0),M159,0)</f>
        <v>0</v>
      </c>
      <c r="BS159" s="173">
        <f>IF(AND(Input_Product=Elig!$C159,Elig_MatchAll_Ct&lt;22,$BC159=(Elig_MatchAll_Ct-1),AQ159=0),N159,0)</f>
        <v>0</v>
      </c>
      <c r="BT159" s="173">
        <f>IF(AND(Input_Product=Elig!$C159,Elig_MatchAll_Ct&lt;22,$BC159=(Elig_MatchAll_Ct-1),AR159=0),O159,0)</f>
        <v>0</v>
      </c>
      <c r="BU159" s="173">
        <f>IF(AND(Input_Product=Elig!$C159,Elig_MatchAll_Ct&lt;22,$BC159=(Elig_MatchAll_Ct-1),AS159=0),P159,0)</f>
        <v>0</v>
      </c>
      <c r="BV159" s="174">
        <f>IF(AND(Input_Product=Elig!$C159,Elig_MatchAll_Ct&lt;22,$BC159=(Elig_MatchAll_Ct-1),AT159=0),Q159,0)</f>
        <v>0</v>
      </c>
      <c r="BW159" s="175">
        <f>IF(AND(Input_Product=Elig!$C159,Elig_MatchAll_Ct&lt;22,$BC159=(Elig_MatchAll_Ct-1),AU159=0),R159,0)</f>
        <v>0</v>
      </c>
      <c r="BX159" s="176">
        <f>IF(AND(Input_Product=Elig!$C159,Elig_MatchAll_Ct&lt;22,$BC159=(Elig_MatchAll_Ct-1),AU159=0),S159,0)</f>
        <v>0</v>
      </c>
      <c r="BY159" s="175">
        <f>IF(AND(Input_Product=Elig!$C159,Elig_MatchAll_Ct&lt;22,$BC159=(Elig_MatchAll_Ct-1),AV159=0),T159,0)</f>
        <v>0</v>
      </c>
      <c r="BZ159" s="176">
        <f>IF(AND(Input_Product=Elig!$C159,Elig_MatchAll_Ct&lt;22,$BC159=(Elig_MatchAll_Ct-1),AV159=0),U159,0)</f>
        <v>0</v>
      </c>
      <c r="CA159" s="175">
        <f>IF(AND(Input_Product=Elig!$C159,Elig_MatchAll_Ct&lt;22,$BC159=(Elig_MatchAll_Ct-1),AW159=0),V159,0)</f>
        <v>0</v>
      </c>
      <c r="CB159" s="176">
        <f>IF(AND(Input_Product=Elig!$C159,Elig_MatchAll_Ct&lt;22,$BC159=(Elig_MatchAll_Ct-1),AW159=0),W159,0)</f>
        <v>0</v>
      </c>
      <c r="CC159" s="175">
        <f>IF(AND(Input_Product=Elig!$C159,Elig_MatchAll_Ct&lt;22,$BC159=(Elig_MatchAll_Ct-1),AX159=0),X159,0)</f>
        <v>0</v>
      </c>
      <c r="CD159" s="176">
        <f>IF(AND(Input_Product=Elig!$C159,Elig_MatchAll_Ct&lt;22,$BC159=(Elig_MatchAll_Ct-1),AX159=0),Y159,0)</f>
        <v>0</v>
      </c>
      <c r="CE159" s="175">
        <f>IF(AND(Input_LTV&lt;=AE159,Input_Product=Elig!$C159,Elig_MatchAll_Ct&lt;22,$BC159=(Elig_MatchAll_Ct-1),AY159=0),Z159,0)</f>
        <v>0</v>
      </c>
      <c r="CF159" s="176">
        <f>IF(AND(Input_LTV&lt;=AE159,Input_Product=Elig!$C159,Elig_MatchAll_Ct&lt;22,$BC159=(Elig_MatchAll_Ct-1),AY159=0),AA159,0)</f>
        <v>0</v>
      </c>
      <c r="CG159" s="175">
        <f>IF(AND(Input_Product=Elig!$C159,Elig_MatchAll_Ct&lt;22,$BC159=(Elig_MatchAll_Ct-1),AZ159=0),AB159,0)</f>
        <v>0</v>
      </c>
      <c r="CH159" s="176">
        <f>IF(AND(Input_Product=Elig!$C159,Elig_MatchAll_Ct&lt;22,$BC159=(Elig_MatchAll_Ct-1),AZ159=0),AC159,0)</f>
        <v>0</v>
      </c>
      <c r="CI159" s="175">
        <f>IF(AND(Input_Product=Elig!$C159,Elig_MatchAll_Ct&lt;22,$BC159=(Elig_MatchAll_Ct-1),BA159=0),AD159,0)</f>
        <v>0</v>
      </c>
      <c r="CJ159" s="177">
        <f>IF(AND(Input_Product=Elig!$C159,Elig_MatchAll_Ct&lt;22,$BC159=(Elig_MatchAll_Ct-1),BA159=0),AE159,0)</f>
        <v>0</v>
      </c>
    </row>
    <row r="160" spans="1:88" ht="10.15" customHeight="1" x14ac:dyDescent="0.25">
      <c r="A160" s="1419" t="s">
        <v>76</v>
      </c>
      <c r="B160" s="1419" t="s">
        <v>853</v>
      </c>
      <c r="C160" s="123" t="str">
        <f t="shared" si="53"/>
        <v>NonQM OO</v>
      </c>
      <c r="D160" s="124" t="s">
        <v>1995</v>
      </c>
      <c r="E160" s="125" t="s">
        <v>166</v>
      </c>
      <c r="F160" s="125" t="s">
        <v>330</v>
      </c>
      <c r="G160" s="125" t="s">
        <v>302</v>
      </c>
      <c r="H160" s="125" t="s">
        <v>135</v>
      </c>
      <c r="I160" s="124" t="s">
        <v>273</v>
      </c>
      <c r="J160" s="124" t="s">
        <v>1130</v>
      </c>
      <c r="K160" s="124" t="s">
        <v>1398</v>
      </c>
      <c r="L160" s="125" t="s">
        <v>2025</v>
      </c>
      <c r="M160" s="125" t="s">
        <v>2289</v>
      </c>
      <c r="N160" s="125" t="s">
        <v>82</v>
      </c>
      <c r="O160" s="125" t="s">
        <v>309</v>
      </c>
      <c r="P160" s="125" t="s">
        <v>2433</v>
      </c>
      <c r="Q160" s="125" t="s">
        <v>293</v>
      </c>
      <c r="R160" s="124">
        <v>2000000.01</v>
      </c>
      <c r="S160" s="124">
        <v>2500000</v>
      </c>
      <c r="T160" s="124">
        <v>0</v>
      </c>
      <c r="U160" s="124">
        <v>0</v>
      </c>
      <c r="V160" s="124">
        <v>0</v>
      </c>
      <c r="W160" s="124">
        <v>55</v>
      </c>
      <c r="X160" s="124">
        <v>0</v>
      </c>
      <c r="Y160" s="124">
        <v>999</v>
      </c>
      <c r="Z160" s="126">
        <v>720</v>
      </c>
      <c r="AA160" s="126">
        <v>999</v>
      </c>
      <c r="AB160" s="1879">
        <v>0</v>
      </c>
      <c r="AC160" s="126">
        <v>999999</v>
      </c>
      <c r="AD160" s="124">
        <v>0</v>
      </c>
      <c r="AE160" s="124">
        <v>80</v>
      </c>
      <c r="AF160" s="144">
        <v>0</v>
      </c>
      <c r="AG160" s="145">
        <v>1</v>
      </c>
      <c r="AH160" s="145">
        <v>1</v>
      </c>
      <c r="AI160" s="145">
        <v>0</v>
      </c>
      <c r="AJ160" s="145">
        <v>0</v>
      </c>
      <c r="AK160" s="145">
        <v>1</v>
      </c>
      <c r="AL160" s="145">
        <v>1</v>
      </c>
      <c r="AM160" s="145">
        <v>1</v>
      </c>
      <c r="AN160" s="145">
        <v>1</v>
      </c>
      <c r="AO160" s="145">
        <v>1</v>
      </c>
      <c r="AP160" s="145">
        <v>1</v>
      </c>
      <c r="AQ160" s="145">
        <v>0</v>
      </c>
      <c r="AR160" s="145">
        <v>1</v>
      </c>
      <c r="AS160" s="145">
        <v>1</v>
      </c>
      <c r="AT160" s="145">
        <v>1</v>
      </c>
      <c r="AU160" s="145">
        <f t="shared" ref="AU160:AU280" si="55">IF(AND(Input_LoanAmt&gt;=Elig_LoanAmt_Min,Input_LoanAmt&lt;=Elig_LoanAmt_Max),1,0)</f>
        <v>0</v>
      </c>
      <c r="AV160" s="145">
        <f t="shared" ref="AV160:AV280" si="56">IF(AND(Input_CashoutAmt&gt;=Elig_CashoutAmt_Min,Input_CashoutAmt&lt;=Elig_CashoutAmt_Max),1,0)</f>
        <v>1</v>
      </c>
      <c r="AW160" s="145">
        <f t="shared" ref="AW160:AW280" si="57">IF(AND(Input_DTI&gt;=Elig_DTI_Min,Input_DTI&lt;=Elig_DTI_Max),1,0)</f>
        <v>1</v>
      </c>
      <c r="AX160" s="145">
        <f t="shared" si="49"/>
        <v>1</v>
      </c>
      <c r="AY160" s="145">
        <f t="shared" ref="AY160:AY280" si="58">IF(AND(Input_CreditScore&gt;=Elig_CreditScore_Min,Input_CreditScore&lt;=Elig_CreditScore_Max),1,0)</f>
        <v>1</v>
      </c>
      <c r="AZ160" s="145">
        <f t="shared" ref="AZ160:AZ280" si="59">IF(AND(Input_ReservesMonths&gt;=Elig_Reserves_Min,Input_ReservesMonths&lt;=Elig_Reserves_Max),1,0)</f>
        <v>1</v>
      </c>
      <c r="BA160" s="146">
        <f t="shared" ref="BA160:BA280" si="60">IF(AND(Input_LTV&gt;=Elig_LTV_Min,Input_LTV&lt;=Elig_LTV_Max),1,0)</f>
        <v>1</v>
      </c>
      <c r="BB160" s="149">
        <f t="shared" si="43"/>
        <v>17</v>
      </c>
      <c r="BC160" s="150">
        <f t="shared" si="44"/>
        <v>16</v>
      </c>
      <c r="BD160" s="150">
        <f t="shared" si="45"/>
        <v>17</v>
      </c>
      <c r="BE160" s="211" t="str">
        <f t="shared" si="46"/>
        <v/>
      </c>
      <c r="BH160" s="184">
        <f>IF(AND(Input_Product=Elig!$C160,Elig_MatchAll_Ct&lt;22,$BC160=(Elig_MatchAll_Ct-1),AF160=0),C160,0)</f>
        <v>0</v>
      </c>
      <c r="BI160" s="184">
        <f>IF(AND(Input_Product=Elig!$C160,Elig_MatchAll_Ct&lt;22,$BC160=(Elig_MatchAll_Ct-1),AG160=0),D160,0)</f>
        <v>0</v>
      </c>
      <c r="BJ160" s="184">
        <f>IF(AND(Input_Product=Elig!$C160,Elig_MatchAll_Ct&lt;22,$BC160=(Elig_MatchAll_Ct-1),AH160=0),E160,0)</f>
        <v>0</v>
      </c>
      <c r="BK160" s="184">
        <f>IF(AND(Input_Product=Elig!$C160,Elig_MatchAll_Ct&lt;22,$BC160=(Elig_MatchAll_Ct-1),AI160=0),F160,0)</f>
        <v>0</v>
      </c>
      <c r="BL160" s="184">
        <f>IF(AND(Input_Product=Elig!$C160,Elig_MatchAll_Ct&lt;22,$BC160=(Elig_MatchAll_Ct-1),AJ160=0),G160,0)</f>
        <v>0</v>
      </c>
      <c r="BM160" s="184">
        <f>IF(AND(Input_Product=Elig!$C160,Elig_MatchAll_Ct&lt;22,$BC160=(Elig_MatchAll_Ct-1),AK160=0),H160,0)</f>
        <v>0</v>
      </c>
      <c r="BN160" s="184">
        <f>IF(AND(Input_Product=Elig!$C160,Elig_MatchAll_Ct&lt;22,$BC160=(Elig_MatchAll_Ct-1),AL160=0),I160,0)</f>
        <v>0</v>
      </c>
      <c r="BO160" s="184">
        <f>IF(AND(Input_Product=Elig!$C160,Elig_MatchAll_Ct&lt;22,$BC160=(Elig_MatchAll_Ct-1),AM160=0),J160,0)</f>
        <v>0</v>
      </c>
      <c r="BP160" s="184">
        <f>IF(AND(Input_Product=Elig!$C160,Elig_MatchAll_Ct&lt;22,$BC160=(Elig_MatchAll_Ct-1),AN160=0),K160,0)</f>
        <v>0</v>
      </c>
      <c r="BQ160" s="184">
        <f>IF(AND(Input_Product=Elig!$C160,Elig_MatchAll_Ct&lt;22,$BC160=(Elig_MatchAll_Ct-1),AP160=0),L160,0)</f>
        <v>0</v>
      </c>
      <c r="BR160" s="184">
        <f>IF(AND(Input_Product=Elig!$C160,Elig_MatchAll_Ct&lt;22,$BC160=(Elig_MatchAll_Ct-1),AO160=0),M160,0)</f>
        <v>0</v>
      </c>
      <c r="BS160" s="184">
        <f>IF(AND(Input_Product=Elig!$C160,Elig_MatchAll_Ct&lt;22,$BC160=(Elig_MatchAll_Ct-1),AQ160=0),N160,0)</f>
        <v>0</v>
      </c>
      <c r="BT160" s="184">
        <f>IF(AND(Input_Product=Elig!$C160,Elig_MatchAll_Ct&lt;22,$BC160=(Elig_MatchAll_Ct-1),AR160=0),O160,0)</f>
        <v>0</v>
      </c>
      <c r="BU160" s="184">
        <f>IF(AND(Input_Product=Elig!$C160,Elig_MatchAll_Ct&lt;22,$BC160=(Elig_MatchAll_Ct-1),AS160=0),P160,0)</f>
        <v>0</v>
      </c>
      <c r="BV160" s="185">
        <f>IF(AND(Input_Product=Elig!$C160,Elig_MatchAll_Ct&lt;22,$BC160=(Elig_MatchAll_Ct-1),AT160=0),Q160,0)</f>
        <v>0</v>
      </c>
      <c r="BW160" s="186">
        <f>IF(AND(Input_Product=Elig!$C160,Elig_MatchAll_Ct&lt;22,$BC160=(Elig_MatchAll_Ct-1),AU160=0),R160,0)</f>
        <v>0</v>
      </c>
      <c r="BX160" s="187">
        <f>IF(AND(Input_Product=Elig!$C160,Elig_MatchAll_Ct&lt;22,$BC160=(Elig_MatchAll_Ct-1),AU160=0),S160,0)</f>
        <v>0</v>
      </c>
      <c r="BY160" s="186">
        <f>IF(AND(Input_Product=Elig!$C160,Elig_MatchAll_Ct&lt;22,$BC160=(Elig_MatchAll_Ct-1),AV160=0),T160,0)</f>
        <v>0</v>
      </c>
      <c r="BZ160" s="187">
        <f>IF(AND(Input_Product=Elig!$C160,Elig_MatchAll_Ct&lt;22,$BC160=(Elig_MatchAll_Ct-1),AV160=0),U160,0)</f>
        <v>0</v>
      </c>
      <c r="CA160" s="186">
        <f>IF(AND(Input_Product=Elig!$C160,Elig_MatchAll_Ct&lt;22,$BC160=(Elig_MatchAll_Ct-1),AW160=0),V160,0)</f>
        <v>0</v>
      </c>
      <c r="CB160" s="187">
        <f>IF(AND(Input_Product=Elig!$C160,Elig_MatchAll_Ct&lt;22,$BC160=(Elig_MatchAll_Ct-1),AW160=0),W160,0)</f>
        <v>0</v>
      </c>
      <c r="CC160" s="186">
        <f>IF(AND(Input_Product=Elig!$C160,Elig_MatchAll_Ct&lt;22,$BC160=(Elig_MatchAll_Ct-1),AX160=0),X160,0)</f>
        <v>0</v>
      </c>
      <c r="CD160" s="187">
        <f>IF(AND(Input_Product=Elig!$C160,Elig_MatchAll_Ct&lt;22,$BC160=(Elig_MatchAll_Ct-1),AX160=0),Y160,0)</f>
        <v>0</v>
      </c>
      <c r="CE160" s="186">
        <f>IF(AND(Input_LTV&lt;=AE160,Input_Product=Elig!$C160,Elig_MatchAll_Ct&lt;22,$BC160=(Elig_MatchAll_Ct-1),AY160=0),Z160,0)</f>
        <v>0</v>
      </c>
      <c r="CF160" s="187">
        <f>IF(AND(Input_LTV&lt;=AE160,Input_Product=Elig!$C160,Elig_MatchAll_Ct&lt;22,$BC160=(Elig_MatchAll_Ct-1),AY160=0),AA160,0)</f>
        <v>0</v>
      </c>
      <c r="CG160" s="186">
        <f>IF(AND(Input_Product=Elig!$C160,Elig_MatchAll_Ct&lt;22,$BC160=(Elig_MatchAll_Ct-1),AZ160=0),AB160,0)</f>
        <v>0</v>
      </c>
      <c r="CH160" s="187">
        <f>IF(AND(Input_Product=Elig!$C160,Elig_MatchAll_Ct&lt;22,$BC160=(Elig_MatchAll_Ct-1),AZ160=0),AC160,0)</f>
        <v>0</v>
      </c>
      <c r="CI160" s="186">
        <f>IF(AND(Input_Product=Elig!$C160,Elig_MatchAll_Ct&lt;22,$BC160=(Elig_MatchAll_Ct-1),BA160=0),AD160,0)</f>
        <v>0</v>
      </c>
      <c r="CJ160" s="187">
        <f>IF(AND(Input_Product=Elig!$C160,Elig_MatchAll_Ct&lt;22,$BC160=(Elig_MatchAll_Ct-1),BA160=0),AE160,0)</f>
        <v>0</v>
      </c>
    </row>
    <row r="161" spans="1:88" ht="10.15" customHeight="1" x14ac:dyDescent="0.25">
      <c r="A161" s="1419" t="s">
        <v>76</v>
      </c>
      <c r="B161" s="1419" t="s">
        <v>854</v>
      </c>
      <c r="C161" s="116" t="str">
        <f t="shared" si="53"/>
        <v>NonQM OO</v>
      </c>
      <c r="D161" s="117" t="s">
        <v>1995</v>
      </c>
      <c r="E161" s="117" t="s">
        <v>166</v>
      </c>
      <c r="F161" s="117" t="s">
        <v>330</v>
      </c>
      <c r="G161" s="117" t="s">
        <v>302</v>
      </c>
      <c r="H161" s="117" t="s">
        <v>135</v>
      </c>
      <c r="I161" s="118" t="s">
        <v>273</v>
      </c>
      <c r="J161" s="118" t="s">
        <v>1130</v>
      </c>
      <c r="K161" s="118" t="s">
        <v>1398</v>
      </c>
      <c r="L161" s="117" t="s">
        <v>2025</v>
      </c>
      <c r="M161" s="117" t="s">
        <v>2289</v>
      </c>
      <c r="N161" s="117" t="s">
        <v>82</v>
      </c>
      <c r="O161" s="117" t="s">
        <v>309</v>
      </c>
      <c r="P161" s="117" t="s">
        <v>2433</v>
      </c>
      <c r="Q161" s="117" t="s">
        <v>293</v>
      </c>
      <c r="R161" s="117">
        <v>2000000.01</v>
      </c>
      <c r="S161" s="117">
        <v>2500000</v>
      </c>
      <c r="T161" s="117">
        <v>0</v>
      </c>
      <c r="U161" s="117">
        <v>0</v>
      </c>
      <c r="V161" s="117">
        <v>0</v>
      </c>
      <c r="W161" s="117">
        <v>55</v>
      </c>
      <c r="X161" s="117">
        <v>0</v>
      </c>
      <c r="Y161" s="117">
        <v>999</v>
      </c>
      <c r="Z161" s="119">
        <v>700</v>
      </c>
      <c r="AA161" s="119">
        <v>719</v>
      </c>
      <c r="AB161" s="1877">
        <v>0</v>
      </c>
      <c r="AC161" s="119">
        <v>999999</v>
      </c>
      <c r="AD161" s="117">
        <v>0</v>
      </c>
      <c r="AE161" s="117">
        <v>75</v>
      </c>
      <c r="AF161" s="144">
        <v>0</v>
      </c>
      <c r="AG161" s="145">
        <v>1</v>
      </c>
      <c r="AH161" s="145">
        <v>1</v>
      </c>
      <c r="AI161" s="145">
        <v>0</v>
      </c>
      <c r="AJ161" s="145">
        <v>0</v>
      </c>
      <c r="AK161" s="145">
        <v>1</v>
      </c>
      <c r="AL161" s="145">
        <v>1</v>
      </c>
      <c r="AM161" s="145">
        <v>1</v>
      </c>
      <c r="AN161" s="145">
        <v>1</v>
      </c>
      <c r="AO161" s="145">
        <v>1</v>
      </c>
      <c r="AP161" s="145">
        <v>1</v>
      </c>
      <c r="AQ161" s="145">
        <v>0</v>
      </c>
      <c r="AR161" s="145">
        <v>1</v>
      </c>
      <c r="AS161" s="145">
        <v>1</v>
      </c>
      <c r="AT161" s="145">
        <v>1</v>
      </c>
      <c r="AU161" s="145">
        <f t="shared" si="55"/>
        <v>0</v>
      </c>
      <c r="AV161" s="145">
        <f t="shared" si="56"/>
        <v>1</v>
      </c>
      <c r="AW161" s="145">
        <f t="shared" si="57"/>
        <v>1</v>
      </c>
      <c r="AX161" s="145">
        <f t="shared" si="49"/>
        <v>1</v>
      </c>
      <c r="AY161" s="145">
        <f t="shared" si="58"/>
        <v>0</v>
      </c>
      <c r="AZ161" s="145">
        <f t="shared" si="59"/>
        <v>1</v>
      </c>
      <c r="BA161" s="146">
        <f t="shared" si="60"/>
        <v>1</v>
      </c>
      <c r="BB161" s="149">
        <f t="shared" si="43"/>
        <v>16</v>
      </c>
      <c r="BC161" s="150">
        <f t="shared" si="44"/>
        <v>15</v>
      </c>
      <c r="BD161" s="150">
        <f t="shared" si="45"/>
        <v>16</v>
      </c>
      <c r="BE161" s="211" t="str">
        <f t="shared" si="46"/>
        <v/>
      </c>
      <c r="BH161" s="173">
        <f>IF(AND(Input_Product=Elig!$C161,Elig_MatchAll_Ct&lt;22,$BC161=(Elig_MatchAll_Ct-1),AF161=0),C161,0)</f>
        <v>0</v>
      </c>
      <c r="BI161" s="173">
        <f>IF(AND(Input_Product=Elig!$C161,Elig_MatchAll_Ct&lt;22,$BC161=(Elig_MatchAll_Ct-1),AG161=0),D161,0)</f>
        <v>0</v>
      </c>
      <c r="BJ161" s="173">
        <f>IF(AND(Input_Product=Elig!$C161,Elig_MatchAll_Ct&lt;22,$BC161=(Elig_MatchAll_Ct-1),AH161=0),E161,0)</f>
        <v>0</v>
      </c>
      <c r="BK161" s="173">
        <f>IF(AND(Input_Product=Elig!$C161,Elig_MatchAll_Ct&lt;22,$BC161=(Elig_MatchAll_Ct-1),AI161=0),F161,0)</f>
        <v>0</v>
      </c>
      <c r="BL161" s="173">
        <f>IF(AND(Input_Product=Elig!$C161,Elig_MatchAll_Ct&lt;22,$BC161=(Elig_MatchAll_Ct-1),AJ161=0),G161,0)</f>
        <v>0</v>
      </c>
      <c r="BM161" s="173">
        <f>IF(AND(Input_Product=Elig!$C161,Elig_MatchAll_Ct&lt;22,$BC161=(Elig_MatchAll_Ct-1),AK161=0),H161,0)</f>
        <v>0</v>
      </c>
      <c r="BN161" s="173">
        <f>IF(AND(Input_Product=Elig!$C161,Elig_MatchAll_Ct&lt;22,$BC161=(Elig_MatchAll_Ct-1),AL161=0),I161,0)</f>
        <v>0</v>
      </c>
      <c r="BO161" s="173">
        <f>IF(AND(Input_Product=Elig!$C161,Elig_MatchAll_Ct&lt;22,$BC161=(Elig_MatchAll_Ct-1),AM161=0),J161,0)</f>
        <v>0</v>
      </c>
      <c r="BP161" s="173">
        <f>IF(AND(Input_Product=Elig!$C161,Elig_MatchAll_Ct&lt;22,$BC161=(Elig_MatchAll_Ct-1),AN161=0),K161,0)</f>
        <v>0</v>
      </c>
      <c r="BQ161" s="173">
        <f>IF(AND(Input_Product=Elig!$C161,Elig_MatchAll_Ct&lt;22,$BC161=(Elig_MatchAll_Ct-1),AP161=0),L161,0)</f>
        <v>0</v>
      </c>
      <c r="BR161" s="173">
        <f>IF(AND(Input_Product=Elig!$C161,Elig_MatchAll_Ct&lt;22,$BC161=(Elig_MatchAll_Ct-1),AO161=0),M161,0)</f>
        <v>0</v>
      </c>
      <c r="BS161" s="173">
        <f>IF(AND(Input_Product=Elig!$C161,Elig_MatchAll_Ct&lt;22,$BC161=(Elig_MatchAll_Ct-1),AQ161=0),N161,0)</f>
        <v>0</v>
      </c>
      <c r="BT161" s="173">
        <f>IF(AND(Input_Product=Elig!$C161,Elig_MatchAll_Ct&lt;22,$BC161=(Elig_MatchAll_Ct-1),AR161=0),O161,0)</f>
        <v>0</v>
      </c>
      <c r="BU161" s="173">
        <f>IF(AND(Input_Product=Elig!$C161,Elig_MatchAll_Ct&lt;22,$BC161=(Elig_MatchAll_Ct-1),AS161=0),P161,0)</f>
        <v>0</v>
      </c>
      <c r="BV161" s="174">
        <f>IF(AND(Input_Product=Elig!$C161,Elig_MatchAll_Ct&lt;22,$BC161=(Elig_MatchAll_Ct-1),AT161=0),Q161,0)</f>
        <v>0</v>
      </c>
      <c r="BW161" s="175">
        <f>IF(AND(Input_Product=Elig!$C161,Elig_MatchAll_Ct&lt;22,$BC161=(Elig_MatchAll_Ct-1),AU161=0),R161,0)</f>
        <v>0</v>
      </c>
      <c r="BX161" s="176">
        <f>IF(AND(Input_Product=Elig!$C161,Elig_MatchAll_Ct&lt;22,$BC161=(Elig_MatchAll_Ct-1),AU161=0),S161,0)</f>
        <v>0</v>
      </c>
      <c r="BY161" s="175">
        <f>IF(AND(Input_Product=Elig!$C161,Elig_MatchAll_Ct&lt;22,$BC161=(Elig_MatchAll_Ct-1),AV161=0),T161,0)</f>
        <v>0</v>
      </c>
      <c r="BZ161" s="176">
        <f>IF(AND(Input_Product=Elig!$C161,Elig_MatchAll_Ct&lt;22,$BC161=(Elig_MatchAll_Ct-1),AV161=0),U161,0)</f>
        <v>0</v>
      </c>
      <c r="CA161" s="175">
        <f>IF(AND(Input_Product=Elig!$C161,Elig_MatchAll_Ct&lt;22,$BC161=(Elig_MatchAll_Ct-1),AW161=0),V161,0)</f>
        <v>0</v>
      </c>
      <c r="CB161" s="176">
        <f>IF(AND(Input_Product=Elig!$C161,Elig_MatchAll_Ct&lt;22,$BC161=(Elig_MatchAll_Ct-1),AW161=0),W161,0)</f>
        <v>0</v>
      </c>
      <c r="CC161" s="175">
        <f>IF(AND(Input_Product=Elig!$C161,Elig_MatchAll_Ct&lt;22,$BC161=(Elig_MatchAll_Ct-1),AX161=0),X161,0)</f>
        <v>0</v>
      </c>
      <c r="CD161" s="176">
        <f>IF(AND(Input_Product=Elig!$C161,Elig_MatchAll_Ct&lt;22,$BC161=(Elig_MatchAll_Ct-1),AX161=0),Y161,0)</f>
        <v>0</v>
      </c>
      <c r="CE161" s="175">
        <f>IF(AND(Input_LTV&lt;=AE161,Input_Product=Elig!$C161,Elig_MatchAll_Ct&lt;22,$BC161=(Elig_MatchAll_Ct-1),AY161=0),Z161,0)</f>
        <v>0</v>
      </c>
      <c r="CF161" s="176">
        <f>IF(AND(Input_LTV&lt;=AE161,Input_Product=Elig!$C161,Elig_MatchAll_Ct&lt;22,$BC161=(Elig_MatchAll_Ct-1),AY161=0),AA161,0)</f>
        <v>0</v>
      </c>
      <c r="CG161" s="175">
        <f>IF(AND(Input_Product=Elig!$C161,Elig_MatchAll_Ct&lt;22,$BC161=(Elig_MatchAll_Ct-1),AZ161=0),AB161,0)</f>
        <v>0</v>
      </c>
      <c r="CH161" s="176">
        <f>IF(AND(Input_Product=Elig!$C161,Elig_MatchAll_Ct&lt;22,$BC161=(Elig_MatchAll_Ct-1),AZ161=0),AC161,0)</f>
        <v>0</v>
      </c>
      <c r="CI161" s="175">
        <f>IF(AND(Input_Product=Elig!$C161,Elig_MatchAll_Ct&lt;22,$BC161=(Elig_MatchAll_Ct-1),BA161=0),AD161,0)</f>
        <v>0</v>
      </c>
      <c r="CJ161" s="176">
        <f>IF(AND(Input_Product=Elig!$C161,Elig_MatchAll_Ct&lt;22,$BC161=(Elig_MatchAll_Ct-1),BA161=0),AE161,0)</f>
        <v>0</v>
      </c>
    </row>
    <row r="162" spans="1:88" ht="10.15" customHeight="1" x14ac:dyDescent="0.25">
      <c r="A162" s="1419" t="s">
        <v>76</v>
      </c>
      <c r="B162" s="1419" t="s">
        <v>855</v>
      </c>
      <c r="C162" s="116" t="str">
        <f t="shared" si="53"/>
        <v>NonQM OO</v>
      </c>
      <c r="D162" s="117" t="s">
        <v>1995</v>
      </c>
      <c r="E162" s="117" t="s">
        <v>166</v>
      </c>
      <c r="F162" s="117" t="s">
        <v>330</v>
      </c>
      <c r="G162" s="117" t="s">
        <v>302</v>
      </c>
      <c r="H162" s="117" t="s">
        <v>135</v>
      </c>
      <c r="I162" s="118" t="s">
        <v>273</v>
      </c>
      <c r="J162" s="118" t="s">
        <v>1130</v>
      </c>
      <c r="K162" s="118" t="s">
        <v>1398</v>
      </c>
      <c r="L162" s="117" t="s">
        <v>2025</v>
      </c>
      <c r="M162" s="117" t="s">
        <v>2289</v>
      </c>
      <c r="N162" s="117" t="s">
        <v>82</v>
      </c>
      <c r="O162" s="117" t="s">
        <v>309</v>
      </c>
      <c r="P162" s="117" t="s">
        <v>2433</v>
      </c>
      <c r="Q162" s="117" t="s">
        <v>293</v>
      </c>
      <c r="R162" s="117">
        <v>2000000.01</v>
      </c>
      <c r="S162" s="117">
        <v>2500000</v>
      </c>
      <c r="T162" s="117">
        <v>0</v>
      </c>
      <c r="U162" s="117">
        <v>0</v>
      </c>
      <c r="V162" s="117">
        <v>0</v>
      </c>
      <c r="W162" s="117">
        <v>55</v>
      </c>
      <c r="X162" s="117">
        <v>0</v>
      </c>
      <c r="Y162" s="117">
        <v>999</v>
      </c>
      <c r="Z162" s="119">
        <v>680</v>
      </c>
      <c r="AA162" s="119">
        <v>699</v>
      </c>
      <c r="AB162" s="1877">
        <v>0</v>
      </c>
      <c r="AC162" s="119">
        <v>999999</v>
      </c>
      <c r="AD162" s="117">
        <v>0</v>
      </c>
      <c r="AE162" s="117">
        <v>75</v>
      </c>
      <c r="AF162" s="144">
        <v>0</v>
      </c>
      <c r="AG162" s="145">
        <v>1</v>
      </c>
      <c r="AH162" s="145">
        <v>1</v>
      </c>
      <c r="AI162" s="145">
        <v>0</v>
      </c>
      <c r="AJ162" s="145">
        <v>0</v>
      </c>
      <c r="AK162" s="145">
        <v>1</v>
      </c>
      <c r="AL162" s="145">
        <v>1</v>
      </c>
      <c r="AM162" s="145">
        <v>1</v>
      </c>
      <c r="AN162" s="145">
        <v>1</v>
      </c>
      <c r="AO162" s="145">
        <v>1</v>
      </c>
      <c r="AP162" s="145">
        <v>1</v>
      </c>
      <c r="AQ162" s="145">
        <v>0</v>
      </c>
      <c r="AR162" s="145">
        <v>1</v>
      </c>
      <c r="AS162" s="145">
        <v>1</v>
      </c>
      <c r="AT162" s="145">
        <v>1</v>
      </c>
      <c r="AU162" s="145">
        <f t="shared" si="55"/>
        <v>0</v>
      </c>
      <c r="AV162" s="145">
        <f t="shared" si="56"/>
        <v>1</v>
      </c>
      <c r="AW162" s="145">
        <f t="shared" si="57"/>
        <v>1</v>
      </c>
      <c r="AX162" s="145">
        <f t="shared" si="49"/>
        <v>1</v>
      </c>
      <c r="AY162" s="145">
        <f t="shared" si="58"/>
        <v>0</v>
      </c>
      <c r="AZ162" s="145">
        <f t="shared" si="59"/>
        <v>1</v>
      </c>
      <c r="BA162" s="146">
        <f t="shared" si="60"/>
        <v>1</v>
      </c>
      <c r="BB162" s="149">
        <f t="shared" si="43"/>
        <v>16</v>
      </c>
      <c r="BC162" s="150">
        <f t="shared" si="44"/>
        <v>15</v>
      </c>
      <c r="BD162" s="150">
        <f t="shared" si="45"/>
        <v>16</v>
      </c>
      <c r="BE162" s="211" t="str">
        <f t="shared" si="46"/>
        <v/>
      </c>
      <c r="BH162" s="173">
        <f>IF(AND(Input_Product=Elig!$C162,Elig_MatchAll_Ct&lt;22,$BC162=(Elig_MatchAll_Ct-1),AF162=0),C162,0)</f>
        <v>0</v>
      </c>
      <c r="BI162" s="173">
        <f>IF(AND(Input_Product=Elig!$C162,Elig_MatchAll_Ct&lt;22,$BC162=(Elig_MatchAll_Ct-1),AG162=0),D162,0)</f>
        <v>0</v>
      </c>
      <c r="BJ162" s="173">
        <f>IF(AND(Input_Product=Elig!$C162,Elig_MatchAll_Ct&lt;22,$BC162=(Elig_MatchAll_Ct-1),AH162=0),E162,0)</f>
        <v>0</v>
      </c>
      <c r="BK162" s="173">
        <f>IF(AND(Input_Product=Elig!$C162,Elig_MatchAll_Ct&lt;22,$BC162=(Elig_MatchAll_Ct-1),AI162=0),F162,0)</f>
        <v>0</v>
      </c>
      <c r="BL162" s="173">
        <f>IF(AND(Input_Product=Elig!$C162,Elig_MatchAll_Ct&lt;22,$BC162=(Elig_MatchAll_Ct-1),AJ162=0),G162,0)</f>
        <v>0</v>
      </c>
      <c r="BM162" s="173">
        <f>IF(AND(Input_Product=Elig!$C162,Elig_MatchAll_Ct&lt;22,$BC162=(Elig_MatchAll_Ct-1),AK162=0),H162,0)</f>
        <v>0</v>
      </c>
      <c r="BN162" s="173">
        <f>IF(AND(Input_Product=Elig!$C162,Elig_MatchAll_Ct&lt;22,$BC162=(Elig_MatchAll_Ct-1),AL162=0),I162,0)</f>
        <v>0</v>
      </c>
      <c r="BO162" s="173">
        <f>IF(AND(Input_Product=Elig!$C162,Elig_MatchAll_Ct&lt;22,$BC162=(Elig_MatchAll_Ct-1),AM162=0),J162,0)</f>
        <v>0</v>
      </c>
      <c r="BP162" s="173">
        <f>IF(AND(Input_Product=Elig!$C162,Elig_MatchAll_Ct&lt;22,$BC162=(Elig_MatchAll_Ct-1),AN162=0),K162,0)</f>
        <v>0</v>
      </c>
      <c r="BQ162" s="173">
        <f>IF(AND(Input_Product=Elig!$C162,Elig_MatchAll_Ct&lt;22,$BC162=(Elig_MatchAll_Ct-1),AP162=0),L162,0)</f>
        <v>0</v>
      </c>
      <c r="BR162" s="173">
        <f>IF(AND(Input_Product=Elig!$C162,Elig_MatchAll_Ct&lt;22,$BC162=(Elig_MatchAll_Ct-1),AO162=0),M162,0)</f>
        <v>0</v>
      </c>
      <c r="BS162" s="173">
        <f>IF(AND(Input_Product=Elig!$C162,Elig_MatchAll_Ct&lt;22,$BC162=(Elig_MatchAll_Ct-1),AQ162=0),N162,0)</f>
        <v>0</v>
      </c>
      <c r="BT162" s="173">
        <f>IF(AND(Input_Product=Elig!$C162,Elig_MatchAll_Ct&lt;22,$BC162=(Elig_MatchAll_Ct-1),AR162=0),O162,0)</f>
        <v>0</v>
      </c>
      <c r="BU162" s="173">
        <f>IF(AND(Input_Product=Elig!$C162,Elig_MatchAll_Ct&lt;22,$BC162=(Elig_MatchAll_Ct-1),AS162=0),P162,0)</f>
        <v>0</v>
      </c>
      <c r="BV162" s="174">
        <f>IF(AND(Input_Product=Elig!$C162,Elig_MatchAll_Ct&lt;22,$BC162=(Elig_MatchAll_Ct-1),AT162=0),Q162,0)</f>
        <v>0</v>
      </c>
      <c r="BW162" s="175">
        <f>IF(AND(Input_Product=Elig!$C162,Elig_MatchAll_Ct&lt;22,$BC162=(Elig_MatchAll_Ct-1),AU162=0),R162,0)</f>
        <v>0</v>
      </c>
      <c r="BX162" s="176">
        <f>IF(AND(Input_Product=Elig!$C162,Elig_MatchAll_Ct&lt;22,$BC162=(Elig_MatchAll_Ct-1),AU162=0),S162,0)</f>
        <v>0</v>
      </c>
      <c r="BY162" s="175">
        <f>IF(AND(Input_Product=Elig!$C162,Elig_MatchAll_Ct&lt;22,$BC162=(Elig_MatchAll_Ct-1),AV162=0),T162,0)</f>
        <v>0</v>
      </c>
      <c r="BZ162" s="176">
        <f>IF(AND(Input_Product=Elig!$C162,Elig_MatchAll_Ct&lt;22,$BC162=(Elig_MatchAll_Ct-1),AV162=0),U162,0)</f>
        <v>0</v>
      </c>
      <c r="CA162" s="175">
        <f>IF(AND(Input_Product=Elig!$C162,Elig_MatchAll_Ct&lt;22,$BC162=(Elig_MatchAll_Ct-1),AW162=0),V162,0)</f>
        <v>0</v>
      </c>
      <c r="CB162" s="176">
        <f>IF(AND(Input_Product=Elig!$C162,Elig_MatchAll_Ct&lt;22,$BC162=(Elig_MatchAll_Ct-1),AW162=0),W162,0)</f>
        <v>0</v>
      </c>
      <c r="CC162" s="175">
        <f>IF(AND(Input_Product=Elig!$C162,Elig_MatchAll_Ct&lt;22,$BC162=(Elig_MatchAll_Ct-1),AX162=0),X162,0)</f>
        <v>0</v>
      </c>
      <c r="CD162" s="176">
        <f>IF(AND(Input_Product=Elig!$C162,Elig_MatchAll_Ct&lt;22,$BC162=(Elig_MatchAll_Ct-1),AX162=0),Y162,0)</f>
        <v>0</v>
      </c>
      <c r="CE162" s="175">
        <f>IF(AND(Input_LTV&lt;=AE162,Input_Product=Elig!$C162,Elig_MatchAll_Ct&lt;22,$BC162=(Elig_MatchAll_Ct-1),AY162=0),Z162,0)</f>
        <v>0</v>
      </c>
      <c r="CF162" s="176">
        <f>IF(AND(Input_LTV&lt;=AE162,Input_Product=Elig!$C162,Elig_MatchAll_Ct&lt;22,$BC162=(Elig_MatchAll_Ct-1),AY162=0),AA162,0)</f>
        <v>0</v>
      </c>
      <c r="CG162" s="175">
        <f>IF(AND(Input_Product=Elig!$C162,Elig_MatchAll_Ct&lt;22,$BC162=(Elig_MatchAll_Ct-1),AZ162=0),AB162,0)</f>
        <v>0</v>
      </c>
      <c r="CH162" s="176">
        <f>IF(AND(Input_Product=Elig!$C162,Elig_MatchAll_Ct&lt;22,$BC162=(Elig_MatchAll_Ct-1),AZ162=0),AC162,0)</f>
        <v>0</v>
      </c>
      <c r="CI162" s="175">
        <f>IF(AND(Input_Product=Elig!$C162,Elig_MatchAll_Ct&lt;22,$BC162=(Elig_MatchAll_Ct-1),BA162=0),AD162,0)</f>
        <v>0</v>
      </c>
      <c r="CJ162" s="176">
        <f>IF(AND(Input_Product=Elig!$C162,Elig_MatchAll_Ct&lt;22,$BC162=(Elig_MatchAll_Ct-1),BA162=0),AE162,0)</f>
        <v>0</v>
      </c>
    </row>
    <row r="163" spans="1:88" ht="10.15" customHeight="1" x14ac:dyDescent="0.25">
      <c r="A163" s="1419" t="s">
        <v>76</v>
      </c>
      <c r="B163" s="1419" t="s">
        <v>856</v>
      </c>
      <c r="C163" s="116" t="str">
        <f t="shared" si="53"/>
        <v>NonQM OO</v>
      </c>
      <c r="D163" s="117" t="s">
        <v>1995</v>
      </c>
      <c r="E163" s="117" t="s">
        <v>166</v>
      </c>
      <c r="F163" s="117" t="s">
        <v>330</v>
      </c>
      <c r="G163" s="117" t="s">
        <v>302</v>
      </c>
      <c r="H163" s="117" t="s">
        <v>135</v>
      </c>
      <c r="I163" s="118" t="s">
        <v>273</v>
      </c>
      <c r="J163" s="118" t="s">
        <v>1130</v>
      </c>
      <c r="K163" s="118" t="s">
        <v>1398</v>
      </c>
      <c r="L163" s="117" t="s">
        <v>2025</v>
      </c>
      <c r="M163" s="117" t="s">
        <v>2289</v>
      </c>
      <c r="N163" s="117" t="s">
        <v>82</v>
      </c>
      <c r="O163" s="117" t="s">
        <v>309</v>
      </c>
      <c r="P163" s="117" t="s">
        <v>2433</v>
      </c>
      <c r="Q163" s="117" t="s">
        <v>293</v>
      </c>
      <c r="R163" s="117">
        <v>2000000.01</v>
      </c>
      <c r="S163" s="117">
        <v>2500000</v>
      </c>
      <c r="T163" s="117">
        <v>0</v>
      </c>
      <c r="U163" s="117">
        <v>0</v>
      </c>
      <c r="V163" s="117">
        <v>0</v>
      </c>
      <c r="W163" s="117">
        <v>55</v>
      </c>
      <c r="X163" s="117">
        <v>0</v>
      </c>
      <c r="Y163" s="117">
        <v>999</v>
      </c>
      <c r="Z163" s="119">
        <v>660</v>
      </c>
      <c r="AA163" s="119">
        <v>679</v>
      </c>
      <c r="AB163" s="1877">
        <v>0</v>
      </c>
      <c r="AC163" s="119">
        <v>999999</v>
      </c>
      <c r="AD163" s="117">
        <v>0</v>
      </c>
      <c r="AE163" s="117">
        <v>70</v>
      </c>
      <c r="AF163" s="144">
        <v>0</v>
      </c>
      <c r="AG163" s="145">
        <v>1</v>
      </c>
      <c r="AH163" s="145">
        <v>1</v>
      </c>
      <c r="AI163" s="145">
        <v>0</v>
      </c>
      <c r="AJ163" s="145">
        <v>0</v>
      </c>
      <c r="AK163" s="145">
        <v>1</v>
      </c>
      <c r="AL163" s="145">
        <v>1</v>
      </c>
      <c r="AM163" s="145">
        <v>1</v>
      </c>
      <c r="AN163" s="145">
        <v>1</v>
      </c>
      <c r="AO163" s="145">
        <v>1</v>
      </c>
      <c r="AP163" s="145">
        <v>1</v>
      </c>
      <c r="AQ163" s="145">
        <v>0</v>
      </c>
      <c r="AR163" s="145">
        <v>1</v>
      </c>
      <c r="AS163" s="145">
        <v>1</v>
      </c>
      <c r="AT163" s="145">
        <v>1</v>
      </c>
      <c r="AU163" s="145">
        <f t="shared" si="55"/>
        <v>0</v>
      </c>
      <c r="AV163" s="145">
        <f t="shared" si="56"/>
        <v>1</v>
      </c>
      <c r="AW163" s="145">
        <f t="shared" si="57"/>
        <v>1</v>
      </c>
      <c r="AX163" s="145">
        <f t="shared" si="49"/>
        <v>1</v>
      </c>
      <c r="AY163" s="145">
        <f t="shared" si="58"/>
        <v>0</v>
      </c>
      <c r="AZ163" s="145">
        <f t="shared" si="59"/>
        <v>1</v>
      </c>
      <c r="BA163" s="146">
        <f t="shared" si="60"/>
        <v>1</v>
      </c>
      <c r="BB163" s="149">
        <f t="shared" si="43"/>
        <v>16</v>
      </c>
      <c r="BC163" s="150">
        <f t="shared" si="44"/>
        <v>15</v>
      </c>
      <c r="BD163" s="150">
        <f t="shared" si="45"/>
        <v>16</v>
      </c>
      <c r="BE163" s="211" t="str">
        <f t="shared" si="46"/>
        <v/>
      </c>
      <c r="BH163" s="188">
        <f>IF(AND(Input_Product=Elig!$C163,Elig_MatchAll_Ct&lt;22,$BC163=(Elig_MatchAll_Ct-1),AF163=0),C163,0)</f>
        <v>0</v>
      </c>
      <c r="BI163" s="188">
        <f>IF(AND(Input_Product=Elig!$C163,Elig_MatchAll_Ct&lt;22,$BC163=(Elig_MatchAll_Ct-1),AG163=0),D163,0)</f>
        <v>0</v>
      </c>
      <c r="BJ163" s="188">
        <f>IF(AND(Input_Product=Elig!$C163,Elig_MatchAll_Ct&lt;22,$BC163=(Elig_MatchAll_Ct-1),AH163=0),E163,0)</f>
        <v>0</v>
      </c>
      <c r="BK163" s="188">
        <f>IF(AND(Input_Product=Elig!$C163,Elig_MatchAll_Ct&lt;22,$BC163=(Elig_MatchAll_Ct-1),AI163=0),F163,0)</f>
        <v>0</v>
      </c>
      <c r="BL163" s="188">
        <f>IF(AND(Input_Product=Elig!$C163,Elig_MatchAll_Ct&lt;22,$BC163=(Elig_MatchAll_Ct-1),AJ163=0),G163,0)</f>
        <v>0</v>
      </c>
      <c r="BM163" s="188">
        <f>IF(AND(Input_Product=Elig!$C163,Elig_MatchAll_Ct&lt;22,$BC163=(Elig_MatchAll_Ct-1),AK163=0),H163,0)</f>
        <v>0</v>
      </c>
      <c r="BN163" s="188">
        <f>IF(AND(Input_Product=Elig!$C163,Elig_MatchAll_Ct&lt;22,$BC163=(Elig_MatchAll_Ct-1),AL163=0),I163,0)</f>
        <v>0</v>
      </c>
      <c r="BO163" s="188">
        <f>IF(AND(Input_Product=Elig!$C163,Elig_MatchAll_Ct&lt;22,$BC163=(Elig_MatchAll_Ct-1),AM163=0),J163,0)</f>
        <v>0</v>
      </c>
      <c r="BP163" s="188">
        <f>IF(AND(Input_Product=Elig!$C163,Elig_MatchAll_Ct&lt;22,$BC163=(Elig_MatchAll_Ct-1),AN163=0),K163,0)</f>
        <v>0</v>
      </c>
      <c r="BQ163" s="188">
        <f>IF(AND(Input_Product=Elig!$C163,Elig_MatchAll_Ct&lt;22,$BC163=(Elig_MatchAll_Ct-1),AP163=0),L163,0)</f>
        <v>0</v>
      </c>
      <c r="BR163" s="188">
        <f>IF(AND(Input_Product=Elig!$C163,Elig_MatchAll_Ct&lt;22,$BC163=(Elig_MatchAll_Ct-1),AO163=0),M163,0)</f>
        <v>0</v>
      </c>
      <c r="BS163" s="188">
        <f>IF(AND(Input_Product=Elig!$C163,Elig_MatchAll_Ct&lt;22,$BC163=(Elig_MatchAll_Ct-1),AQ163=0),N163,0)</f>
        <v>0</v>
      </c>
      <c r="BT163" s="188">
        <f>IF(AND(Input_Product=Elig!$C163,Elig_MatchAll_Ct&lt;22,$BC163=(Elig_MatchAll_Ct-1),AR163=0),O163,0)</f>
        <v>0</v>
      </c>
      <c r="BU163" s="188">
        <f>IF(AND(Input_Product=Elig!$C163,Elig_MatchAll_Ct&lt;22,$BC163=(Elig_MatchAll_Ct-1),AS163=0),P163,0)</f>
        <v>0</v>
      </c>
      <c r="BV163" s="189">
        <f>IF(AND(Input_Product=Elig!$C163,Elig_MatchAll_Ct&lt;22,$BC163=(Elig_MatchAll_Ct-1),AT163=0),Q163,0)</f>
        <v>0</v>
      </c>
      <c r="BW163" s="271">
        <f>IF(AND(Input_Product=Elig!$C163,Elig_MatchAll_Ct&lt;22,$BC163=(Elig_MatchAll_Ct-1),AU163=0),R163,0)</f>
        <v>0</v>
      </c>
      <c r="BX163" s="272">
        <f>IF(AND(Input_Product=Elig!$C163,Elig_MatchAll_Ct&lt;22,$BC163=(Elig_MatchAll_Ct-1),AU163=0),S163,0)</f>
        <v>0</v>
      </c>
      <c r="BY163" s="271">
        <f>IF(AND(Input_Product=Elig!$C163,Elig_MatchAll_Ct&lt;22,$BC163=(Elig_MatchAll_Ct-1),AV163=0),T163,0)</f>
        <v>0</v>
      </c>
      <c r="BZ163" s="272">
        <f>IF(AND(Input_Product=Elig!$C163,Elig_MatchAll_Ct&lt;22,$BC163=(Elig_MatchAll_Ct-1),AV163=0),U163,0)</f>
        <v>0</v>
      </c>
      <c r="CA163" s="271">
        <f>IF(AND(Input_Product=Elig!$C163,Elig_MatchAll_Ct&lt;22,$BC163=(Elig_MatchAll_Ct-1),AW163=0),V163,0)</f>
        <v>0</v>
      </c>
      <c r="CB163" s="272">
        <f>IF(AND(Input_Product=Elig!$C163,Elig_MatchAll_Ct&lt;22,$BC163=(Elig_MatchAll_Ct-1),AW163=0),W163,0)</f>
        <v>0</v>
      </c>
      <c r="CC163" s="271">
        <f>IF(AND(Input_Product=Elig!$C163,Elig_MatchAll_Ct&lt;22,$BC163=(Elig_MatchAll_Ct-1),AX163=0),X163,0)</f>
        <v>0</v>
      </c>
      <c r="CD163" s="272">
        <f>IF(AND(Input_Product=Elig!$C163,Elig_MatchAll_Ct&lt;22,$BC163=(Elig_MatchAll_Ct-1),AX163=0),Y163,0)</f>
        <v>0</v>
      </c>
      <c r="CE163" s="271">
        <f>IF(AND(Input_LTV&lt;=AE163,Input_Product=Elig!$C163,Elig_MatchAll_Ct&lt;22,$BC163=(Elig_MatchAll_Ct-1),AY163=0),Z163,0)</f>
        <v>0</v>
      </c>
      <c r="CF163" s="272">
        <f>IF(AND(Input_LTV&lt;=AE163,Input_Product=Elig!$C163,Elig_MatchAll_Ct&lt;22,$BC163=(Elig_MatchAll_Ct-1),AY163=0),AA163,0)</f>
        <v>0</v>
      </c>
      <c r="CG163" s="271">
        <f>IF(AND(Input_Product=Elig!$C163,Elig_MatchAll_Ct&lt;22,$BC163=(Elig_MatchAll_Ct-1),AZ163=0),AB163,0)</f>
        <v>0</v>
      </c>
      <c r="CH163" s="272">
        <f>IF(AND(Input_Product=Elig!$C163,Elig_MatchAll_Ct&lt;22,$BC163=(Elig_MatchAll_Ct-1),AZ163=0),AC163,0)</f>
        <v>0</v>
      </c>
      <c r="CI163" s="271">
        <f>IF(AND(Input_Product=Elig!$C163,Elig_MatchAll_Ct&lt;22,$BC163=(Elig_MatchAll_Ct-1),BA163=0),AD163,0)</f>
        <v>0</v>
      </c>
      <c r="CJ163" s="272">
        <f>IF(AND(Input_Product=Elig!$C163,Elig_MatchAll_Ct&lt;22,$BC163=(Elig_MatchAll_Ct-1),BA163=0),AE163,0)</f>
        <v>0</v>
      </c>
    </row>
    <row r="164" spans="1:88" ht="10.15" customHeight="1" x14ac:dyDescent="0.25">
      <c r="A164" s="1419" t="s">
        <v>76</v>
      </c>
      <c r="B164" s="1419" t="s">
        <v>857</v>
      </c>
      <c r="C164" s="123" t="str">
        <f t="shared" si="53"/>
        <v>NonQM OO</v>
      </c>
      <c r="D164" s="124" t="s">
        <v>1995</v>
      </c>
      <c r="E164" s="125" t="s">
        <v>166</v>
      </c>
      <c r="F164" s="125" t="s">
        <v>330</v>
      </c>
      <c r="G164" s="125" t="s">
        <v>302</v>
      </c>
      <c r="H164" s="125" t="s">
        <v>135</v>
      </c>
      <c r="I164" s="124" t="s">
        <v>16</v>
      </c>
      <c r="J164" s="124" t="s">
        <v>1130</v>
      </c>
      <c r="K164" s="124" t="s">
        <v>1398</v>
      </c>
      <c r="L164" s="125" t="s">
        <v>2025</v>
      </c>
      <c r="M164" s="125" t="s">
        <v>2289</v>
      </c>
      <c r="N164" s="125" t="s">
        <v>82</v>
      </c>
      <c r="O164" s="125" t="s">
        <v>309</v>
      </c>
      <c r="P164" s="125" t="s">
        <v>2433</v>
      </c>
      <c r="Q164" s="125" t="s">
        <v>293</v>
      </c>
      <c r="R164" s="124">
        <v>2000000.01</v>
      </c>
      <c r="S164" s="124">
        <v>2500000</v>
      </c>
      <c r="T164" s="124">
        <v>0</v>
      </c>
      <c r="U164" s="124">
        <f t="shared" ref="U164:U167" si="61">S164</f>
        <v>2500000</v>
      </c>
      <c r="V164" s="124">
        <v>0</v>
      </c>
      <c r="W164" s="124">
        <v>55</v>
      </c>
      <c r="X164" s="124">
        <v>0</v>
      </c>
      <c r="Y164" s="124">
        <v>999</v>
      </c>
      <c r="Z164" s="126">
        <v>720</v>
      </c>
      <c r="AA164" s="126">
        <v>999</v>
      </c>
      <c r="AB164" s="1879">
        <v>0</v>
      </c>
      <c r="AC164" s="126">
        <v>999999</v>
      </c>
      <c r="AD164" s="124">
        <v>0</v>
      </c>
      <c r="AE164" s="124">
        <v>75</v>
      </c>
      <c r="AF164" s="144">
        <v>0</v>
      </c>
      <c r="AG164" s="145">
        <v>1</v>
      </c>
      <c r="AH164" s="145">
        <v>1</v>
      </c>
      <c r="AI164" s="145">
        <v>0</v>
      </c>
      <c r="AJ164" s="145">
        <v>0</v>
      </c>
      <c r="AK164" s="145">
        <v>1</v>
      </c>
      <c r="AL164" s="145">
        <v>0</v>
      </c>
      <c r="AM164" s="145">
        <v>1</v>
      </c>
      <c r="AN164" s="145">
        <v>1</v>
      </c>
      <c r="AO164" s="145">
        <v>1</v>
      </c>
      <c r="AP164" s="145">
        <v>1</v>
      </c>
      <c r="AQ164" s="145">
        <v>0</v>
      </c>
      <c r="AR164" s="145">
        <v>1</v>
      </c>
      <c r="AS164" s="145">
        <v>1</v>
      </c>
      <c r="AT164" s="145">
        <v>1</v>
      </c>
      <c r="AU164" s="145">
        <f t="shared" si="55"/>
        <v>0</v>
      </c>
      <c r="AV164" s="145">
        <f t="shared" si="56"/>
        <v>1</v>
      </c>
      <c r="AW164" s="145">
        <f t="shared" si="57"/>
        <v>1</v>
      </c>
      <c r="AX164" s="145">
        <f t="shared" si="49"/>
        <v>1</v>
      </c>
      <c r="AY164" s="145">
        <f t="shared" si="58"/>
        <v>1</v>
      </c>
      <c r="AZ164" s="145">
        <f t="shared" si="59"/>
        <v>1</v>
      </c>
      <c r="BA164" s="146">
        <f t="shared" si="60"/>
        <v>1</v>
      </c>
      <c r="BB164" s="149">
        <f t="shared" si="43"/>
        <v>16</v>
      </c>
      <c r="BC164" s="150">
        <f t="shared" si="44"/>
        <v>15</v>
      </c>
      <c r="BD164" s="150">
        <f t="shared" si="45"/>
        <v>16</v>
      </c>
      <c r="BE164" s="211" t="str">
        <f t="shared" si="46"/>
        <v/>
      </c>
      <c r="BH164" s="184">
        <f>IF(AND(Input_Product=Elig!$C164,Elig_MatchAll_Ct&lt;22,$BC164=(Elig_MatchAll_Ct-1),AF164=0),C164,0)</f>
        <v>0</v>
      </c>
      <c r="BI164" s="184">
        <f>IF(AND(Input_Product=Elig!$C164,Elig_MatchAll_Ct&lt;22,$BC164=(Elig_MatchAll_Ct-1),AG164=0),D164,0)</f>
        <v>0</v>
      </c>
      <c r="BJ164" s="184">
        <f>IF(AND(Input_Product=Elig!$C164,Elig_MatchAll_Ct&lt;22,$BC164=(Elig_MatchAll_Ct-1),AH164=0),E164,0)</f>
        <v>0</v>
      </c>
      <c r="BK164" s="184">
        <f>IF(AND(Input_Product=Elig!$C164,Elig_MatchAll_Ct&lt;22,$BC164=(Elig_MatchAll_Ct-1),AI164=0),F164,0)</f>
        <v>0</v>
      </c>
      <c r="BL164" s="184">
        <f>IF(AND(Input_Product=Elig!$C164,Elig_MatchAll_Ct&lt;22,$BC164=(Elig_MatchAll_Ct-1),AJ164=0),G164,0)</f>
        <v>0</v>
      </c>
      <c r="BM164" s="184">
        <f>IF(AND(Input_Product=Elig!$C164,Elig_MatchAll_Ct&lt;22,$BC164=(Elig_MatchAll_Ct-1),AK164=0),H164,0)</f>
        <v>0</v>
      </c>
      <c r="BN164" s="184">
        <f>IF(AND(Input_Product=Elig!$C164,Elig_MatchAll_Ct&lt;22,$BC164=(Elig_MatchAll_Ct-1),AL164=0),I164,0)</f>
        <v>0</v>
      </c>
      <c r="BO164" s="184">
        <f>IF(AND(Input_Product=Elig!$C164,Elig_MatchAll_Ct&lt;22,$BC164=(Elig_MatchAll_Ct-1),AM164=0),J164,0)</f>
        <v>0</v>
      </c>
      <c r="BP164" s="184">
        <f>IF(AND(Input_Product=Elig!$C164,Elig_MatchAll_Ct&lt;22,$BC164=(Elig_MatchAll_Ct-1),AN164=0),K164,0)</f>
        <v>0</v>
      </c>
      <c r="BQ164" s="184">
        <f>IF(AND(Input_Product=Elig!$C164,Elig_MatchAll_Ct&lt;22,$BC164=(Elig_MatchAll_Ct-1),AP164=0),L164,0)</f>
        <v>0</v>
      </c>
      <c r="BR164" s="184">
        <f>IF(AND(Input_Product=Elig!$C164,Elig_MatchAll_Ct&lt;22,$BC164=(Elig_MatchAll_Ct-1),AO164=0),M164,0)</f>
        <v>0</v>
      </c>
      <c r="BS164" s="184">
        <f>IF(AND(Input_Product=Elig!$C164,Elig_MatchAll_Ct&lt;22,$BC164=(Elig_MatchAll_Ct-1),AQ164=0),N164,0)</f>
        <v>0</v>
      </c>
      <c r="BT164" s="184">
        <f>IF(AND(Input_Product=Elig!$C164,Elig_MatchAll_Ct&lt;22,$BC164=(Elig_MatchAll_Ct-1),AR164=0),O164,0)</f>
        <v>0</v>
      </c>
      <c r="BU164" s="184">
        <f>IF(AND(Input_Product=Elig!$C164,Elig_MatchAll_Ct&lt;22,$BC164=(Elig_MatchAll_Ct-1),AS164=0),P164,0)</f>
        <v>0</v>
      </c>
      <c r="BV164" s="185">
        <f>IF(AND(Input_Product=Elig!$C164,Elig_MatchAll_Ct&lt;22,$BC164=(Elig_MatchAll_Ct-1),AT164=0),Q164,0)</f>
        <v>0</v>
      </c>
      <c r="BW164" s="186">
        <f>IF(AND(Input_Product=Elig!$C164,Elig_MatchAll_Ct&lt;22,$BC164=(Elig_MatchAll_Ct-1),AU164=0),R164,0)</f>
        <v>0</v>
      </c>
      <c r="BX164" s="187">
        <f>IF(AND(Input_Product=Elig!$C164,Elig_MatchAll_Ct&lt;22,$BC164=(Elig_MatchAll_Ct-1),AU164=0),S164,0)</f>
        <v>0</v>
      </c>
      <c r="BY164" s="186">
        <f>IF(AND(Input_Product=Elig!$C164,Elig_MatchAll_Ct&lt;22,$BC164=(Elig_MatchAll_Ct-1),AV164=0),T164,0)</f>
        <v>0</v>
      </c>
      <c r="BZ164" s="187">
        <f>IF(AND(Input_Product=Elig!$C164,Elig_MatchAll_Ct&lt;22,$BC164=(Elig_MatchAll_Ct-1),AV164=0),U164,0)</f>
        <v>0</v>
      </c>
      <c r="CA164" s="186">
        <f>IF(AND(Input_Product=Elig!$C164,Elig_MatchAll_Ct&lt;22,$BC164=(Elig_MatchAll_Ct-1),AW164=0),V164,0)</f>
        <v>0</v>
      </c>
      <c r="CB164" s="187">
        <f>IF(AND(Input_Product=Elig!$C164,Elig_MatchAll_Ct&lt;22,$BC164=(Elig_MatchAll_Ct-1),AW164=0),W164,0)</f>
        <v>0</v>
      </c>
      <c r="CC164" s="186">
        <f>IF(AND(Input_Product=Elig!$C164,Elig_MatchAll_Ct&lt;22,$BC164=(Elig_MatchAll_Ct-1),AX164=0),X164,0)</f>
        <v>0</v>
      </c>
      <c r="CD164" s="187">
        <f>IF(AND(Input_Product=Elig!$C164,Elig_MatchAll_Ct&lt;22,$BC164=(Elig_MatchAll_Ct-1),AX164=0),Y164,0)</f>
        <v>0</v>
      </c>
      <c r="CE164" s="186">
        <f>IF(AND(Input_LTV&lt;=AE164,Input_Product=Elig!$C164,Elig_MatchAll_Ct&lt;22,$BC164=(Elig_MatchAll_Ct-1),AY164=0),Z164,0)</f>
        <v>0</v>
      </c>
      <c r="CF164" s="187">
        <f>IF(AND(Input_LTV&lt;=AE164,Input_Product=Elig!$C164,Elig_MatchAll_Ct&lt;22,$BC164=(Elig_MatchAll_Ct-1),AY164=0),AA164,0)</f>
        <v>0</v>
      </c>
      <c r="CG164" s="186">
        <f>IF(AND(Input_Product=Elig!$C164,Elig_MatchAll_Ct&lt;22,$BC164=(Elig_MatchAll_Ct-1),AZ164=0),AB164,0)</f>
        <v>0</v>
      </c>
      <c r="CH164" s="187">
        <f>IF(AND(Input_Product=Elig!$C164,Elig_MatchAll_Ct&lt;22,$BC164=(Elig_MatchAll_Ct-1),AZ164=0),AC164,0)</f>
        <v>0</v>
      </c>
      <c r="CI164" s="186">
        <f>IF(AND(Input_Product=Elig!$C164,Elig_MatchAll_Ct&lt;22,$BC164=(Elig_MatchAll_Ct-1),BA164=0),AD164,0)</f>
        <v>0</v>
      </c>
      <c r="CJ164" s="187">
        <f>IF(AND(Input_Product=Elig!$C164,Elig_MatchAll_Ct&lt;22,$BC164=(Elig_MatchAll_Ct-1),BA164=0),AE164,0)</f>
        <v>0</v>
      </c>
    </row>
    <row r="165" spans="1:88" ht="10.15" customHeight="1" x14ac:dyDescent="0.25">
      <c r="A165" s="1419" t="s">
        <v>76</v>
      </c>
      <c r="B165" s="1419" t="s">
        <v>858</v>
      </c>
      <c r="C165" s="116" t="str">
        <f t="shared" si="53"/>
        <v>NonQM OO</v>
      </c>
      <c r="D165" s="117" t="s">
        <v>1995</v>
      </c>
      <c r="E165" s="117" t="s">
        <v>166</v>
      </c>
      <c r="F165" s="117" t="s">
        <v>330</v>
      </c>
      <c r="G165" s="117" t="s">
        <v>302</v>
      </c>
      <c r="H165" s="117" t="s">
        <v>135</v>
      </c>
      <c r="I165" s="118" t="s">
        <v>16</v>
      </c>
      <c r="J165" s="118" t="s">
        <v>1130</v>
      </c>
      <c r="K165" s="118" t="s">
        <v>1398</v>
      </c>
      <c r="L165" s="117" t="s">
        <v>2025</v>
      </c>
      <c r="M165" s="117" t="s">
        <v>2289</v>
      </c>
      <c r="N165" s="117" t="s">
        <v>82</v>
      </c>
      <c r="O165" s="117" t="s">
        <v>309</v>
      </c>
      <c r="P165" s="117" t="s">
        <v>2433</v>
      </c>
      <c r="Q165" s="117" t="s">
        <v>293</v>
      </c>
      <c r="R165" s="117">
        <v>2000000.01</v>
      </c>
      <c r="S165" s="117">
        <v>2500000</v>
      </c>
      <c r="T165" s="117">
        <v>0</v>
      </c>
      <c r="U165" s="117">
        <f t="shared" si="61"/>
        <v>2500000</v>
      </c>
      <c r="V165" s="117">
        <v>0</v>
      </c>
      <c r="W165" s="117">
        <v>55</v>
      </c>
      <c r="X165" s="117">
        <v>0</v>
      </c>
      <c r="Y165" s="117">
        <v>999</v>
      </c>
      <c r="Z165" s="119">
        <v>700</v>
      </c>
      <c r="AA165" s="119">
        <v>719</v>
      </c>
      <c r="AB165" s="1877">
        <v>0</v>
      </c>
      <c r="AC165" s="119">
        <v>999999</v>
      </c>
      <c r="AD165" s="117">
        <v>0</v>
      </c>
      <c r="AE165" s="117">
        <v>65</v>
      </c>
      <c r="AF165" s="144">
        <v>0</v>
      </c>
      <c r="AG165" s="145">
        <v>1</v>
      </c>
      <c r="AH165" s="145">
        <v>1</v>
      </c>
      <c r="AI165" s="145">
        <v>0</v>
      </c>
      <c r="AJ165" s="145">
        <v>0</v>
      </c>
      <c r="AK165" s="145">
        <v>1</v>
      </c>
      <c r="AL165" s="145">
        <v>0</v>
      </c>
      <c r="AM165" s="145">
        <v>1</v>
      </c>
      <c r="AN165" s="145">
        <v>1</v>
      </c>
      <c r="AO165" s="145">
        <v>1</v>
      </c>
      <c r="AP165" s="145">
        <v>1</v>
      </c>
      <c r="AQ165" s="145">
        <v>0</v>
      </c>
      <c r="AR165" s="145">
        <v>1</v>
      </c>
      <c r="AS165" s="145">
        <v>1</v>
      </c>
      <c r="AT165" s="145">
        <v>1</v>
      </c>
      <c r="AU165" s="145">
        <f t="shared" si="55"/>
        <v>0</v>
      </c>
      <c r="AV165" s="145">
        <f t="shared" si="56"/>
        <v>1</v>
      </c>
      <c r="AW165" s="145">
        <f t="shared" si="57"/>
        <v>1</v>
      </c>
      <c r="AX165" s="145">
        <f t="shared" si="49"/>
        <v>1</v>
      </c>
      <c r="AY165" s="145">
        <f t="shared" si="58"/>
        <v>0</v>
      </c>
      <c r="AZ165" s="145">
        <f t="shared" si="59"/>
        <v>1</v>
      </c>
      <c r="BA165" s="146">
        <f t="shared" si="60"/>
        <v>0</v>
      </c>
      <c r="BB165" s="149">
        <f t="shared" si="43"/>
        <v>14</v>
      </c>
      <c r="BC165" s="150">
        <f t="shared" si="44"/>
        <v>14</v>
      </c>
      <c r="BD165" s="150">
        <f t="shared" si="45"/>
        <v>14</v>
      </c>
      <c r="BE165" s="211" t="str">
        <f t="shared" si="46"/>
        <v/>
      </c>
      <c r="BH165" s="173">
        <f>IF(AND(Input_Product=Elig!$C165,Elig_MatchAll_Ct&lt;22,$BC165=(Elig_MatchAll_Ct-1),AF165=0),C165,0)</f>
        <v>0</v>
      </c>
      <c r="BI165" s="173">
        <f>IF(AND(Input_Product=Elig!$C165,Elig_MatchAll_Ct&lt;22,$BC165=(Elig_MatchAll_Ct-1),AG165=0),D165,0)</f>
        <v>0</v>
      </c>
      <c r="BJ165" s="173">
        <f>IF(AND(Input_Product=Elig!$C165,Elig_MatchAll_Ct&lt;22,$BC165=(Elig_MatchAll_Ct-1),AH165=0),E165,0)</f>
        <v>0</v>
      </c>
      <c r="BK165" s="173">
        <f>IF(AND(Input_Product=Elig!$C165,Elig_MatchAll_Ct&lt;22,$BC165=(Elig_MatchAll_Ct-1),AI165=0),F165,0)</f>
        <v>0</v>
      </c>
      <c r="BL165" s="173">
        <f>IF(AND(Input_Product=Elig!$C165,Elig_MatchAll_Ct&lt;22,$BC165=(Elig_MatchAll_Ct-1),AJ165=0),G165,0)</f>
        <v>0</v>
      </c>
      <c r="BM165" s="173">
        <f>IF(AND(Input_Product=Elig!$C165,Elig_MatchAll_Ct&lt;22,$BC165=(Elig_MatchAll_Ct-1),AK165=0),H165,0)</f>
        <v>0</v>
      </c>
      <c r="BN165" s="173">
        <f>IF(AND(Input_Product=Elig!$C165,Elig_MatchAll_Ct&lt;22,$BC165=(Elig_MatchAll_Ct-1),AL165=0),I165,0)</f>
        <v>0</v>
      </c>
      <c r="BO165" s="173">
        <f>IF(AND(Input_Product=Elig!$C165,Elig_MatchAll_Ct&lt;22,$BC165=(Elig_MatchAll_Ct-1),AM165=0),J165,0)</f>
        <v>0</v>
      </c>
      <c r="BP165" s="173">
        <f>IF(AND(Input_Product=Elig!$C165,Elig_MatchAll_Ct&lt;22,$BC165=(Elig_MatchAll_Ct-1),AN165=0),K165,0)</f>
        <v>0</v>
      </c>
      <c r="BQ165" s="173">
        <f>IF(AND(Input_Product=Elig!$C165,Elig_MatchAll_Ct&lt;22,$BC165=(Elig_MatchAll_Ct-1),AP165=0),L165,0)</f>
        <v>0</v>
      </c>
      <c r="BR165" s="173">
        <f>IF(AND(Input_Product=Elig!$C165,Elig_MatchAll_Ct&lt;22,$BC165=(Elig_MatchAll_Ct-1),AO165=0),M165,0)</f>
        <v>0</v>
      </c>
      <c r="BS165" s="173">
        <f>IF(AND(Input_Product=Elig!$C165,Elig_MatchAll_Ct&lt;22,$BC165=(Elig_MatchAll_Ct-1),AQ165=0),N165,0)</f>
        <v>0</v>
      </c>
      <c r="BT165" s="173">
        <f>IF(AND(Input_Product=Elig!$C165,Elig_MatchAll_Ct&lt;22,$BC165=(Elig_MatchAll_Ct-1),AR165=0),O165,0)</f>
        <v>0</v>
      </c>
      <c r="BU165" s="173">
        <f>IF(AND(Input_Product=Elig!$C165,Elig_MatchAll_Ct&lt;22,$BC165=(Elig_MatchAll_Ct-1),AS165=0),P165,0)</f>
        <v>0</v>
      </c>
      <c r="BV165" s="174">
        <f>IF(AND(Input_Product=Elig!$C165,Elig_MatchAll_Ct&lt;22,$BC165=(Elig_MatchAll_Ct-1),AT165=0),Q165,0)</f>
        <v>0</v>
      </c>
      <c r="BW165" s="175">
        <f>IF(AND(Input_Product=Elig!$C165,Elig_MatchAll_Ct&lt;22,$BC165=(Elig_MatchAll_Ct-1),AU165=0),R165,0)</f>
        <v>0</v>
      </c>
      <c r="BX165" s="176">
        <f>IF(AND(Input_Product=Elig!$C165,Elig_MatchAll_Ct&lt;22,$BC165=(Elig_MatchAll_Ct-1),AU165=0),S165,0)</f>
        <v>0</v>
      </c>
      <c r="BY165" s="175">
        <f>IF(AND(Input_Product=Elig!$C165,Elig_MatchAll_Ct&lt;22,$BC165=(Elig_MatchAll_Ct-1),AV165=0),T165,0)</f>
        <v>0</v>
      </c>
      <c r="BZ165" s="176">
        <f>IF(AND(Input_Product=Elig!$C165,Elig_MatchAll_Ct&lt;22,$BC165=(Elig_MatchAll_Ct-1),AV165=0),U165,0)</f>
        <v>0</v>
      </c>
      <c r="CA165" s="175">
        <f>IF(AND(Input_Product=Elig!$C165,Elig_MatchAll_Ct&lt;22,$BC165=(Elig_MatchAll_Ct-1),AW165=0),V165,0)</f>
        <v>0</v>
      </c>
      <c r="CB165" s="176">
        <f>IF(AND(Input_Product=Elig!$C165,Elig_MatchAll_Ct&lt;22,$BC165=(Elig_MatchAll_Ct-1),AW165=0),W165,0)</f>
        <v>0</v>
      </c>
      <c r="CC165" s="175">
        <f>IF(AND(Input_Product=Elig!$C165,Elig_MatchAll_Ct&lt;22,$BC165=(Elig_MatchAll_Ct-1),AX165=0),X165,0)</f>
        <v>0</v>
      </c>
      <c r="CD165" s="176">
        <f>IF(AND(Input_Product=Elig!$C165,Elig_MatchAll_Ct&lt;22,$BC165=(Elig_MatchAll_Ct-1),AX165=0),Y165,0)</f>
        <v>0</v>
      </c>
      <c r="CE165" s="175">
        <f>IF(AND(Input_LTV&lt;=AE165,Input_Product=Elig!$C165,Elig_MatchAll_Ct&lt;22,$BC165=(Elig_MatchAll_Ct-1),AY165=0),Z165,0)</f>
        <v>0</v>
      </c>
      <c r="CF165" s="176">
        <f>IF(AND(Input_LTV&lt;=AE165,Input_Product=Elig!$C165,Elig_MatchAll_Ct&lt;22,$BC165=(Elig_MatchAll_Ct-1),AY165=0),AA165,0)</f>
        <v>0</v>
      </c>
      <c r="CG165" s="175">
        <f>IF(AND(Input_Product=Elig!$C165,Elig_MatchAll_Ct&lt;22,$BC165=(Elig_MatchAll_Ct-1),AZ165=0),AB165,0)</f>
        <v>0</v>
      </c>
      <c r="CH165" s="176">
        <f>IF(AND(Input_Product=Elig!$C165,Elig_MatchAll_Ct&lt;22,$BC165=(Elig_MatchAll_Ct-1),AZ165=0),AC165,0)</f>
        <v>0</v>
      </c>
      <c r="CI165" s="175">
        <f>IF(AND(Input_Product=Elig!$C165,Elig_MatchAll_Ct&lt;22,$BC165=(Elig_MatchAll_Ct-1),BA165=0),AD165,0)</f>
        <v>0</v>
      </c>
      <c r="CJ165" s="176">
        <f>IF(AND(Input_Product=Elig!$C165,Elig_MatchAll_Ct&lt;22,$BC165=(Elig_MatchAll_Ct-1),BA165=0),AE165,0)</f>
        <v>0</v>
      </c>
    </row>
    <row r="166" spans="1:88" ht="10.15" customHeight="1" x14ac:dyDescent="0.25">
      <c r="A166" s="1419" t="s">
        <v>76</v>
      </c>
      <c r="B166" s="1419" t="s">
        <v>859</v>
      </c>
      <c r="C166" s="116" t="str">
        <f t="shared" si="53"/>
        <v>NonQM OO</v>
      </c>
      <c r="D166" s="117" t="s">
        <v>1995</v>
      </c>
      <c r="E166" s="117" t="s">
        <v>166</v>
      </c>
      <c r="F166" s="117" t="s">
        <v>330</v>
      </c>
      <c r="G166" s="117" t="s">
        <v>302</v>
      </c>
      <c r="H166" s="117" t="s">
        <v>135</v>
      </c>
      <c r="I166" s="118" t="s">
        <v>16</v>
      </c>
      <c r="J166" s="118" t="s">
        <v>1130</v>
      </c>
      <c r="K166" s="118" t="s">
        <v>1398</v>
      </c>
      <c r="L166" s="117" t="s">
        <v>2025</v>
      </c>
      <c r="M166" s="117" t="s">
        <v>2289</v>
      </c>
      <c r="N166" s="117" t="s">
        <v>82</v>
      </c>
      <c r="O166" s="117" t="s">
        <v>309</v>
      </c>
      <c r="P166" s="117" t="s">
        <v>2433</v>
      </c>
      <c r="Q166" s="117" t="s">
        <v>293</v>
      </c>
      <c r="R166" s="117">
        <v>2000000.01</v>
      </c>
      <c r="S166" s="117">
        <v>2500000</v>
      </c>
      <c r="T166" s="117">
        <v>0</v>
      </c>
      <c r="U166" s="117">
        <f t="shared" ref="U166" si="62">S166</f>
        <v>2500000</v>
      </c>
      <c r="V166" s="117">
        <v>0</v>
      </c>
      <c r="W166" s="117">
        <v>55</v>
      </c>
      <c r="X166" s="117">
        <v>0</v>
      </c>
      <c r="Y166" s="117">
        <v>999</v>
      </c>
      <c r="Z166" s="119">
        <v>680</v>
      </c>
      <c r="AA166" s="119">
        <v>699</v>
      </c>
      <c r="AB166" s="1877">
        <v>0</v>
      </c>
      <c r="AC166" s="119">
        <v>999999</v>
      </c>
      <c r="AD166" s="117">
        <v>0</v>
      </c>
      <c r="AE166" s="117">
        <v>65</v>
      </c>
      <c r="AF166" s="144">
        <v>0</v>
      </c>
      <c r="AG166" s="145">
        <v>1</v>
      </c>
      <c r="AH166" s="145">
        <v>1</v>
      </c>
      <c r="AI166" s="145">
        <v>0</v>
      </c>
      <c r="AJ166" s="145">
        <v>0</v>
      </c>
      <c r="AK166" s="145">
        <v>1</v>
      </c>
      <c r="AL166" s="145">
        <v>0</v>
      </c>
      <c r="AM166" s="145">
        <v>1</v>
      </c>
      <c r="AN166" s="145">
        <v>1</v>
      </c>
      <c r="AO166" s="145">
        <v>1</v>
      </c>
      <c r="AP166" s="145">
        <v>1</v>
      </c>
      <c r="AQ166" s="145">
        <v>0</v>
      </c>
      <c r="AR166" s="145">
        <v>1</v>
      </c>
      <c r="AS166" s="145">
        <v>1</v>
      </c>
      <c r="AT166" s="145">
        <v>1</v>
      </c>
      <c r="AU166" s="145">
        <f t="shared" si="55"/>
        <v>0</v>
      </c>
      <c r="AV166" s="145">
        <f t="shared" si="56"/>
        <v>1</v>
      </c>
      <c r="AW166" s="145">
        <f t="shared" si="57"/>
        <v>1</v>
      </c>
      <c r="AX166" s="145">
        <f t="shared" si="49"/>
        <v>1</v>
      </c>
      <c r="AY166" s="145">
        <f t="shared" si="58"/>
        <v>0</v>
      </c>
      <c r="AZ166" s="145">
        <f t="shared" si="59"/>
        <v>1</v>
      </c>
      <c r="BA166" s="146">
        <f t="shared" si="60"/>
        <v>0</v>
      </c>
      <c r="BB166" s="149">
        <f t="shared" ref="BB166:BB229" si="63">SUM(AF166:BA166)</f>
        <v>14</v>
      </c>
      <c r="BC166" s="150">
        <f t="shared" ref="BC166:BC229" si="64">SUM(AF166:AZ166)</f>
        <v>14</v>
      </c>
      <c r="BD166" s="150">
        <f t="shared" ref="BD166:BD229" si="65">SUM(AG166:BA166)</f>
        <v>14</v>
      </c>
      <c r="BE166" s="211" t="str">
        <f t="shared" ref="BE166:BE229" si="66">IF(BD166=21,C166,"")</f>
        <v/>
      </c>
      <c r="BH166" s="173">
        <f>IF(AND(Input_Product=Elig!$C166,Elig_MatchAll_Ct&lt;22,$BC166=(Elig_MatchAll_Ct-1),AF166=0),C166,0)</f>
        <v>0</v>
      </c>
      <c r="BI166" s="173">
        <f>IF(AND(Input_Product=Elig!$C166,Elig_MatchAll_Ct&lt;22,$BC166=(Elig_MatchAll_Ct-1),AG166=0),D166,0)</f>
        <v>0</v>
      </c>
      <c r="BJ166" s="173">
        <f>IF(AND(Input_Product=Elig!$C166,Elig_MatchAll_Ct&lt;22,$BC166=(Elig_MatchAll_Ct-1),AH166=0),E166,0)</f>
        <v>0</v>
      </c>
      <c r="BK166" s="173">
        <f>IF(AND(Input_Product=Elig!$C166,Elig_MatchAll_Ct&lt;22,$BC166=(Elig_MatchAll_Ct-1),AI166=0),F166,0)</f>
        <v>0</v>
      </c>
      <c r="BL166" s="173">
        <f>IF(AND(Input_Product=Elig!$C166,Elig_MatchAll_Ct&lt;22,$BC166=(Elig_MatchAll_Ct-1),AJ166=0),G166,0)</f>
        <v>0</v>
      </c>
      <c r="BM166" s="173">
        <f>IF(AND(Input_Product=Elig!$C166,Elig_MatchAll_Ct&lt;22,$BC166=(Elig_MatchAll_Ct-1),AK166=0),H166,0)</f>
        <v>0</v>
      </c>
      <c r="BN166" s="173">
        <f>IF(AND(Input_Product=Elig!$C166,Elig_MatchAll_Ct&lt;22,$BC166=(Elig_MatchAll_Ct-1),AL166=0),I166,0)</f>
        <v>0</v>
      </c>
      <c r="BO166" s="173">
        <f>IF(AND(Input_Product=Elig!$C166,Elig_MatchAll_Ct&lt;22,$BC166=(Elig_MatchAll_Ct-1),AM166=0),J166,0)</f>
        <v>0</v>
      </c>
      <c r="BP166" s="173">
        <f>IF(AND(Input_Product=Elig!$C166,Elig_MatchAll_Ct&lt;22,$BC166=(Elig_MatchAll_Ct-1),AN166=0),K166,0)</f>
        <v>0</v>
      </c>
      <c r="BQ166" s="173">
        <f>IF(AND(Input_Product=Elig!$C166,Elig_MatchAll_Ct&lt;22,$BC166=(Elig_MatchAll_Ct-1),AP166=0),L166,0)</f>
        <v>0</v>
      </c>
      <c r="BR166" s="173">
        <f>IF(AND(Input_Product=Elig!$C166,Elig_MatchAll_Ct&lt;22,$BC166=(Elig_MatchAll_Ct-1),AO166=0),M166,0)</f>
        <v>0</v>
      </c>
      <c r="BS166" s="173">
        <f>IF(AND(Input_Product=Elig!$C166,Elig_MatchAll_Ct&lt;22,$BC166=(Elig_MatchAll_Ct-1),AQ166=0),N166,0)</f>
        <v>0</v>
      </c>
      <c r="BT166" s="173">
        <f>IF(AND(Input_Product=Elig!$C166,Elig_MatchAll_Ct&lt;22,$BC166=(Elig_MatchAll_Ct-1),AR166=0),O166,0)</f>
        <v>0</v>
      </c>
      <c r="BU166" s="173">
        <f>IF(AND(Input_Product=Elig!$C166,Elig_MatchAll_Ct&lt;22,$BC166=(Elig_MatchAll_Ct-1),AS166=0),P166,0)</f>
        <v>0</v>
      </c>
      <c r="BV166" s="174">
        <f>IF(AND(Input_Product=Elig!$C166,Elig_MatchAll_Ct&lt;22,$BC166=(Elig_MatchAll_Ct-1),AT166=0),Q166,0)</f>
        <v>0</v>
      </c>
      <c r="BW166" s="175">
        <f>IF(AND(Input_Product=Elig!$C166,Elig_MatchAll_Ct&lt;22,$BC166=(Elig_MatchAll_Ct-1),AU166=0),R166,0)</f>
        <v>0</v>
      </c>
      <c r="BX166" s="176">
        <f>IF(AND(Input_Product=Elig!$C166,Elig_MatchAll_Ct&lt;22,$BC166=(Elig_MatchAll_Ct-1),AU166=0),S166,0)</f>
        <v>0</v>
      </c>
      <c r="BY166" s="175">
        <f>IF(AND(Input_Product=Elig!$C166,Elig_MatchAll_Ct&lt;22,$BC166=(Elig_MatchAll_Ct-1),AV166=0),T166,0)</f>
        <v>0</v>
      </c>
      <c r="BZ166" s="176">
        <f>IF(AND(Input_Product=Elig!$C166,Elig_MatchAll_Ct&lt;22,$BC166=(Elig_MatchAll_Ct-1),AV166=0),U166,0)</f>
        <v>0</v>
      </c>
      <c r="CA166" s="175">
        <f>IF(AND(Input_Product=Elig!$C166,Elig_MatchAll_Ct&lt;22,$BC166=(Elig_MatchAll_Ct-1),AW166=0),V166,0)</f>
        <v>0</v>
      </c>
      <c r="CB166" s="176">
        <f>IF(AND(Input_Product=Elig!$C166,Elig_MatchAll_Ct&lt;22,$BC166=(Elig_MatchAll_Ct-1),AW166=0),W166,0)</f>
        <v>0</v>
      </c>
      <c r="CC166" s="175">
        <f>IF(AND(Input_Product=Elig!$C166,Elig_MatchAll_Ct&lt;22,$BC166=(Elig_MatchAll_Ct-1),AX166=0),X166,0)</f>
        <v>0</v>
      </c>
      <c r="CD166" s="176">
        <f>IF(AND(Input_Product=Elig!$C166,Elig_MatchAll_Ct&lt;22,$BC166=(Elig_MatchAll_Ct-1),AX166=0),Y166,0)</f>
        <v>0</v>
      </c>
      <c r="CE166" s="175">
        <f>IF(AND(Input_LTV&lt;=AE166,Input_Product=Elig!$C166,Elig_MatchAll_Ct&lt;22,$BC166=(Elig_MatchAll_Ct-1),AY166=0),Z166,0)</f>
        <v>0</v>
      </c>
      <c r="CF166" s="176">
        <f>IF(AND(Input_LTV&lt;=AE166,Input_Product=Elig!$C166,Elig_MatchAll_Ct&lt;22,$BC166=(Elig_MatchAll_Ct-1),AY166=0),AA166,0)</f>
        <v>0</v>
      </c>
      <c r="CG166" s="175">
        <f>IF(AND(Input_Product=Elig!$C166,Elig_MatchAll_Ct&lt;22,$BC166=(Elig_MatchAll_Ct-1),AZ166=0),AB166,0)</f>
        <v>0</v>
      </c>
      <c r="CH166" s="176">
        <f>IF(AND(Input_Product=Elig!$C166,Elig_MatchAll_Ct&lt;22,$BC166=(Elig_MatchAll_Ct-1),AZ166=0),AC166,0)</f>
        <v>0</v>
      </c>
      <c r="CI166" s="175">
        <f>IF(AND(Input_Product=Elig!$C166,Elig_MatchAll_Ct&lt;22,$BC166=(Elig_MatchAll_Ct-1),BA166=0),AD166,0)</f>
        <v>0</v>
      </c>
      <c r="CJ166" s="176">
        <f>IF(AND(Input_Product=Elig!$C166,Elig_MatchAll_Ct&lt;22,$BC166=(Elig_MatchAll_Ct-1),BA166=0),AE166,0)</f>
        <v>0</v>
      </c>
    </row>
    <row r="167" spans="1:88" ht="10.15" customHeight="1" x14ac:dyDescent="0.25">
      <c r="A167" s="1419" t="s">
        <v>76</v>
      </c>
      <c r="B167" s="1419" t="s">
        <v>860</v>
      </c>
      <c r="C167" s="116" t="str">
        <f t="shared" si="53"/>
        <v>NonQM OO</v>
      </c>
      <c r="D167" s="117" t="s">
        <v>1995</v>
      </c>
      <c r="E167" s="117" t="s">
        <v>166</v>
      </c>
      <c r="F167" s="117" t="s">
        <v>330</v>
      </c>
      <c r="G167" s="117" t="s">
        <v>302</v>
      </c>
      <c r="H167" s="117" t="s">
        <v>135</v>
      </c>
      <c r="I167" s="118" t="s">
        <v>16</v>
      </c>
      <c r="J167" s="118" t="s">
        <v>1130</v>
      </c>
      <c r="K167" s="118" t="s">
        <v>1398</v>
      </c>
      <c r="L167" s="117" t="s">
        <v>2025</v>
      </c>
      <c r="M167" s="117" t="s">
        <v>2289</v>
      </c>
      <c r="N167" s="117" t="s">
        <v>82</v>
      </c>
      <c r="O167" s="117" t="s">
        <v>309</v>
      </c>
      <c r="P167" s="117" t="s">
        <v>2433</v>
      </c>
      <c r="Q167" s="117" t="s">
        <v>293</v>
      </c>
      <c r="R167" s="117">
        <v>2000000.01</v>
      </c>
      <c r="S167" s="117">
        <v>2500000</v>
      </c>
      <c r="T167" s="117">
        <v>0</v>
      </c>
      <c r="U167" s="117">
        <f t="shared" si="61"/>
        <v>2500000</v>
      </c>
      <c r="V167" s="117">
        <v>0</v>
      </c>
      <c r="W167" s="117">
        <v>55</v>
      </c>
      <c r="X167" s="117">
        <v>0</v>
      </c>
      <c r="Y167" s="117">
        <v>999</v>
      </c>
      <c r="Z167" s="119">
        <v>660</v>
      </c>
      <c r="AA167" s="119">
        <v>679</v>
      </c>
      <c r="AB167" s="1877">
        <v>0</v>
      </c>
      <c r="AC167" s="119">
        <v>999999</v>
      </c>
      <c r="AD167" s="117">
        <v>0</v>
      </c>
      <c r="AE167" s="117">
        <v>65</v>
      </c>
      <c r="AF167" s="144">
        <v>0</v>
      </c>
      <c r="AG167" s="145">
        <v>1</v>
      </c>
      <c r="AH167" s="145">
        <v>1</v>
      </c>
      <c r="AI167" s="145">
        <v>0</v>
      </c>
      <c r="AJ167" s="145">
        <v>0</v>
      </c>
      <c r="AK167" s="145">
        <v>1</v>
      </c>
      <c r="AL167" s="145">
        <v>0</v>
      </c>
      <c r="AM167" s="145">
        <v>1</v>
      </c>
      <c r="AN167" s="145">
        <v>1</v>
      </c>
      <c r="AO167" s="145">
        <v>1</v>
      </c>
      <c r="AP167" s="145">
        <v>1</v>
      </c>
      <c r="AQ167" s="145">
        <v>0</v>
      </c>
      <c r="AR167" s="145">
        <v>1</v>
      </c>
      <c r="AS167" s="145">
        <v>1</v>
      </c>
      <c r="AT167" s="145">
        <v>1</v>
      </c>
      <c r="AU167" s="145">
        <f t="shared" si="55"/>
        <v>0</v>
      </c>
      <c r="AV167" s="145">
        <f t="shared" si="56"/>
        <v>1</v>
      </c>
      <c r="AW167" s="145">
        <f t="shared" si="57"/>
        <v>1</v>
      </c>
      <c r="AX167" s="145">
        <f t="shared" si="49"/>
        <v>1</v>
      </c>
      <c r="AY167" s="145">
        <f t="shared" si="58"/>
        <v>0</v>
      </c>
      <c r="AZ167" s="145">
        <f t="shared" si="59"/>
        <v>1</v>
      </c>
      <c r="BA167" s="146">
        <f t="shared" si="60"/>
        <v>0</v>
      </c>
      <c r="BB167" s="149">
        <f t="shared" si="63"/>
        <v>14</v>
      </c>
      <c r="BC167" s="150">
        <f t="shared" si="64"/>
        <v>14</v>
      </c>
      <c r="BD167" s="150">
        <f t="shared" si="65"/>
        <v>14</v>
      </c>
      <c r="BE167" s="211" t="str">
        <f t="shared" si="66"/>
        <v/>
      </c>
      <c r="BH167" s="188">
        <f>IF(AND(Input_Product=Elig!$C167,Elig_MatchAll_Ct&lt;22,$BC167=(Elig_MatchAll_Ct-1),AF167=0),C167,0)</f>
        <v>0</v>
      </c>
      <c r="BI167" s="188">
        <f>IF(AND(Input_Product=Elig!$C167,Elig_MatchAll_Ct&lt;22,$BC167=(Elig_MatchAll_Ct-1),AG167=0),D167,0)</f>
        <v>0</v>
      </c>
      <c r="BJ167" s="188">
        <f>IF(AND(Input_Product=Elig!$C167,Elig_MatchAll_Ct&lt;22,$BC167=(Elig_MatchAll_Ct-1),AH167=0),E167,0)</f>
        <v>0</v>
      </c>
      <c r="BK167" s="188">
        <f>IF(AND(Input_Product=Elig!$C167,Elig_MatchAll_Ct&lt;22,$BC167=(Elig_MatchAll_Ct-1),AI167=0),F167,0)</f>
        <v>0</v>
      </c>
      <c r="BL167" s="188">
        <f>IF(AND(Input_Product=Elig!$C167,Elig_MatchAll_Ct&lt;22,$BC167=(Elig_MatchAll_Ct-1),AJ167=0),G167,0)</f>
        <v>0</v>
      </c>
      <c r="BM167" s="188">
        <f>IF(AND(Input_Product=Elig!$C167,Elig_MatchAll_Ct&lt;22,$BC167=(Elig_MatchAll_Ct-1),AK167=0),H167,0)</f>
        <v>0</v>
      </c>
      <c r="BN167" s="188">
        <f>IF(AND(Input_Product=Elig!$C167,Elig_MatchAll_Ct&lt;22,$BC167=(Elig_MatchAll_Ct-1),AL167=0),I167,0)</f>
        <v>0</v>
      </c>
      <c r="BO167" s="188">
        <f>IF(AND(Input_Product=Elig!$C167,Elig_MatchAll_Ct&lt;22,$BC167=(Elig_MatchAll_Ct-1),AM167=0),J167,0)</f>
        <v>0</v>
      </c>
      <c r="BP167" s="188">
        <f>IF(AND(Input_Product=Elig!$C167,Elig_MatchAll_Ct&lt;22,$BC167=(Elig_MatchAll_Ct-1),AN167=0),K167,0)</f>
        <v>0</v>
      </c>
      <c r="BQ167" s="188">
        <f>IF(AND(Input_Product=Elig!$C167,Elig_MatchAll_Ct&lt;22,$BC167=(Elig_MatchAll_Ct-1),AP167=0),L167,0)</f>
        <v>0</v>
      </c>
      <c r="BR167" s="188">
        <f>IF(AND(Input_Product=Elig!$C167,Elig_MatchAll_Ct&lt;22,$BC167=(Elig_MatchAll_Ct-1),AO167=0),M167,0)</f>
        <v>0</v>
      </c>
      <c r="BS167" s="188">
        <f>IF(AND(Input_Product=Elig!$C167,Elig_MatchAll_Ct&lt;22,$BC167=(Elig_MatchAll_Ct-1),AQ167=0),N167,0)</f>
        <v>0</v>
      </c>
      <c r="BT167" s="188">
        <f>IF(AND(Input_Product=Elig!$C167,Elig_MatchAll_Ct&lt;22,$BC167=(Elig_MatchAll_Ct-1),AR167=0),O167,0)</f>
        <v>0</v>
      </c>
      <c r="BU167" s="188">
        <f>IF(AND(Input_Product=Elig!$C167,Elig_MatchAll_Ct&lt;22,$BC167=(Elig_MatchAll_Ct-1),AS167=0),P167,0)</f>
        <v>0</v>
      </c>
      <c r="BV167" s="189">
        <f>IF(AND(Input_Product=Elig!$C167,Elig_MatchAll_Ct&lt;22,$BC167=(Elig_MatchAll_Ct-1),AT167=0),Q167,0)</f>
        <v>0</v>
      </c>
      <c r="BW167" s="271">
        <f>IF(AND(Input_Product=Elig!$C167,Elig_MatchAll_Ct&lt;22,$BC167=(Elig_MatchAll_Ct-1),AU167=0),R167,0)</f>
        <v>0</v>
      </c>
      <c r="BX167" s="272">
        <f>IF(AND(Input_Product=Elig!$C167,Elig_MatchAll_Ct&lt;22,$BC167=(Elig_MatchAll_Ct-1),AU167=0),S167,0)</f>
        <v>0</v>
      </c>
      <c r="BY167" s="271">
        <f>IF(AND(Input_Product=Elig!$C167,Elig_MatchAll_Ct&lt;22,$BC167=(Elig_MatchAll_Ct-1),AV167=0),T167,0)</f>
        <v>0</v>
      </c>
      <c r="BZ167" s="272">
        <f>IF(AND(Input_Product=Elig!$C167,Elig_MatchAll_Ct&lt;22,$BC167=(Elig_MatchAll_Ct-1),AV167=0),U167,0)</f>
        <v>0</v>
      </c>
      <c r="CA167" s="271">
        <f>IF(AND(Input_Product=Elig!$C167,Elig_MatchAll_Ct&lt;22,$BC167=(Elig_MatchAll_Ct-1),AW167=0),V167,0)</f>
        <v>0</v>
      </c>
      <c r="CB167" s="272">
        <f>IF(AND(Input_Product=Elig!$C167,Elig_MatchAll_Ct&lt;22,$BC167=(Elig_MatchAll_Ct-1),AW167=0),W167,0)</f>
        <v>0</v>
      </c>
      <c r="CC167" s="271">
        <f>IF(AND(Input_Product=Elig!$C167,Elig_MatchAll_Ct&lt;22,$BC167=(Elig_MatchAll_Ct-1),AX167=0),X167,0)</f>
        <v>0</v>
      </c>
      <c r="CD167" s="272">
        <f>IF(AND(Input_Product=Elig!$C167,Elig_MatchAll_Ct&lt;22,$BC167=(Elig_MatchAll_Ct-1),AX167=0),Y167,0)</f>
        <v>0</v>
      </c>
      <c r="CE167" s="271">
        <f>IF(AND(Input_LTV&lt;=AE167,Input_Product=Elig!$C167,Elig_MatchAll_Ct&lt;22,$BC167=(Elig_MatchAll_Ct-1),AY167=0),Z167,0)</f>
        <v>0</v>
      </c>
      <c r="CF167" s="272">
        <f>IF(AND(Input_LTV&lt;=AE167,Input_Product=Elig!$C167,Elig_MatchAll_Ct&lt;22,$BC167=(Elig_MatchAll_Ct-1),AY167=0),AA167,0)</f>
        <v>0</v>
      </c>
      <c r="CG167" s="271">
        <f>IF(AND(Input_Product=Elig!$C167,Elig_MatchAll_Ct&lt;22,$BC167=(Elig_MatchAll_Ct-1),AZ167=0),AB167,0)</f>
        <v>0</v>
      </c>
      <c r="CH167" s="272">
        <f>IF(AND(Input_Product=Elig!$C167,Elig_MatchAll_Ct&lt;22,$BC167=(Elig_MatchAll_Ct-1),AZ167=0),AC167,0)</f>
        <v>0</v>
      </c>
      <c r="CI167" s="271">
        <f>IF(AND(Input_Product=Elig!$C167,Elig_MatchAll_Ct&lt;22,$BC167=(Elig_MatchAll_Ct-1),BA167=0),AD167,0)</f>
        <v>0</v>
      </c>
      <c r="CJ167" s="272">
        <f>IF(AND(Input_Product=Elig!$C167,Elig_MatchAll_Ct&lt;22,$BC167=(Elig_MatchAll_Ct-1),BA167=0),AE167,0)</f>
        <v>0</v>
      </c>
    </row>
    <row r="168" spans="1:88" ht="10.15" customHeight="1" x14ac:dyDescent="0.25">
      <c r="A168" s="1419" t="s">
        <v>76</v>
      </c>
      <c r="B168" s="1419" t="s">
        <v>861</v>
      </c>
      <c r="C168" s="123" t="str">
        <f t="shared" si="53"/>
        <v>NonQM OO</v>
      </c>
      <c r="D168" s="124" t="s">
        <v>1995</v>
      </c>
      <c r="E168" s="125" t="s">
        <v>166</v>
      </c>
      <c r="F168" s="125" t="s">
        <v>330</v>
      </c>
      <c r="G168" s="125" t="s">
        <v>303</v>
      </c>
      <c r="H168" s="125" t="s">
        <v>444</v>
      </c>
      <c r="I168" s="124" t="s">
        <v>273</v>
      </c>
      <c r="J168" s="124" t="s">
        <v>1130</v>
      </c>
      <c r="K168" s="124" t="s">
        <v>1398</v>
      </c>
      <c r="L168" s="125" t="s">
        <v>2025</v>
      </c>
      <c r="M168" s="125" t="s">
        <v>2289</v>
      </c>
      <c r="N168" s="125" t="s">
        <v>82</v>
      </c>
      <c r="O168" s="125" t="s">
        <v>309</v>
      </c>
      <c r="P168" s="125" t="s">
        <v>2433</v>
      </c>
      <c r="Q168" s="125" t="s">
        <v>293</v>
      </c>
      <c r="R168" s="124">
        <v>2000000.01</v>
      </c>
      <c r="S168" s="124">
        <v>2500000</v>
      </c>
      <c r="T168" s="124">
        <v>0</v>
      </c>
      <c r="U168" s="124">
        <v>0</v>
      </c>
      <c r="V168" s="124">
        <v>0</v>
      </c>
      <c r="W168" s="124">
        <v>55</v>
      </c>
      <c r="X168" s="124">
        <v>0</v>
      </c>
      <c r="Y168" s="124">
        <v>999</v>
      </c>
      <c r="Z168" s="126">
        <v>720</v>
      </c>
      <c r="AA168" s="126">
        <v>999</v>
      </c>
      <c r="AB168" s="1879">
        <v>0</v>
      </c>
      <c r="AC168" s="126">
        <v>999999</v>
      </c>
      <c r="AD168" s="124">
        <v>0</v>
      </c>
      <c r="AE168" s="124">
        <v>80</v>
      </c>
      <c r="AF168" s="144">
        <v>0</v>
      </c>
      <c r="AG168" s="145">
        <v>1</v>
      </c>
      <c r="AH168" s="145">
        <v>1</v>
      </c>
      <c r="AI168" s="145">
        <v>0</v>
      </c>
      <c r="AJ168" s="145">
        <v>0</v>
      </c>
      <c r="AK168" s="145">
        <v>0</v>
      </c>
      <c r="AL168" s="145">
        <v>1</v>
      </c>
      <c r="AM168" s="145">
        <v>1</v>
      </c>
      <c r="AN168" s="145">
        <v>1</v>
      </c>
      <c r="AO168" s="145">
        <v>1</v>
      </c>
      <c r="AP168" s="145">
        <v>1</v>
      </c>
      <c r="AQ168" s="145">
        <v>0</v>
      </c>
      <c r="AR168" s="145">
        <v>1</v>
      </c>
      <c r="AS168" s="145">
        <v>1</v>
      </c>
      <c r="AT168" s="145">
        <v>1</v>
      </c>
      <c r="AU168" s="145">
        <f t="shared" si="55"/>
        <v>0</v>
      </c>
      <c r="AV168" s="145">
        <f t="shared" si="56"/>
        <v>1</v>
      </c>
      <c r="AW168" s="145">
        <f t="shared" si="57"/>
        <v>1</v>
      </c>
      <c r="AX168" s="145">
        <f t="shared" si="49"/>
        <v>1</v>
      </c>
      <c r="AY168" s="145">
        <f t="shared" si="58"/>
        <v>1</v>
      </c>
      <c r="AZ168" s="145">
        <f t="shared" si="59"/>
        <v>1</v>
      </c>
      <c r="BA168" s="146">
        <f t="shared" si="60"/>
        <v>1</v>
      </c>
      <c r="BB168" s="149">
        <f t="shared" si="63"/>
        <v>16</v>
      </c>
      <c r="BC168" s="150">
        <f t="shared" si="64"/>
        <v>15</v>
      </c>
      <c r="BD168" s="150">
        <f t="shared" si="65"/>
        <v>16</v>
      </c>
      <c r="BE168" s="211" t="str">
        <f t="shared" si="66"/>
        <v/>
      </c>
      <c r="BH168" s="184">
        <f>IF(AND(Input_Product=Elig!$C168,Elig_MatchAll_Ct&lt;22,$BC168=(Elig_MatchAll_Ct-1),AF168=0),C168,0)</f>
        <v>0</v>
      </c>
      <c r="BI168" s="184">
        <f>IF(AND(Input_Product=Elig!$C168,Elig_MatchAll_Ct&lt;22,$BC168=(Elig_MatchAll_Ct-1),AG168=0),D168,0)</f>
        <v>0</v>
      </c>
      <c r="BJ168" s="184">
        <f>IF(AND(Input_Product=Elig!$C168,Elig_MatchAll_Ct&lt;22,$BC168=(Elig_MatchAll_Ct-1),AH168=0),E168,0)</f>
        <v>0</v>
      </c>
      <c r="BK168" s="184">
        <f>IF(AND(Input_Product=Elig!$C168,Elig_MatchAll_Ct&lt;22,$BC168=(Elig_MatchAll_Ct-1),AI168=0),F168,0)</f>
        <v>0</v>
      </c>
      <c r="BL168" s="184">
        <f>IF(AND(Input_Product=Elig!$C168,Elig_MatchAll_Ct&lt;22,$BC168=(Elig_MatchAll_Ct-1),AJ168=0),G168,0)</f>
        <v>0</v>
      </c>
      <c r="BM168" s="184">
        <f>IF(AND(Input_Product=Elig!$C168,Elig_MatchAll_Ct&lt;22,$BC168=(Elig_MatchAll_Ct-1),AK168=0),H168,0)</f>
        <v>0</v>
      </c>
      <c r="BN168" s="184">
        <f>IF(AND(Input_Product=Elig!$C168,Elig_MatchAll_Ct&lt;22,$BC168=(Elig_MatchAll_Ct-1),AL168=0),I168,0)</f>
        <v>0</v>
      </c>
      <c r="BO168" s="184">
        <f>IF(AND(Input_Product=Elig!$C168,Elig_MatchAll_Ct&lt;22,$BC168=(Elig_MatchAll_Ct-1),AM168=0),J168,0)</f>
        <v>0</v>
      </c>
      <c r="BP168" s="184">
        <f>IF(AND(Input_Product=Elig!$C168,Elig_MatchAll_Ct&lt;22,$BC168=(Elig_MatchAll_Ct-1),AN168=0),K168,0)</f>
        <v>0</v>
      </c>
      <c r="BQ168" s="184">
        <f>IF(AND(Input_Product=Elig!$C168,Elig_MatchAll_Ct&lt;22,$BC168=(Elig_MatchAll_Ct-1),AP168=0),L168,0)</f>
        <v>0</v>
      </c>
      <c r="BR168" s="184">
        <f>IF(AND(Input_Product=Elig!$C168,Elig_MatchAll_Ct&lt;22,$BC168=(Elig_MatchAll_Ct-1),AO168=0),M168,0)</f>
        <v>0</v>
      </c>
      <c r="BS168" s="184">
        <f>IF(AND(Input_Product=Elig!$C168,Elig_MatchAll_Ct&lt;22,$BC168=(Elig_MatchAll_Ct-1),AQ168=0),N168,0)</f>
        <v>0</v>
      </c>
      <c r="BT168" s="184">
        <f>IF(AND(Input_Product=Elig!$C168,Elig_MatchAll_Ct&lt;22,$BC168=(Elig_MatchAll_Ct-1),AR168=0),O168,0)</f>
        <v>0</v>
      </c>
      <c r="BU168" s="184">
        <f>IF(AND(Input_Product=Elig!$C168,Elig_MatchAll_Ct&lt;22,$BC168=(Elig_MatchAll_Ct-1),AS168=0),P168,0)</f>
        <v>0</v>
      </c>
      <c r="BV168" s="185">
        <f>IF(AND(Input_Product=Elig!$C168,Elig_MatchAll_Ct&lt;22,$BC168=(Elig_MatchAll_Ct-1),AT168=0),Q168,0)</f>
        <v>0</v>
      </c>
      <c r="BW168" s="186">
        <f>IF(AND(Input_Product=Elig!$C168,Elig_MatchAll_Ct&lt;22,$BC168=(Elig_MatchAll_Ct-1),AU168=0),R168,0)</f>
        <v>0</v>
      </c>
      <c r="BX168" s="187">
        <f>IF(AND(Input_Product=Elig!$C168,Elig_MatchAll_Ct&lt;22,$BC168=(Elig_MatchAll_Ct-1),AU168=0),S168,0)</f>
        <v>0</v>
      </c>
      <c r="BY168" s="186">
        <f>IF(AND(Input_Product=Elig!$C168,Elig_MatchAll_Ct&lt;22,$BC168=(Elig_MatchAll_Ct-1),AV168=0),T168,0)</f>
        <v>0</v>
      </c>
      <c r="BZ168" s="187">
        <f>IF(AND(Input_Product=Elig!$C168,Elig_MatchAll_Ct&lt;22,$BC168=(Elig_MatchAll_Ct-1),AV168=0),U168,0)</f>
        <v>0</v>
      </c>
      <c r="CA168" s="186">
        <f>IF(AND(Input_Product=Elig!$C168,Elig_MatchAll_Ct&lt;22,$BC168=(Elig_MatchAll_Ct-1),AW168=0),V168,0)</f>
        <v>0</v>
      </c>
      <c r="CB168" s="187">
        <f>IF(AND(Input_Product=Elig!$C168,Elig_MatchAll_Ct&lt;22,$BC168=(Elig_MatchAll_Ct-1),AW168=0),W168,0)</f>
        <v>0</v>
      </c>
      <c r="CC168" s="186">
        <f>IF(AND(Input_Product=Elig!$C168,Elig_MatchAll_Ct&lt;22,$BC168=(Elig_MatchAll_Ct-1),AX168=0),X168,0)</f>
        <v>0</v>
      </c>
      <c r="CD168" s="187">
        <f>IF(AND(Input_Product=Elig!$C168,Elig_MatchAll_Ct&lt;22,$BC168=(Elig_MatchAll_Ct-1),AX168=0),Y168,0)</f>
        <v>0</v>
      </c>
      <c r="CE168" s="186">
        <f>IF(AND(Input_LTV&lt;=AE168,Input_Product=Elig!$C168,Elig_MatchAll_Ct&lt;22,$BC168=(Elig_MatchAll_Ct-1),AY168=0),Z168,0)</f>
        <v>0</v>
      </c>
      <c r="CF168" s="187">
        <f>IF(AND(Input_LTV&lt;=AE168,Input_Product=Elig!$C168,Elig_MatchAll_Ct&lt;22,$BC168=(Elig_MatchAll_Ct-1),AY168=0),AA168,0)</f>
        <v>0</v>
      </c>
      <c r="CG168" s="186">
        <f>IF(AND(Input_Product=Elig!$C168,Elig_MatchAll_Ct&lt;22,$BC168=(Elig_MatchAll_Ct-1),AZ168=0),AB168,0)</f>
        <v>0</v>
      </c>
      <c r="CH168" s="187">
        <f>IF(AND(Input_Product=Elig!$C168,Elig_MatchAll_Ct&lt;22,$BC168=(Elig_MatchAll_Ct-1),AZ168=0),AC168,0)</f>
        <v>0</v>
      </c>
      <c r="CI168" s="186">
        <f>IF(AND(Input_Product=Elig!$C168,Elig_MatchAll_Ct&lt;22,$BC168=(Elig_MatchAll_Ct-1),BA168=0),AD168,0)</f>
        <v>0</v>
      </c>
      <c r="CJ168" s="187">
        <f>IF(AND(Input_Product=Elig!$C168,Elig_MatchAll_Ct&lt;22,$BC168=(Elig_MatchAll_Ct-1),BA168=0),AE168,0)</f>
        <v>0</v>
      </c>
    </row>
    <row r="169" spans="1:88" ht="10.15" customHeight="1" x14ac:dyDescent="0.25">
      <c r="A169" s="1419" t="s">
        <v>76</v>
      </c>
      <c r="B169" s="1419" t="s">
        <v>862</v>
      </c>
      <c r="C169" s="116" t="str">
        <f t="shared" si="53"/>
        <v>NonQM OO</v>
      </c>
      <c r="D169" s="117" t="s">
        <v>1995</v>
      </c>
      <c r="E169" s="117" t="s">
        <v>166</v>
      </c>
      <c r="F169" s="117" t="s">
        <v>330</v>
      </c>
      <c r="G169" s="117" t="s">
        <v>303</v>
      </c>
      <c r="H169" s="117" t="s">
        <v>444</v>
      </c>
      <c r="I169" s="118" t="s">
        <v>273</v>
      </c>
      <c r="J169" s="118" t="s">
        <v>1130</v>
      </c>
      <c r="K169" s="118" t="s">
        <v>1398</v>
      </c>
      <c r="L169" s="117" t="s">
        <v>2025</v>
      </c>
      <c r="M169" s="117" t="s">
        <v>2289</v>
      </c>
      <c r="N169" s="117" t="s">
        <v>82</v>
      </c>
      <c r="O169" s="117" t="s">
        <v>309</v>
      </c>
      <c r="P169" s="117" t="s">
        <v>2433</v>
      </c>
      <c r="Q169" s="117" t="s">
        <v>293</v>
      </c>
      <c r="R169" s="117">
        <v>2000000.01</v>
      </c>
      <c r="S169" s="117">
        <v>2500000</v>
      </c>
      <c r="T169" s="117">
        <v>0</v>
      </c>
      <c r="U169" s="117">
        <v>0</v>
      </c>
      <c r="V169" s="117">
        <v>0</v>
      </c>
      <c r="W169" s="117">
        <v>55</v>
      </c>
      <c r="X169" s="117">
        <v>0</v>
      </c>
      <c r="Y169" s="117">
        <v>999</v>
      </c>
      <c r="Z169" s="119">
        <v>700</v>
      </c>
      <c r="AA169" s="119">
        <v>719</v>
      </c>
      <c r="AB169" s="1877">
        <v>0</v>
      </c>
      <c r="AC169" s="119">
        <v>999999</v>
      </c>
      <c r="AD169" s="117">
        <v>0</v>
      </c>
      <c r="AE169" s="117">
        <v>75</v>
      </c>
      <c r="AF169" s="144">
        <v>0</v>
      </c>
      <c r="AG169" s="145">
        <v>1</v>
      </c>
      <c r="AH169" s="145">
        <v>1</v>
      </c>
      <c r="AI169" s="145">
        <v>0</v>
      </c>
      <c r="AJ169" s="145">
        <v>0</v>
      </c>
      <c r="AK169" s="145">
        <v>0</v>
      </c>
      <c r="AL169" s="145">
        <v>1</v>
      </c>
      <c r="AM169" s="145">
        <v>1</v>
      </c>
      <c r="AN169" s="145">
        <v>1</v>
      </c>
      <c r="AO169" s="145">
        <v>1</v>
      </c>
      <c r="AP169" s="145">
        <v>1</v>
      </c>
      <c r="AQ169" s="145">
        <v>0</v>
      </c>
      <c r="AR169" s="145">
        <v>1</v>
      </c>
      <c r="AS169" s="145">
        <v>1</v>
      </c>
      <c r="AT169" s="145">
        <v>1</v>
      </c>
      <c r="AU169" s="145">
        <f t="shared" si="55"/>
        <v>0</v>
      </c>
      <c r="AV169" s="145">
        <f t="shared" si="56"/>
        <v>1</v>
      </c>
      <c r="AW169" s="145">
        <f t="shared" si="57"/>
        <v>1</v>
      </c>
      <c r="AX169" s="145">
        <f t="shared" si="49"/>
        <v>1</v>
      </c>
      <c r="AY169" s="145">
        <f t="shared" si="58"/>
        <v>0</v>
      </c>
      <c r="AZ169" s="145">
        <f t="shared" si="59"/>
        <v>1</v>
      </c>
      <c r="BA169" s="146">
        <f t="shared" si="60"/>
        <v>1</v>
      </c>
      <c r="BB169" s="149">
        <f t="shared" si="63"/>
        <v>15</v>
      </c>
      <c r="BC169" s="150">
        <f t="shared" si="64"/>
        <v>14</v>
      </c>
      <c r="BD169" s="150">
        <f t="shared" si="65"/>
        <v>15</v>
      </c>
      <c r="BE169" s="211" t="str">
        <f t="shared" si="66"/>
        <v/>
      </c>
      <c r="BH169" s="173">
        <f>IF(AND(Input_Product=Elig!$C169,Elig_MatchAll_Ct&lt;22,$BC169=(Elig_MatchAll_Ct-1),AF169=0),C169,0)</f>
        <v>0</v>
      </c>
      <c r="BI169" s="173">
        <f>IF(AND(Input_Product=Elig!$C169,Elig_MatchAll_Ct&lt;22,$BC169=(Elig_MatchAll_Ct-1),AG169=0),D169,0)</f>
        <v>0</v>
      </c>
      <c r="BJ169" s="173">
        <f>IF(AND(Input_Product=Elig!$C169,Elig_MatchAll_Ct&lt;22,$BC169=(Elig_MatchAll_Ct-1),AH169=0),E169,0)</f>
        <v>0</v>
      </c>
      <c r="BK169" s="173">
        <f>IF(AND(Input_Product=Elig!$C169,Elig_MatchAll_Ct&lt;22,$BC169=(Elig_MatchAll_Ct-1),AI169=0),F169,0)</f>
        <v>0</v>
      </c>
      <c r="BL169" s="173">
        <f>IF(AND(Input_Product=Elig!$C169,Elig_MatchAll_Ct&lt;22,$BC169=(Elig_MatchAll_Ct-1),AJ169=0),G169,0)</f>
        <v>0</v>
      </c>
      <c r="BM169" s="173">
        <f>IF(AND(Input_Product=Elig!$C169,Elig_MatchAll_Ct&lt;22,$BC169=(Elig_MatchAll_Ct-1),AK169=0),H169,0)</f>
        <v>0</v>
      </c>
      <c r="BN169" s="173">
        <f>IF(AND(Input_Product=Elig!$C169,Elig_MatchAll_Ct&lt;22,$BC169=(Elig_MatchAll_Ct-1),AL169=0),I169,0)</f>
        <v>0</v>
      </c>
      <c r="BO169" s="173">
        <f>IF(AND(Input_Product=Elig!$C169,Elig_MatchAll_Ct&lt;22,$BC169=(Elig_MatchAll_Ct-1),AM169=0),J169,0)</f>
        <v>0</v>
      </c>
      <c r="BP169" s="173">
        <f>IF(AND(Input_Product=Elig!$C169,Elig_MatchAll_Ct&lt;22,$BC169=(Elig_MatchAll_Ct-1),AN169=0),K169,0)</f>
        <v>0</v>
      </c>
      <c r="BQ169" s="173">
        <f>IF(AND(Input_Product=Elig!$C169,Elig_MatchAll_Ct&lt;22,$BC169=(Elig_MatchAll_Ct-1),AP169=0),L169,0)</f>
        <v>0</v>
      </c>
      <c r="BR169" s="173">
        <f>IF(AND(Input_Product=Elig!$C169,Elig_MatchAll_Ct&lt;22,$BC169=(Elig_MatchAll_Ct-1),AO169=0),M169,0)</f>
        <v>0</v>
      </c>
      <c r="BS169" s="173">
        <f>IF(AND(Input_Product=Elig!$C169,Elig_MatchAll_Ct&lt;22,$BC169=(Elig_MatchAll_Ct-1),AQ169=0),N169,0)</f>
        <v>0</v>
      </c>
      <c r="BT169" s="173">
        <f>IF(AND(Input_Product=Elig!$C169,Elig_MatchAll_Ct&lt;22,$BC169=(Elig_MatchAll_Ct-1),AR169=0),O169,0)</f>
        <v>0</v>
      </c>
      <c r="BU169" s="173">
        <f>IF(AND(Input_Product=Elig!$C169,Elig_MatchAll_Ct&lt;22,$BC169=(Elig_MatchAll_Ct-1),AS169=0),P169,0)</f>
        <v>0</v>
      </c>
      <c r="BV169" s="174">
        <f>IF(AND(Input_Product=Elig!$C169,Elig_MatchAll_Ct&lt;22,$BC169=(Elig_MatchAll_Ct-1),AT169=0),Q169,0)</f>
        <v>0</v>
      </c>
      <c r="BW169" s="175">
        <f>IF(AND(Input_Product=Elig!$C169,Elig_MatchAll_Ct&lt;22,$BC169=(Elig_MatchAll_Ct-1),AU169=0),R169,0)</f>
        <v>0</v>
      </c>
      <c r="BX169" s="176">
        <f>IF(AND(Input_Product=Elig!$C169,Elig_MatchAll_Ct&lt;22,$BC169=(Elig_MatchAll_Ct-1),AU169=0),S169,0)</f>
        <v>0</v>
      </c>
      <c r="BY169" s="175">
        <f>IF(AND(Input_Product=Elig!$C169,Elig_MatchAll_Ct&lt;22,$BC169=(Elig_MatchAll_Ct-1),AV169=0),T169,0)</f>
        <v>0</v>
      </c>
      <c r="BZ169" s="176">
        <f>IF(AND(Input_Product=Elig!$C169,Elig_MatchAll_Ct&lt;22,$BC169=(Elig_MatchAll_Ct-1),AV169=0),U169,0)</f>
        <v>0</v>
      </c>
      <c r="CA169" s="175">
        <f>IF(AND(Input_Product=Elig!$C169,Elig_MatchAll_Ct&lt;22,$BC169=(Elig_MatchAll_Ct-1),AW169=0),V169,0)</f>
        <v>0</v>
      </c>
      <c r="CB169" s="176">
        <f>IF(AND(Input_Product=Elig!$C169,Elig_MatchAll_Ct&lt;22,$BC169=(Elig_MatchAll_Ct-1),AW169=0),W169,0)</f>
        <v>0</v>
      </c>
      <c r="CC169" s="175">
        <f>IF(AND(Input_Product=Elig!$C169,Elig_MatchAll_Ct&lt;22,$BC169=(Elig_MatchAll_Ct-1),AX169=0),X169,0)</f>
        <v>0</v>
      </c>
      <c r="CD169" s="176">
        <f>IF(AND(Input_Product=Elig!$C169,Elig_MatchAll_Ct&lt;22,$BC169=(Elig_MatchAll_Ct-1),AX169=0),Y169,0)</f>
        <v>0</v>
      </c>
      <c r="CE169" s="175">
        <f>IF(AND(Input_LTV&lt;=AE169,Input_Product=Elig!$C169,Elig_MatchAll_Ct&lt;22,$BC169=(Elig_MatchAll_Ct-1),AY169=0),Z169,0)</f>
        <v>0</v>
      </c>
      <c r="CF169" s="176">
        <f>IF(AND(Input_LTV&lt;=AE169,Input_Product=Elig!$C169,Elig_MatchAll_Ct&lt;22,$BC169=(Elig_MatchAll_Ct-1),AY169=0),AA169,0)</f>
        <v>0</v>
      </c>
      <c r="CG169" s="175">
        <f>IF(AND(Input_Product=Elig!$C169,Elig_MatchAll_Ct&lt;22,$BC169=(Elig_MatchAll_Ct-1),AZ169=0),AB169,0)</f>
        <v>0</v>
      </c>
      <c r="CH169" s="176">
        <f>IF(AND(Input_Product=Elig!$C169,Elig_MatchAll_Ct&lt;22,$BC169=(Elig_MatchAll_Ct-1),AZ169=0),AC169,0)</f>
        <v>0</v>
      </c>
      <c r="CI169" s="175">
        <f>IF(AND(Input_Product=Elig!$C169,Elig_MatchAll_Ct&lt;22,$BC169=(Elig_MatchAll_Ct-1),BA169=0),AD169,0)</f>
        <v>0</v>
      </c>
      <c r="CJ169" s="176">
        <f>IF(AND(Input_Product=Elig!$C169,Elig_MatchAll_Ct&lt;22,$BC169=(Elig_MatchAll_Ct-1),BA169=0),AE169,0)</f>
        <v>0</v>
      </c>
    </row>
    <row r="170" spans="1:88" ht="10.15" customHeight="1" x14ac:dyDescent="0.25">
      <c r="A170" s="1419" t="s">
        <v>76</v>
      </c>
      <c r="B170" s="1419" t="s">
        <v>863</v>
      </c>
      <c r="C170" s="116" t="str">
        <f t="shared" si="53"/>
        <v>NonQM OO</v>
      </c>
      <c r="D170" s="117" t="s">
        <v>1995</v>
      </c>
      <c r="E170" s="117" t="s">
        <v>166</v>
      </c>
      <c r="F170" s="117" t="s">
        <v>330</v>
      </c>
      <c r="G170" s="117" t="s">
        <v>303</v>
      </c>
      <c r="H170" s="117" t="s">
        <v>444</v>
      </c>
      <c r="I170" s="118" t="s">
        <v>273</v>
      </c>
      <c r="J170" s="118" t="s">
        <v>1130</v>
      </c>
      <c r="K170" s="118" t="s">
        <v>1398</v>
      </c>
      <c r="L170" s="117" t="s">
        <v>2025</v>
      </c>
      <c r="M170" s="117" t="s">
        <v>2289</v>
      </c>
      <c r="N170" s="117" t="s">
        <v>82</v>
      </c>
      <c r="O170" s="117" t="s">
        <v>309</v>
      </c>
      <c r="P170" s="117" t="s">
        <v>2433</v>
      </c>
      <c r="Q170" s="117" t="s">
        <v>293</v>
      </c>
      <c r="R170" s="117">
        <v>2000000.01</v>
      </c>
      <c r="S170" s="117">
        <v>2500000</v>
      </c>
      <c r="T170" s="117">
        <v>0</v>
      </c>
      <c r="U170" s="117">
        <v>0</v>
      </c>
      <c r="V170" s="117">
        <v>0</v>
      </c>
      <c r="W170" s="117">
        <v>55</v>
      </c>
      <c r="X170" s="117">
        <v>0</v>
      </c>
      <c r="Y170" s="117">
        <v>999</v>
      </c>
      <c r="Z170" s="119">
        <v>680</v>
      </c>
      <c r="AA170" s="119">
        <v>699</v>
      </c>
      <c r="AB170" s="1877">
        <v>0</v>
      </c>
      <c r="AC170" s="119">
        <v>999999</v>
      </c>
      <c r="AD170" s="117">
        <v>0</v>
      </c>
      <c r="AE170" s="117">
        <v>75</v>
      </c>
      <c r="AF170" s="144">
        <v>0</v>
      </c>
      <c r="AG170" s="145">
        <v>1</v>
      </c>
      <c r="AH170" s="145">
        <v>1</v>
      </c>
      <c r="AI170" s="145">
        <v>0</v>
      </c>
      <c r="AJ170" s="145">
        <v>0</v>
      </c>
      <c r="AK170" s="145">
        <v>0</v>
      </c>
      <c r="AL170" s="145">
        <v>1</v>
      </c>
      <c r="AM170" s="145">
        <v>1</v>
      </c>
      <c r="AN170" s="145">
        <v>1</v>
      </c>
      <c r="AO170" s="145">
        <v>1</v>
      </c>
      <c r="AP170" s="145">
        <v>1</v>
      </c>
      <c r="AQ170" s="145">
        <v>0</v>
      </c>
      <c r="AR170" s="145">
        <v>1</v>
      </c>
      <c r="AS170" s="145">
        <v>1</v>
      </c>
      <c r="AT170" s="145">
        <v>1</v>
      </c>
      <c r="AU170" s="145">
        <f t="shared" si="55"/>
        <v>0</v>
      </c>
      <c r="AV170" s="145">
        <f t="shared" si="56"/>
        <v>1</v>
      </c>
      <c r="AW170" s="145">
        <f t="shared" si="57"/>
        <v>1</v>
      </c>
      <c r="AX170" s="145">
        <f t="shared" si="49"/>
        <v>1</v>
      </c>
      <c r="AY170" s="145">
        <f t="shared" si="58"/>
        <v>0</v>
      </c>
      <c r="AZ170" s="145">
        <f t="shared" si="59"/>
        <v>1</v>
      </c>
      <c r="BA170" s="146">
        <f t="shared" si="60"/>
        <v>1</v>
      </c>
      <c r="BB170" s="149">
        <f t="shared" si="63"/>
        <v>15</v>
      </c>
      <c r="BC170" s="150">
        <f t="shared" si="64"/>
        <v>14</v>
      </c>
      <c r="BD170" s="150">
        <f t="shared" si="65"/>
        <v>15</v>
      </c>
      <c r="BE170" s="211" t="str">
        <f t="shared" si="66"/>
        <v/>
      </c>
      <c r="BH170" s="173">
        <f>IF(AND(Input_Product=Elig!$C170,Elig_MatchAll_Ct&lt;22,$BC170=(Elig_MatchAll_Ct-1),AF170=0),C170,0)</f>
        <v>0</v>
      </c>
      <c r="BI170" s="173">
        <f>IF(AND(Input_Product=Elig!$C170,Elig_MatchAll_Ct&lt;22,$BC170=(Elig_MatchAll_Ct-1),AG170=0),D170,0)</f>
        <v>0</v>
      </c>
      <c r="BJ170" s="173">
        <f>IF(AND(Input_Product=Elig!$C170,Elig_MatchAll_Ct&lt;22,$BC170=(Elig_MatchAll_Ct-1),AH170=0),E170,0)</f>
        <v>0</v>
      </c>
      <c r="BK170" s="173">
        <f>IF(AND(Input_Product=Elig!$C170,Elig_MatchAll_Ct&lt;22,$BC170=(Elig_MatchAll_Ct-1),AI170=0),F170,0)</f>
        <v>0</v>
      </c>
      <c r="BL170" s="173">
        <f>IF(AND(Input_Product=Elig!$C170,Elig_MatchAll_Ct&lt;22,$BC170=(Elig_MatchAll_Ct-1),AJ170=0),G170,0)</f>
        <v>0</v>
      </c>
      <c r="BM170" s="173">
        <f>IF(AND(Input_Product=Elig!$C170,Elig_MatchAll_Ct&lt;22,$BC170=(Elig_MatchAll_Ct-1),AK170=0),H170,0)</f>
        <v>0</v>
      </c>
      <c r="BN170" s="173">
        <f>IF(AND(Input_Product=Elig!$C170,Elig_MatchAll_Ct&lt;22,$BC170=(Elig_MatchAll_Ct-1),AL170=0),I170,0)</f>
        <v>0</v>
      </c>
      <c r="BO170" s="173">
        <f>IF(AND(Input_Product=Elig!$C170,Elig_MatchAll_Ct&lt;22,$BC170=(Elig_MatchAll_Ct-1),AM170=0),J170,0)</f>
        <v>0</v>
      </c>
      <c r="BP170" s="173">
        <f>IF(AND(Input_Product=Elig!$C170,Elig_MatchAll_Ct&lt;22,$BC170=(Elig_MatchAll_Ct-1),AN170=0),K170,0)</f>
        <v>0</v>
      </c>
      <c r="BQ170" s="173">
        <f>IF(AND(Input_Product=Elig!$C170,Elig_MatchAll_Ct&lt;22,$BC170=(Elig_MatchAll_Ct-1),AP170=0),L170,0)</f>
        <v>0</v>
      </c>
      <c r="BR170" s="173">
        <f>IF(AND(Input_Product=Elig!$C170,Elig_MatchAll_Ct&lt;22,$BC170=(Elig_MatchAll_Ct-1),AO170=0),M170,0)</f>
        <v>0</v>
      </c>
      <c r="BS170" s="173">
        <f>IF(AND(Input_Product=Elig!$C170,Elig_MatchAll_Ct&lt;22,$BC170=(Elig_MatchAll_Ct-1),AQ170=0),N170,0)</f>
        <v>0</v>
      </c>
      <c r="BT170" s="173">
        <f>IF(AND(Input_Product=Elig!$C170,Elig_MatchAll_Ct&lt;22,$BC170=(Elig_MatchAll_Ct-1),AR170=0),O170,0)</f>
        <v>0</v>
      </c>
      <c r="BU170" s="173">
        <f>IF(AND(Input_Product=Elig!$C170,Elig_MatchAll_Ct&lt;22,$BC170=(Elig_MatchAll_Ct-1),AS170=0),P170,0)</f>
        <v>0</v>
      </c>
      <c r="BV170" s="174">
        <f>IF(AND(Input_Product=Elig!$C170,Elig_MatchAll_Ct&lt;22,$BC170=(Elig_MatchAll_Ct-1),AT170=0),Q170,0)</f>
        <v>0</v>
      </c>
      <c r="BW170" s="175">
        <f>IF(AND(Input_Product=Elig!$C170,Elig_MatchAll_Ct&lt;22,$BC170=(Elig_MatchAll_Ct-1),AU170=0),R170,0)</f>
        <v>0</v>
      </c>
      <c r="BX170" s="176">
        <f>IF(AND(Input_Product=Elig!$C170,Elig_MatchAll_Ct&lt;22,$BC170=(Elig_MatchAll_Ct-1),AU170=0),S170,0)</f>
        <v>0</v>
      </c>
      <c r="BY170" s="175">
        <f>IF(AND(Input_Product=Elig!$C170,Elig_MatchAll_Ct&lt;22,$BC170=(Elig_MatchAll_Ct-1),AV170=0),T170,0)</f>
        <v>0</v>
      </c>
      <c r="BZ170" s="176">
        <f>IF(AND(Input_Product=Elig!$C170,Elig_MatchAll_Ct&lt;22,$BC170=(Elig_MatchAll_Ct-1),AV170=0),U170,0)</f>
        <v>0</v>
      </c>
      <c r="CA170" s="175">
        <f>IF(AND(Input_Product=Elig!$C170,Elig_MatchAll_Ct&lt;22,$BC170=(Elig_MatchAll_Ct-1),AW170=0),V170,0)</f>
        <v>0</v>
      </c>
      <c r="CB170" s="176">
        <f>IF(AND(Input_Product=Elig!$C170,Elig_MatchAll_Ct&lt;22,$BC170=(Elig_MatchAll_Ct-1),AW170=0),W170,0)</f>
        <v>0</v>
      </c>
      <c r="CC170" s="175">
        <f>IF(AND(Input_Product=Elig!$C170,Elig_MatchAll_Ct&lt;22,$BC170=(Elig_MatchAll_Ct-1),AX170=0),X170,0)</f>
        <v>0</v>
      </c>
      <c r="CD170" s="176">
        <f>IF(AND(Input_Product=Elig!$C170,Elig_MatchAll_Ct&lt;22,$BC170=(Elig_MatchAll_Ct-1),AX170=0),Y170,0)</f>
        <v>0</v>
      </c>
      <c r="CE170" s="175">
        <f>IF(AND(Input_LTV&lt;=AE170,Input_Product=Elig!$C170,Elig_MatchAll_Ct&lt;22,$BC170=(Elig_MatchAll_Ct-1),AY170=0),Z170,0)</f>
        <v>0</v>
      </c>
      <c r="CF170" s="176">
        <f>IF(AND(Input_LTV&lt;=AE170,Input_Product=Elig!$C170,Elig_MatchAll_Ct&lt;22,$BC170=(Elig_MatchAll_Ct-1),AY170=0),AA170,0)</f>
        <v>0</v>
      </c>
      <c r="CG170" s="175">
        <f>IF(AND(Input_Product=Elig!$C170,Elig_MatchAll_Ct&lt;22,$BC170=(Elig_MatchAll_Ct-1),AZ170=0),AB170,0)</f>
        <v>0</v>
      </c>
      <c r="CH170" s="176">
        <f>IF(AND(Input_Product=Elig!$C170,Elig_MatchAll_Ct&lt;22,$BC170=(Elig_MatchAll_Ct-1),AZ170=0),AC170,0)</f>
        <v>0</v>
      </c>
      <c r="CI170" s="175">
        <f>IF(AND(Input_Product=Elig!$C170,Elig_MatchAll_Ct&lt;22,$BC170=(Elig_MatchAll_Ct-1),BA170=0),AD170,0)</f>
        <v>0</v>
      </c>
      <c r="CJ170" s="176">
        <f>IF(AND(Input_Product=Elig!$C170,Elig_MatchAll_Ct&lt;22,$BC170=(Elig_MatchAll_Ct-1),BA170=0),AE170,0)</f>
        <v>0</v>
      </c>
    </row>
    <row r="171" spans="1:88" ht="10.15" customHeight="1" x14ac:dyDescent="0.25">
      <c r="A171" s="1419" t="s">
        <v>76</v>
      </c>
      <c r="B171" s="1419" t="s">
        <v>864</v>
      </c>
      <c r="C171" s="116" t="str">
        <f t="shared" si="53"/>
        <v>NonQM OO</v>
      </c>
      <c r="D171" s="117" t="s">
        <v>1995</v>
      </c>
      <c r="E171" s="117" t="s">
        <v>166</v>
      </c>
      <c r="F171" s="117" t="s">
        <v>330</v>
      </c>
      <c r="G171" s="117" t="s">
        <v>303</v>
      </c>
      <c r="H171" s="117" t="s">
        <v>444</v>
      </c>
      <c r="I171" s="118" t="s">
        <v>273</v>
      </c>
      <c r="J171" s="118" t="s">
        <v>1130</v>
      </c>
      <c r="K171" s="118" t="s">
        <v>1398</v>
      </c>
      <c r="L171" s="117" t="s">
        <v>2025</v>
      </c>
      <c r="M171" s="117" t="s">
        <v>2289</v>
      </c>
      <c r="N171" s="117" t="s">
        <v>82</v>
      </c>
      <c r="O171" s="117" t="s">
        <v>309</v>
      </c>
      <c r="P171" s="117" t="s">
        <v>2433</v>
      </c>
      <c r="Q171" s="117" t="s">
        <v>293</v>
      </c>
      <c r="R171" s="117">
        <v>2000000.01</v>
      </c>
      <c r="S171" s="117">
        <v>2500000</v>
      </c>
      <c r="T171" s="117">
        <v>0</v>
      </c>
      <c r="U171" s="117">
        <v>0</v>
      </c>
      <c r="V171" s="117">
        <v>0</v>
      </c>
      <c r="W171" s="117">
        <v>55</v>
      </c>
      <c r="X171" s="117">
        <v>0</v>
      </c>
      <c r="Y171" s="117">
        <v>999</v>
      </c>
      <c r="Z171" s="119">
        <v>660</v>
      </c>
      <c r="AA171" s="119">
        <v>679</v>
      </c>
      <c r="AB171" s="1877">
        <v>0</v>
      </c>
      <c r="AC171" s="119">
        <v>999999</v>
      </c>
      <c r="AD171" s="117">
        <v>0</v>
      </c>
      <c r="AE171" s="117">
        <v>70</v>
      </c>
      <c r="AF171" s="144">
        <v>0</v>
      </c>
      <c r="AG171" s="145">
        <v>1</v>
      </c>
      <c r="AH171" s="145">
        <v>1</v>
      </c>
      <c r="AI171" s="145">
        <v>0</v>
      </c>
      <c r="AJ171" s="145">
        <v>0</v>
      </c>
      <c r="AK171" s="145">
        <v>0</v>
      </c>
      <c r="AL171" s="145">
        <v>1</v>
      </c>
      <c r="AM171" s="145">
        <v>1</v>
      </c>
      <c r="AN171" s="145">
        <v>1</v>
      </c>
      <c r="AO171" s="145">
        <v>1</v>
      </c>
      <c r="AP171" s="145">
        <v>1</v>
      </c>
      <c r="AQ171" s="145">
        <v>0</v>
      </c>
      <c r="AR171" s="145">
        <v>1</v>
      </c>
      <c r="AS171" s="145">
        <v>1</v>
      </c>
      <c r="AT171" s="145">
        <v>1</v>
      </c>
      <c r="AU171" s="145">
        <f t="shared" si="55"/>
        <v>0</v>
      </c>
      <c r="AV171" s="145">
        <f t="shared" si="56"/>
        <v>1</v>
      </c>
      <c r="AW171" s="145">
        <f t="shared" si="57"/>
        <v>1</v>
      </c>
      <c r="AX171" s="145">
        <f t="shared" si="49"/>
        <v>1</v>
      </c>
      <c r="AY171" s="145">
        <f t="shared" si="58"/>
        <v>0</v>
      </c>
      <c r="AZ171" s="145">
        <f t="shared" si="59"/>
        <v>1</v>
      </c>
      <c r="BA171" s="146">
        <f t="shared" si="60"/>
        <v>1</v>
      </c>
      <c r="BB171" s="149">
        <f t="shared" si="63"/>
        <v>15</v>
      </c>
      <c r="BC171" s="150">
        <f t="shared" si="64"/>
        <v>14</v>
      </c>
      <c r="BD171" s="150">
        <f t="shared" si="65"/>
        <v>15</v>
      </c>
      <c r="BE171" s="211" t="str">
        <f t="shared" si="66"/>
        <v/>
      </c>
      <c r="BH171" s="188">
        <f>IF(AND(Input_Product=Elig!$C171,Elig_MatchAll_Ct&lt;22,$BC171=(Elig_MatchAll_Ct-1),AF171=0),C171,0)</f>
        <v>0</v>
      </c>
      <c r="BI171" s="188">
        <f>IF(AND(Input_Product=Elig!$C171,Elig_MatchAll_Ct&lt;22,$BC171=(Elig_MatchAll_Ct-1),AG171=0),D171,0)</f>
        <v>0</v>
      </c>
      <c r="BJ171" s="188">
        <f>IF(AND(Input_Product=Elig!$C171,Elig_MatchAll_Ct&lt;22,$BC171=(Elig_MatchAll_Ct-1),AH171=0),E171,0)</f>
        <v>0</v>
      </c>
      <c r="BK171" s="188">
        <f>IF(AND(Input_Product=Elig!$C171,Elig_MatchAll_Ct&lt;22,$BC171=(Elig_MatchAll_Ct-1),AI171=0),F171,0)</f>
        <v>0</v>
      </c>
      <c r="BL171" s="188">
        <f>IF(AND(Input_Product=Elig!$C171,Elig_MatchAll_Ct&lt;22,$BC171=(Elig_MatchAll_Ct-1),AJ171=0),G171,0)</f>
        <v>0</v>
      </c>
      <c r="BM171" s="188">
        <f>IF(AND(Input_Product=Elig!$C171,Elig_MatchAll_Ct&lt;22,$BC171=(Elig_MatchAll_Ct-1),AK171=0),H171,0)</f>
        <v>0</v>
      </c>
      <c r="BN171" s="188">
        <f>IF(AND(Input_Product=Elig!$C171,Elig_MatchAll_Ct&lt;22,$BC171=(Elig_MatchAll_Ct-1),AL171=0),I171,0)</f>
        <v>0</v>
      </c>
      <c r="BO171" s="188">
        <f>IF(AND(Input_Product=Elig!$C171,Elig_MatchAll_Ct&lt;22,$BC171=(Elig_MatchAll_Ct-1),AM171=0),J171,0)</f>
        <v>0</v>
      </c>
      <c r="BP171" s="188">
        <f>IF(AND(Input_Product=Elig!$C171,Elig_MatchAll_Ct&lt;22,$BC171=(Elig_MatchAll_Ct-1),AN171=0),K171,0)</f>
        <v>0</v>
      </c>
      <c r="BQ171" s="188">
        <f>IF(AND(Input_Product=Elig!$C171,Elig_MatchAll_Ct&lt;22,$BC171=(Elig_MatchAll_Ct-1),AP171=0),L171,0)</f>
        <v>0</v>
      </c>
      <c r="BR171" s="188">
        <f>IF(AND(Input_Product=Elig!$C171,Elig_MatchAll_Ct&lt;22,$BC171=(Elig_MatchAll_Ct-1),AO171=0),M171,0)</f>
        <v>0</v>
      </c>
      <c r="BS171" s="188">
        <f>IF(AND(Input_Product=Elig!$C171,Elig_MatchAll_Ct&lt;22,$BC171=(Elig_MatchAll_Ct-1),AQ171=0),N171,0)</f>
        <v>0</v>
      </c>
      <c r="BT171" s="188">
        <f>IF(AND(Input_Product=Elig!$C171,Elig_MatchAll_Ct&lt;22,$BC171=(Elig_MatchAll_Ct-1),AR171=0),O171,0)</f>
        <v>0</v>
      </c>
      <c r="BU171" s="188">
        <f>IF(AND(Input_Product=Elig!$C171,Elig_MatchAll_Ct&lt;22,$BC171=(Elig_MatchAll_Ct-1),AS171=0),P171,0)</f>
        <v>0</v>
      </c>
      <c r="BV171" s="189">
        <f>IF(AND(Input_Product=Elig!$C171,Elig_MatchAll_Ct&lt;22,$BC171=(Elig_MatchAll_Ct-1),AT171=0),Q171,0)</f>
        <v>0</v>
      </c>
      <c r="BW171" s="271">
        <f>IF(AND(Input_Product=Elig!$C171,Elig_MatchAll_Ct&lt;22,$BC171=(Elig_MatchAll_Ct-1),AU171=0),R171,0)</f>
        <v>0</v>
      </c>
      <c r="BX171" s="272">
        <f>IF(AND(Input_Product=Elig!$C171,Elig_MatchAll_Ct&lt;22,$BC171=(Elig_MatchAll_Ct-1),AU171=0),S171,0)</f>
        <v>0</v>
      </c>
      <c r="BY171" s="271">
        <f>IF(AND(Input_Product=Elig!$C171,Elig_MatchAll_Ct&lt;22,$BC171=(Elig_MatchAll_Ct-1),AV171=0),T171,0)</f>
        <v>0</v>
      </c>
      <c r="BZ171" s="272">
        <f>IF(AND(Input_Product=Elig!$C171,Elig_MatchAll_Ct&lt;22,$BC171=(Elig_MatchAll_Ct-1),AV171=0),U171,0)</f>
        <v>0</v>
      </c>
      <c r="CA171" s="271">
        <f>IF(AND(Input_Product=Elig!$C171,Elig_MatchAll_Ct&lt;22,$BC171=(Elig_MatchAll_Ct-1),AW171=0),V171,0)</f>
        <v>0</v>
      </c>
      <c r="CB171" s="272">
        <f>IF(AND(Input_Product=Elig!$C171,Elig_MatchAll_Ct&lt;22,$BC171=(Elig_MatchAll_Ct-1),AW171=0),W171,0)</f>
        <v>0</v>
      </c>
      <c r="CC171" s="271">
        <f>IF(AND(Input_Product=Elig!$C171,Elig_MatchAll_Ct&lt;22,$BC171=(Elig_MatchAll_Ct-1),AX171=0),X171,0)</f>
        <v>0</v>
      </c>
      <c r="CD171" s="272">
        <f>IF(AND(Input_Product=Elig!$C171,Elig_MatchAll_Ct&lt;22,$BC171=(Elig_MatchAll_Ct-1),AX171=0),Y171,0)</f>
        <v>0</v>
      </c>
      <c r="CE171" s="271">
        <f>IF(AND(Input_LTV&lt;=AE171,Input_Product=Elig!$C171,Elig_MatchAll_Ct&lt;22,$BC171=(Elig_MatchAll_Ct-1),AY171=0),Z171,0)</f>
        <v>0</v>
      </c>
      <c r="CF171" s="272">
        <f>IF(AND(Input_LTV&lt;=AE171,Input_Product=Elig!$C171,Elig_MatchAll_Ct&lt;22,$BC171=(Elig_MatchAll_Ct-1),AY171=0),AA171,0)</f>
        <v>0</v>
      </c>
      <c r="CG171" s="271">
        <f>IF(AND(Input_Product=Elig!$C171,Elig_MatchAll_Ct&lt;22,$BC171=(Elig_MatchAll_Ct-1),AZ171=0),AB171,0)</f>
        <v>0</v>
      </c>
      <c r="CH171" s="272">
        <f>IF(AND(Input_Product=Elig!$C171,Elig_MatchAll_Ct&lt;22,$BC171=(Elig_MatchAll_Ct-1),AZ171=0),AC171,0)</f>
        <v>0</v>
      </c>
      <c r="CI171" s="271">
        <f>IF(AND(Input_Product=Elig!$C171,Elig_MatchAll_Ct&lt;22,$BC171=(Elig_MatchAll_Ct-1),BA171=0),AD171,0)</f>
        <v>0</v>
      </c>
      <c r="CJ171" s="272">
        <f>IF(AND(Input_Product=Elig!$C171,Elig_MatchAll_Ct&lt;22,$BC171=(Elig_MatchAll_Ct-1),BA171=0),AE171,0)</f>
        <v>0</v>
      </c>
    </row>
    <row r="172" spans="1:88" ht="10.15" customHeight="1" x14ac:dyDescent="0.25">
      <c r="A172" s="1419" t="s">
        <v>76</v>
      </c>
      <c r="B172" s="1419" t="s">
        <v>865</v>
      </c>
      <c r="C172" s="123" t="str">
        <f t="shared" si="53"/>
        <v>NonQM OO</v>
      </c>
      <c r="D172" s="124" t="s">
        <v>1995</v>
      </c>
      <c r="E172" s="125" t="s">
        <v>166</v>
      </c>
      <c r="F172" s="125" t="s">
        <v>330</v>
      </c>
      <c r="G172" s="125" t="s">
        <v>303</v>
      </c>
      <c r="H172" s="125" t="s">
        <v>444</v>
      </c>
      <c r="I172" s="124" t="s">
        <v>16</v>
      </c>
      <c r="J172" s="124" t="s">
        <v>1130</v>
      </c>
      <c r="K172" s="124" t="s">
        <v>1398</v>
      </c>
      <c r="L172" s="125" t="s">
        <v>2025</v>
      </c>
      <c r="M172" s="125" t="s">
        <v>2289</v>
      </c>
      <c r="N172" s="125" t="s">
        <v>82</v>
      </c>
      <c r="O172" s="125" t="s">
        <v>309</v>
      </c>
      <c r="P172" s="125" t="s">
        <v>2433</v>
      </c>
      <c r="Q172" s="125" t="s">
        <v>293</v>
      </c>
      <c r="R172" s="124">
        <v>2000000.01</v>
      </c>
      <c r="S172" s="124">
        <v>2500000</v>
      </c>
      <c r="T172" s="124">
        <v>0</v>
      </c>
      <c r="U172" s="124">
        <f t="shared" ref="U172:U175" si="67">S172</f>
        <v>2500000</v>
      </c>
      <c r="V172" s="124">
        <v>0</v>
      </c>
      <c r="W172" s="124">
        <v>55</v>
      </c>
      <c r="X172" s="124">
        <v>0</v>
      </c>
      <c r="Y172" s="124">
        <v>999</v>
      </c>
      <c r="Z172" s="126">
        <v>720</v>
      </c>
      <c r="AA172" s="126">
        <v>999</v>
      </c>
      <c r="AB172" s="1879">
        <v>0</v>
      </c>
      <c r="AC172" s="126">
        <v>999999</v>
      </c>
      <c r="AD172" s="124">
        <v>0</v>
      </c>
      <c r="AE172" s="124">
        <v>75</v>
      </c>
      <c r="AF172" s="144">
        <v>0</v>
      </c>
      <c r="AG172" s="145">
        <v>1</v>
      </c>
      <c r="AH172" s="145">
        <v>1</v>
      </c>
      <c r="AI172" s="145">
        <v>0</v>
      </c>
      <c r="AJ172" s="145">
        <v>0</v>
      </c>
      <c r="AK172" s="145">
        <v>0</v>
      </c>
      <c r="AL172" s="145">
        <v>0</v>
      </c>
      <c r="AM172" s="145">
        <v>1</v>
      </c>
      <c r="AN172" s="145">
        <v>1</v>
      </c>
      <c r="AO172" s="145">
        <v>1</v>
      </c>
      <c r="AP172" s="145">
        <v>1</v>
      </c>
      <c r="AQ172" s="145">
        <v>0</v>
      </c>
      <c r="AR172" s="145">
        <v>1</v>
      </c>
      <c r="AS172" s="145">
        <v>1</v>
      </c>
      <c r="AT172" s="145">
        <v>1</v>
      </c>
      <c r="AU172" s="145">
        <f t="shared" si="55"/>
        <v>0</v>
      </c>
      <c r="AV172" s="145">
        <f t="shared" si="56"/>
        <v>1</v>
      </c>
      <c r="AW172" s="145">
        <f t="shared" si="57"/>
        <v>1</v>
      </c>
      <c r="AX172" s="145">
        <f t="shared" si="49"/>
        <v>1</v>
      </c>
      <c r="AY172" s="145">
        <f t="shared" si="58"/>
        <v>1</v>
      </c>
      <c r="AZ172" s="145">
        <f t="shared" si="59"/>
        <v>1</v>
      </c>
      <c r="BA172" s="146">
        <f t="shared" si="60"/>
        <v>1</v>
      </c>
      <c r="BB172" s="149">
        <f t="shared" si="63"/>
        <v>15</v>
      </c>
      <c r="BC172" s="150">
        <f t="shared" si="64"/>
        <v>14</v>
      </c>
      <c r="BD172" s="150">
        <f t="shared" si="65"/>
        <v>15</v>
      </c>
      <c r="BE172" s="211" t="str">
        <f t="shared" si="66"/>
        <v/>
      </c>
      <c r="BH172" s="184">
        <f>IF(AND(Input_Product=Elig!$C172,Elig_MatchAll_Ct&lt;22,$BC172=(Elig_MatchAll_Ct-1),AF172=0),C172,0)</f>
        <v>0</v>
      </c>
      <c r="BI172" s="184">
        <f>IF(AND(Input_Product=Elig!$C172,Elig_MatchAll_Ct&lt;22,$BC172=(Elig_MatchAll_Ct-1),AG172=0),D172,0)</f>
        <v>0</v>
      </c>
      <c r="BJ172" s="184">
        <f>IF(AND(Input_Product=Elig!$C172,Elig_MatchAll_Ct&lt;22,$BC172=(Elig_MatchAll_Ct-1),AH172=0),E172,0)</f>
        <v>0</v>
      </c>
      <c r="BK172" s="184">
        <f>IF(AND(Input_Product=Elig!$C172,Elig_MatchAll_Ct&lt;22,$BC172=(Elig_MatchAll_Ct-1),AI172=0),F172,0)</f>
        <v>0</v>
      </c>
      <c r="BL172" s="184">
        <f>IF(AND(Input_Product=Elig!$C172,Elig_MatchAll_Ct&lt;22,$BC172=(Elig_MatchAll_Ct-1),AJ172=0),G172,0)</f>
        <v>0</v>
      </c>
      <c r="BM172" s="184">
        <f>IF(AND(Input_Product=Elig!$C172,Elig_MatchAll_Ct&lt;22,$BC172=(Elig_MatchAll_Ct-1),AK172=0),H172,0)</f>
        <v>0</v>
      </c>
      <c r="BN172" s="184">
        <f>IF(AND(Input_Product=Elig!$C172,Elig_MatchAll_Ct&lt;22,$BC172=(Elig_MatchAll_Ct-1),AL172=0),I172,0)</f>
        <v>0</v>
      </c>
      <c r="BO172" s="184">
        <f>IF(AND(Input_Product=Elig!$C172,Elig_MatchAll_Ct&lt;22,$BC172=(Elig_MatchAll_Ct-1),AM172=0),J172,0)</f>
        <v>0</v>
      </c>
      <c r="BP172" s="184">
        <f>IF(AND(Input_Product=Elig!$C172,Elig_MatchAll_Ct&lt;22,$BC172=(Elig_MatchAll_Ct-1),AN172=0),K172,0)</f>
        <v>0</v>
      </c>
      <c r="BQ172" s="184">
        <f>IF(AND(Input_Product=Elig!$C172,Elig_MatchAll_Ct&lt;22,$BC172=(Elig_MatchAll_Ct-1),AP172=0),L172,0)</f>
        <v>0</v>
      </c>
      <c r="BR172" s="184">
        <f>IF(AND(Input_Product=Elig!$C172,Elig_MatchAll_Ct&lt;22,$BC172=(Elig_MatchAll_Ct-1),AO172=0),M172,0)</f>
        <v>0</v>
      </c>
      <c r="BS172" s="184">
        <f>IF(AND(Input_Product=Elig!$C172,Elig_MatchAll_Ct&lt;22,$BC172=(Elig_MatchAll_Ct-1),AQ172=0),N172,0)</f>
        <v>0</v>
      </c>
      <c r="BT172" s="184">
        <f>IF(AND(Input_Product=Elig!$C172,Elig_MatchAll_Ct&lt;22,$BC172=(Elig_MatchAll_Ct-1),AR172=0),O172,0)</f>
        <v>0</v>
      </c>
      <c r="BU172" s="184">
        <f>IF(AND(Input_Product=Elig!$C172,Elig_MatchAll_Ct&lt;22,$BC172=(Elig_MatchAll_Ct-1),AS172=0),P172,0)</f>
        <v>0</v>
      </c>
      <c r="BV172" s="185">
        <f>IF(AND(Input_Product=Elig!$C172,Elig_MatchAll_Ct&lt;22,$BC172=(Elig_MatchAll_Ct-1),AT172=0),Q172,0)</f>
        <v>0</v>
      </c>
      <c r="BW172" s="186">
        <f>IF(AND(Input_Product=Elig!$C172,Elig_MatchAll_Ct&lt;22,$BC172=(Elig_MatchAll_Ct-1),AU172=0),R172,0)</f>
        <v>0</v>
      </c>
      <c r="BX172" s="187">
        <f>IF(AND(Input_Product=Elig!$C172,Elig_MatchAll_Ct&lt;22,$BC172=(Elig_MatchAll_Ct-1),AU172=0),S172,0)</f>
        <v>0</v>
      </c>
      <c r="BY172" s="186">
        <f>IF(AND(Input_Product=Elig!$C172,Elig_MatchAll_Ct&lt;22,$BC172=(Elig_MatchAll_Ct-1),AV172=0),T172,0)</f>
        <v>0</v>
      </c>
      <c r="BZ172" s="187">
        <f>IF(AND(Input_Product=Elig!$C172,Elig_MatchAll_Ct&lt;22,$BC172=(Elig_MatchAll_Ct-1),AV172=0),U172,0)</f>
        <v>0</v>
      </c>
      <c r="CA172" s="186">
        <f>IF(AND(Input_Product=Elig!$C172,Elig_MatchAll_Ct&lt;22,$BC172=(Elig_MatchAll_Ct-1),AW172=0),V172,0)</f>
        <v>0</v>
      </c>
      <c r="CB172" s="187">
        <f>IF(AND(Input_Product=Elig!$C172,Elig_MatchAll_Ct&lt;22,$BC172=(Elig_MatchAll_Ct-1),AW172=0),W172,0)</f>
        <v>0</v>
      </c>
      <c r="CC172" s="186">
        <f>IF(AND(Input_Product=Elig!$C172,Elig_MatchAll_Ct&lt;22,$BC172=(Elig_MatchAll_Ct-1),AX172=0),X172,0)</f>
        <v>0</v>
      </c>
      <c r="CD172" s="187">
        <f>IF(AND(Input_Product=Elig!$C172,Elig_MatchAll_Ct&lt;22,$BC172=(Elig_MatchAll_Ct-1),AX172=0),Y172,0)</f>
        <v>0</v>
      </c>
      <c r="CE172" s="186">
        <f>IF(AND(Input_LTV&lt;=AE172,Input_Product=Elig!$C172,Elig_MatchAll_Ct&lt;22,$BC172=(Elig_MatchAll_Ct-1),AY172=0),Z172,0)</f>
        <v>0</v>
      </c>
      <c r="CF172" s="187">
        <f>IF(AND(Input_LTV&lt;=AE172,Input_Product=Elig!$C172,Elig_MatchAll_Ct&lt;22,$BC172=(Elig_MatchAll_Ct-1),AY172=0),AA172,0)</f>
        <v>0</v>
      </c>
      <c r="CG172" s="186">
        <f>IF(AND(Input_Product=Elig!$C172,Elig_MatchAll_Ct&lt;22,$BC172=(Elig_MatchAll_Ct-1),AZ172=0),AB172,0)</f>
        <v>0</v>
      </c>
      <c r="CH172" s="187">
        <f>IF(AND(Input_Product=Elig!$C172,Elig_MatchAll_Ct&lt;22,$BC172=(Elig_MatchAll_Ct-1),AZ172=0),AC172,0)</f>
        <v>0</v>
      </c>
      <c r="CI172" s="186">
        <f>IF(AND(Input_Product=Elig!$C172,Elig_MatchAll_Ct&lt;22,$BC172=(Elig_MatchAll_Ct-1),BA172=0),AD172,0)</f>
        <v>0</v>
      </c>
      <c r="CJ172" s="187">
        <f>IF(AND(Input_Product=Elig!$C172,Elig_MatchAll_Ct&lt;22,$BC172=(Elig_MatchAll_Ct-1),BA172=0),AE172,0)</f>
        <v>0</v>
      </c>
    </row>
    <row r="173" spans="1:88" ht="10.15" customHeight="1" x14ac:dyDescent="0.25">
      <c r="A173" s="1419" t="s">
        <v>76</v>
      </c>
      <c r="B173" s="1419" t="s">
        <v>866</v>
      </c>
      <c r="C173" s="116" t="str">
        <f t="shared" si="53"/>
        <v>NonQM OO</v>
      </c>
      <c r="D173" s="117" t="s">
        <v>1995</v>
      </c>
      <c r="E173" s="117" t="s">
        <v>166</v>
      </c>
      <c r="F173" s="117" t="s">
        <v>330</v>
      </c>
      <c r="G173" s="117" t="s">
        <v>303</v>
      </c>
      <c r="H173" s="117" t="s">
        <v>444</v>
      </c>
      <c r="I173" s="118" t="s">
        <v>16</v>
      </c>
      <c r="J173" s="118" t="s">
        <v>1130</v>
      </c>
      <c r="K173" s="118" t="s">
        <v>1398</v>
      </c>
      <c r="L173" s="117" t="s">
        <v>2025</v>
      </c>
      <c r="M173" s="117" t="s">
        <v>2289</v>
      </c>
      <c r="N173" s="117" t="s">
        <v>82</v>
      </c>
      <c r="O173" s="117" t="s">
        <v>309</v>
      </c>
      <c r="P173" s="117" t="s">
        <v>2433</v>
      </c>
      <c r="Q173" s="117" t="s">
        <v>293</v>
      </c>
      <c r="R173" s="117">
        <v>2000000.01</v>
      </c>
      <c r="S173" s="117">
        <v>2500000</v>
      </c>
      <c r="T173" s="117">
        <v>0</v>
      </c>
      <c r="U173" s="117">
        <f t="shared" si="67"/>
        <v>2500000</v>
      </c>
      <c r="V173" s="117">
        <v>0</v>
      </c>
      <c r="W173" s="117">
        <v>55</v>
      </c>
      <c r="X173" s="117">
        <v>0</v>
      </c>
      <c r="Y173" s="117">
        <v>999</v>
      </c>
      <c r="Z173" s="119">
        <v>700</v>
      </c>
      <c r="AA173" s="119">
        <v>719</v>
      </c>
      <c r="AB173" s="1877">
        <v>0</v>
      </c>
      <c r="AC173" s="119">
        <v>999999</v>
      </c>
      <c r="AD173" s="117">
        <v>0</v>
      </c>
      <c r="AE173" s="117">
        <v>65</v>
      </c>
      <c r="AF173" s="144">
        <v>0</v>
      </c>
      <c r="AG173" s="145">
        <v>1</v>
      </c>
      <c r="AH173" s="145">
        <v>1</v>
      </c>
      <c r="AI173" s="145">
        <v>0</v>
      </c>
      <c r="AJ173" s="145">
        <v>0</v>
      </c>
      <c r="AK173" s="145">
        <v>0</v>
      </c>
      <c r="AL173" s="145">
        <v>0</v>
      </c>
      <c r="AM173" s="145">
        <v>1</v>
      </c>
      <c r="AN173" s="145">
        <v>1</v>
      </c>
      <c r="AO173" s="145">
        <v>1</v>
      </c>
      <c r="AP173" s="145">
        <v>1</v>
      </c>
      <c r="AQ173" s="145">
        <v>0</v>
      </c>
      <c r="AR173" s="145">
        <v>1</v>
      </c>
      <c r="AS173" s="145">
        <v>1</v>
      </c>
      <c r="AT173" s="145">
        <v>1</v>
      </c>
      <c r="AU173" s="145">
        <f t="shared" si="55"/>
        <v>0</v>
      </c>
      <c r="AV173" s="145">
        <f t="shared" si="56"/>
        <v>1</v>
      </c>
      <c r="AW173" s="145">
        <f t="shared" si="57"/>
        <v>1</v>
      </c>
      <c r="AX173" s="145">
        <f t="shared" si="49"/>
        <v>1</v>
      </c>
      <c r="AY173" s="145">
        <f t="shared" si="58"/>
        <v>0</v>
      </c>
      <c r="AZ173" s="145">
        <f t="shared" si="59"/>
        <v>1</v>
      </c>
      <c r="BA173" s="146">
        <f t="shared" si="60"/>
        <v>0</v>
      </c>
      <c r="BB173" s="149">
        <f t="shared" si="63"/>
        <v>13</v>
      </c>
      <c r="BC173" s="150">
        <f t="shared" si="64"/>
        <v>13</v>
      </c>
      <c r="BD173" s="150">
        <f t="shared" si="65"/>
        <v>13</v>
      </c>
      <c r="BE173" s="211" t="str">
        <f t="shared" si="66"/>
        <v/>
      </c>
      <c r="BH173" s="173">
        <f>IF(AND(Input_Product=Elig!$C173,Elig_MatchAll_Ct&lt;22,$BC173=(Elig_MatchAll_Ct-1),AF173=0),C173,0)</f>
        <v>0</v>
      </c>
      <c r="BI173" s="173">
        <f>IF(AND(Input_Product=Elig!$C173,Elig_MatchAll_Ct&lt;22,$BC173=(Elig_MatchAll_Ct-1),AG173=0),D173,0)</f>
        <v>0</v>
      </c>
      <c r="BJ173" s="173">
        <f>IF(AND(Input_Product=Elig!$C173,Elig_MatchAll_Ct&lt;22,$BC173=(Elig_MatchAll_Ct-1),AH173=0),E173,0)</f>
        <v>0</v>
      </c>
      <c r="BK173" s="173">
        <f>IF(AND(Input_Product=Elig!$C173,Elig_MatchAll_Ct&lt;22,$BC173=(Elig_MatchAll_Ct-1),AI173=0),F173,0)</f>
        <v>0</v>
      </c>
      <c r="BL173" s="173">
        <f>IF(AND(Input_Product=Elig!$C173,Elig_MatchAll_Ct&lt;22,$BC173=(Elig_MatchAll_Ct-1),AJ173=0),G173,0)</f>
        <v>0</v>
      </c>
      <c r="BM173" s="173">
        <f>IF(AND(Input_Product=Elig!$C173,Elig_MatchAll_Ct&lt;22,$BC173=(Elig_MatchAll_Ct-1),AK173=0),H173,0)</f>
        <v>0</v>
      </c>
      <c r="BN173" s="173">
        <f>IF(AND(Input_Product=Elig!$C173,Elig_MatchAll_Ct&lt;22,$BC173=(Elig_MatchAll_Ct-1),AL173=0),I173,0)</f>
        <v>0</v>
      </c>
      <c r="BO173" s="173">
        <f>IF(AND(Input_Product=Elig!$C173,Elig_MatchAll_Ct&lt;22,$BC173=(Elig_MatchAll_Ct-1),AM173=0),J173,0)</f>
        <v>0</v>
      </c>
      <c r="BP173" s="173">
        <f>IF(AND(Input_Product=Elig!$C173,Elig_MatchAll_Ct&lt;22,$BC173=(Elig_MatchAll_Ct-1),AN173=0),K173,0)</f>
        <v>0</v>
      </c>
      <c r="BQ173" s="173">
        <f>IF(AND(Input_Product=Elig!$C173,Elig_MatchAll_Ct&lt;22,$BC173=(Elig_MatchAll_Ct-1),AP173=0),L173,0)</f>
        <v>0</v>
      </c>
      <c r="BR173" s="173">
        <f>IF(AND(Input_Product=Elig!$C173,Elig_MatchAll_Ct&lt;22,$BC173=(Elig_MatchAll_Ct-1),AO173=0),M173,0)</f>
        <v>0</v>
      </c>
      <c r="BS173" s="173">
        <f>IF(AND(Input_Product=Elig!$C173,Elig_MatchAll_Ct&lt;22,$BC173=(Elig_MatchAll_Ct-1),AQ173=0),N173,0)</f>
        <v>0</v>
      </c>
      <c r="BT173" s="173">
        <f>IF(AND(Input_Product=Elig!$C173,Elig_MatchAll_Ct&lt;22,$BC173=(Elig_MatchAll_Ct-1),AR173=0),O173,0)</f>
        <v>0</v>
      </c>
      <c r="BU173" s="173">
        <f>IF(AND(Input_Product=Elig!$C173,Elig_MatchAll_Ct&lt;22,$BC173=(Elig_MatchAll_Ct-1),AS173=0),P173,0)</f>
        <v>0</v>
      </c>
      <c r="BV173" s="174">
        <f>IF(AND(Input_Product=Elig!$C173,Elig_MatchAll_Ct&lt;22,$BC173=(Elig_MatchAll_Ct-1),AT173=0),Q173,0)</f>
        <v>0</v>
      </c>
      <c r="BW173" s="175">
        <f>IF(AND(Input_Product=Elig!$C173,Elig_MatchAll_Ct&lt;22,$BC173=(Elig_MatchAll_Ct-1),AU173=0),R173,0)</f>
        <v>0</v>
      </c>
      <c r="BX173" s="176">
        <f>IF(AND(Input_Product=Elig!$C173,Elig_MatchAll_Ct&lt;22,$BC173=(Elig_MatchAll_Ct-1),AU173=0),S173,0)</f>
        <v>0</v>
      </c>
      <c r="BY173" s="175">
        <f>IF(AND(Input_Product=Elig!$C173,Elig_MatchAll_Ct&lt;22,$BC173=(Elig_MatchAll_Ct-1),AV173=0),T173,0)</f>
        <v>0</v>
      </c>
      <c r="BZ173" s="176">
        <f>IF(AND(Input_Product=Elig!$C173,Elig_MatchAll_Ct&lt;22,$BC173=(Elig_MatchAll_Ct-1),AV173=0),U173,0)</f>
        <v>0</v>
      </c>
      <c r="CA173" s="175">
        <f>IF(AND(Input_Product=Elig!$C173,Elig_MatchAll_Ct&lt;22,$BC173=(Elig_MatchAll_Ct-1),AW173=0),V173,0)</f>
        <v>0</v>
      </c>
      <c r="CB173" s="176">
        <f>IF(AND(Input_Product=Elig!$C173,Elig_MatchAll_Ct&lt;22,$BC173=(Elig_MatchAll_Ct-1),AW173=0),W173,0)</f>
        <v>0</v>
      </c>
      <c r="CC173" s="175">
        <f>IF(AND(Input_Product=Elig!$C173,Elig_MatchAll_Ct&lt;22,$BC173=(Elig_MatchAll_Ct-1),AX173=0),X173,0)</f>
        <v>0</v>
      </c>
      <c r="CD173" s="176">
        <f>IF(AND(Input_Product=Elig!$C173,Elig_MatchAll_Ct&lt;22,$BC173=(Elig_MatchAll_Ct-1),AX173=0),Y173,0)</f>
        <v>0</v>
      </c>
      <c r="CE173" s="175">
        <f>IF(AND(Input_LTV&lt;=AE173,Input_Product=Elig!$C173,Elig_MatchAll_Ct&lt;22,$BC173=(Elig_MatchAll_Ct-1),AY173=0),Z173,0)</f>
        <v>0</v>
      </c>
      <c r="CF173" s="176">
        <f>IF(AND(Input_LTV&lt;=AE173,Input_Product=Elig!$C173,Elig_MatchAll_Ct&lt;22,$BC173=(Elig_MatchAll_Ct-1),AY173=0),AA173,0)</f>
        <v>0</v>
      </c>
      <c r="CG173" s="175">
        <f>IF(AND(Input_Product=Elig!$C173,Elig_MatchAll_Ct&lt;22,$BC173=(Elig_MatchAll_Ct-1),AZ173=0),AB173,0)</f>
        <v>0</v>
      </c>
      <c r="CH173" s="176">
        <f>IF(AND(Input_Product=Elig!$C173,Elig_MatchAll_Ct&lt;22,$BC173=(Elig_MatchAll_Ct-1),AZ173=0),AC173,0)</f>
        <v>0</v>
      </c>
      <c r="CI173" s="175">
        <f>IF(AND(Input_Product=Elig!$C173,Elig_MatchAll_Ct&lt;22,$BC173=(Elig_MatchAll_Ct-1),BA173=0),AD173,0)</f>
        <v>0</v>
      </c>
      <c r="CJ173" s="176">
        <f>IF(AND(Input_Product=Elig!$C173,Elig_MatchAll_Ct&lt;22,$BC173=(Elig_MatchAll_Ct-1),BA173=0),AE173,0)</f>
        <v>0</v>
      </c>
    </row>
    <row r="174" spans="1:88" ht="10.15" customHeight="1" x14ac:dyDescent="0.25">
      <c r="A174" s="1419" t="s">
        <v>76</v>
      </c>
      <c r="B174" s="1419" t="s">
        <v>867</v>
      </c>
      <c r="C174" s="116" t="str">
        <f t="shared" si="53"/>
        <v>NonQM OO</v>
      </c>
      <c r="D174" s="117" t="s">
        <v>1995</v>
      </c>
      <c r="E174" s="117" t="s">
        <v>166</v>
      </c>
      <c r="F174" s="117" t="s">
        <v>330</v>
      </c>
      <c r="G174" s="117" t="s">
        <v>303</v>
      </c>
      <c r="H174" s="117" t="s">
        <v>444</v>
      </c>
      <c r="I174" s="118" t="s">
        <v>16</v>
      </c>
      <c r="J174" s="118" t="s">
        <v>1130</v>
      </c>
      <c r="K174" s="118" t="s">
        <v>1398</v>
      </c>
      <c r="L174" s="117" t="s">
        <v>2025</v>
      </c>
      <c r="M174" s="117" t="s">
        <v>2289</v>
      </c>
      <c r="N174" s="117" t="s">
        <v>82</v>
      </c>
      <c r="O174" s="117" t="s">
        <v>309</v>
      </c>
      <c r="P174" s="117" t="s">
        <v>2433</v>
      </c>
      <c r="Q174" s="117" t="s">
        <v>293</v>
      </c>
      <c r="R174" s="117">
        <v>2000000.01</v>
      </c>
      <c r="S174" s="117">
        <v>2500000</v>
      </c>
      <c r="T174" s="117">
        <v>0</v>
      </c>
      <c r="U174" s="117">
        <f t="shared" ref="U174" si="68">S174</f>
        <v>2500000</v>
      </c>
      <c r="V174" s="117">
        <v>0</v>
      </c>
      <c r="W174" s="117">
        <v>55</v>
      </c>
      <c r="X174" s="117">
        <v>0</v>
      </c>
      <c r="Y174" s="117">
        <v>999</v>
      </c>
      <c r="Z174" s="119">
        <v>680</v>
      </c>
      <c r="AA174" s="119">
        <v>699</v>
      </c>
      <c r="AB174" s="1877">
        <v>0</v>
      </c>
      <c r="AC174" s="119">
        <v>999999</v>
      </c>
      <c r="AD174" s="117">
        <v>0</v>
      </c>
      <c r="AE174" s="117">
        <v>65</v>
      </c>
      <c r="AF174" s="144">
        <v>0</v>
      </c>
      <c r="AG174" s="145">
        <v>1</v>
      </c>
      <c r="AH174" s="145">
        <v>1</v>
      </c>
      <c r="AI174" s="145">
        <v>0</v>
      </c>
      <c r="AJ174" s="145">
        <v>0</v>
      </c>
      <c r="AK174" s="145">
        <v>0</v>
      </c>
      <c r="AL174" s="145">
        <v>0</v>
      </c>
      <c r="AM174" s="145">
        <v>1</v>
      </c>
      <c r="AN174" s="145">
        <v>1</v>
      </c>
      <c r="AO174" s="145">
        <v>1</v>
      </c>
      <c r="AP174" s="145">
        <v>1</v>
      </c>
      <c r="AQ174" s="145">
        <v>0</v>
      </c>
      <c r="AR174" s="145">
        <v>1</v>
      </c>
      <c r="AS174" s="145">
        <v>1</v>
      </c>
      <c r="AT174" s="145">
        <v>1</v>
      </c>
      <c r="AU174" s="145">
        <f t="shared" si="55"/>
        <v>0</v>
      </c>
      <c r="AV174" s="145">
        <f t="shared" si="56"/>
        <v>1</v>
      </c>
      <c r="AW174" s="145">
        <f t="shared" si="57"/>
        <v>1</v>
      </c>
      <c r="AX174" s="145">
        <f t="shared" si="49"/>
        <v>1</v>
      </c>
      <c r="AY174" s="145">
        <f t="shared" si="58"/>
        <v>0</v>
      </c>
      <c r="AZ174" s="145">
        <f t="shared" si="59"/>
        <v>1</v>
      </c>
      <c r="BA174" s="146">
        <f t="shared" si="60"/>
        <v>0</v>
      </c>
      <c r="BB174" s="149">
        <f t="shared" si="63"/>
        <v>13</v>
      </c>
      <c r="BC174" s="150">
        <f t="shared" si="64"/>
        <v>13</v>
      </c>
      <c r="BD174" s="150">
        <f t="shared" si="65"/>
        <v>13</v>
      </c>
      <c r="BE174" s="211" t="str">
        <f t="shared" si="66"/>
        <v/>
      </c>
      <c r="BH174" s="173">
        <f>IF(AND(Input_Product=Elig!$C174,Elig_MatchAll_Ct&lt;22,$BC174=(Elig_MatchAll_Ct-1),AF174=0),C174,0)</f>
        <v>0</v>
      </c>
      <c r="BI174" s="173">
        <f>IF(AND(Input_Product=Elig!$C174,Elig_MatchAll_Ct&lt;22,$BC174=(Elig_MatchAll_Ct-1),AG174=0),D174,0)</f>
        <v>0</v>
      </c>
      <c r="BJ174" s="173">
        <f>IF(AND(Input_Product=Elig!$C174,Elig_MatchAll_Ct&lt;22,$BC174=(Elig_MatchAll_Ct-1),AH174=0),E174,0)</f>
        <v>0</v>
      </c>
      <c r="BK174" s="173">
        <f>IF(AND(Input_Product=Elig!$C174,Elig_MatchAll_Ct&lt;22,$BC174=(Elig_MatchAll_Ct-1),AI174=0),F174,0)</f>
        <v>0</v>
      </c>
      <c r="BL174" s="173">
        <f>IF(AND(Input_Product=Elig!$C174,Elig_MatchAll_Ct&lt;22,$BC174=(Elig_MatchAll_Ct-1),AJ174=0),G174,0)</f>
        <v>0</v>
      </c>
      <c r="BM174" s="173">
        <f>IF(AND(Input_Product=Elig!$C174,Elig_MatchAll_Ct&lt;22,$BC174=(Elig_MatchAll_Ct-1),AK174=0),H174,0)</f>
        <v>0</v>
      </c>
      <c r="BN174" s="173">
        <f>IF(AND(Input_Product=Elig!$C174,Elig_MatchAll_Ct&lt;22,$BC174=(Elig_MatchAll_Ct-1),AL174=0),I174,0)</f>
        <v>0</v>
      </c>
      <c r="BO174" s="173">
        <f>IF(AND(Input_Product=Elig!$C174,Elig_MatchAll_Ct&lt;22,$BC174=(Elig_MatchAll_Ct-1),AM174=0),J174,0)</f>
        <v>0</v>
      </c>
      <c r="BP174" s="173">
        <f>IF(AND(Input_Product=Elig!$C174,Elig_MatchAll_Ct&lt;22,$BC174=(Elig_MatchAll_Ct-1),AN174=0),K174,0)</f>
        <v>0</v>
      </c>
      <c r="BQ174" s="173">
        <f>IF(AND(Input_Product=Elig!$C174,Elig_MatchAll_Ct&lt;22,$BC174=(Elig_MatchAll_Ct-1),AP174=0),L174,0)</f>
        <v>0</v>
      </c>
      <c r="BR174" s="173">
        <f>IF(AND(Input_Product=Elig!$C174,Elig_MatchAll_Ct&lt;22,$BC174=(Elig_MatchAll_Ct-1),AO174=0),M174,0)</f>
        <v>0</v>
      </c>
      <c r="BS174" s="173">
        <f>IF(AND(Input_Product=Elig!$C174,Elig_MatchAll_Ct&lt;22,$BC174=(Elig_MatchAll_Ct-1),AQ174=0),N174,0)</f>
        <v>0</v>
      </c>
      <c r="BT174" s="173">
        <f>IF(AND(Input_Product=Elig!$C174,Elig_MatchAll_Ct&lt;22,$BC174=(Elig_MatchAll_Ct-1),AR174=0),O174,0)</f>
        <v>0</v>
      </c>
      <c r="BU174" s="173">
        <f>IF(AND(Input_Product=Elig!$C174,Elig_MatchAll_Ct&lt;22,$BC174=(Elig_MatchAll_Ct-1),AS174=0),P174,0)</f>
        <v>0</v>
      </c>
      <c r="BV174" s="174">
        <f>IF(AND(Input_Product=Elig!$C174,Elig_MatchAll_Ct&lt;22,$BC174=(Elig_MatchAll_Ct-1),AT174=0),Q174,0)</f>
        <v>0</v>
      </c>
      <c r="BW174" s="175">
        <f>IF(AND(Input_Product=Elig!$C174,Elig_MatchAll_Ct&lt;22,$BC174=(Elig_MatchAll_Ct-1),AU174=0),R174,0)</f>
        <v>0</v>
      </c>
      <c r="BX174" s="176">
        <f>IF(AND(Input_Product=Elig!$C174,Elig_MatchAll_Ct&lt;22,$BC174=(Elig_MatchAll_Ct-1),AU174=0),S174,0)</f>
        <v>0</v>
      </c>
      <c r="BY174" s="175">
        <f>IF(AND(Input_Product=Elig!$C174,Elig_MatchAll_Ct&lt;22,$BC174=(Elig_MatchAll_Ct-1),AV174=0),T174,0)</f>
        <v>0</v>
      </c>
      <c r="BZ174" s="176">
        <f>IF(AND(Input_Product=Elig!$C174,Elig_MatchAll_Ct&lt;22,$BC174=(Elig_MatchAll_Ct-1),AV174=0),U174,0)</f>
        <v>0</v>
      </c>
      <c r="CA174" s="175">
        <f>IF(AND(Input_Product=Elig!$C174,Elig_MatchAll_Ct&lt;22,$BC174=(Elig_MatchAll_Ct-1),AW174=0),V174,0)</f>
        <v>0</v>
      </c>
      <c r="CB174" s="176">
        <f>IF(AND(Input_Product=Elig!$C174,Elig_MatchAll_Ct&lt;22,$BC174=(Elig_MatchAll_Ct-1),AW174=0),W174,0)</f>
        <v>0</v>
      </c>
      <c r="CC174" s="175">
        <f>IF(AND(Input_Product=Elig!$C174,Elig_MatchAll_Ct&lt;22,$BC174=(Elig_MatchAll_Ct-1),AX174=0),X174,0)</f>
        <v>0</v>
      </c>
      <c r="CD174" s="176">
        <f>IF(AND(Input_Product=Elig!$C174,Elig_MatchAll_Ct&lt;22,$BC174=(Elig_MatchAll_Ct-1),AX174=0),Y174,0)</f>
        <v>0</v>
      </c>
      <c r="CE174" s="175">
        <f>IF(AND(Input_LTV&lt;=AE174,Input_Product=Elig!$C174,Elig_MatchAll_Ct&lt;22,$BC174=(Elig_MatchAll_Ct-1),AY174=0),Z174,0)</f>
        <v>0</v>
      </c>
      <c r="CF174" s="176">
        <f>IF(AND(Input_LTV&lt;=AE174,Input_Product=Elig!$C174,Elig_MatchAll_Ct&lt;22,$BC174=(Elig_MatchAll_Ct-1),AY174=0),AA174,0)</f>
        <v>0</v>
      </c>
      <c r="CG174" s="175">
        <f>IF(AND(Input_Product=Elig!$C174,Elig_MatchAll_Ct&lt;22,$BC174=(Elig_MatchAll_Ct-1),AZ174=0),AB174,0)</f>
        <v>0</v>
      </c>
      <c r="CH174" s="176">
        <f>IF(AND(Input_Product=Elig!$C174,Elig_MatchAll_Ct&lt;22,$BC174=(Elig_MatchAll_Ct-1),AZ174=0),AC174,0)</f>
        <v>0</v>
      </c>
      <c r="CI174" s="175">
        <f>IF(AND(Input_Product=Elig!$C174,Elig_MatchAll_Ct&lt;22,$BC174=(Elig_MatchAll_Ct-1),BA174=0),AD174,0)</f>
        <v>0</v>
      </c>
      <c r="CJ174" s="176">
        <f>IF(AND(Input_Product=Elig!$C174,Elig_MatchAll_Ct&lt;22,$BC174=(Elig_MatchAll_Ct-1),BA174=0),AE174,0)</f>
        <v>0</v>
      </c>
    </row>
    <row r="175" spans="1:88" ht="10.15" customHeight="1" x14ac:dyDescent="0.25">
      <c r="A175" s="1419" t="s">
        <v>76</v>
      </c>
      <c r="B175" s="1419" t="s">
        <v>868</v>
      </c>
      <c r="C175" s="116" t="str">
        <f t="shared" si="53"/>
        <v>NonQM OO</v>
      </c>
      <c r="D175" s="117" t="s">
        <v>1995</v>
      </c>
      <c r="E175" s="117" t="s">
        <v>166</v>
      </c>
      <c r="F175" s="117" t="s">
        <v>330</v>
      </c>
      <c r="G175" s="117" t="s">
        <v>303</v>
      </c>
      <c r="H175" s="117" t="s">
        <v>444</v>
      </c>
      <c r="I175" s="118" t="s">
        <v>16</v>
      </c>
      <c r="J175" s="118" t="s">
        <v>1130</v>
      </c>
      <c r="K175" s="118" t="s">
        <v>1398</v>
      </c>
      <c r="L175" s="117" t="s">
        <v>2025</v>
      </c>
      <c r="M175" s="117" t="s">
        <v>2289</v>
      </c>
      <c r="N175" s="117" t="s">
        <v>82</v>
      </c>
      <c r="O175" s="117" t="s">
        <v>309</v>
      </c>
      <c r="P175" s="117" t="s">
        <v>2433</v>
      </c>
      <c r="Q175" s="117" t="s">
        <v>293</v>
      </c>
      <c r="R175" s="117">
        <v>2000000.01</v>
      </c>
      <c r="S175" s="117">
        <v>2500000</v>
      </c>
      <c r="T175" s="117">
        <v>0</v>
      </c>
      <c r="U175" s="117">
        <f t="shared" si="67"/>
        <v>2500000</v>
      </c>
      <c r="V175" s="117">
        <v>0</v>
      </c>
      <c r="W175" s="117">
        <v>55</v>
      </c>
      <c r="X175" s="117">
        <v>0</v>
      </c>
      <c r="Y175" s="117">
        <v>999</v>
      </c>
      <c r="Z175" s="119">
        <v>660</v>
      </c>
      <c r="AA175" s="119">
        <v>679</v>
      </c>
      <c r="AB175" s="1877">
        <v>0</v>
      </c>
      <c r="AC175" s="119">
        <v>999999</v>
      </c>
      <c r="AD175" s="117">
        <v>0</v>
      </c>
      <c r="AE175" s="117">
        <v>65</v>
      </c>
      <c r="AF175" s="144">
        <v>0</v>
      </c>
      <c r="AG175" s="145">
        <v>1</v>
      </c>
      <c r="AH175" s="145">
        <v>1</v>
      </c>
      <c r="AI175" s="145">
        <v>0</v>
      </c>
      <c r="AJ175" s="145">
        <v>0</v>
      </c>
      <c r="AK175" s="145">
        <v>0</v>
      </c>
      <c r="AL175" s="145">
        <v>0</v>
      </c>
      <c r="AM175" s="145">
        <v>1</v>
      </c>
      <c r="AN175" s="145">
        <v>1</v>
      </c>
      <c r="AO175" s="145">
        <v>1</v>
      </c>
      <c r="AP175" s="145">
        <v>1</v>
      </c>
      <c r="AQ175" s="145">
        <v>0</v>
      </c>
      <c r="AR175" s="145">
        <v>1</v>
      </c>
      <c r="AS175" s="145">
        <v>1</v>
      </c>
      <c r="AT175" s="145">
        <v>1</v>
      </c>
      <c r="AU175" s="145">
        <f t="shared" si="55"/>
        <v>0</v>
      </c>
      <c r="AV175" s="145">
        <f t="shared" si="56"/>
        <v>1</v>
      </c>
      <c r="AW175" s="145">
        <f t="shared" si="57"/>
        <v>1</v>
      </c>
      <c r="AX175" s="145">
        <f t="shared" si="49"/>
        <v>1</v>
      </c>
      <c r="AY175" s="145">
        <f t="shared" si="58"/>
        <v>0</v>
      </c>
      <c r="AZ175" s="145">
        <f t="shared" si="59"/>
        <v>1</v>
      </c>
      <c r="BA175" s="146">
        <f t="shared" si="60"/>
        <v>0</v>
      </c>
      <c r="BB175" s="149">
        <f t="shared" si="63"/>
        <v>13</v>
      </c>
      <c r="BC175" s="150">
        <f t="shared" si="64"/>
        <v>13</v>
      </c>
      <c r="BD175" s="150">
        <f t="shared" si="65"/>
        <v>13</v>
      </c>
      <c r="BE175" s="211" t="str">
        <f t="shared" si="66"/>
        <v/>
      </c>
      <c r="BH175" s="188">
        <f>IF(AND(Input_Product=Elig!$C175,Elig_MatchAll_Ct&lt;22,$BC175=(Elig_MatchAll_Ct-1),AF175=0),C175,0)</f>
        <v>0</v>
      </c>
      <c r="BI175" s="188">
        <f>IF(AND(Input_Product=Elig!$C175,Elig_MatchAll_Ct&lt;22,$BC175=(Elig_MatchAll_Ct-1),AG175=0),D175,0)</f>
        <v>0</v>
      </c>
      <c r="BJ175" s="188">
        <f>IF(AND(Input_Product=Elig!$C175,Elig_MatchAll_Ct&lt;22,$BC175=(Elig_MatchAll_Ct-1),AH175=0),E175,0)</f>
        <v>0</v>
      </c>
      <c r="BK175" s="188">
        <f>IF(AND(Input_Product=Elig!$C175,Elig_MatchAll_Ct&lt;22,$BC175=(Elig_MatchAll_Ct-1),AI175=0),F175,0)</f>
        <v>0</v>
      </c>
      <c r="BL175" s="188">
        <f>IF(AND(Input_Product=Elig!$C175,Elig_MatchAll_Ct&lt;22,$BC175=(Elig_MatchAll_Ct-1),AJ175=0),G175,0)</f>
        <v>0</v>
      </c>
      <c r="BM175" s="188">
        <f>IF(AND(Input_Product=Elig!$C175,Elig_MatchAll_Ct&lt;22,$BC175=(Elig_MatchAll_Ct-1),AK175=0),H175,0)</f>
        <v>0</v>
      </c>
      <c r="BN175" s="188">
        <f>IF(AND(Input_Product=Elig!$C175,Elig_MatchAll_Ct&lt;22,$BC175=(Elig_MatchAll_Ct-1),AL175=0),I175,0)</f>
        <v>0</v>
      </c>
      <c r="BO175" s="188">
        <f>IF(AND(Input_Product=Elig!$C175,Elig_MatchAll_Ct&lt;22,$BC175=(Elig_MatchAll_Ct-1),AM175=0),J175,0)</f>
        <v>0</v>
      </c>
      <c r="BP175" s="188">
        <f>IF(AND(Input_Product=Elig!$C175,Elig_MatchAll_Ct&lt;22,$BC175=(Elig_MatchAll_Ct-1),AN175=0),K175,0)</f>
        <v>0</v>
      </c>
      <c r="BQ175" s="188">
        <f>IF(AND(Input_Product=Elig!$C175,Elig_MatchAll_Ct&lt;22,$BC175=(Elig_MatchAll_Ct-1),AP175=0),L175,0)</f>
        <v>0</v>
      </c>
      <c r="BR175" s="188">
        <f>IF(AND(Input_Product=Elig!$C175,Elig_MatchAll_Ct&lt;22,$BC175=(Elig_MatchAll_Ct-1),AO175=0),M175,0)</f>
        <v>0</v>
      </c>
      <c r="BS175" s="188">
        <f>IF(AND(Input_Product=Elig!$C175,Elig_MatchAll_Ct&lt;22,$BC175=(Elig_MatchAll_Ct-1),AQ175=0),N175,0)</f>
        <v>0</v>
      </c>
      <c r="BT175" s="188">
        <f>IF(AND(Input_Product=Elig!$C175,Elig_MatchAll_Ct&lt;22,$BC175=(Elig_MatchAll_Ct-1),AR175=0),O175,0)</f>
        <v>0</v>
      </c>
      <c r="BU175" s="188">
        <f>IF(AND(Input_Product=Elig!$C175,Elig_MatchAll_Ct&lt;22,$BC175=(Elig_MatchAll_Ct-1),AS175=0),P175,0)</f>
        <v>0</v>
      </c>
      <c r="BV175" s="189">
        <f>IF(AND(Input_Product=Elig!$C175,Elig_MatchAll_Ct&lt;22,$BC175=(Elig_MatchAll_Ct-1),AT175=0),Q175,0)</f>
        <v>0</v>
      </c>
      <c r="BW175" s="271">
        <f>IF(AND(Input_Product=Elig!$C175,Elig_MatchAll_Ct&lt;22,$BC175=(Elig_MatchAll_Ct-1),AU175=0),R175,0)</f>
        <v>0</v>
      </c>
      <c r="BX175" s="272">
        <f>IF(AND(Input_Product=Elig!$C175,Elig_MatchAll_Ct&lt;22,$BC175=(Elig_MatchAll_Ct-1),AU175=0),S175,0)</f>
        <v>0</v>
      </c>
      <c r="BY175" s="271">
        <f>IF(AND(Input_Product=Elig!$C175,Elig_MatchAll_Ct&lt;22,$BC175=(Elig_MatchAll_Ct-1),AV175=0),T175,0)</f>
        <v>0</v>
      </c>
      <c r="BZ175" s="272">
        <f>IF(AND(Input_Product=Elig!$C175,Elig_MatchAll_Ct&lt;22,$BC175=(Elig_MatchAll_Ct-1),AV175=0),U175,0)</f>
        <v>0</v>
      </c>
      <c r="CA175" s="271">
        <f>IF(AND(Input_Product=Elig!$C175,Elig_MatchAll_Ct&lt;22,$BC175=(Elig_MatchAll_Ct-1),AW175=0),V175,0)</f>
        <v>0</v>
      </c>
      <c r="CB175" s="272">
        <f>IF(AND(Input_Product=Elig!$C175,Elig_MatchAll_Ct&lt;22,$BC175=(Elig_MatchAll_Ct-1),AW175=0),W175,0)</f>
        <v>0</v>
      </c>
      <c r="CC175" s="271">
        <f>IF(AND(Input_Product=Elig!$C175,Elig_MatchAll_Ct&lt;22,$BC175=(Elig_MatchAll_Ct-1),AX175=0),X175,0)</f>
        <v>0</v>
      </c>
      <c r="CD175" s="272">
        <f>IF(AND(Input_Product=Elig!$C175,Elig_MatchAll_Ct&lt;22,$BC175=(Elig_MatchAll_Ct-1),AX175=0),Y175,0)</f>
        <v>0</v>
      </c>
      <c r="CE175" s="271">
        <f>IF(AND(Input_LTV&lt;=AE175,Input_Product=Elig!$C175,Elig_MatchAll_Ct&lt;22,$BC175=(Elig_MatchAll_Ct-1),AY175=0),Z175,0)</f>
        <v>0</v>
      </c>
      <c r="CF175" s="272">
        <f>IF(AND(Input_LTV&lt;=AE175,Input_Product=Elig!$C175,Elig_MatchAll_Ct&lt;22,$BC175=(Elig_MatchAll_Ct-1),AY175=0),AA175,0)</f>
        <v>0</v>
      </c>
      <c r="CG175" s="271">
        <f>IF(AND(Input_Product=Elig!$C175,Elig_MatchAll_Ct&lt;22,$BC175=(Elig_MatchAll_Ct-1),AZ175=0),AB175,0)</f>
        <v>0</v>
      </c>
      <c r="CH175" s="272">
        <f>IF(AND(Input_Product=Elig!$C175,Elig_MatchAll_Ct&lt;22,$BC175=(Elig_MatchAll_Ct-1),AZ175=0),AC175,0)</f>
        <v>0</v>
      </c>
      <c r="CI175" s="271">
        <f>IF(AND(Input_Product=Elig!$C175,Elig_MatchAll_Ct&lt;22,$BC175=(Elig_MatchAll_Ct-1),BA175=0),AD175,0)</f>
        <v>0</v>
      </c>
      <c r="CJ175" s="272">
        <f>IF(AND(Input_Product=Elig!$C175,Elig_MatchAll_Ct&lt;22,$BC175=(Elig_MatchAll_Ct-1),BA175=0),AE175,0)</f>
        <v>0</v>
      </c>
    </row>
    <row r="176" spans="1:88" ht="10.15" customHeight="1" x14ac:dyDescent="0.25">
      <c r="A176" s="1419" t="s">
        <v>76</v>
      </c>
      <c r="B176" s="1419" t="s">
        <v>869</v>
      </c>
      <c r="C176" s="123" t="str">
        <f t="shared" si="53"/>
        <v>NonQM OO</v>
      </c>
      <c r="D176" s="124" t="s">
        <v>1995</v>
      </c>
      <c r="E176" s="125" t="s">
        <v>166</v>
      </c>
      <c r="F176" s="125" t="s">
        <v>330</v>
      </c>
      <c r="G176" s="125" t="s">
        <v>465</v>
      </c>
      <c r="H176" s="125" t="s">
        <v>135</v>
      </c>
      <c r="I176" s="124" t="s">
        <v>273</v>
      </c>
      <c r="J176" s="124" t="s">
        <v>1130</v>
      </c>
      <c r="K176" s="124" t="s">
        <v>1398</v>
      </c>
      <c r="L176" s="125" t="s">
        <v>2025</v>
      </c>
      <c r="M176" s="125" t="s">
        <v>2289</v>
      </c>
      <c r="N176" s="125" t="s">
        <v>82</v>
      </c>
      <c r="O176" s="125" t="s">
        <v>309</v>
      </c>
      <c r="P176" s="125" t="s">
        <v>2433</v>
      </c>
      <c r="Q176" s="125" t="s">
        <v>293</v>
      </c>
      <c r="R176" s="124">
        <v>2000000.01</v>
      </c>
      <c r="S176" s="124">
        <v>2500000</v>
      </c>
      <c r="T176" s="124">
        <v>0</v>
      </c>
      <c r="U176" s="124">
        <v>0</v>
      </c>
      <c r="V176" s="124">
        <v>0</v>
      </c>
      <c r="W176" s="124">
        <v>55</v>
      </c>
      <c r="X176" s="124">
        <v>0</v>
      </c>
      <c r="Y176" s="124">
        <v>999</v>
      </c>
      <c r="Z176" s="126">
        <v>720</v>
      </c>
      <c r="AA176" s="126">
        <v>999</v>
      </c>
      <c r="AB176" s="1879">
        <v>0</v>
      </c>
      <c r="AC176" s="126">
        <v>999999</v>
      </c>
      <c r="AD176" s="124">
        <v>0</v>
      </c>
      <c r="AE176" s="124">
        <v>80</v>
      </c>
      <c r="AF176" s="144">
        <v>0</v>
      </c>
      <c r="AG176" s="145">
        <v>1</v>
      </c>
      <c r="AH176" s="145">
        <v>1</v>
      </c>
      <c r="AI176" s="145">
        <v>0</v>
      </c>
      <c r="AJ176" s="145">
        <v>0</v>
      </c>
      <c r="AK176" s="145">
        <v>1</v>
      </c>
      <c r="AL176" s="145">
        <v>1</v>
      </c>
      <c r="AM176" s="145">
        <v>1</v>
      </c>
      <c r="AN176" s="145">
        <v>1</v>
      </c>
      <c r="AO176" s="145">
        <v>1</v>
      </c>
      <c r="AP176" s="145">
        <v>1</v>
      </c>
      <c r="AQ176" s="145">
        <v>0</v>
      </c>
      <c r="AR176" s="145">
        <v>1</v>
      </c>
      <c r="AS176" s="145">
        <v>1</v>
      </c>
      <c r="AT176" s="145">
        <v>1</v>
      </c>
      <c r="AU176" s="145">
        <f t="shared" si="55"/>
        <v>0</v>
      </c>
      <c r="AV176" s="145">
        <f t="shared" si="56"/>
        <v>1</v>
      </c>
      <c r="AW176" s="145">
        <f t="shared" si="57"/>
        <v>1</v>
      </c>
      <c r="AX176" s="145">
        <f t="shared" si="49"/>
        <v>1</v>
      </c>
      <c r="AY176" s="145">
        <f t="shared" si="58"/>
        <v>1</v>
      </c>
      <c r="AZ176" s="145">
        <f t="shared" si="59"/>
        <v>1</v>
      </c>
      <c r="BA176" s="146">
        <f t="shared" si="60"/>
        <v>1</v>
      </c>
      <c r="BB176" s="149">
        <f t="shared" si="63"/>
        <v>17</v>
      </c>
      <c r="BC176" s="150">
        <f t="shared" si="64"/>
        <v>16</v>
      </c>
      <c r="BD176" s="150">
        <f t="shared" si="65"/>
        <v>17</v>
      </c>
      <c r="BE176" s="211" t="str">
        <f t="shared" si="66"/>
        <v/>
      </c>
      <c r="BH176" s="184">
        <f>IF(AND(Input_Product=Elig!$C176,Elig_MatchAll_Ct&lt;22,$BC176=(Elig_MatchAll_Ct-1),AF176=0),C176,0)</f>
        <v>0</v>
      </c>
      <c r="BI176" s="184">
        <f>IF(AND(Input_Product=Elig!$C176,Elig_MatchAll_Ct&lt;22,$BC176=(Elig_MatchAll_Ct-1),AG176=0),D176,0)</f>
        <v>0</v>
      </c>
      <c r="BJ176" s="184">
        <f>IF(AND(Input_Product=Elig!$C176,Elig_MatchAll_Ct&lt;22,$BC176=(Elig_MatchAll_Ct-1),AH176=0),E176,0)</f>
        <v>0</v>
      </c>
      <c r="BK176" s="184">
        <f>IF(AND(Input_Product=Elig!$C176,Elig_MatchAll_Ct&lt;22,$BC176=(Elig_MatchAll_Ct-1),AI176=0),F176,0)</f>
        <v>0</v>
      </c>
      <c r="BL176" s="184">
        <f>IF(AND(Input_Product=Elig!$C176,Elig_MatchAll_Ct&lt;22,$BC176=(Elig_MatchAll_Ct-1),AJ176=0),G176,0)</f>
        <v>0</v>
      </c>
      <c r="BM176" s="184">
        <f>IF(AND(Input_Product=Elig!$C176,Elig_MatchAll_Ct&lt;22,$BC176=(Elig_MatchAll_Ct-1),AK176=0),H176,0)</f>
        <v>0</v>
      </c>
      <c r="BN176" s="184">
        <f>IF(AND(Input_Product=Elig!$C176,Elig_MatchAll_Ct&lt;22,$BC176=(Elig_MatchAll_Ct-1),AL176=0),I176,0)</f>
        <v>0</v>
      </c>
      <c r="BO176" s="184">
        <f>IF(AND(Input_Product=Elig!$C176,Elig_MatchAll_Ct&lt;22,$BC176=(Elig_MatchAll_Ct-1),AM176=0),J176,0)</f>
        <v>0</v>
      </c>
      <c r="BP176" s="184">
        <f>IF(AND(Input_Product=Elig!$C176,Elig_MatchAll_Ct&lt;22,$BC176=(Elig_MatchAll_Ct-1),AN176=0),K176,0)</f>
        <v>0</v>
      </c>
      <c r="BQ176" s="184">
        <f>IF(AND(Input_Product=Elig!$C176,Elig_MatchAll_Ct&lt;22,$BC176=(Elig_MatchAll_Ct-1),AP176=0),L176,0)</f>
        <v>0</v>
      </c>
      <c r="BR176" s="184">
        <f>IF(AND(Input_Product=Elig!$C176,Elig_MatchAll_Ct&lt;22,$BC176=(Elig_MatchAll_Ct-1),AO176=0),M176,0)</f>
        <v>0</v>
      </c>
      <c r="BS176" s="184">
        <f>IF(AND(Input_Product=Elig!$C176,Elig_MatchAll_Ct&lt;22,$BC176=(Elig_MatchAll_Ct-1),AQ176=0),N176,0)</f>
        <v>0</v>
      </c>
      <c r="BT176" s="184">
        <f>IF(AND(Input_Product=Elig!$C176,Elig_MatchAll_Ct&lt;22,$BC176=(Elig_MatchAll_Ct-1),AR176=0),O176,0)</f>
        <v>0</v>
      </c>
      <c r="BU176" s="184">
        <f>IF(AND(Input_Product=Elig!$C176,Elig_MatchAll_Ct&lt;22,$BC176=(Elig_MatchAll_Ct-1),AS176=0),P176,0)</f>
        <v>0</v>
      </c>
      <c r="BV176" s="185">
        <f>IF(AND(Input_Product=Elig!$C176,Elig_MatchAll_Ct&lt;22,$BC176=(Elig_MatchAll_Ct-1),AT176=0),Q176,0)</f>
        <v>0</v>
      </c>
      <c r="BW176" s="186">
        <f>IF(AND(Input_Product=Elig!$C176,Elig_MatchAll_Ct&lt;22,$BC176=(Elig_MatchAll_Ct-1),AU176=0),R176,0)</f>
        <v>0</v>
      </c>
      <c r="BX176" s="187">
        <f>IF(AND(Input_Product=Elig!$C176,Elig_MatchAll_Ct&lt;22,$BC176=(Elig_MatchAll_Ct-1),AU176=0),S176,0)</f>
        <v>0</v>
      </c>
      <c r="BY176" s="186">
        <f>IF(AND(Input_Product=Elig!$C176,Elig_MatchAll_Ct&lt;22,$BC176=(Elig_MatchAll_Ct-1),AV176=0),T176,0)</f>
        <v>0</v>
      </c>
      <c r="BZ176" s="187">
        <f>IF(AND(Input_Product=Elig!$C176,Elig_MatchAll_Ct&lt;22,$BC176=(Elig_MatchAll_Ct-1),AV176=0),U176,0)</f>
        <v>0</v>
      </c>
      <c r="CA176" s="186">
        <f>IF(AND(Input_Product=Elig!$C176,Elig_MatchAll_Ct&lt;22,$BC176=(Elig_MatchAll_Ct-1),AW176=0),V176,0)</f>
        <v>0</v>
      </c>
      <c r="CB176" s="187">
        <f>IF(AND(Input_Product=Elig!$C176,Elig_MatchAll_Ct&lt;22,$BC176=(Elig_MatchAll_Ct-1),AW176=0),W176,0)</f>
        <v>0</v>
      </c>
      <c r="CC176" s="186">
        <f>IF(AND(Input_Product=Elig!$C176,Elig_MatchAll_Ct&lt;22,$BC176=(Elig_MatchAll_Ct-1),AX176=0),X176,0)</f>
        <v>0</v>
      </c>
      <c r="CD176" s="187">
        <f>IF(AND(Input_Product=Elig!$C176,Elig_MatchAll_Ct&lt;22,$BC176=(Elig_MatchAll_Ct-1),AX176=0),Y176,0)</f>
        <v>0</v>
      </c>
      <c r="CE176" s="186">
        <f>IF(AND(Input_LTV&lt;=AE176,Input_Product=Elig!$C176,Elig_MatchAll_Ct&lt;22,$BC176=(Elig_MatchAll_Ct-1),AY176=0),Z176,0)</f>
        <v>0</v>
      </c>
      <c r="CF176" s="187">
        <f>IF(AND(Input_LTV&lt;=AE176,Input_Product=Elig!$C176,Elig_MatchAll_Ct&lt;22,$BC176=(Elig_MatchAll_Ct-1),AY176=0),AA176,0)</f>
        <v>0</v>
      </c>
      <c r="CG176" s="186">
        <f>IF(AND(Input_Product=Elig!$C176,Elig_MatchAll_Ct&lt;22,$BC176=(Elig_MatchAll_Ct-1),AZ176=0),AB176,0)</f>
        <v>0</v>
      </c>
      <c r="CH176" s="187">
        <f>IF(AND(Input_Product=Elig!$C176,Elig_MatchAll_Ct&lt;22,$BC176=(Elig_MatchAll_Ct-1),AZ176=0),AC176,0)</f>
        <v>0</v>
      </c>
      <c r="CI176" s="186">
        <f>IF(AND(Input_Product=Elig!$C176,Elig_MatchAll_Ct&lt;22,$BC176=(Elig_MatchAll_Ct-1),BA176=0),AD176,0)</f>
        <v>0</v>
      </c>
      <c r="CJ176" s="187">
        <f>IF(AND(Input_Product=Elig!$C176,Elig_MatchAll_Ct&lt;22,$BC176=(Elig_MatchAll_Ct-1),BA176=0),AE176,0)</f>
        <v>0</v>
      </c>
    </row>
    <row r="177" spans="1:89" ht="10.15" customHeight="1" x14ac:dyDescent="0.25">
      <c r="A177" s="1419" t="s">
        <v>76</v>
      </c>
      <c r="B177" s="1419" t="s">
        <v>870</v>
      </c>
      <c r="C177" s="116" t="str">
        <f t="shared" si="53"/>
        <v>NonQM OO</v>
      </c>
      <c r="D177" s="117" t="s">
        <v>1995</v>
      </c>
      <c r="E177" s="117" t="s">
        <v>166</v>
      </c>
      <c r="F177" s="117" t="s">
        <v>330</v>
      </c>
      <c r="G177" s="117" t="s">
        <v>465</v>
      </c>
      <c r="H177" s="117" t="s">
        <v>135</v>
      </c>
      <c r="I177" s="118" t="s">
        <v>273</v>
      </c>
      <c r="J177" s="118" t="s">
        <v>1130</v>
      </c>
      <c r="K177" s="118" t="s">
        <v>1398</v>
      </c>
      <c r="L177" s="117" t="s">
        <v>2025</v>
      </c>
      <c r="M177" s="117" t="s">
        <v>2289</v>
      </c>
      <c r="N177" s="117" t="s">
        <v>82</v>
      </c>
      <c r="O177" s="117" t="s">
        <v>309</v>
      </c>
      <c r="P177" s="117" t="s">
        <v>2433</v>
      </c>
      <c r="Q177" s="117" t="s">
        <v>293</v>
      </c>
      <c r="R177" s="117">
        <v>2000000.01</v>
      </c>
      <c r="S177" s="117">
        <v>2500000</v>
      </c>
      <c r="T177" s="117">
        <v>0</v>
      </c>
      <c r="U177" s="117">
        <v>0</v>
      </c>
      <c r="V177" s="117">
        <v>0</v>
      </c>
      <c r="W177" s="117">
        <v>55</v>
      </c>
      <c r="X177" s="117">
        <v>0</v>
      </c>
      <c r="Y177" s="117">
        <v>999</v>
      </c>
      <c r="Z177" s="119">
        <v>700</v>
      </c>
      <c r="AA177" s="119">
        <v>719</v>
      </c>
      <c r="AB177" s="1877">
        <v>0</v>
      </c>
      <c r="AC177" s="119">
        <v>999999</v>
      </c>
      <c r="AD177" s="117">
        <v>0</v>
      </c>
      <c r="AE177" s="117">
        <v>75</v>
      </c>
      <c r="AF177" s="144">
        <v>0</v>
      </c>
      <c r="AG177" s="145">
        <v>1</v>
      </c>
      <c r="AH177" s="145">
        <v>1</v>
      </c>
      <c r="AI177" s="145">
        <v>0</v>
      </c>
      <c r="AJ177" s="145">
        <v>0</v>
      </c>
      <c r="AK177" s="145">
        <v>1</v>
      </c>
      <c r="AL177" s="145">
        <v>1</v>
      </c>
      <c r="AM177" s="145">
        <v>1</v>
      </c>
      <c r="AN177" s="145">
        <v>1</v>
      </c>
      <c r="AO177" s="145">
        <v>1</v>
      </c>
      <c r="AP177" s="145">
        <v>1</v>
      </c>
      <c r="AQ177" s="145">
        <v>0</v>
      </c>
      <c r="AR177" s="145">
        <v>1</v>
      </c>
      <c r="AS177" s="145">
        <v>1</v>
      </c>
      <c r="AT177" s="145">
        <v>1</v>
      </c>
      <c r="AU177" s="145">
        <f t="shared" si="55"/>
        <v>0</v>
      </c>
      <c r="AV177" s="145">
        <f t="shared" si="56"/>
        <v>1</v>
      </c>
      <c r="AW177" s="145">
        <f t="shared" si="57"/>
        <v>1</v>
      </c>
      <c r="AX177" s="145">
        <f t="shared" si="49"/>
        <v>1</v>
      </c>
      <c r="AY177" s="145">
        <f t="shared" si="58"/>
        <v>0</v>
      </c>
      <c r="AZ177" s="145">
        <f t="shared" si="59"/>
        <v>1</v>
      </c>
      <c r="BA177" s="146">
        <f t="shared" si="60"/>
        <v>1</v>
      </c>
      <c r="BB177" s="149">
        <f t="shared" si="63"/>
        <v>16</v>
      </c>
      <c r="BC177" s="150">
        <f t="shared" si="64"/>
        <v>15</v>
      </c>
      <c r="BD177" s="150">
        <f t="shared" si="65"/>
        <v>16</v>
      </c>
      <c r="BE177" s="211" t="str">
        <f t="shared" si="66"/>
        <v/>
      </c>
      <c r="BH177" s="173">
        <f>IF(AND(Input_Product=Elig!$C177,Elig_MatchAll_Ct&lt;22,$BC177=(Elig_MatchAll_Ct-1),AF177=0),C177,0)</f>
        <v>0</v>
      </c>
      <c r="BI177" s="173">
        <f>IF(AND(Input_Product=Elig!$C177,Elig_MatchAll_Ct&lt;22,$BC177=(Elig_MatchAll_Ct-1),AG177=0),D177,0)</f>
        <v>0</v>
      </c>
      <c r="BJ177" s="173">
        <f>IF(AND(Input_Product=Elig!$C177,Elig_MatchAll_Ct&lt;22,$BC177=(Elig_MatchAll_Ct-1),AH177=0),E177,0)</f>
        <v>0</v>
      </c>
      <c r="BK177" s="173">
        <f>IF(AND(Input_Product=Elig!$C177,Elig_MatchAll_Ct&lt;22,$BC177=(Elig_MatchAll_Ct-1),AI177=0),F177,0)</f>
        <v>0</v>
      </c>
      <c r="BL177" s="173">
        <f>IF(AND(Input_Product=Elig!$C177,Elig_MatchAll_Ct&lt;22,$BC177=(Elig_MatchAll_Ct-1),AJ177=0),G177,0)</f>
        <v>0</v>
      </c>
      <c r="BM177" s="173">
        <f>IF(AND(Input_Product=Elig!$C177,Elig_MatchAll_Ct&lt;22,$BC177=(Elig_MatchAll_Ct-1),AK177=0),H177,0)</f>
        <v>0</v>
      </c>
      <c r="BN177" s="173">
        <f>IF(AND(Input_Product=Elig!$C177,Elig_MatchAll_Ct&lt;22,$BC177=(Elig_MatchAll_Ct-1),AL177=0),I177,0)</f>
        <v>0</v>
      </c>
      <c r="BO177" s="173">
        <f>IF(AND(Input_Product=Elig!$C177,Elig_MatchAll_Ct&lt;22,$BC177=(Elig_MatchAll_Ct-1),AM177=0),J177,0)</f>
        <v>0</v>
      </c>
      <c r="BP177" s="173">
        <f>IF(AND(Input_Product=Elig!$C177,Elig_MatchAll_Ct&lt;22,$BC177=(Elig_MatchAll_Ct-1),AN177=0),K177,0)</f>
        <v>0</v>
      </c>
      <c r="BQ177" s="173">
        <f>IF(AND(Input_Product=Elig!$C177,Elig_MatchAll_Ct&lt;22,$BC177=(Elig_MatchAll_Ct-1),AP177=0),L177,0)</f>
        <v>0</v>
      </c>
      <c r="BR177" s="173">
        <f>IF(AND(Input_Product=Elig!$C177,Elig_MatchAll_Ct&lt;22,$BC177=(Elig_MatchAll_Ct-1),AO177=0),M177,0)</f>
        <v>0</v>
      </c>
      <c r="BS177" s="173">
        <f>IF(AND(Input_Product=Elig!$C177,Elig_MatchAll_Ct&lt;22,$BC177=(Elig_MatchAll_Ct-1),AQ177=0),N177,0)</f>
        <v>0</v>
      </c>
      <c r="BT177" s="173">
        <f>IF(AND(Input_Product=Elig!$C177,Elig_MatchAll_Ct&lt;22,$BC177=(Elig_MatchAll_Ct-1),AR177=0),O177,0)</f>
        <v>0</v>
      </c>
      <c r="BU177" s="173">
        <f>IF(AND(Input_Product=Elig!$C177,Elig_MatchAll_Ct&lt;22,$BC177=(Elig_MatchAll_Ct-1),AS177=0),P177,0)</f>
        <v>0</v>
      </c>
      <c r="BV177" s="174">
        <f>IF(AND(Input_Product=Elig!$C177,Elig_MatchAll_Ct&lt;22,$BC177=(Elig_MatchAll_Ct-1),AT177=0),Q177,0)</f>
        <v>0</v>
      </c>
      <c r="BW177" s="175">
        <f>IF(AND(Input_Product=Elig!$C177,Elig_MatchAll_Ct&lt;22,$BC177=(Elig_MatchAll_Ct-1),AU177=0),R177,0)</f>
        <v>0</v>
      </c>
      <c r="BX177" s="176">
        <f>IF(AND(Input_Product=Elig!$C177,Elig_MatchAll_Ct&lt;22,$BC177=(Elig_MatchAll_Ct-1),AU177=0),S177,0)</f>
        <v>0</v>
      </c>
      <c r="BY177" s="175">
        <f>IF(AND(Input_Product=Elig!$C177,Elig_MatchAll_Ct&lt;22,$BC177=(Elig_MatchAll_Ct-1),AV177=0),T177,0)</f>
        <v>0</v>
      </c>
      <c r="BZ177" s="176">
        <f>IF(AND(Input_Product=Elig!$C177,Elig_MatchAll_Ct&lt;22,$BC177=(Elig_MatchAll_Ct-1),AV177=0),U177,0)</f>
        <v>0</v>
      </c>
      <c r="CA177" s="175">
        <f>IF(AND(Input_Product=Elig!$C177,Elig_MatchAll_Ct&lt;22,$BC177=(Elig_MatchAll_Ct-1),AW177=0),V177,0)</f>
        <v>0</v>
      </c>
      <c r="CB177" s="176">
        <f>IF(AND(Input_Product=Elig!$C177,Elig_MatchAll_Ct&lt;22,$BC177=(Elig_MatchAll_Ct-1),AW177=0),W177,0)</f>
        <v>0</v>
      </c>
      <c r="CC177" s="175">
        <f>IF(AND(Input_Product=Elig!$C177,Elig_MatchAll_Ct&lt;22,$BC177=(Elig_MatchAll_Ct-1),AX177=0),X177,0)</f>
        <v>0</v>
      </c>
      <c r="CD177" s="176">
        <f>IF(AND(Input_Product=Elig!$C177,Elig_MatchAll_Ct&lt;22,$BC177=(Elig_MatchAll_Ct-1),AX177=0),Y177,0)</f>
        <v>0</v>
      </c>
      <c r="CE177" s="175">
        <f>IF(AND(Input_LTV&lt;=AE177,Input_Product=Elig!$C177,Elig_MatchAll_Ct&lt;22,$BC177=(Elig_MatchAll_Ct-1),AY177=0),Z177,0)</f>
        <v>0</v>
      </c>
      <c r="CF177" s="176">
        <f>IF(AND(Input_LTV&lt;=AE177,Input_Product=Elig!$C177,Elig_MatchAll_Ct&lt;22,$BC177=(Elig_MatchAll_Ct-1),AY177=0),AA177,0)</f>
        <v>0</v>
      </c>
      <c r="CG177" s="175">
        <f>IF(AND(Input_Product=Elig!$C177,Elig_MatchAll_Ct&lt;22,$BC177=(Elig_MatchAll_Ct-1),AZ177=0),AB177,0)</f>
        <v>0</v>
      </c>
      <c r="CH177" s="176">
        <f>IF(AND(Input_Product=Elig!$C177,Elig_MatchAll_Ct&lt;22,$BC177=(Elig_MatchAll_Ct-1),AZ177=0),AC177,0)</f>
        <v>0</v>
      </c>
      <c r="CI177" s="175">
        <f>IF(AND(Input_Product=Elig!$C177,Elig_MatchAll_Ct&lt;22,$BC177=(Elig_MatchAll_Ct-1),BA177=0),AD177,0)</f>
        <v>0</v>
      </c>
      <c r="CJ177" s="176">
        <f>IF(AND(Input_Product=Elig!$C177,Elig_MatchAll_Ct&lt;22,$BC177=(Elig_MatchAll_Ct-1),BA177=0),AE177,0)</f>
        <v>0</v>
      </c>
    </row>
    <row r="178" spans="1:89" ht="10.15" customHeight="1" x14ac:dyDescent="0.25">
      <c r="A178" s="1419" t="s">
        <v>76</v>
      </c>
      <c r="B178" s="1419" t="s">
        <v>871</v>
      </c>
      <c r="C178" s="116" t="str">
        <f t="shared" si="53"/>
        <v>NonQM OO</v>
      </c>
      <c r="D178" s="117" t="s">
        <v>1995</v>
      </c>
      <c r="E178" s="117" t="s">
        <v>166</v>
      </c>
      <c r="F178" s="117" t="s">
        <v>330</v>
      </c>
      <c r="G178" s="117" t="s">
        <v>465</v>
      </c>
      <c r="H178" s="117" t="s">
        <v>135</v>
      </c>
      <c r="I178" s="118" t="s">
        <v>273</v>
      </c>
      <c r="J178" s="118" t="s">
        <v>1130</v>
      </c>
      <c r="K178" s="118" t="s">
        <v>1398</v>
      </c>
      <c r="L178" s="117" t="s">
        <v>2025</v>
      </c>
      <c r="M178" s="117" t="s">
        <v>2289</v>
      </c>
      <c r="N178" s="117" t="s">
        <v>82</v>
      </c>
      <c r="O178" s="117" t="s">
        <v>309</v>
      </c>
      <c r="P178" s="117" t="s">
        <v>2433</v>
      </c>
      <c r="Q178" s="117" t="s">
        <v>293</v>
      </c>
      <c r="R178" s="117">
        <v>2000000.01</v>
      </c>
      <c r="S178" s="117">
        <v>2500000</v>
      </c>
      <c r="T178" s="117">
        <v>0</v>
      </c>
      <c r="U178" s="117">
        <v>0</v>
      </c>
      <c r="V178" s="117">
        <v>0</v>
      </c>
      <c r="W178" s="117">
        <v>55</v>
      </c>
      <c r="X178" s="117">
        <v>0</v>
      </c>
      <c r="Y178" s="117">
        <v>999</v>
      </c>
      <c r="Z178" s="119">
        <v>680</v>
      </c>
      <c r="AA178" s="119">
        <v>699</v>
      </c>
      <c r="AB178" s="1877">
        <v>0</v>
      </c>
      <c r="AC178" s="119">
        <v>999999</v>
      </c>
      <c r="AD178" s="117">
        <v>0</v>
      </c>
      <c r="AE178" s="117">
        <v>75</v>
      </c>
      <c r="AF178" s="144">
        <v>0</v>
      </c>
      <c r="AG178" s="145">
        <v>1</v>
      </c>
      <c r="AH178" s="145">
        <v>1</v>
      </c>
      <c r="AI178" s="145">
        <v>0</v>
      </c>
      <c r="AJ178" s="145">
        <v>0</v>
      </c>
      <c r="AK178" s="145">
        <v>1</v>
      </c>
      <c r="AL178" s="145">
        <v>1</v>
      </c>
      <c r="AM178" s="145">
        <v>1</v>
      </c>
      <c r="AN178" s="145">
        <v>1</v>
      </c>
      <c r="AO178" s="145">
        <v>1</v>
      </c>
      <c r="AP178" s="145">
        <v>1</v>
      </c>
      <c r="AQ178" s="145">
        <v>0</v>
      </c>
      <c r="AR178" s="145">
        <v>1</v>
      </c>
      <c r="AS178" s="145">
        <v>1</v>
      </c>
      <c r="AT178" s="145">
        <v>1</v>
      </c>
      <c r="AU178" s="145">
        <f t="shared" si="55"/>
        <v>0</v>
      </c>
      <c r="AV178" s="145">
        <f t="shared" si="56"/>
        <v>1</v>
      </c>
      <c r="AW178" s="145">
        <f t="shared" si="57"/>
        <v>1</v>
      </c>
      <c r="AX178" s="145">
        <f t="shared" si="49"/>
        <v>1</v>
      </c>
      <c r="AY178" s="145">
        <f t="shared" si="58"/>
        <v>0</v>
      </c>
      <c r="AZ178" s="145">
        <f t="shared" si="59"/>
        <v>1</v>
      </c>
      <c r="BA178" s="146">
        <f t="shared" si="60"/>
        <v>1</v>
      </c>
      <c r="BB178" s="149">
        <f t="shared" si="63"/>
        <v>16</v>
      </c>
      <c r="BC178" s="150">
        <f t="shared" si="64"/>
        <v>15</v>
      </c>
      <c r="BD178" s="150">
        <f t="shared" si="65"/>
        <v>16</v>
      </c>
      <c r="BE178" s="211" t="str">
        <f t="shared" si="66"/>
        <v/>
      </c>
      <c r="BH178" s="173">
        <f>IF(AND(Input_Product=Elig!$C178,Elig_MatchAll_Ct&lt;22,$BC178=(Elig_MatchAll_Ct-1),AF178=0),C178,0)</f>
        <v>0</v>
      </c>
      <c r="BI178" s="173">
        <f>IF(AND(Input_Product=Elig!$C178,Elig_MatchAll_Ct&lt;22,$BC178=(Elig_MatchAll_Ct-1),AG178=0),D178,0)</f>
        <v>0</v>
      </c>
      <c r="BJ178" s="173">
        <f>IF(AND(Input_Product=Elig!$C178,Elig_MatchAll_Ct&lt;22,$BC178=(Elig_MatchAll_Ct-1),AH178=0),E178,0)</f>
        <v>0</v>
      </c>
      <c r="BK178" s="173">
        <f>IF(AND(Input_Product=Elig!$C178,Elig_MatchAll_Ct&lt;22,$BC178=(Elig_MatchAll_Ct-1),AI178=0),F178,0)</f>
        <v>0</v>
      </c>
      <c r="BL178" s="173">
        <f>IF(AND(Input_Product=Elig!$C178,Elig_MatchAll_Ct&lt;22,$BC178=(Elig_MatchAll_Ct-1),AJ178=0),G178,0)</f>
        <v>0</v>
      </c>
      <c r="BM178" s="173">
        <f>IF(AND(Input_Product=Elig!$C178,Elig_MatchAll_Ct&lt;22,$BC178=(Elig_MatchAll_Ct-1),AK178=0),H178,0)</f>
        <v>0</v>
      </c>
      <c r="BN178" s="173">
        <f>IF(AND(Input_Product=Elig!$C178,Elig_MatchAll_Ct&lt;22,$BC178=(Elig_MatchAll_Ct-1),AL178=0),I178,0)</f>
        <v>0</v>
      </c>
      <c r="BO178" s="173">
        <f>IF(AND(Input_Product=Elig!$C178,Elig_MatchAll_Ct&lt;22,$BC178=(Elig_MatchAll_Ct-1),AM178=0),J178,0)</f>
        <v>0</v>
      </c>
      <c r="BP178" s="173">
        <f>IF(AND(Input_Product=Elig!$C178,Elig_MatchAll_Ct&lt;22,$BC178=(Elig_MatchAll_Ct-1),AN178=0),K178,0)</f>
        <v>0</v>
      </c>
      <c r="BQ178" s="173">
        <f>IF(AND(Input_Product=Elig!$C178,Elig_MatchAll_Ct&lt;22,$BC178=(Elig_MatchAll_Ct-1),AP178=0),L178,0)</f>
        <v>0</v>
      </c>
      <c r="BR178" s="173">
        <f>IF(AND(Input_Product=Elig!$C178,Elig_MatchAll_Ct&lt;22,$BC178=(Elig_MatchAll_Ct-1),AO178=0),M178,0)</f>
        <v>0</v>
      </c>
      <c r="BS178" s="173">
        <f>IF(AND(Input_Product=Elig!$C178,Elig_MatchAll_Ct&lt;22,$BC178=(Elig_MatchAll_Ct-1),AQ178=0),N178,0)</f>
        <v>0</v>
      </c>
      <c r="BT178" s="173">
        <f>IF(AND(Input_Product=Elig!$C178,Elig_MatchAll_Ct&lt;22,$BC178=(Elig_MatchAll_Ct-1),AR178=0),O178,0)</f>
        <v>0</v>
      </c>
      <c r="BU178" s="173">
        <f>IF(AND(Input_Product=Elig!$C178,Elig_MatchAll_Ct&lt;22,$BC178=(Elig_MatchAll_Ct-1),AS178=0),P178,0)</f>
        <v>0</v>
      </c>
      <c r="BV178" s="174">
        <f>IF(AND(Input_Product=Elig!$C178,Elig_MatchAll_Ct&lt;22,$BC178=(Elig_MatchAll_Ct-1),AT178=0),Q178,0)</f>
        <v>0</v>
      </c>
      <c r="BW178" s="175">
        <f>IF(AND(Input_Product=Elig!$C178,Elig_MatchAll_Ct&lt;22,$BC178=(Elig_MatchAll_Ct-1),AU178=0),R178,0)</f>
        <v>0</v>
      </c>
      <c r="BX178" s="176">
        <f>IF(AND(Input_Product=Elig!$C178,Elig_MatchAll_Ct&lt;22,$BC178=(Elig_MatchAll_Ct-1),AU178=0),S178,0)</f>
        <v>0</v>
      </c>
      <c r="BY178" s="175">
        <f>IF(AND(Input_Product=Elig!$C178,Elig_MatchAll_Ct&lt;22,$BC178=(Elig_MatchAll_Ct-1),AV178=0),T178,0)</f>
        <v>0</v>
      </c>
      <c r="BZ178" s="176">
        <f>IF(AND(Input_Product=Elig!$C178,Elig_MatchAll_Ct&lt;22,$BC178=(Elig_MatchAll_Ct-1),AV178=0),U178,0)</f>
        <v>0</v>
      </c>
      <c r="CA178" s="175">
        <f>IF(AND(Input_Product=Elig!$C178,Elig_MatchAll_Ct&lt;22,$BC178=(Elig_MatchAll_Ct-1),AW178=0),V178,0)</f>
        <v>0</v>
      </c>
      <c r="CB178" s="176">
        <f>IF(AND(Input_Product=Elig!$C178,Elig_MatchAll_Ct&lt;22,$BC178=(Elig_MatchAll_Ct-1),AW178=0),W178,0)</f>
        <v>0</v>
      </c>
      <c r="CC178" s="175">
        <f>IF(AND(Input_Product=Elig!$C178,Elig_MatchAll_Ct&lt;22,$BC178=(Elig_MatchAll_Ct-1),AX178=0),X178,0)</f>
        <v>0</v>
      </c>
      <c r="CD178" s="176">
        <f>IF(AND(Input_Product=Elig!$C178,Elig_MatchAll_Ct&lt;22,$BC178=(Elig_MatchAll_Ct-1),AX178=0),Y178,0)</f>
        <v>0</v>
      </c>
      <c r="CE178" s="175">
        <f>IF(AND(Input_LTV&lt;=AE178,Input_Product=Elig!$C178,Elig_MatchAll_Ct&lt;22,$BC178=(Elig_MatchAll_Ct-1),AY178=0),Z178,0)</f>
        <v>0</v>
      </c>
      <c r="CF178" s="176">
        <f>IF(AND(Input_LTV&lt;=AE178,Input_Product=Elig!$C178,Elig_MatchAll_Ct&lt;22,$BC178=(Elig_MatchAll_Ct-1),AY178=0),AA178,0)</f>
        <v>0</v>
      </c>
      <c r="CG178" s="175">
        <f>IF(AND(Input_Product=Elig!$C178,Elig_MatchAll_Ct&lt;22,$BC178=(Elig_MatchAll_Ct-1),AZ178=0),AB178,0)</f>
        <v>0</v>
      </c>
      <c r="CH178" s="176">
        <f>IF(AND(Input_Product=Elig!$C178,Elig_MatchAll_Ct&lt;22,$BC178=(Elig_MatchAll_Ct-1),AZ178=0),AC178,0)</f>
        <v>0</v>
      </c>
      <c r="CI178" s="175">
        <f>IF(AND(Input_Product=Elig!$C178,Elig_MatchAll_Ct&lt;22,$BC178=(Elig_MatchAll_Ct-1),BA178=0),AD178,0)</f>
        <v>0</v>
      </c>
      <c r="CJ178" s="176">
        <f>IF(AND(Input_Product=Elig!$C178,Elig_MatchAll_Ct&lt;22,$BC178=(Elig_MatchAll_Ct-1),BA178=0),AE178,0)</f>
        <v>0</v>
      </c>
    </row>
    <row r="179" spans="1:89" ht="10.15" customHeight="1" x14ac:dyDescent="0.25">
      <c r="A179" s="1419" t="s">
        <v>76</v>
      </c>
      <c r="B179" s="1419" t="s">
        <v>872</v>
      </c>
      <c r="C179" s="116" t="str">
        <f t="shared" si="53"/>
        <v>NonQM OO</v>
      </c>
      <c r="D179" s="117" t="s">
        <v>1995</v>
      </c>
      <c r="E179" s="117" t="s">
        <v>166</v>
      </c>
      <c r="F179" s="117" t="s">
        <v>330</v>
      </c>
      <c r="G179" s="117" t="s">
        <v>465</v>
      </c>
      <c r="H179" s="117" t="s">
        <v>135</v>
      </c>
      <c r="I179" s="118" t="s">
        <v>273</v>
      </c>
      <c r="J179" s="118" t="s">
        <v>1130</v>
      </c>
      <c r="K179" s="118" t="s">
        <v>1398</v>
      </c>
      <c r="L179" s="117" t="s">
        <v>2025</v>
      </c>
      <c r="M179" s="117" t="s">
        <v>2289</v>
      </c>
      <c r="N179" s="117" t="s">
        <v>82</v>
      </c>
      <c r="O179" s="117" t="s">
        <v>309</v>
      </c>
      <c r="P179" s="117" t="s">
        <v>2433</v>
      </c>
      <c r="Q179" s="117" t="s">
        <v>293</v>
      </c>
      <c r="R179" s="117">
        <v>2000000.01</v>
      </c>
      <c r="S179" s="117">
        <v>2500000</v>
      </c>
      <c r="T179" s="117">
        <v>0</v>
      </c>
      <c r="U179" s="117">
        <v>0</v>
      </c>
      <c r="V179" s="117">
        <v>0</v>
      </c>
      <c r="W179" s="117">
        <v>55</v>
      </c>
      <c r="X179" s="117">
        <v>0</v>
      </c>
      <c r="Y179" s="117">
        <v>999</v>
      </c>
      <c r="Z179" s="119">
        <v>660</v>
      </c>
      <c r="AA179" s="119">
        <v>679</v>
      </c>
      <c r="AB179" s="1877">
        <v>0</v>
      </c>
      <c r="AC179" s="119">
        <v>999999</v>
      </c>
      <c r="AD179" s="117">
        <v>0</v>
      </c>
      <c r="AE179" s="117">
        <v>70</v>
      </c>
      <c r="AF179" s="144">
        <v>0</v>
      </c>
      <c r="AG179" s="145">
        <v>1</v>
      </c>
      <c r="AH179" s="145">
        <v>1</v>
      </c>
      <c r="AI179" s="145">
        <v>0</v>
      </c>
      <c r="AJ179" s="145">
        <v>0</v>
      </c>
      <c r="AK179" s="145">
        <v>1</v>
      </c>
      <c r="AL179" s="145">
        <v>1</v>
      </c>
      <c r="AM179" s="145">
        <v>1</v>
      </c>
      <c r="AN179" s="145">
        <v>1</v>
      </c>
      <c r="AO179" s="145">
        <v>1</v>
      </c>
      <c r="AP179" s="145">
        <v>1</v>
      </c>
      <c r="AQ179" s="145">
        <v>0</v>
      </c>
      <c r="AR179" s="145">
        <v>1</v>
      </c>
      <c r="AS179" s="145">
        <v>1</v>
      </c>
      <c r="AT179" s="145">
        <v>1</v>
      </c>
      <c r="AU179" s="145">
        <f t="shared" si="55"/>
        <v>0</v>
      </c>
      <c r="AV179" s="145">
        <f t="shared" si="56"/>
        <v>1</v>
      </c>
      <c r="AW179" s="145">
        <f t="shared" si="57"/>
        <v>1</v>
      </c>
      <c r="AX179" s="145">
        <f t="shared" si="49"/>
        <v>1</v>
      </c>
      <c r="AY179" s="145">
        <f t="shared" si="58"/>
        <v>0</v>
      </c>
      <c r="AZ179" s="145">
        <f t="shared" si="59"/>
        <v>1</v>
      </c>
      <c r="BA179" s="146">
        <f t="shared" si="60"/>
        <v>1</v>
      </c>
      <c r="BB179" s="149">
        <f t="shared" si="63"/>
        <v>16</v>
      </c>
      <c r="BC179" s="150">
        <f t="shared" si="64"/>
        <v>15</v>
      </c>
      <c r="BD179" s="150">
        <f t="shared" si="65"/>
        <v>16</v>
      </c>
      <c r="BE179" s="211" t="str">
        <f t="shared" si="66"/>
        <v/>
      </c>
      <c r="BH179" s="188">
        <f>IF(AND(Input_Product=Elig!$C179,Elig_MatchAll_Ct&lt;22,$BC179=(Elig_MatchAll_Ct-1),AF179=0),C179,0)</f>
        <v>0</v>
      </c>
      <c r="BI179" s="188">
        <f>IF(AND(Input_Product=Elig!$C179,Elig_MatchAll_Ct&lt;22,$BC179=(Elig_MatchAll_Ct-1),AG179=0),D179,0)</f>
        <v>0</v>
      </c>
      <c r="BJ179" s="188">
        <f>IF(AND(Input_Product=Elig!$C179,Elig_MatchAll_Ct&lt;22,$BC179=(Elig_MatchAll_Ct-1),AH179=0),E179,0)</f>
        <v>0</v>
      </c>
      <c r="BK179" s="188">
        <f>IF(AND(Input_Product=Elig!$C179,Elig_MatchAll_Ct&lt;22,$BC179=(Elig_MatchAll_Ct-1),AI179=0),F179,0)</f>
        <v>0</v>
      </c>
      <c r="BL179" s="188">
        <f>IF(AND(Input_Product=Elig!$C179,Elig_MatchAll_Ct&lt;22,$BC179=(Elig_MatchAll_Ct-1),AJ179=0),G179,0)</f>
        <v>0</v>
      </c>
      <c r="BM179" s="188">
        <f>IF(AND(Input_Product=Elig!$C179,Elig_MatchAll_Ct&lt;22,$BC179=(Elig_MatchAll_Ct-1),AK179=0),H179,0)</f>
        <v>0</v>
      </c>
      <c r="BN179" s="188">
        <f>IF(AND(Input_Product=Elig!$C179,Elig_MatchAll_Ct&lt;22,$BC179=(Elig_MatchAll_Ct-1),AL179=0),I179,0)</f>
        <v>0</v>
      </c>
      <c r="BO179" s="188">
        <f>IF(AND(Input_Product=Elig!$C179,Elig_MatchAll_Ct&lt;22,$BC179=(Elig_MatchAll_Ct-1),AM179=0),J179,0)</f>
        <v>0</v>
      </c>
      <c r="BP179" s="188">
        <f>IF(AND(Input_Product=Elig!$C179,Elig_MatchAll_Ct&lt;22,$BC179=(Elig_MatchAll_Ct-1),AN179=0),K179,0)</f>
        <v>0</v>
      </c>
      <c r="BQ179" s="188">
        <f>IF(AND(Input_Product=Elig!$C179,Elig_MatchAll_Ct&lt;22,$BC179=(Elig_MatchAll_Ct-1),AP179=0),L179,0)</f>
        <v>0</v>
      </c>
      <c r="BR179" s="188">
        <f>IF(AND(Input_Product=Elig!$C179,Elig_MatchAll_Ct&lt;22,$BC179=(Elig_MatchAll_Ct-1),AO179=0),M179,0)</f>
        <v>0</v>
      </c>
      <c r="BS179" s="188">
        <f>IF(AND(Input_Product=Elig!$C179,Elig_MatchAll_Ct&lt;22,$BC179=(Elig_MatchAll_Ct-1),AQ179=0),N179,0)</f>
        <v>0</v>
      </c>
      <c r="BT179" s="188">
        <f>IF(AND(Input_Product=Elig!$C179,Elig_MatchAll_Ct&lt;22,$BC179=(Elig_MatchAll_Ct-1),AR179=0),O179,0)</f>
        <v>0</v>
      </c>
      <c r="BU179" s="188">
        <f>IF(AND(Input_Product=Elig!$C179,Elig_MatchAll_Ct&lt;22,$BC179=(Elig_MatchAll_Ct-1),AS179=0),P179,0)</f>
        <v>0</v>
      </c>
      <c r="BV179" s="189">
        <f>IF(AND(Input_Product=Elig!$C179,Elig_MatchAll_Ct&lt;22,$BC179=(Elig_MatchAll_Ct-1),AT179=0),Q179,0)</f>
        <v>0</v>
      </c>
      <c r="BW179" s="271">
        <f>IF(AND(Input_Product=Elig!$C179,Elig_MatchAll_Ct&lt;22,$BC179=(Elig_MatchAll_Ct-1),AU179=0),R179,0)</f>
        <v>0</v>
      </c>
      <c r="BX179" s="272">
        <f>IF(AND(Input_Product=Elig!$C179,Elig_MatchAll_Ct&lt;22,$BC179=(Elig_MatchAll_Ct-1),AU179=0),S179,0)</f>
        <v>0</v>
      </c>
      <c r="BY179" s="271">
        <f>IF(AND(Input_Product=Elig!$C179,Elig_MatchAll_Ct&lt;22,$BC179=(Elig_MatchAll_Ct-1),AV179=0),T179,0)</f>
        <v>0</v>
      </c>
      <c r="BZ179" s="272">
        <f>IF(AND(Input_Product=Elig!$C179,Elig_MatchAll_Ct&lt;22,$BC179=(Elig_MatchAll_Ct-1),AV179=0),U179,0)</f>
        <v>0</v>
      </c>
      <c r="CA179" s="271">
        <f>IF(AND(Input_Product=Elig!$C179,Elig_MatchAll_Ct&lt;22,$BC179=(Elig_MatchAll_Ct-1),AW179=0),V179,0)</f>
        <v>0</v>
      </c>
      <c r="CB179" s="272">
        <f>IF(AND(Input_Product=Elig!$C179,Elig_MatchAll_Ct&lt;22,$BC179=(Elig_MatchAll_Ct-1),AW179=0),W179,0)</f>
        <v>0</v>
      </c>
      <c r="CC179" s="271">
        <f>IF(AND(Input_Product=Elig!$C179,Elig_MatchAll_Ct&lt;22,$BC179=(Elig_MatchAll_Ct-1),AX179=0),X179,0)</f>
        <v>0</v>
      </c>
      <c r="CD179" s="272">
        <f>IF(AND(Input_Product=Elig!$C179,Elig_MatchAll_Ct&lt;22,$BC179=(Elig_MatchAll_Ct-1),AX179=0),Y179,0)</f>
        <v>0</v>
      </c>
      <c r="CE179" s="271">
        <f>IF(AND(Input_LTV&lt;=AE179,Input_Product=Elig!$C179,Elig_MatchAll_Ct&lt;22,$BC179=(Elig_MatchAll_Ct-1),AY179=0),Z179,0)</f>
        <v>0</v>
      </c>
      <c r="CF179" s="272">
        <f>IF(AND(Input_LTV&lt;=AE179,Input_Product=Elig!$C179,Elig_MatchAll_Ct&lt;22,$BC179=(Elig_MatchAll_Ct-1),AY179=0),AA179,0)</f>
        <v>0</v>
      </c>
      <c r="CG179" s="271">
        <f>IF(AND(Input_Product=Elig!$C179,Elig_MatchAll_Ct&lt;22,$BC179=(Elig_MatchAll_Ct-1),AZ179=0),AB179,0)</f>
        <v>0</v>
      </c>
      <c r="CH179" s="272">
        <f>IF(AND(Input_Product=Elig!$C179,Elig_MatchAll_Ct&lt;22,$BC179=(Elig_MatchAll_Ct-1),AZ179=0),AC179,0)</f>
        <v>0</v>
      </c>
      <c r="CI179" s="271">
        <f>IF(AND(Input_Product=Elig!$C179,Elig_MatchAll_Ct&lt;22,$BC179=(Elig_MatchAll_Ct-1),BA179=0),AD179,0)</f>
        <v>0</v>
      </c>
      <c r="CJ179" s="272">
        <f>IF(AND(Input_Product=Elig!$C179,Elig_MatchAll_Ct&lt;22,$BC179=(Elig_MatchAll_Ct-1),BA179=0),AE179,0)</f>
        <v>0</v>
      </c>
    </row>
    <row r="180" spans="1:89" ht="10.15" customHeight="1" x14ac:dyDescent="0.25">
      <c r="A180" s="1419" t="s">
        <v>76</v>
      </c>
      <c r="B180" s="1419" t="s">
        <v>873</v>
      </c>
      <c r="C180" s="123" t="str">
        <f t="shared" si="53"/>
        <v>NonQM OO</v>
      </c>
      <c r="D180" s="124" t="s">
        <v>1995</v>
      </c>
      <c r="E180" s="125" t="s">
        <v>166</v>
      </c>
      <c r="F180" s="125" t="s">
        <v>330</v>
      </c>
      <c r="G180" s="125" t="s">
        <v>465</v>
      </c>
      <c r="H180" s="125" t="s">
        <v>135</v>
      </c>
      <c r="I180" s="124" t="s">
        <v>16</v>
      </c>
      <c r="J180" s="124" t="s">
        <v>1130</v>
      </c>
      <c r="K180" s="124" t="s">
        <v>1398</v>
      </c>
      <c r="L180" s="125" t="s">
        <v>2025</v>
      </c>
      <c r="M180" s="125" t="s">
        <v>2289</v>
      </c>
      <c r="N180" s="125" t="s">
        <v>82</v>
      </c>
      <c r="O180" s="125" t="s">
        <v>309</v>
      </c>
      <c r="P180" s="125" t="s">
        <v>2433</v>
      </c>
      <c r="Q180" s="125" t="s">
        <v>293</v>
      </c>
      <c r="R180" s="124">
        <v>2000000.01</v>
      </c>
      <c r="S180" s="124">
        <v>2500000</v>
      </c>
      <c r="T180" s="124">
        <v>0</v>
      </c>
      <c r="U180" s="124">
        <f t="shared" ref="U180:U183" si="69">S180</f>
        <v>2500000</v>
      </c>
      <c r="V180" s="124">
        <v>0</v>
      </c>
      <c r="W180" s="124">
        <v>55</v>
      </c>
      <c r="X180" s="124">
        <v>0</v>
      </c>
      <c r="Y180" s="124">
        <v>999</v>
      </c>
      <c r="Z180" s="126">
        <v>720</v>
      </c>
      <c r="AA180" s="126">
        <v>999</v>
      </c>
      <c r="AB180" s="1879">
        <v>0</v>
      </c>
      <c r="AC180" s="126">
        <v>999999</v>
      </c>
      <c r="AD180" s="124">
        <v>0</v>
      </c>
      <c r="AE180" s="124">
        <v>75</v>
      </c>
      <c r="AF180" s="144">
        <v>0</v>
      </c>
      <c r="AG180" s="145">
        <v>1</v>
      </c>
      <c r="AH180" s="145">
        <v>1</v>
      </c>
      <c r="AI180" s="145">
        <v>0</v>
      </c>
      <c r="AJ180" s="145">
        <v>0</v>
      </c>
      <c r="AK180" s="145">
        <v>1</v>
      </c>
      <c r="AL180" s="145">
        <v>0</v>
      </c>
      <c r="AM180" s="145">
        <v>1</v>
      </c>
      <c r="AN180" s="145">
        <v>1</v>
      </c>
      <c r="AO180" s="145">
        <v>1</v>
      </c>
      <c r="AP180" s="145">
        <v>1</v>
      </c>
      <c r="AQ180" s="145">
        <v>0</v>
      </c>
      <c r="AR180" s="145">
        <v>1</v>
      </c>
      <c r="AS180" s="145">
        <v>1</v>
      </c>
      <c r="AT180" s="145">
        <v>1</v>
      </c>
      <c r="AU180" s="145">
        <f t="shared" si="55"/>
        <v>0</v>
      </c>
      <c r="AV180" s="145">
        <f t="shared" si="56"/>
        <v>1</v>
      </c>
      <c r="AW180" s="145">
        <f t="shared" si="57"/>
        <v>1</v>
      </c>
      <c r="AX180" s="145">
        <f t="shared" si="49"/>
        <v>1</v>
      </c>
      <c r="AY180" s="145">
        <f t="shared" si="58"/>
        <v>1</v>
      </c>
      <c r="AZ180" s="145">
        <f t="shared" si="59"/>
        <v>1</v>
      </c>
      <c r="BA180" s="146">
        <f t="shared" si="60"/>
        <v>1</v>
      </c>
      <c r="BB180" s="149">
        <f t="shared" si="63"/>
        <v>16</v>
      </c>
      <c r="BC180" s="150">
        <f t="shared" si="64"/>
        <v>15</v>
      </c>
      <c r="BD180" s="150">
        <f t="shared" si="65"/>
        <v>16</v>
      </c>
      <c r="BE180" s="211" t="str">
        <f t="shared" si="66"/>
        <v/>
      </c>
      <c r="BH180" s="184">
        <f>IF(AND(Input_Product=Elig!$C180,Elig_MatchAll_Ct&lt;22,$BC180=(Elig_MatchAll_Ct-1),AF180=0),C180,0)</f>
        <v>0</v>
      </c>
      <c r="BI180" s="184">
        <f>IF(AND(Input_Product=Elig!$C180,Elig_MatchAll_Ct&lt;22,$BC180=(Elig_MatchAll_Ct-1),AG180=0),D180,0)</f>
        <v>0</v>
      </c>
      <c r="BJ180" s="184">
        <f>IF(AND(Input_Product=Elig!$C180,Elig_MatchAll_Ct&lt;22,$BC180=(Elig_MatchAll_Ct-1),AH180=0),E180,0)</f>
        <v>0</v>
      </c>
      <c r="BK180" s="184">
        <f>IF(AND(Input_Product=Elig!$C180,Elig_MatchAll_Ct&lt;22,$BC180=(Elig_MatchAll_Ct-1),AI180=0),F180,0)</f>
        <v>0</v>
      </c>
      <c r="BL180" s="184">
        <f>IF(AND(Input_Product=Elig!$C180,Elig_MatchAll_Ct&lt;22,$BC180=(Elig_MatchAll_Ct-1),AJ180=0),G180,0)</f>
        <v>0</v>
      </c>
      <c r="BM180" s="184">
        <f>IF(AND(Input_Product=Elig!$C180,Elig_MatchAll_Ct&lt;22,$BC180=(Elig_MatchAll_Ct-1),AK180=0),H180,0)</f>
        <v>0</v>
      </c>
      <c r="BN180" s="184">
        <f>IF(AND(Input_Product=Elig!$C180,Elig_MatchAll_Ct&lt;22,$BC180=(Elig_MatchAll_Ct-1),AL180=0),I180,0)</f>
        <v>0</v>
      </c>
      <c r="BO180" s="184">
        <f>IF(AND(Input_Product=Elig!$C180,Elig_MatchAll_Ct&lt;22,$BC180=(Elig_MatchAll_Ct-1),AM180=0),J180,0)</f>
        <v>0</v>
      </c>
      <c r="BP180" s="184">
        <f>IF(AND(Input_Product=Elig!$C180,Elig_MatchAll_Ct&lt;22,$BC180=(Elig_MatchAll_Ct-1),AN180=0),K180,0)</f>
        <v>0</v>
      </c>
      <c r="BQ180" s="184">
        <f>IF(AND(Input_Product=Elig!$C180,Elig_MatchAll_Ct&lt;22,$BC180=(Elig_MatchAll_Ct-1),AP180=0),L180,0)</f>
        <v>0</v>
      </c>
      <c r="BR180" s="184">
        <f>IF(AND(Input_Product=Elig!$C180,Elig_MatchAll_Ct&lt;22,$BC180=(Elig_MatchAll_Ct-1),AO180=0),M180,0)</f>
        <v>0</v>
      </c>
      <c r="BS180" s="184">
        <f>IF(AND(Input_Product=Elig!$C180,Elig_MatchAll_Ct&lt;22,$BC180=(Elig_MatchAll_Ct-1),AQ180=0),N180,0)</f>
        <v>0</v>
      </c>
      <c r="BT180" s="184">
        <f>IF(AND(Input_Product=Elig!$C180,Elig_MatchAll_Ct&lt;22,$BC180=(Elig_MatchAll_Ct-1),AR180=0),O180,0)</f>
        <v>0</v>
      </c>
      <c r="BU180" s="184">
        <f>IF(AND(Input_Product=Elig!$C180,Elig_MatchAll_Ct&lt;22,$BC180=(Elig_MatchAll_Ct-1),AS180=0),P180,0)</f>
        <v>0</v>
      </c>
      <c r="BV180" s="185">
        <f>IF(AND(Input_Product=Elig!$C180,Elig_MatchAll_Ct&lt;22,$BC180=(Elig_MatchAll_Ct-1),AT180=0),Q180,0)</f>
        <v>0</v>
      </c>
      <c r="BW180" s="186">
        <f>IF(AND(Input_Product=Elig!$C180,Elig_MatchAll_Ct&lt;22,$BC180=(Elig_MatchAll_Ct-1),AU180=0),R180,0)</f>
        <v>0</v>
      </c>
      <c r="BX180" s="187">
        <f>IF(AND(Input_Product=Elig!$C180,Elig_MatchAll_Ct&lt;22,$BC180=(Elig_MatchAll_Ct-1),AU180=0),S180,0)</f>
        <v>0</v>
      </c>
      <c r="BY180" s="186">
        <f>IF(AND(Input_Product=Elig!$C180,Elig_MatchAll_Ct&lt;22,$BC180=(Elig_MatchAll_Ct-1),AV180=0),T180,0)</f>
        <v>0</v>
      </c>
      <c r="BZ180" s="187">
        <f>IF(AND(Input_Product=Elig!$C180,Elig_MatchAll_Ct&lt;22,$BC180=(Elig_MatchAll_Ct-1),AV180=0),U180,0)</f>
        <v>0</v>
      </c>
      <c r="CA180" s="186">
        <f>IF(AND(Input_Product=Elig!$C180,Elig_MatchAll_Ct&lt;22,$BC180=(Elig_MatchAll_Ct-1),AW180=0),V180,0)</f>
        <v>0</v>
      </c>
      <c r="CB180" s="187">
        <f>IF(AND(Input_Product=Elig!$C180,Elig_MatchAll_Ct&lt;22,$BC180=(Elig_MatchAll_Ct-1),AW180=0),W180,0)</f>
        <v>0</v>
      </c>
      <c r="CC180" s="186">
        <f>IF(AND(Input_Product=Elig!$C180,Elig_MatchAll_Ct&lt;22,$BC180=(Elig_MatchAll_Ct-1),AX180=0),X180,0)</f>
        <v>0</v>
      </c>
      <c r="CD180" s="187">
        <f>IF(AND(Input_Product=Elig!$C180,Elig_MatchAll_Ct&lt;22,$BC180=(Elig_MatchAll_Ct-1),AX180=0),Y180,0)</f>
        <v>0</v>
      </c>
      <c r="CE180" s="186">
        <f>IF(AND(Input_LTV&lt;=AE180,Input_Product=Elig!$C180,Elig_MatchAll_Ct&lt;22,$BC180=(Elig_MatchAll_Ct-1),AY180=0),Z180,0)</f>
        <v>0</v>
      </c>
      <c r="CF180" s="187">
        <f>IF(AND(Input_LTV&lt;=AE180,Input_Product=Elig!$C180,Elig_MatchAll_Ct&lt;22,$BC180=(Elig_MatchAll_Ct-1),AY180=0),AA180,0)</f>
        <v>0</v>
      </c>
      <c r="CG180" s="186">
        <f>IF(AND(Input_Product=Elig!$C180,Elig_MatchAll_Ct&lt;22,$BC180=(Elig_MatchAll_Ct-1),AZ180=0),AB180,0)</f>
        <v>0</v>
      </c>
      <c r="CH180" s="187">
        <f>IF(AND(Input_Product=Elig!$C180,Elig_MatchAll_Ct&lt;22,$BC180=(Elig_MatchAll_Ct-1),AZ180=0),AC180,0)</f>
        <v>0</v>
      </c>
      <c r="CI180" s="186">
        <f>IF(AND(Input_Product=Elig!$C180,Elig_MatchAll_Ct&lt;22,$BC180=(Elig_MatchAll_Ct-1),BA180=0),AD180,0)</f>
        <v>0</v>
      </c>
      <c r="CJ180" s="187">
        <f>IF(AND(Input_Product=Elig!$C180,Elig_MatchAll_Ct&lt;22,$BC180=(Elig_MatchAll_Ct-1),BA180=0),AE180,0)</f>
        <v>0</v>
      </c>
    </row>
    <row r="181" spans="1:89" ht="10.15" customHeight="1" x14ac:dyDescent="0.25">
      <c r="A181" s="1419" t="s">
        <v>76</v>
      </c>
      <c r="B181" s="1419" t="s">
        <v>874</v>
      </c>
      <c r="C181" s="116" t="str">
        <f t="shared" si="53"/>
        <v>NonQM OO</v>
      </c>
      <c r="D181" s="117" t="s">
        <v>1995</v>
      </c>
      <c r="E181" s="117" t="s">
        <v>166</v>
      </c>
      <c r="F181" s="117" t="s">
        <v>330</v>
      </c>
      <c r="G181" s="117" t="s">
        <v>465</v>
      </c>
      <c r="H181" s="117" t="s">
        <v>135</v>
      </c>
      <c r="I181" s="118" t="s">
        <v>16</v>
      </c>
      <c r="J181" s="118" t="s">
        <v>1130</v>
      </c>
      <c r="K181" s="118" t="s">
        <v>1398</v>
      </c>
      <c r="L181" s="117" t="s">
        <v>2025</v>
      </c>
      <c r="M181" s="117" t="s">
        <v>2289</v>
      </c>
      <c r="N181" s="117" t="s">
        <v>82</v>
      </c>
      <c r="O181" s="117" t="s">
        <v>309</v>
      </c>
      <c r="P181" s="117" t="s">
        <v>2433</v>
      </c>
      <c r="Q181" s="117" t="s">
        <v>293</v>
      </c>
      <c r="R181" s="117">
        <v>2000000.01</v>
      </c>
      <c r="S181" s="117">
        <v>2500000</v>
      </c>
      <c r="T181" s="117">
        <v>0</v>
      </c>
      <c r="U181" s="117">
        <f t="shared" si="69"/>
        <v>2500000</v>
      </c>
      <c r="V181" s="117">
        <v>0</v>
      </c>
      <c r="W181" s="117">
        <v>55</v>
      </c>
      <c r="X181" s="117">
        <v>0</v>
      </c>
      <c r="Y181" s="117">
        <v>999</v>
      </c>
      <c r="Z181" s="119">
        <v>700</v>
      </c>
      <c r="AA181" s="119">
        <v>719</v>
      </c>
      <c r="AB181" s="1877">
        <v>0</v>
      </c>
      <c r="AC181" s="119">
        <v>999999</v>
      </c>
      <c r="AD181" s="117">
        <v>0</v>
      </c>
      <c r="AE181" s="117">
        <v>65</v>
      </c>
      <c r="AF181" s="144">
        <v>0</v>
      </c>
      <c r="AG181" s="145">
        <v>1</v>
      </c>
      <c r="AH181" s="145">
        <v>1</v>
      </c>
      <c r="AI181" s="145">
        <v>0</v>
      </c>
      <c r="AJ181" s="145">
        <v>0</v>
      </c>
      <c r="AK181" s="145">
        <v>1</v>
      </c>
      <c r="AL181" s="145">
        <v>0</v>
      </c>
      <c r="AM181" s="145">
        <v>1</v>
      </c>
      <c r="AN181" s="145">
        <v>1</v>
      </c>
      <c r="AO181" s="145">
        <v>1</v>
      </c>
      <c r="AP181" s="145">
        <v>1</v>
      </c>
      <c r="AQ181" s="145">
        <v>0</v>
      </c>
      <c r="AR181" s="145">
        <v>1</v>
      </c>
      <c r="AS181" s="145">
        <v>1</v>
      </c>
      <c r="AT181" s="145">
        <v>1</v>
      </c>
      <c r="AU181" s="145">
        <f t="shared" si="55"/>
        <v>0</v>
      </c>
      <c r="AV181" s="145">
        <f t="shared" si="56"/>
        <v>1</v>
      </c>
      <c r="AW181" s="145">
        <f t="shared" si="57"/>
        <v>1</v>
      </c>
      <c r="AX181" s="145">
        <f t="shared" si="49"/>
        <v>1</v>
      </c>
      <c r="AY181" s="145">
        <f t="shared" si="58"/>
        <v>0</v>
      </c>
      <c r="AZ181" s="145">
        <f t="shared" si="59"/>
        <v>1</v>
      </c>
      <c r="BA181" s="146">
        <f t="shared" si="60"/>
        <v>0</v>
      </c>
      <c r="BB181" s="149">
        <f t="shared" si="63"/>
        <v>14</v>
      </c>
      <c r="BC181" s="150">
        <f t="shared" si="64"/>
        <v>14</v>
      </c>
      <c r="BD181" s="150">
        <f t="shared" si="65"/>
        <v>14</v>
      </c>
      <c r="BE181" s="211" t="str">
        <f t="shared" si="66"/>
        <v/>
      </c>
      <c r="BH181" s="173">
        <f>IF(AND(Input_Product=Elig!$C181,Elig_MatchAll_Ct&lt;22,$BC181=(Elig_MatchAll_Ct-1),AF181=0),C181,0)</f>
        <v>0</v>
      </c>
      <c r="BI181" s="173">
        <f>IF(AND(Input_Product=Elig!$C181,Elig_MatchAll_Ct&lt;22,$BC181=(Elig_MatchAll_Ct-1),AG181=0),D181,0)</f>
        <v>0</v>
      </c>
      <c r="BJ181" s="173">
        <f>IF(AND(Input_Product=Elig!$C181,Elig_MatchAll_Ct&lt;22,$BC181=(Elig_MatchAll_Ct-1),AH181=0),E181,0)</f>
        <v>0</v>
      </c>
      <c r="BK181" s="173">
        <f>IF(AND(Input_Product=Elig!$C181,Elig_MatchAll_Ct&lt;22,$BC181=(Elig_MatchAll_Ct-1),AI181=0),F181,0)</f>
        <v>0</v>
      </c>
      <c r="BL181" s="173">
        <f>IF(AND(Input_Product=Elig!$C181,Elig_MatchAll_Ct&lt;22,$BC181=(Elig_MatchAll_Ct-1),AJ181=0),G181,0)</f>
        <v>0</v>
      </c>
      <c r="BM181" s="173">
        <f>IF(AND(Input_Product=Elig!$C181,Elig_MatchAll_Ct&lt;22,$BC181=(Elig_MatchAll_Ct-1),AK181=0),H181,0)</f>
        <v>0</v>
      </c>
      <c r="BN181" s="173">
        <f>IF(AND(Input_Product=Elig!$C181,Elig_MatchAll_Ct&lt;22,$BC181=(Elig_MatchAll_Ct-1),AL181=0),I181,0)</f>
        <v>0</v>
      </c>
      <c r="BO181" s="173">
        <f>IF(AND(Input_Product=Elig!$C181,Elig_MatchAll_Ct&lt;22,$BC181=(Elig_MatchAll_Ct-1),AM181=0),J181,0)</f>
        <v>0</v>
      </c>
      <c r="BP181" s="173">
        <f>IF(AND(Input_Product=Elig!$C181,Elig_MatchAll_Ct&lt;22,$BC181=(Elig_MatchAll_Ct-1),AN181=0),K181,0)</f>
        <v>0</v>
      </c>
      <c r="BQ181" s="173">
        <f>IF(AND(Input_Product=Elig!$C181,Elig_MatchAll_Ct&lt;22,$BC181=(Elig_MatchAll_Ct-1),AP181=0),L181,0)</f>
        <v>0</v>
      </c>
      <c r="BR181" s="173">
        <f>IF(AND(Input_Product=Elig!$C181,Elig_MatchAll_Ct&lt;22,$BC181=(Elig_MatchAll_Ct-1),AO181=0),M181,0)</f>
        <v>0</v>
      </c>
      <c r="BS181" s="173">
        <f>IF(AND(Input_Product=Elig!$C181,Elig_MatchAll_Ct&lt;22,$BC181=(Elig_MatchAll_Ct-1),AQ181=0),N181,0)</f>
        <v>0</v>
      </c>
      <c r="BT181" s="173">
        <f>IF(AND(Input_Product=Elig!$C181,Elig_MatchAll_Ct&lt;22,$BC181=(Elig_MatchAll_Ct-1),AR181=0),O181,0)</f>
        <v>0</v>
      </c>
      <c r="BU181" s="173">
        <f>IF(AND(Input_Product=Elig!$C181,Elig_MatchAll_Ct&lt;22,$BC181=(Elig_MatchAll_Ct-1),AS181=0),P181,0)</f>
        <v>0</v>
      </c>
      <c r="BV181" s="174">
        <f>IF(AND(Input_Product=Elig!$C181,Elig_MatchAll_Ct&lt;22,$BC181=(Elig_MatchAll_Ct-1),AT181=0),Q181,0)</f>
        <v>0</v>
      </c>
      <c r="BW181" s="175">
        <f>IF(AND(Input_Product=Elig!$C181,Elig_MatchAll_Ct&lt;22,$BC181=(Elig_MatchAll_Ct-1),AU181=0),R181,0)</f>
        <v>0</v>
      </c>
      <c r="BX181" s="176">
        <f>IF(AND(Input_Product=Elig!$C181,Elig_MatchAll_Ct&lt;22,$BC181=(Elig_MatchAll_Ct-1),AU181=0),S181,0)</f>
        <v>0</v>
      </c>
      <c r="BY181" s="175">
        <f>IF(AND(Input_Product=Elig!$C181,Elig_MatchAll_Ct&lt;22,$BC181=(Elig_MatchAll_Ct-1),AV181=0),T181,0)</f>
        <v>0</v>
      </c>
      <c r="BZ181" s="176">
        <f>IF(AND(Input_Product=Elig!$C181,Elig_MatchAll_Ct&lt;22,$BC181=(Elig_MatchAll_Ct-1),AV181=0),U181,0)</f>
        <v>0</v>
      </c>
      <c r="CA181" s="175">
        <f>IF(AND(Input_Product=Elig!$C181,Elig_MatchAll_Ct&lt;22,$BC181=(Elig_MatchAll_Ct-1),AW181=0),V181,0)</f>
        <v>0</v>
      </c>
      <c r="CB181" s="176">
        <f>IF(AND(Input_Product=Elig!$C181,Elig_MatchAll_Ct&lt;22,$BC181=(Elig_MatchAll_Ct-1),AW181=0),W181,0)</f>
        <v>0</v>
      </c>
      <c r="CC181" s="175">
        <f>IF(AND(Input_Product=Elig!$C181,Elig_MatchAll_Ct&lt;22,$BC181=(Elig_MatchAll_Ct-1),AX181=0),X181,0)</f>
        <v>0</v>
      </c>
      <c r="CD181" s="176">
        <f>IF(AND(Input_Product=Elig!$C181,Elig_MatchAll_Ct&lt;22,$BC181=(Elig_MatchAll_Ct-1),AX181=0),Y181,0)</f>
        <v>0</v>
      </c>
      <c r="CE181" s="175">
        <f>IF(AND(Input_LTV&lt;=AE181,Input_Product=Elig!$C181,Elig_MatchAll_Ct&lt;22,$BC181=(Elig_MatchAll_Ct-1),AY181=0),Z181,0)</f>
        <v>0</v>
      </c>
      <c r="CF181" s="176">
        <f>IF(AND(Input_LTV&lt;=AE181,Input_Product=Elig!$C181,Elig_MatchAll_Ct&lt;22,$BC181=(Elig_MatchAll_Ct-1),AY181=0),AA181,0)</f>
        <v>0</v>
      </c>
      <c r="CG181" s="175">
        <f>IF(AND(Input_Product=Elig!$C181,Elig_MatchAll_Ct&lt;22,$BC181=(Elig_MatchAll_Ct-1),AZ181=0),AB181,0)</f>
        <v>0</v>
      </c>
      <c r="CH181" s="176">
        <f>IF(AND(Input_Product=Elig!$C181,Elig_MatchAll_Ct&lt;22,$BC181=(Elig_MatchAll_Ct-1),AZ181=0),AC181,0)</f>
        <v>0</v>
      </c>
      <c r="CI181" s="175">
        <f>IF(AND(Input_Product=Elig!$C181,Elig_MatchAll_Ct&lt;22,$BC181=(Elig_MatchAll_Ct-1),BA181=0),AD181,0)</f>
        <v>0</v>
      </c>
      <c r="CJ181" s="176">
        <f>IF(AND(Input_Product=Elig!$C181,Elig_MatchAll_Ct&lt;22,$BC181=(Elig_MatchAll_Ct-1),BA181=0),AE181,0)</f>
        <v>0</v>
      </c>
    </row>
    <row r="182" spans="1:89" ht="10.15" customHeight="1" x14ac:dyDescent="0.25">
      <c r="A182" s="1419" t="s">
        <v>76</v>
      </c>
      <c r="B182" s="1419" t="s">
        <v>875</v>
      </c>
      <c r="C182" s="116" t="str">
        <f t="shared" si="53"/>
        <v>NonQM OO</v>
      </c>
      <c r="D182" s="117" t="s">
        <v>1995</v>
      </c>
      <c r="E182" s="117" t="s">
        <v>166</v>
      </c>
      <c r="F182" s="117" t="s">
        <v>330</v>
      </c>
      <c r="G182" s="117" t="s">
        <v>465</v>
      </c>
      <c r="H182" s="117" t="s">
        <v>135</v>
      </c>
      <c r="I182" s="118" t="s">
        <v>16</v>
      </c>
      <c r="J182" s="118" t="s">
        <v>1130</v>
      </c>
      <c r="K182" s="118" t="s">
        <v>1398</v>
      </c>
      <c r="L182" s="117" t="s">
        <v>2025</v>
      </c>
      <c r="M182" s="117" t="s">
        <v>2289</v>
      </c>
      <c r="N182" s="117" t="s">
        <v>82</v>
      </c>
      <c r="O182" s="117" t="s">
        <v>309</v>
      </c>
      <c r="P182" s="117" t="s">
        <v>2433</v>
      </c>
      <c r="Q182" s="117" t="s">
        <v>293</v>
      </c>
      <c r="R182" s="117">
        <v>2000000.01</v>
      </c>
      <c r="S182" s="117">
        <v>2500000</v>
      </c>
      <c r="T182" s="117">
        <v>0</v>
      </c>
      <c r="U182" s="117">
        <f t="shared" ref="U182" si="70">S182</f>
        <v>2500000</v>
      </c>
      <c r="V182" s="117">
        <v>0</v>
      </c>
      <c r="W182" s="117">
        <v>55</v>
      </c>
      <c r="X182" s="117">
        <v>0</v>
      </c>
      <c r="Y182" s="117">
        <v>999</v>
      </c>
      <c r="Z182" s="119">
        <v>680</v>
      </c>
      <c r="AA182" s="119">
        <v>699</v>
      </c>
      <c r="AB182" s="1877">
        <v>0</v>
      </c>
      <c r="AC182" s="119">
        <v>999999</v>
      </c>
      <c r="AD182" s="117">
        <v>0</v>
      </c>
      <c r="AE182" s="117">
        <v>65</v>
      </c>
      <c r="AF182" s="144">
        <v>0</v>
      </c>
      <c r="AG182" s="145">
        <v>1</v>
      </c>
      <c r="AH182" s="145">
        <v>1</v>
      </c>
      <c r="AI182" s="145">
        <v>0</v>
      </c>
      <c r="AJ182" s="145">
        <v>0</v>
      </c>
      <c r="AK182" s="145">
        <v>1</v>
      </c>
      <c r="AL182" s="145">
        <v>0</v>
      </c>
      <c r="AM182" s="145">
        <v>1</v>
      </c>
      <c r="AN182" s="145">
        <v>1</v>
      </c>
      <c r="AO182" s="145">
        <v>1</v>
      </c>
      <c r="AP182" s="145">
        <v>1</v>
      </c>
      <c r="AQ182" s="145">
        <v>0</v>
      </c>
      <c r="AR182" s="145">
        <v>1</v>
      </c>
      <c r="AS182" s="145">
        <v>1</v>
      </c>
      <c r="AT182" s="145">
        <v>1</v>
      </c>
      <c r="AU182" s="145">
        <f t="shared" si="55"/>
        <v>0</v>
      </c>
      <c r="AV182" s="145">
        <f t="shared" si="56"/>
        <v>1</v>
      </c>
      <c r="AW182" s="145">
        <f t="shared" si="57"/>
        <v>1</v>
      </c>
      <c r="AX182" s="145">
        <f t="shared" si="49"/>
        <v>1</v>
      </c>
      <c r="AY182" s="145">
        <f t="shared" si="58"/>
        <v>0</v>
      </c>
      <c r="AZ182" s="145">
        <f t="shared" si="59"/>
        <v>1</v>
      </c>
      <c r="BA182" s="146">
        <f t="shared" si="60"/>
        <v>0</v>
      </c>
      <c r="BB182" s="149">
        <f t="shared" si="63"/>
        <v>14</v>
      </c>
      <c r="BC182" s="150">
        <f t="shared" si="64"/>
        <v>14</v>
      </c>
      <c r="BD182" s="150">
        <f t="shared" si="65"/>
        <v>14</v>
      </c>
      <c r="BE182" s="211" t="str">
        <f t="shared" si="66"/>
        <v/>
      </c>
      <c r="BH182" s="173">
        <f>IF(AND(Input_Product=Elig!$C182,Elig_MatchAll_Ct&lt;22,$BC182=(Elig_MatchAll_Ct-1),AF182=0),C182,0)</f>
        <v>0</v>
      </c>
      <c r="BI182" s="173">
        <f>IF(AND(Input_Product=Elig!$C182,Elig_MatchAll_Ct&lt;22,$BC182=(Elig_MatchAll_Ct-1),AG182=0),D182,0)</f>
        <v>0</v>
      </c>
      <c r="BJ182" s="173">
        <f>IF(AND(Input_Product=Elig!$C182,Elig_MatchAll_Ct&lt;22,$BC182=(Elig_MatchAll_Ct-1),AH182=0),E182,0)</f>
        <v>0</v>
      </c>
      <c r="BK182" s="173">
        <f>IF(AND(Input_Product=Elig!$C182,Elig_MatchAll_Ct&lt;22,$BC182=(Elig_MatchAll_Ct-1),AI182=0),F182,0)</f>
        <v>0</v>
      </c>
      <c r="BL182" s="173">
        <f>IF(AND(Input_Product=Elig!$C182,Elig_MatchAll_Ct&lt;22,$BC182=(Elig_MatchAll_Ct-1),AJ182=0),G182,0)</f>
        <v>0</v>
      </c>
      <c r="BM182" s="173">
        <f>IF(AND(Input_Product=Elig!$C182,Elig_MatchAll_Ct&lt;22,$BC182=(Elig_MatchAll_Ct-1),AK182=0),H182,0)</f>
        <v>0</v>
      </c>
      <c r="BN182" s="173">
        <f>IF(AND(Input_Product=Elig!$C182,Elig_MatchAll_Ct&lt;22,$BC182=(Elig_MatchAll_Ct-1),AL182=0),I182,0)</f>
        <v>0</v>
      </c>
      <c r="BO182" s="173">
        <f>IF(AND(Input_Product=Elig!$C182,Elig_MatchAll_Ct&lt;22,$BC182=(Elig_MatchAll_Ct-1),AM182=0),J182,0)</f>
        <v>0</v>
      </c>
      <c r="BP182" s="173">
        <f>IF(AND(Input_Product=Elig!$C182,Elig_MatchAll_Ct&lt;22,$BC182=(Elig_MatchAll_Ct-1),AN182=0),K182,0)</f>
        <v>0</v>
      </c>
      <c r="BQ182" s="173">
        <f>IF(AND(Input_Product=Elig!$C182,Elig_MatchAll_Ct&lt;22,$BC182=(Elig_MatchAll_Ct-1),AP182=0),L182,0)</f>
        <v>0</v>
      </c>
      <c r="BR182" s="173">
        <f>IF(AND(Input_Product=Elig!$C182,Elig_MatchAll_Ct&lt;22,$BC182=(Elig_MatchAll_Ct-1),AO182=0),M182,0)</f>
        <v>0</v>
      </c>
      <c r="BS182" s="173">
        <f>IF(AND(Input_Product=Elig!$C182,Elig_MatchAll_Ct&lt;22,$BC182=(Elig_MatchAll_Ct-1),AQ182=0),N182,0)</f>
        <v>0</v>
      </c>
      <c r="BT182" s="173">
        <f>IF(AND(Input_Product=Elig!$C182,Elig_MatchAll_Ct&lt;22,$BC182=(Elig_MatchAll_Ct-1),AR182=0),O182,0)</f>
        <v>0</v>
      </c>
      <c r="BU182" s="173">
        <f>IF(AND(Input_Product=Elig!$C182,Elig_MatchAll_Ct&lt;22,$BC182=(Elig_MatchAll_Ct-1),AS182=0),P182,0)</f>
        <v>0</v>
      </c>
      <c r="BV182" s="174">
        <f>IF(AND(Input_Product=Elig!$C182,Elig_MatchAll_Ct&lt;22,$BC182=(Elig_MatchAll_Ct-1),AT182=0),Q182,0)</f>
        <v>0</v>
      </c>
      <c r="BW182" s="175">
        <f>IF(AND(Input_Product=Elig!$C182,Elig_MatchAll_Ct&lt;22,$BC182=(Elig_MatchAll_Ct-1),AU182=0),R182,0)</f>
        <v>0</v>
      </c>
      <c r="BX182" s="176">
        <f>IF(AND(Input_Product=Elig!$C182,Elig_MatchAll_Ct&lt;22,$BC182=(Elig_MatchAll_Ct-1),AU182=0),S182,0)</f>
        <v>0</v>
      </c>
      <c r="BY182" s="175">
        <f>IF(AND(Input_Product=Elig!$C182,Elig_MatchAll_Ct&lt;22,$BC182=(Elig_MatchAll_Ct-1),AV182=0),T182,0)</f>
        <v>0</v>
      </c>
      <c r="BZ182" s="176">
        <f>IF(AND(Input_Product=Elig!$C182,Elig_MatchAll_Ct&lt;22,$BC182=(Elig_MatchAll_Ct-1),AV182=0),U182,0)</f>
        <v>0</v>
      </c>
      <c r="CA182" s="175">
        <f>IF(AND(Input_Product=Elig!$C182,Elig_MatchAll_Ct&lt;22,$BC182=(Elig_MatchAll_Ct-1),AW182=0),V182,0)</f>
        <v>0</v>
      </c>
      <c r="CB182" s="176">
        <f>IF(AND(Input_Product=Elig!$C182,Elig_MatchAll_Ct&lt;22,$BC182=(Elig_MatchAll_Ct-1),AW182=0),W182,0)</f>
        <v>0</v>
      </c>
      <c r="CC182" s="175">
        <f>IF(AND(Input_Product=Elig!$C182,Elig_MatchAll_Ct&lt;22,$BC182=(Elig_MatchAll_Ct-1),AX182=0),X182,0)</f>
        <v>0</v>
      </c>
      <c r="CD182" s="176">
        <f>IF(AND(Input_Product=Elig!$C182,Elig_MatchAll_Ct&lt;22,$BC182=(Elig_MatchAll_Ct-1),AX182=0),Y182,0)</f>
        <v>0</v>
      </c>
      <c r="CE182" s="175">
        <f>IF(AND(Input_LTV&lt;=AE182,Input_Product=Elig!$C182,Elig_MatchAll_Ct&lt;22,$BC182=(Elig_MatchAll_Ct-1),AY182=0),Z182,0)</f>
        <v>0</v>
      </c>
      <c r="CF182" s="176">
        <f>IF(AND(Input_LTV&lt;=AE182,Input_Product=Elig!$C182,Elig_MatchAll_Ct&lt;22,$BC182=(Elig_MatchAll_Ct-1),AY182=0),AA182,0)</f>
        <v>0</v>
      </c>
      <c r="CG182" s="175">
        <f>IF(AND(Input_Product=Elig!$C182,Elig_MatchAll_Ct&lt;22,$BC182=(Elig_MatchAll_Ct-1),AZ182=0),AB182,0)</f>
        <v>0</v>
      </c>
      <c r="CH182" s="176">
        <f>IF(AND(Input_Product=Elig!$C182,Elig_MatchAll_Ct&lt;22,$BC182=(Elig_MatchAll_Ct-1),AZ182=0),AC182,0)</f>
        <v>0</v>
      </c>
      <c r="CI182" s="175">
        <f>IF(AND(Input_Product=Elig!$C182,Elig_MatchAll_Ct&lt;22,$BC182=(Elig_MatchAll_Ct-1),BA182=0),AD182,0)</f>
        <v>0</v>
      </c>
      <c r="CJ182" s="176">
        <f>IF(AND(Input_Product=Elig!$C182,Elig_MatchAll_Ct&lt;22,$BC182=(Elig_MatchAll_Ct-1),BA182=0),AE182,0)</f>
        <v>0</v>
      </c>
    </row>
    <row r="183" spans="1:89" ht="10.15" customHeight="1" x14ac:dyDescent="0.25">
      <c r="A183" s="1419" t="s">
        <v>76</v>
      </c>
      <c r="B183" s="1419" t="s">
        <v>876</v>
      </c>
      <c r="C183" s="116" t="str">
        <f t="shared" si="53"/>
        <v>NonQM OO</v>
      </c>
      <c r="D183" s="117" t="s">
        <v>1995</v>
      </c>
      <c r="E183" s="117" t="s">
        <v>166</v>
      </c>
      <c r="F183" s="117" t="s">
        <v>330</v>
      </c>
      <c r="G183" s="117" t="s">
        <v>465</v>
      </c>
      <c r="H183" s="117" t="s">
        <v>135</v>
      </c>
      <c r="I183" s="118" t="s">
        <v>16</v>
      </c>
      <c r="J183" s="118" t="s">
        <v>1130</v>
      </c>
      <c r="K183" s="118" t="s">
        <v>1398</v>
      </c>
      <c r="L183" s="117" t="s">
        <v>2025</v>
      </c>
      <c r="M183" s="117" t="s">
        <v>2289</v>
      </c>
      <c r="N183" s="117" t="s">
        <v>82</v>
      </c>
      <c r="O183" s="117" t="s">
        <v>309</v>
      </c>
      <c r="P183" s="117" t="s">
        <v>2433</v>
      </c>
      <c r="Q183" s="117" t="s">
        <v>293</v>
      </c>
      <c r="R183" s="117">
        <v>2000000.01</v>
      </c>
      <c r="S183" s="117">
        <v>2500000</v>
      </c>
      <c r="T183" s="117">
        <v>0</v>
      </c>
      <c r="U183" s="117">
        <f t="shared" si="69"/>
        <v>2500000</v>
      </c>
      <c r="V183" s="117">
        <v>0</v>
      </c>
      <c r="W183" s="117">
        <v>55</v>
      </c>
      <c r="X183" s="117">
        <v>0</v>
      </c>
      <c r="Y183" s="117">
        <v>999</v>
      </c>
      <c r="Z183" s="119">
        <v>660</v>
      </c>
      <c r="AA183" s="119">
        <v>679</v>
      </c>
      <c r="AB183" s="1877">
        <v>0</v>
      </c>
      <c r="AC183" s="119">
        <v>999999</v>
      </c>
      <c r="AD183" s="117">
        <v>0</v>
      </c>
      <c r="AE183" s="117">
        <v>65</v>
      </c>
      <c r="AF183" s="144">
        <v>0</v>
      </c>
      <c r="AG183" s="145">
        <v>1</v>
      </c>
      <c r="AH183" s="145">
        <v>1</v>
      </c>
      <c r="AI183" s="145">
        <v>0</v>
      </c>
      <c r="AJ183" s="145">
        <v>0</v>
      </c>
      <c r="AK183" s="145">
        <v>1</v>
      </c>
      <c r="AL183" s="145">
        <v>0</v>
      </c>
      <c r="AM183" s="145">
        <v>1</v>
      </c>
      <c r="AN183" s="145">
        <v>1</v>
      </c>
      <c r="AO183" s="145">
        <v>1</v>
      </c>
      <c r="AP183" s="145">
        <v>1</v>
      </c>
      <c r="AQ183" s="145">
        <v>0</v>
      </c>
      <c r="AR183" s="145">
        <v>1</v>
      </c>
      <c r="AS183" s="145">
        <v>1</v>
      </c>
      <c r="AT183" s="145">
        <v>1</v>
      </c>
      <c r="AU183" s="145">
        <f t="shared" si="55"/>
        <v>0</v>
      </c>
      <c r="AV183" s="145">
        <f t="shared" si="56"/>
        <v>1</v>
      </c>
      <c r="AW183" s="145">
        <f t="shared" si="57"/>
        <v>1</v>
      </c>
      <c r="AX183" s="145">
        <f t="shared" si="49"/>
        <v>1</v>
      </c>
      <c r="AY183" s="145">
        <f t="shared" si="58"/>
        <v>0</v>
      </c>
      <c r="AZ183" s="145">
        <f t="shared" si="59"/>
        <v>1</v>
      </c>
      <c r="BA183" s="146">
        <f t="shared" si="60"/>
        <v>0</v>
      </c>
      <c r="BB183" s="149">
        <f t="shared" si="63"/>
        <v>14</v>
      </c>
      <c r="BC183" s="150">
        <f t="shared" si="64"/>
        <v>14</v>
      </c>
      <c r="BD183" s="150">
        <f t="shared" si="65"/>
        <v>14</v>
      </c>
      <c r="BE183" s="211" t="str">
        <f t="shared" si="66"/>
        <v/>
      </c>
      <c r="BH183" s="188">
        <f>IF(AND(Input_Product=Elig!$C183,Elig_MatchAll_Ct&lt;22,$BC183=(Elig_MatchAll_Ct-1),AF183=0),C183,0)</f>
        <v>0</v>
      </c>
      <c r="BI183" s="188">
        <f>IF(AND(Input_Product=Elig!$C183,Elig_MatchAll_Ct&lt;22,$BC183=(Elig_MatchAll_Ct-1),AG183=0),D183,0)</f>
        <v>0</v>
      </c>
      <c r="BJ183" s="188">
        <f>IF(AND(Input_Product=Elig!$C183,Elig_MatchAll_Ct&lt;22,$BC183=(Elig_MatchAll_Ct-1),AH183=0),E183,0)</f>
        <v>0</v>
      </c>
      <c r="BK183" s="188">
        <f>IF(AND(Input_Product=Elig!$C183,Elig_MatchAll_Ct&lt;22,$BC183=(Elig_MatchAll_Ct-1),AI183=0),F183,0)</f>
        <v>0</v>
      </c>
      <c r="BL183" s="188">
        <f>IF(AND(Input_Product=Elig!$C183,Elig_MatchAll_Ct&lt;22,$BC183=(Elig_MatchAll_Ct-1),AJ183=0),G183,0)</f>
        <v>0</v>
      </c>
      <c r="BM183" s="188">
        <f>IF(AND(Input_Product=Elig!$C183,Elig_MatchAll_Ct&lt;22,$BC183=(Elig_MatchAll_Ct-1),AK183=0),H183,0)</f>
        <v>0</v>
      </c>
      <c r="BN183" s="188">
        <f>IF(AND(Input_Product=Elig!$C183,Elig_MatchAll_Ct&lt;22,$BC183=(Elig_MatchAll_Ct-1),AL183=0),I183,0)</f>
        <v>0</v>
      </c>
      <c r="BO183" s="188">
        <f>IF(AND(Input_Product=Elig!$C183,Elig_MatchAll_Ct&lt;22,$BC183=(Elig_MatchAll_Ct-1),AM183=0),J183,0)</f>
        <v>0</v>
      </c>
      <c r="BP183" s="188">
        <f>IF(AND(Input_Product=Elig!$C183,Elig_MatchAll_Ct&lt;22,$BC183=(Elig_MatchAll_Ct-1),AN183=0),K183,0)</f>
        <v>0</v>
      </c>
      <c r="BQ183" s="188">
        <f>IF(AND(Input_Product=Elig!$C183,Elig_MatchAll_Ct&lt;22,$BC183=(Elig_MatchAll_Ct-1),AP183=0),L183,0)</f>
        <v>0</v>
      </c>
      <c r="BR183" s="188">
        <f>IF(AND(Input_Product=Elig!$C183,Elig_MatchAll_Ct&lt;22,$BC183=(Elig_MatchAll_Ct-1),AO183=0),M183,0)</f>
        <v>0</v>
      </c>
      <c r="BS183" s="188">
        <f>IF(AND(Input_Product=Elig!$C183,Elig_MatchAll_Ct&lt;22,$BC183=(Elig_MatchAll_Ct-1),AQ183=0),N183,0)</f>
        <v>0</v>
      </c>
      <c r="BT183" s="188">
        <f>IF(AND(Input_Product=Elig!$C183,Elig_MatchAll_Ct&lt;22,$BC183=(Elig_MatchAll_Ct-1),AR183=0),O183,0)</f>
        <v>0</v>
      </c>
      <c r="BU183" s="188">
        <f>IF(AND(Input_Product=Elig!$C183,Elig_MatchAll_Ct&lt;22,$BC183=(Elig_MatchAll_Ct-1),AS183=0),P183,0)</f>
        <v>0</v>
      </c>
      <c r="BV183" s="189">
        <f>IF(AND(Input_Product=Elig!$C183,Elig_MatchAll_Ct&lt;22,$BC183=(Elig_MatchAll_Ct-1),AT183=0),Q183,0)</f>
        <v>0</v>
      </c>
      <c r="BW183" s="271">
        <f>IF(AND(Input_Product=Elig!$C183,Elig_MatchAll_Ct&lt;22,$BC183=(Elig_MatchAll_Ct-1),AU183=0),R183,0)</f>
        <v>0</v>
      </c>
      <c r="BX183" s="272">
        <f>IF(AND(Input_Product=Elig!$C183,Elig_MatchAll_Ct&lt;22,$BC183=(Elig_MatchAll_Ct-1),AU183=0),S183,0)</f>
        <v>0</v>
      </c>
      <c r="BY183" s="271">
        <f>IF(AND(Input_Product=Elig!$C183,Elig_MatchAll_Ct&lt;22,$BC183=(Elig_MatchAll_Ct-1),AV183=0),T183,0)</f>
        <v>0</v>
      </c>
      <c r="BZ183" s="272">
        <f>IF(AND(Input_Product=Elig!$C183,Elig_MatchAll_Ct&lt;22,$BC183=(Elig_MatchAll_Ct-1),AV183=0),U183,0)</f>
        <v>0</v>
      </c>
      <c r="CA183" s="271">
        <f>IF(AND(Input_Product=Elig!$C183,Elig_MatchAll_Ct&lt;22,$BC183=(Elig_MatchAll_Ct-1),AW183=0),V183,0)</f>
        <v>0</v>
      </c>
      <c r="CB183" s="272">
        <f>IF(AND(Input_Product=Elig!$C183,Elig_MatchAll_Ct&lt;22,$BC183=(Elig_MatchAll_Ct-1),AW183=0),W183,0)</f>
        <v>0</v>
      </c>
      <c r="CC183" s="271">
        <f>IF(AND(Input_Product=Elig!$C183,Elig_MatchAll_Ct&lt;22,$BC183=(Elig_MatchAll_Ct-1),AX183=0),X183,0)</f>
        <v>0</v>
      </c>
      <c r="CD183" s="272">
        <f>IF(AND(Input_Product=Elig!$C183,Elig_MatchAll_Ct&lt;22,$BC183=(Elig_MatchAll_Ct-1),AX183=0),Y183,0)</f>
        <v>0</v>
      </c>
      <c r="CE183" s="271">
        <f>IF(AND(Input_LTV&lt;=AE183,Input_Product=Elig!$C183,Elig_MatchAll_Ct&lt;22,$BC183=(Elig_MatchAll_Ct-1),AY183=0),Z183,0)</f>
        <v>0</v>
      </c>
      <c r="CF183" s="272">
        <f>IF(AND(Input_LTV&lt;=AE183,Input_Product=Elig!$C183,Elig_MatchAll_Ct&lt;22,$BC183=(Elig_MatchAll_Ct-1),AY183=0),AA183,0)</f>
        <v>0</v>
      </c>
      <c r="CG183" s="271">
        <f>IF(AND(Input_Product=Elig!$C183,Elig_MatchAll_Ct&lt;22,$BC183=(Elig_MatchAll_Ct-1),AZ183=0),AB183,0)</f>
        <v>0</v>
      </c>
      <c r="CH183" s="272">
        <f>IF(AND(Input_Product=Elig!$C183,Elig_MatchAll_Ct&lt;22,$BC183=(Elig_MatchAll_Ct-1),AZ183=0),AC183,0)</f>
        <v>0</v>
      </c>
      <c r="CI183" s="271">
        <f>IF(AND(Input_Product=Elig!$C183,Elig_MatchAll_Ct&lt;22,$BC183=(Elig_MatchAll_Ct-1),BA183=0),AD183,0)</f>
        <v>0</v>
      </c>
      <c r="CJ183" s="272">
        <f>IF(AND(Input_Product=Elig!$C183,Elig_MatchAll_Ct&lt;22,$BC183=(Elig_MatchAll_Ct-1),BA183=0),AE183,0)</f>
        <v>0</v>
      </c>
      <c r="CK183" s="460" t="str">
        <f>Input_Product</f>
        <v>Second NOO</v>
      </c>
    </row>
    <row r="184" spans="1:89" ht="10.15" customHeight="1" x14ac:dyDescent="0.25">
      <c r="A184" s="1419" t="s">
        <v>76</v>
      </c>
      <c r="B184" s="1419" t="s">
        <v>877</v>
      </c>
      <c r="C184" s="123" t="str">
        <f t="shared" si="53"/>
        <v>NonQM OO</v>
      </c>
      <c r="D184" s="124" t="s">
        <v>1995</v>
      </c>
      <c r="E184" s="125" t="s">
        <v>166</v>
      </c>
      <c r="F184" s="125" t="s">
        <v>330</v>
      </c>
      <c r="G184" s="125" t="s">
        <v>178</v>
      </c>
      <c r="H184" s="125" t="s">
        <v>135</v>
      </c>
      <c r="I184" s="124" t="s">
        <v>273</v>
      </c>
      <c r="J184" s="124" t="s">
        <v>1130</v>
      </c>
      <c r="K184" s="124" t="s">
        <v>1398</v>
      </c>
      <c r="L184" s="125" t="s">
        <v>2025</v>
      </c>
      <c r="M184" s="125" t="s">
        <v>2289</v>
      </c>
      <c r="N184" s="125" t="s">
        <v>82</v>
      </c>
      <c r="O184" s="125" t="s">
        <v>309</v>
      </c>
      <c r="P184" s="125" t="s">
        <v>2433</v>
      </c>
      <c r="Q184" s="125" t="s">
        <v>293</v>
      </c>
      <c r="R184" s="124">
        <v>2000000.01</v>
      </c>
      <c r="S184" s="124">
        <v>2500000</v>
      </c>
      <c r="T184" s="124">
        <v>0</v>
      </c>
      <c r="U184" s="124">
        <v>0</v>
      </c>
      <c r="V184" s="124">
        <v>0</v>
      </c>
      <c r="W184" s="124">
        <v>55</v>
      </c>
      <c r="X184" s="124">
        <v>0</v>
      </c>
      <c r="Y184" s="124">
        <v>999</v>
      </c>
      <c r="Z184" s="126">
        <v>720</v>
      </c>
      <c r="AA184" s="126">
        <v>999</v>
      </c>
      <c r="AB184" s="1879">
        <v>0</v>
      </c>
      <c r="AC184" s="126">
        <v>999999</v>
      </c>
      <c r="AD184" s="124">
        <v>0</v>
      </c>
      <c r="AE184" s="124">
        <v>80</v>
      </c>
      <c r="AF184" s="144">
        <v>0</v>
      </c>
      <c r="AG184" s="145">
        <v>1</v>
      </c>
      <c r="AH184" s="145">
        <v>1</v>
      </c>
      <c r="AI184" s="145">
        <v>0</v>
      </c>
      <c r="AJ184" s="145">
        <v>0</v>
      </c>
      <c r="AK184" s="145">
        <v>1</v>
      </c>
      <c r="AL184" s="145">
        <v>1</v>
      </c>
      <c r="AM184" s="145">
        <v>1</v>
      </c>
      <c r="AN184" s="145">
        <v>1</v>
      </c>
      <c r="AO184" s="145">
        <v>1</v>
      </c>
      <c r="AP184" s="145">
        <v>1</v>
      </c>
      <c r="AQ184" s="145">
        <v>0</v>
      </c>
      <c r="AR184" s="145">
        <v>1</v>
      </c>
      <c r="AS184" s="145">
        <v>1</v>
      </c>
      <c r="AT184" s="145">
        <v>1</v>
      </c>
      <c r="AU184" s="145">
        <f t="shared" si="55"/>
        <v>0</v>
      </c>
      <c r="AV184" s="145">
        <f t="shared" si="56"/>
        <v>1</v>
      </c>
      <c r="AW184" s="145">
        <f t="shared" si="57"/>
        <v>1</v>
      </c>
      <c r="AX184" s="145">
        <f t="shared" si="49"/>
        <v>1</v>
      </c>
      <c r="AY184" s="145">
        <f t="shared" si="58"/>
        <v>1</v>
      </c>
      <c r="AZ184" s="145">
        <f t="shared" si="59"/>
        <v>1</v>
      </c>
      <c r="BA184" s="146">
        <f t="shared" si="60"/>
        <v>1</v>
      </c>
      <c r="BB184" s="149">
        <f t="shared" si="63"/>
        <v>17</v>
      </c>
      <c r="BC184" s="150">
        <f t="shared" si="64"/>
        <v>16</v>
      </c>
      <c r="BD184" s="150">
        <f t="shared" si="65"/>
        <v>17</v>
      </c>
      <c r="BE184" s="211" t="str">
        <f t="shared" si="66"/>
        <v/>
      </c>
      <c r="BH184" s="184">
        <f>IF(AND(Input_Product=Elig!$C184,Elig_MatchAll_Ct&lt;22,$BC184=(Elig_MatchAll_Ct-1),AF184=0),C184,0)</f>
        <v>0</v>
      </c>
      <c r="BI184" s="184">
        <f>IF(AND(Input_Product=Elig!$C184,Elig_MatchAll_Ct&lt;22,$BC184=(Elig_MatchAll_Ct-1),AG184=0),D184,0)</f>
        <v>0</v>
      </c>
      <c r="BJ184" s="184">
        <f>IF(AND(Input_Product=Elig!$C184,Elig_MatchAll_Ct&lt;22,$BC184=(Elig_MatchAll_Ct-1),AH184=0),E184,0)</f>
        <v>0</v>
      </c>
      <c r="BK184" s="184">
        <f>IF(AND(Input_Product=Elig!$C184,Elig_MatchAll_Ct&lt;22,$BC184=(Elig_MatchAll_Ct-1),AI184=0),F184,0)</f>
        <v>0</v>
      </c>
      <c r="BL184" s="184">
        <f>IF(AND(Input_Product=Elig!$C184,Elig_MatchAll_Ct&lt;22,$BC184=(Elig_MatchAll_Ct-1),AJ184=0),G184,0)</f>
        <v>0</v>
      </c>
      <c r="BM184" s="184">
        <f>IF(AND(Input_Product=Elig!$C184,Elig_MatchAll_Ct&lt;22,$BC184=(Elig_MatchAll_Ct-1),AK184=0),H184,0)</f>
        <v>0</v>
      </c>
      <c r="BN184" s="184">
        <f>IF(AND(Input_Product=Elig!$C184,Elig_MatchAll_Ct&lt;22,$BC184=(Elig_MatchAll_Ct-1),AL184=0),I184,0)</f>
        <v>0</v>
      </c>
      <c r="BO184" s="184">
        <f>IF(AND(Input_Product=Elig!$C184,Elig_MatchAll_Ct&lt;22,$BC184=(Elig_MatchAll_Ct-1),AM184=0),J184,0)</f>
        <v>0</v>
      </c>
      <c r="BP184" s="184">
        <f>IF(AND(Input_Product=Elig!$C184,Elig_MatchAll_Ct&lt;22,$BC184=(Elig_MatchAll_Ct-1),AN184=0),K184,0)</f>
        <v>0</v>
      </c>
      <c r="BQ184" s="184">
        <f>IF(AND(Input_Product=Elig!$C184,Elig_MatchAll_Ct&lt;22,$BC184=(Elig_MatchAll_Ct-1),AP184=0),L184,0)</f>
        <v>0</v>
      </c>
      <c r="BR184" s="184">
        <f>IF(AND(Input_Product=Elig!$C184,Elig_MatchAll_Ct&lt;22,$BC184=(Elig_MatchAll_Ct-1),AO184=0),M184,0)</f>
        <v>0</v>
      </c>
      <c r="BS184" s="184">
        <f>IF(AND(Input_Product=Elig!$C184,Elig_MatchAll_Ct&lt;22,$BC184=(Elig_MatchAll_Ct-1),AQ184=0),N184,0)</f>
        <v>0</v>
      </c>
      <c r="BT184" s="184">
        <f>IF(AND(Input_Product=Elig!$C184,Elig_MatchAll_Ct&lt;22,$BC184=(Elig_MatchAll_Ct-1),AR184=0),O184,0)</f>
        <v>0</v>
      </c>
      <c r="BU184" s="184">
        <f>IF(AND(Input_Product=Elig!$C184,Elig_MatchAll_Ct&lt;22,$BC184=(Elig_MatchAll_Ct-1),AS184=0),P184,0)</f>
        <v>0</v>
      </c>
      <c r="BV184" s="185">
        <f>IF(AND(Input_Product=Elig!$C184,Elig_MatchAll_Ct&lt;22,$BC184=(Elig_MatchAll_Ct-1),AT184=0),Q184,0)</f>
        <v>0</v>
      </c>
      <c r="BW184" s="186">
        <f>IF(AND(Input_Product=Elig!$C184,Elig_MatchAll_Ct&lt;22,$BC184=(Elig_MatchAll_Ct-1),AU184=0),R184,0)</f>
        <v>0</v>
      </c>
      <c r="BX184" s="187">
        <f>IF(AND(Input_Product=Elig!$C184,Elig_MatchAll_Ct&lt;22,$BC184=(Elig_MatchAll_Ct-1),AU184=0),S184,0)</f>
        <v>0</v>
      </c>
      <c r="BY184" s="186">
        <f>IF(AND(Input_Product=Elig!$C184,Elig_MatchAll_Ct&lt;22,$BC184=(Elig_MatchAll_Ct-1),AV184=0),T184,0)</f>
        <v>0</v>
      </c>
      <c r="BZ184" s="187">
        <f>IF(AND(Input_Product=Elig!$C184,Elig_MatchAll_Ct&lt;22,$BC184=(Elig_MatchAll_Ct-1),AV184=0),U184,0)</f>
        <v>0</v>
      </c>
      <c r="CA184" s="186">
        <f>IF(AND(Input_Product=Elig!$C184,Elig_MatchAll_Ct&lt;22,$BC184=(Elig_MatchAll_Ct-1),AW184=0),V184,0)</f>
        <v>0</v>
      </c>
      <c r="CB184" s="187">
        <f>IF(AND(Input_Product=Elig!$C184,Elig_MatchAll_Ct&lt;22,$BC184=(Elig_MatchAll_Ct-1),AW184=0),W184,0)</f>
        <v>0</v>
      </c>
      <c r="CC184" s="186">
        <f>IF(AND(Input_Product=Elig!$C184,Elig_MatchAll_Ct&lt;22,$BC184=(Elig_MatchAll_Ct-1),AX184=0),X184,0)</f>
        <v>0</v>
      </c>
      <c r="CD184" s="187">
        <f>IF(AND(Input_Product=Elig!$C184,Elig_MatchAll_Ct&lt;22,$BC184=(Elig_MatchAll_Ct-1),AX184=0),Y184,0)</f>
        <v>0</v>
      </c>
      <c r="CE184" s="186">
        <f>IF(AND(Input_LTV&lt;=AE184,Input_Product=Elig!$C184,Elig_MatchAll_Ct&lt;22,$BC184=(Elig_MatchAll_Ct-1),AY184=0),Z184,0)</f>
        <v>0</v>
      </c>
      <c r="CF184" s="187">
        <f>IF(AND(Input_LTV&lt;=AE184,Input_Product=Elig!$C184,Elig_MatchAll_Ct&lt;22,$BC184=(Elig_MatchAll_Ct-1),AY184=0),AA184,0)</f>
        <v>0</v>
      </c>
      <c r="CG184" s="186">
        <f>IF(AND(Input_Product=Elig!$C184,Elig_MatchAll_Ct&lt;22,$BC184=(Elig_MatchAll_Ct-1),AZ184=0),AB184,0)</f>
        <v>0</v>
      </c>
      <c r="CH184" s="187">
        <f>IF(AND(Input_Product=Elig!$C184,Elig_MatchAll_Ct&lt;22,$BC184=(Elig_MatchAll_Ct-1),AZ184=0),AC184,0)</f>
        <v>0</v>
      </c>
      <c r="CI184" s="186">
        <f>IF(AND(Input_Product=Elig!$C184,Elig_MatchAll_Ct&lt;22,$BC184=(Elig_MatchAll_Ct-1),BA184=0),AD184,0)</f>
        <v>0</v>
      </c>
      <c r="CJ184" s="187">
        <f>IF(AND(Input_Product=Elig!$C184,Elig_MatchAll_Ct&lt;22,$BC184=(Elig_MatchAll_Ct-1),BA184=0),AE184,0)</f>
        <v>0</v>
      </c>
    </row>
    <row r="185" spans="1:89" ht="10.15" customHeight="1" x14ac:dyDescent="0.25">
      <c r="A185" s="1419" t="s">
        <v>76</v>
      </c>
      <c r="B185" s="1419" t="s">
        <v>878</v>
      </c>
      <c r="C185" s="116" t="str">
        <f t="shared" si="53"/>
        <v>NonQM OO</v>
      </c>
      <c r="D185" s="117" t="s">
        <v>1995</v>
      </c>
      <c r="E185" s="117" t="s">
        <v>166</v>
      </c>
      <c r="F185" s="117" t="s">
        <v>330</v>
      </c>
      <c r="G185" s="117" t="s">
        <v>178</v>
      </c>
      <c r="H185" s="117" t="s">
        <v>135</v>
      </c>
      <c r="I185" s="118" t="s">
        <v>273</v>
      </c>
      <c r="J185" s="118" t="s">
        <v>1130</v>
      </c>
      <c r="K185" s="118" t="s">
        <v>1398</v>
      </c>
      <c r="L185" s="117" t="s">
        <v>2025</v>
      </c>
      <c r="M185" s="117" t="s">
        <v>2289</v>
      </c>
      <c r="N185" s="117" t="s">
        <v>82</v>
      </c>
      <c r="O185" s="117" t="s">
        <v>309</v>
      </c>
      <c r="P185" s="117" t="s">
        <v>2433</v>
      </c>
      <c r="Q185" s="117" t="s">
        <v>293</v>
      </c>
      <c r="R185" s="117">
        <v>2000000.01</v>
      </c>
      <c r="S185" s="117">
        <v>2500000</v>
      </c>
      <c r="T185" s="117">
        <v>0</v>
      </c>
      <c r="U185" s="117">
        <v>0</v>
      </c>
      <c r="V185" s="117">
        <v>0</v>
      </c>
      <c r="W185" s="117">
        <v>55</v>
      </c>
      <c r="X185" s="117">
        <v>0</v>
      </c>
      <c r="Y185" s="117">
        <v>999</v>
      </c>
      <c r="Z185" s="119">
        <v>700</v>
      </c>
      <c r="AA185" s="119">
        <v>719</v>
      </c>
      <c r="AB185" s="1877">
        <v>0</v>
      </c>
      <c r="AC185" s="119">
        <v>999999</v>
      </c>
      <c r="AD185" s="117">
        <v>0</v>
      </c>
      <c r="AE185" s="117">
        <v>75</v>
      </c>
      <c r="AF185" s="144">
        <v>0</v>
      </c>
      <c r="AG185" s="145">
        <v>1</v>
      </c>
      <c r="AH185" s="145">
        <v>1</v>
      </c>
      <c r="AI185" s="145">
        <v>0</v>
      </c>
      <c r="AJ185" s="145">
        <v>0</v>
      </c>
      <c r="AK185" s="145">
        <v>1</v>
      </c>
      <c r="AL185" s="145">
        <v>1</v>
      </c>
      <c r="AM185" s="145">
        <v>1</v>
      </c>
      <c r="AN185" s="145">
        <v>1</v>
      </c>
      <c r="AO185" s="145">
        <v>1</v>
      </c>
      <c r="AP185" s="145">
        <v>1</v>
      </c>
      <c r="AQ185" s="145">
        <v>0</v>
      </c>
      <c r="AR185" s="145">
        <v>1</v>
      </c>
      <c r="AS185" s="145">
        <v>1</v>
      </c>
      <c r="AT185" s="145">
        <v>1</v>
      </c>
      <c r="AU185" s="145">
        <f t="shared" si="55"/>
        <v>0</v>
      </c>
      <c r="AV185" s="145">
        <f t="shared" si="56"/>
        <v>1</v>
      </c>
      <c r="AW185" s="145">
        <f t="shared" si="57"/>
        <v>1</v>
      </c>
      <c r="AX185" s="145">
        <f t="shared" si="49"/>
        <v>1</v>
      </c>
      <c r="AY185" s="145">
        <f t="shared" si="58"/>
        <v>0</v>
      </c>
      <c r="AZ185" s="145">
        <f t="shared" si="59"/>
        <v>1</v>
      </c>
      <c r="BA185" s="146">
        <f t="shared" si="60"/>
        <v>1</v>
      </c>
      <c r="BB185" s="149">
        <f t="shared" si="63"/>
        <v>16</v>
      </c>
      <c r="BC185" s="150">
        <f t="shared" si="64"/>
        <v>15</v>
      </c>
      <c r="BD185" s="150">
        <f t="shared" si="65"/>
        <v>16</v>
      </c>
      <c r="BE185" s="211" t="str">
        <f t="shared" si="66"/>
        <v/>
      </c>
      <c r="BH185" s="173">
        <f>IF(AND(Input_Product=Elig!$C185,Elig_MatchAll_Ct&lt;22,$BC185=(Elig_MatchAll_Ct-1),AF185=0),C185,0)</f>
        <v>0</v>
      </c>
      <c r="BI185" s="173">
        <f>IF(AND(Input_Product=Elig!$C185,Elig_MatchAll_Ct&lt;22,$BC185=(Elig_MatchAll_Ct-1),AG185=0),D185,0)</f>
        <v>0</v>
      </c>
      <c r="BJ185" s="173">
        <f>IF(AND(Input_Product=Elig!$C185,Elig_MatchAll_Ct&lt;22,$BC185=(Elig_MatchAll_Ct-1),AH185=0),E185,0)</f>
        <v>0</v>
      </c>
      <c r="BK185" s="173">
        <f>IF(AND(Input_Product=Elig!$C185,Elig_MatchAll_Ct&lt;22,$BC185=(Elig_MatchAll_Ct-1),AI185=0),F185,0)</f>
        <v>0</v>
      </c>
      <c r="BL185" s="173">
        <f>IF(AND(Input_Product=Elig!$C185,Elig_MatchAll_Ct&lt;22,$BC185=(Elig_MatchAll_Ct-1),AJ185=0),G185,0)</f>
        <v>0</v>
      </c>
      <c r="BM185" s="173">
        <f>IF(AND(Input_Product=Elig!$C185,Elig_MatchAll_Ct&lt;22,$BC185=(Elig_MatchAll_Ct-1),AK185=0),H185,0)</f>
        <v>0</v>
      </c>
      <c r="BN185" s="173">
        <f>IF(AND(Input_Product=Elig!$C185,Elig_MatchAll_Ct&lt;22,$BC185=(Elig_MatchAll_Ct-1),AL185=0),I185,0)</f>
        <v>0</v>
      </c>
      <c r="BO185" s="173">
        <f>IF(AND(Input_Product=Elig!$C185,Elig_MatchAll_Ct&lt;22,$BC185=(Elig_MatchAll_Ct-1),AM185=0),J185,0)</f>
        <v>0</v>
      </c>
      <c r="BP185" s="173">
        <f>IF(AND(Input_Product=Elig!$C185,Elig_MatchAll_Ct&lt;22,$BC185=(Elig_MatchAll_Ct-1),AN185=0),K185,0)</f>
        <v>0</v>
      </c>
      <c r="BQ185" s="173">
        <f>IF(AND(Input_Product=Elig!$C185,Elig_MatchAll_Ct&lt;22,$BC185=(Elig_MatchAll_Ct-1),AP185=0),L185,0)</f>
        <v>0</v>
      </c>
      <c r="BR185" s="173">
        <f>IF(AND(Input_Product=Elig!$C185,Elig_MatchAll_Ct&lt;22,$BC185=(Elig_MatchAll_Ct-1),AO185=0),M185,0)</f>
        <v>0</v>
      </c>
      <c r="BS185" s="173">
        <f>IF(AND(Input_Product=Elig!$C185,Elig_MatchAll_Ct&lt;22,$BC185=(Elig_MatchAll_Ct-1),AQ185=0),N185,0)</f>
        <v>0</v>
      </c>
      <c r="BT185" s="173">
        <f>IF(AND(Input_Product=Elig!$C185,Elig_MatchAll_Ct&lt;22,$BC185=(Elig_MatchAll_Ct-1),AR185=0),O185,0)</f>
        <v>0</v>
      </c>
      <c r="BU185" s="173">
        <f>IF(AND(Input_Product=Elig!$C185,Elig_MatchAll_Ct&lt;22,$BC185=(Elig_MatchAll_Ct-1),AS185=0),P185,0)</f>
        <v>0</v>
      </c>
      <c r="BV185" s="174">
        <f>IF(AND(Input_Product=Elig!$C185,Elig_MatchAll_Ct&lt;22,$BC185=(Elig_MatchAll_Ct-1),AT185=0),Q185,0)</f>
        <v>0</v>
      </c>
      <c r="BW185" s="175">
        <f>IF(AND(Input_Product=Elig!$C185,Elig_MatchAll_Ct&lt;22,$BC185=(Elig_MatchAll_Ct-1),AU185=0),R185,0)</f>
        <v>0</v>
      </c>
      <c r="BX185" s="176">
        <f>IF(AND(Input_Product=Elig!$C185,Elig_MatchAll_Ct&lt;22,$BC185=(Elig_MatchAll_Ct-1),AU185=0),S185,0)</f>
        <v>0</v>
      </c>
      <c r="BY185" s="175">
        <f>IF(AND(Input_Product=Elig!$C185,Elig_MatchAll_Ct&lt;22,$BC185=(Elig_MatchAll_Ct-1),AV185=0),T185,0)</f>
        <v>0</v>
      </c>
      <c r="BZ185" s="176">
        <f>IF(AND(Input_Product=Elig!$C185,Elig_MatchAll_Ct&lt;22,$BC185=(Elig_MatchAll_Ct-1),AV185=0),U185,0)</f>
        <v>0</v>
      </c>
      <c r="CA185" s="175">
        <f>IF(AND(Input_Product=Elig!$C185,Elig_MatchAll_Ct&lt;22,$BC185=(Elig_MatchAll_Ct-1),AW185=0),V185,0)</f>
        <v>0</v>
      </c>
      <c r="CB185" s="176">
        <f>IF(AND(Input_Product=Elig!$C185,Elig_MatchAll_Ct&lt;22,$BC185=(Elig_MatchAll_Ct-1),AW185=0),W185,0)</f>
        <v>0</v>
      </c>
      <c r="CC185" s="175">
        <f>IF(AND(Input_Product=Elig!$C185,Elig_MatchAll_Ct&lt;22,$BC185=(Elig_MatchAll_Ct-1),AX185=0),X185,0)</f>
        <v>0</v>
      </c>
      <c r="CD185" s="176">
        <f>IF(AND(Input_Product=Elig!$C185,Elig_MatchAll_Ct&lt;22,$BC185=(Elig_MatchAll_Ct-1),AX185=0),Y185,0)</f>
        <v>0</v>
      </c>
      <c r="CE185" s="175">
        <f>IF(AND(Input_LTV&lt;=AE185,Input_Product=Elig!$C185,Elig_MatchAll_Ct&lt;22,$BC185=(Elig_MatchAll_Ct-1),AY185=0),Z185,0)</f>
        <v>0</v>
      </c>
      <c r="CF185" s="176">
        <f>IF(AND(Input_LTV&lt;=AE185,Input_Product=Elig!$C185,Elig_MatchAll_Ct&lt;22,$BC185=(Elig_MatchAll_Ct-1),AY185=0),AA185,0)</f>
        <v>0</v>
      </c>
      <c r="CG185" s="175">
        <f>IF(AND(Input_Product=Elig!$C185,Elig_MatchAll_Ct&lt;22,$BC185=(Elig_MatchAll_Ct-1),AZ185=0),AB185,0)</f>
        <v>0</v>
      </c>
      <c r="CH185" s="176">
        <f>IF(AND(Input_Product=Elig!$C185,Elig_MatchAll_Ct&lt;22,$BC185=(Elig_MatchAll_Ct-1),AZ185=0),AC185,0)</f>
        <v>0</v>
      </c>
      <c r="CI185" s="175">
        <f>IF(AND(Input_Product=Elig!$C185,Elig_MatchAll_Ct&lt;22,$BC185=(Elig_MatchAll_Ct-1),BA185=0),AD185,0)</f>
        <v>0</v>
      </c>
      <c r="CJ185" s="176">
        <f>IF(AND(Input_Product=Elig!$C185,Elig_MatchAll_Ct&lt;22,$BC185=(Elig_MatchAll_Ct-1),BA185=0),AE185,0)</f>
        <v>0</v>
      </c>
    </row>
    <row r="186" spans="1:89" ht="10.15" customHeight="1" x14ac:dyDescent="0.25">
      <c r="A186" s="1419" t="s">
        <v>76</v>
      </c>
      <c r="B186" s="1419" t="s">
        <v>879</v>
      </c>
      <c r="C186" s="116" t="str">
        <f t="shared" si="53"/>
        <v>NonQM OO</v>
      </c>
      <c r="D186" s="117" t="s">
        <v>1995</v>
      </c>
      <c r="E186" s="117" t="s">
        <v>166</v>
      </c>
      <c r="F186" s="117" t="s">
        <v>330</v>
      </c>
      <c r="G186" s="117" t="s">
        <v>178</v>
      </c>
      <c r="H186" s="117" t="s">
        <v>135</v>
      </c>
      <c r="I186" s="118" t="s">
        <v>273</v>
      </c>
      <c r="J186" s="118" t="s">
        <v>1130</v>
      </c>
      <c r="K186" s="118" t="s">
        <v>1398</v>
      </c>
      <c r="L186" s="117" t="s">
        <v>2025</v>
      </c>
      <c r="M186" s="117" t="s">
        <v>2289</v>
      </c>
      <c r="N186" s="117" t="s">
        <v>82</v>
      </c>
      <c r="O186" s="117" t="s">
        <v>309</v>
      </c>
      <c r="P186" s="117" t="s">
        <v>2433</v>
      </c>
      <c r="Q186" s="117" t="s">
        <v>293</v>
      </c>
      <c r="R186" s="117">
        <v>2000000.01</v>
      </c>
      <c r="S186" s="117">
        <v>2500000</v>
      </c>
      <c r="T186" s="117">
        <v>0</v>
      </c>
      <c r="U186" s="117">
        <v>0</v>
      </c>
      <c r="V186" s="117">
        <v>0</v>
      </c>
      <c r="W186" s="117">
        <v>55</v>
      </c>
      <c r="X186" s="117">
        <v>0</v>
      </c>
      <c r="Y186" s="117">
        <v>999</v>
      </c>
      <c r="Z186" s="119">
        <v>680</v>
      </c>
      <c r="AA186" s="119">
        <v>699</v>
      </c>
      <c r="AB186" s="1877">
        <v>0</v>
      </c>
      <c r="AC186" s="119">
        <v>999999</v>
      </c>
      <c r="AD186" s="117">
        <v>0</v>
      </c>
      <c r="AE186" s="117">
        <v>70</v>
      </c>
      <c r="AF186" s="144">
        <v>0</v>
      </c>
      <c r="AG186" s="145">
        <v>1</v>
      </c>
      <c r="AH186" s="145">
        <v>1</v>
      </c>
      <c r="AI186" s="145">
        <v>0</v>
      </c>
      <c r="AJ186" s="145">
        <v>0</v>
      </c>
      <c r="AK186" s="145">
        <v>1</v>
      </c>
      <c r="AL186" s="145">
        <v>1</v>
      </c>
      <c r="AM186" s="145">
        <v>1</v>
      </c>
      <c r="AN186" s="145">
        <v>1</v>
      </c>
      <c r="AO186" s="145">
        <v>1</v>
      </c>
      <c r="AP186" s="145">
        <v>1</v>
      </c>
      <c r="AQ186" s="145">
        <v>0</v>
      </c>
      <c r="AR186" s="145">
        <v>1</v>
      </c>
      <c r="AS186" s="145">
        <v>1</v>
      </c>
      <c r="AT186" s="145">
        <v>1</v>
      </c>
      <c r="AU186" s="145">
        <f t="shared" si="55"/>
        <v>0</v>
      </c>
      <c r="AV186" s="145">
        <f t="shared" si="56"/>
        <v>1</v>
      </c>
      <c r="AW186" s="145">
        <f t="shared" si="57"/>
        <v>1</v>
      </c>
      <c r="AX186" s="145">
        <f t="shared" si="49"/>
        <v>1</v>
      </c>
      <c r="AY186" s="145">
        <f t="shared" si="58"/>
        <v>0</v>
      </c>
      <c r="AZ186" s="145">
        <f t="shared" si="59"/>
        <v>1</v>
      </c>
      <c r="BA186" s="146">
        <f t="shared" si="60"/>
        <v>1</v>
      </c>
      <c r="BB186" s="149">
        <f t="shared" si="63"/>
        <v>16</v>
      </c>
      <c r="BC186" s="150">
        <f t="shared" si="64"/>
        <v>15</v>
      </c>
      <c r="BD186" s="150">
        <f t="shared" si="65"/>
        <v>16</v>
      </c>
      <c r="BE186" s="211" t="str">
        <f t="shared" si="66"/>
        <v/>
      </c>
      <c r="BH186" s="173">
        <f>IF(AND(Input_Product=Elig!$C186,Elig_MatchAll_Ct&lt;22,$BC186=(Elig_MatchAll_Ct-1),AF186=0),C186,0)</f>
        <v>0</v>
      </c>
      <c r="BI186" s="173">
        <f>IF(AND(Input_Product=Elig!$C186,Elig_MatchAll_Ct&lt;22,$BC186=(Elig_MatchAll_Ct-1),AG186=0),D186,0)</f>
        <v>0</v>
      </c>
      <c r="BJ186" s="173">
        <f>IF(AND(Input_Product=Elig!$C186,Elig_MatchAll_Ct&lt;22,$BC186=(Elig_MatchAll_Ct-1),AH186=0),E186,0)</f>
        <v>0</v>
      </c>
      <c r="BK186" s="173">
        <f>IF(AND(Input_Product=Elig!$C186,Elig_MatchAll_Ct&lt;22,$BC186=(Elig_MatchAll_Ct-1),AI186=0),F186,0)</f>
        <v>0</v>
      </c>
      <c r="BL186" s="173">
        <f>IF(AND(Input_Product=Elig!$C186,Elig_MatchAll_Ct&lt;22,$BC186=(Elig_MatchAll_Ct-1),AJ186=0),G186,0)</f>
        <v>0</v>
      </c>
      <c r="BM186" s="173">
        <f>IF(AND(Input_Product=Elig!$C186,Elig_MatchAll_Ct&lt;22,$BC186=(Elig_MatchAll_Ct-1),AK186=0),H186,0)</f>
        <v>0</v>
      </c>
      <c r="BN186" s="173">
        <f>IF(AND(Input_Product=Elig!$C186,Elig_MatchAll_Ct&lt;22,$BC186=(Elig_MatchAll_Ct-1),AL186=0),I186,0)</f>
        <v>0</v>
      </c>
      <c r="BO186" s="173">
        <f>IF(AND(Input_Product=Elig!$C186,Elig_MatchAll_Ct&lt;22,$BC186=(Elig_MatchAll_Ct-1),AM186=0),J186,0)</f>
        <v>0</v>
      </c>
      <c r="BP186" s="173">
        <f>IF(AND(Input_Product=Elig!$C186,Elig_MatchAll_Ct&lt;22,$BC186=(Elig_MatchAll_Ct-1),AN186=0),K186,0)</f>
        <v>0</v>
      </c>
      <c r="BQ186" s="173">
        <f>IF(AND(Input_Product=Elig!$C186,Elig_MatchAll_Ct&lt;22,$BC186=(Elig_MatchAll_Ct-1),AP186=0),L186,0)</f>
        <v>0</v>
      </c>
      <c r="BR186" s="173">
        <f>IF(AND(Input_Product=Elig!$C186,Elig_MatchAll_Ct&lt;22,$BC186=(Elig_MatchAll_Ct-1),AO186=0),M186,0)</f>
        <v>0</v>
      </c>
      <c r="BS186" s="173">
        <f>IF(AND(Input_Product=Elig!$C186,Elig_MatchAll_Ct&lt;22,$BC186=(Elig_MatchAll_Ct-1),AQ186=0),N186,0)</f>
        <v>0</v>
      </c>
      <c r="BT186" s="173">
        <f>IF(AND(Input_Product=Elig!$C186,Elig_MatchAll_Ct&lt;22,$BC186=(Elig_MatchAll_Ct-1),AR186=0),O186,0)</f>
        <v>0</v>
      </c>
      <c r="BU186" s="173">
        <f>IF(AND(Input_Product=Elig!$C186,Elig_MatchAll_Ct&lt;22,$BC186=(Elig_MatchAll_Ct-1),AS186=0),P186,0)</f>
        <v>0</v>
      </c>
      <c r="BV186" s="174">
        <f>IF(AND(Input_Product=Elig!$C186,Elig_MatchAll_Ct&lt;22,$BC186=(Elig_MatchAll_Ct-1),AT186=0),Q186,0)</f>
        <v>0</v>
      </c>
      <c r="BW186" s="175">
        <f>IF(AND(Input_Product=Elig!$C186,Elig_MatchAll_Ct&lt;22,$BC186=(Elig_MatchAll_Ct-1),AU186=0),R186,0)</f>
        <v>0</v>
      </c>
      <c r="BX186" s="176">
        <f>IF(AND(Input_Product=Elig!$C186,Elig_MatchAll_Ct&lt;22,$BC186=(Elig_MatchAll_Ct-1),AU186=0),S186,0)</f>
        <v>0</v>
      </c>
      <c r="BY186" s="175">
        <f>IF(AND(Input_Product=Elig!$C186,Elig_MatchAll_Ct&lt;22,$BC186=(Elig_MatchAll_Ct-1),AV186=0),T186,0)</f>
        <v>0</v>
      </c>
      <c r="BZ186" s="176">
        <f>IF(AND(Input_Product=Elig!$C186,Elig_MatchAll_Ct&lt;22,$BC186=(Elig_MatchAll_Ct-1),AV186=0),U186,0)</f>
        <v>0</v>
      </c>
      <c r="CA186" s="175">
        <f>IF(AND(Input_Product=Elig!$C186,Elig_MatchAll_Ct&lt;22,$BC186=(Elig_MatchAll_Ct-1),AW186=0),V186,0)</f>
        <v>0</v>
      </c>
      <c r="CB186" s="176">
        <f>IF(AND(Input_Product=Elig!$C186,Elig_MatchAll_Ct&lt;22,$BC186=(Elig_MatchAll_Ct-1),AW186=0),W186,0)</f>
        <v>0</v>
      </c>
      <c r="CC186" s="175">
        <f>IF(AND(Input_Product=Elig!$C186,Elig_MatchAll_Ct&lt;22,$BC186=(Elig_MatchAll_Ct-1),AX186=0),X186,0)</f>
        <v>0</v>
      </c>
      <c r="CD186" s="176">
        <f>IF(AND(Input_Product=Elig!$C186,Elig_MatchAll_Ct&lt;22,$BC186=(Elig_MatchAll_Ct-1),AX186=0),Y186,0)</f>
        <v>0</v>
      </c>
      <c r="CE186" s="175">
        <f>IF(AND(Input_LTV&lt;=AE186,Input_Product=Elig!$C186,Elig_MatchAll_Ct&lt;22,$BC186=(Elig_MatchAll_Ct-1),AY186=0),Z186,0)</f>
        <v>0</v>
      </c>
      <c r="CF186" s="176">
        <f>IF(AND(Input_LTV&lt;=AE186,Input_Product=Elig!$C186,Elig_MatchAll_Ct&lt;22,$BC186=(Elig_MatchAll_Ct-1),AY186=0),AA186,0)</f>
        <v>0</v>
      </c>
      <c r="CG186" s="175">
        <f>IF(AND(Input_Product=Elig!$C186,Elig_MatchAll_Ct&lt;22,$BC186=(Elig_MatchAll_Ct-1),AZ186=0),AB186,0)</f>
        <v>0</v>
      </c>
      <c r="CH186" s="176">
        <f>IF(AND(Input_Product=Elig!$C186,Elig_MatchAll_Ct&lt;22,$BC186=(Elig_MatchAll_Ct-1),AZ186=0),AC186,0)</f>
        <v>0</v>
      </c>
      <c r="CI186" s="175">
        <f>IF(AND(Input_Product=Elig!$C186,Elig_MatchAll_Ct&lt;22,$BC186=(Elig_MatchAll_Ct-1),BA186=0),AD186,0)</f>
        <v>0</v>
      </c>
      <c r="CJ186" s="176">
        <f>IF(AND(Input_Product=Elig!$C186,Elig_MatchAll_Ct&lt;22,$BC186=(Elig_MatchAll_Ct-1),BA186=0),AE186,0)</f>
        <v>0</v>
      </c>
    </row>
    <row r="187" spans="1:89" ht="10.15" customHeight="1" x14ac:dyDescent="0.25">
      <c r="A187" s="1419" t="s">
        <v>76</v>
      </c>
      <c r="B187" s="1419" t="s">
        <v>880</v>
      </c>
      <c r="C187" s="116" t="str">
        <f t="shared" si="53"/>
        <v>NonQM OO</v>
      </c>
      <c r="D187" s="117" t="s">
        <v>1995</v>
      </c>
      <c r="E187" s="117" t="s">
        <v>166</v>
      </c>
      <c r="F187" s="117" t="s">
        <v>330</v>
      </c>
      <c r="G187" s="117" t="s">
        <v>178</v>
      </c>
      <c r="H187" s="117" t="s">
        <v>135</v>
      </c>
      <c r="I187" s="118" t="s">
        <v>273</v>
      </c>
      <c r="J187" s="118" t="s">
        <v>1130</v>
      </c>
      <c r="K187" s="118" t="s">
        <v>1398</v>
      </c>
      <c r="L187" s="117" t="s">
        <v>2025</v>
      </c>
      <c r="M187" s="117" t="s">
        <v>2289</v>
      </c>
      <c r="N187" s="117" t="s">
        <v>82</v>
      </c>
      <c r="O187" s="117" t="s">
        <v>309</v>
      </c>
      <c r="P187" s="117" t="s">
        <v>2433</v>
      </c>
      <c r="Q187" s="117" t="s">
        <v>293</v>
      </c>
      <c r="R187" s="117">
        <v>2000000.01</v>
      </c>
      <c r="S187" s="117">
        <v>2500000</v>
      </c>
      <c r="T187" s="117">
        <v>0</v>
      </c>
      <c r="U187" s="117">
        <v>0</v>
      </c>
      <c r="V187" s="117">
        <v>0</v>
      </c>
      <c r="W187" s="117">
        <v>55</v>
      </c>
      <c r="X187" s="117">
        <v>0</v>
      </c>
      <c r="Y187" s="117">
        <v>999</v>
      </c>
      <c r="Z187" s="119">
        <v>660</v>
      </c>
      <c r="AA187" s="119">
        <v>679</v>
      </c>
      <c r="AB187" s="1877">
        <v>0</v>
      </c>
      <c r="AC187" s="119">
        <v>999999</v>
      </c>
      <c r="AD187" s="117">
        <v>0</v>
      </c>
      <c r="AE187" s="117">
        <v>70</v>
      </c>
      <c r="AF187" s="144">
        <v>0</v>
      </c>
      <c r="AG187" s="145">
        <v>1</v>
      </c>
      <c r="AH187" s="145">
        <v>1</v>
      </c>
      <c r="AI187" s="145">
        <v>0</v>
      </c>
      <c r="AJ187" s="145">
        <v>0</v>
      </c>
      <c r="AK187" s="145">
        <v>1</v>
      </c>
      <c r="AL187" s="145">
        <v>1</v>
      </c>
      <c r="AM187" s="145">
        <v>1</v>
      </c>
      <c r="AN187" s="145">
        <v>1</v>
      </c>
      <c r="AO187" s="145">
        <v>1</v>
      </c>
      <c r="AP187" s="145">
        <v>1</v>
      </c>
      <c r="AQ187" s="145">
        <v>0</v>
      </c>
      <c r="AR187" s="145">
        <v>1</v>
      </c>
      <c r="AS187" s="145">
        <v>1</v>
      </c>
      <c r="AT187" s="145">
        <v>1</v>
      </c>
      <c r="AU187" s="145">
        <f t="shared" si="55"/>
        <v>0</v>
      </c>
      <c r="AV187" s="145">
        <f t="shared" si="56"/>
        <v>1</v>
      </c>
      <c r="AW187" s="145">
        <f t="shared" si="57"/>
        <v>1</v>
      </c>
      <c r="AX187" s="145">
        <f t="shared" si="49"/>
        <v>1</v>
      </c>
      <c r="AY187" s="145">
        <f t="shared" si="58"/>
        <v>0</v>
      </c>
      <c r="AZ187" s="145">
        <f t="shared" si="59"/>
        <v>1</v>
      </c>
      <c r="BA187" s="146">
        <f t="shared" si="60"/>
        <v>1</v>
      </c>
      <c r="BB187" s="149">
        <f t="shared" si="63"/>
        <v>16</v>
      </c>
      <c r="BC187" s="150">
        <f t="shared" si="64"/>
        <v>15</v>
      </c>
      <c r="BD187" s="150">
        <f t="shared" si="65"/>
        <v>16</v>
      </c>
      <c r="BE187" s="211" t="str">
        <f t="shared" si="66"/>
        <v/>
      </c>
      <c r="BH187" s="188">
        <f>IF(AND(Input_Product=Elig!$C187,Elig_MatchAll_Ct&lt;22,$BC187=(Elig_MatchAll_Ct-1),AF187=0),C187,0)</f>
        <v>0</v>
      </c>
      <c r="BI187" s="188">
        <f>IF(AND(Input_Product=Elig!$C187,Elig_MatchAll_Ct&lt;22,$BC187=(Elig_MatchAll_Ct-1),AG187=0),D187,0)</f>
        <v>0</v>
      </c>
      <c r="BJ187" s="188">
        <f>IF(AND(Input_Product=Elig!$C187,Elig_MatchAll_Ct&lt;22,$BC187=(Elig_MatchAll_Ct-1),AH187=0),E187,0)</f>
        <v>0</v>
      </c>
      <c r="BK187" s="188">
        <f>IF(AND(Input_Product=Elig!$C187,Elig_MatchAll_Ct&lt;22,$BC187=(Elig_MatchAll_Ct-1),AI187=0),F187,0)</f>
        <v>0</v>
      </c>
      <c r="BL187" s="188">
        <f>IF(AND(Input_Product=Elig!$C187,Elig_MatchAll_Ct&lt;22,$BC187=(Elig_MatchAll_Ct-1),AJ187=0),G187,0)</f>
        <v>0</v>
      </c>
      <c r="BM187" s="188">
        <f>IF(AND(Input_Product=Elig!$C187,Elig_MatchAll_Ct&lt;22,$BC187=(Elig_MatchAll_Ct-1),AK187=0),H187,0)</f>
        <v>0</v>
      </c>
      <c r="BN187" s="188">
        <f>IF(AND(Input_Product=Elig!$C187,Elig_MatchAll_Ct&lt;22,$BC187=(Elig_MatchAll_Ct-1),AL187=0),I187,0)</f>
        <v>0</v>
      </c>
      <c r="BO187" s="188">
        <f>IF(AND(Input_Product=Elig!$C187,Elig_MatchAll_Ct&lt;22,$BC187=(Elig_MatchAll_Ct-1),AM187=0),J187,0)</f>
        <v>0</v>
      </c>
      <c r="BP187" s="188">
        <f>IF(AND(Input_Product=Elig!$C187,Elig_MatchAll_Ct&lt;22,$BC187=(Elig_MatchAll_Ct-1),AN187=0),K187,0)</f>
        <v>0</v>
      </c>
      <c r="BQ187" s="188">
        <f>IF(AND(Input_Product=Elig!$C187,Elig_MatchAll_Ct&lt;22,$BC187=(Elig_MatchAll_Ct-1),AP187=0),L187,0)</f>
        <v>0</v>
      </c>
      <c r="BR187" s="188">
        <f>IF(AND(Input_Product=Elig!$C187,Elig_MatchAll_Ct&lt;22,$BC187=(Elig_MatchAll_Ct-1),AO187=0),M187,0)</f>
        <v>0</v>
      </c>
      <c r="BS187" s="188">
        <f>IF(AND(Input_Product=Elig!$C187,Elig_MatchAll_Ct&lt;22,$BC187=(Elig_MatchAll_Ct-1),AQ187=0),N187,0)</f>
        <v>0</v>
      </c>
      <c r="BT187" s="188">
        <f>IF(AND(Input_Product=Elig!$C187,Elig_MatchAll_Ct&lt;22,$BC187=(Elig_MatchAll_Ct-1),AR187=0),O187,0)</f>
        <v>0</v>
      </c>
      <c r="BU187" s="188">
        <f>IF(AND(Input_Product=Elig!$C187,Elig_MatchAll_Ct&lt;22,$BC187=(Elig_MatchAll_Ct-1),AS187=0),P187,0)</f>
        <v>0</v>
      </c>
      <c r="BV187" s="189">
        <f>IF(AND(Input_Product=Elig!$C187,Elig_MatchAll_Ct&lt;22,$BC187=(Elig_MatchAll_Ct-1),AT187=0),Q187,0)</f>
        <v>0</v>
      </c>
      <c r="BW187" s="271">
        <f>IF(AND(Input_Product=Elig!$C187,Elig_MatchAll_Ct&lt;22,$BC187=(Elig_MatchAll_Ct-1),AU187=0),R187,0)</f>
        <v>0</v>
      </c>
      <c r="BX187" s="272">
        <f>IF(AND(Input_Product=Elig!$C187,Elig_MatchAll_Ct&lt;22,$BC187=(Elig_MatchAll_Ct-1),AU187=0),S187,0)</f>
        <v>0</v>
      </c>
      <c r="BY187" s="271">
        <f>IF(AND(Input_Product=Elig!$C187,Elig_MatchAll_Ct&lt;22,$BC187=(Elig_MatchAll_Ct-1),AV187=0),T187,0)</f>
        <v>0</v>
      </c>
      <c r="BZ187" s="272">
        <f>IF(AND(Input_Product=Elig!$C187,Elig_MatchAll_Ct&lt;22,$BC187=(Elig_MatchAll_Ct-1),AV187=0),U187,0)</f>
        <v>0</v>
      </c>
      <c r="CA187" s="271">
        <f>IF(AND(Input_Product=Elig!$C187,Elig_MatchAll_Ct&lt;22,$BC187=(Elig_MatchAll_Ct-1),AW187=0),V187,0)</f>
        <v>0</v>
      </c>
      <c r="CB187" s="272">
        <f>IF(AND(Input_Product=Elig!$C187,Elig_MatchAll_Ct&lt;22,$BC187=(Elig_MatchAll_Ct-1),AW187=0),W187,0)</f>
        <v>0</v>
      </c>
      <c r="CC187" s="271">
        <f>IF(AND(Input_Product=Elig!$C187,Elig_MatchAll_Ct&lt;22,$BC187=(Elig_MatchAll_Ct-1),AX187=0),X187,0)</f>
        <v>0</v>
      </c>
      <c r="CD187" s="272">
        <f>IF(AND(Input_Product=Elig!$C187,Elig_MatchAll_Ct&lt;22,$BC187=(Elig_MatchAll_Ct-1),AX187=0),Y187,0)</f>
        <v>0</v>
      </c>
      <c r="CE187" s="271">
        <f>IF(AND(Input_LTV&lt;=AE187,Input_Product=Elig!$C187,Elig_MatchAll_Ct&lt;22,$BC187=(Elig_MatchAll_Ct-1),AY187=0),Z187,0)</f>
        <v>0</v>
      </c>
      <c r="CF187" s="272">
        <f>IF(AND(Input_LTV&lt;=AE187,Input_Product=Elig!$C187,Elig_MatchAll_Ct&lt;22,$BC187=(Elig_MatchAll_Ct-1),AY187=0),AA187,0)</f>
        <v>0</v>
      </c>
      <c r="CG187" s="271">
        <f>IF(AND(Input_Product=Elig!$C187,Elig_MatchAll_Ct&lt;22,$BC187=(Elig_MatchAll_Ct-1),AZ187=0),AB187,0)</f>
        <v>0</v>
      </c>
      <c r="CH187" s="272">
        <f>IF(AND(Input_Product=Elig!$C187,Elig_MatchAll_Ct&lt;22,$BC187=(Elig_MatchAll_Ct-1),AZ187=0),AC187,0)</f>
        <v>0</v>
      </c>
      <c r="CI187" s="271">
        <f>IF(AND(Input_Product=Elig!$C187,Elig_MatchAll_Ct&lt;22,$BC187=(Elig_MatchAll_Ct-1),BA187=0),AD187,0)</f>
        <v>0</v>
      </c>
      <c r="CJ187" s="272">
        <f>IF(AND(Input_Product=Elig!$C187,Elig_MatchAll_Ct&lt;22,$BC187=(Elig_MatchAll_Ct-1),BA187=0),AE187,0)</f>
        <v>0</v>
      </c>
    </row>
    <row r="188" spans="1:89" ht="10.15" customHeight="1" x14ac:dyDescent="0.25">
      <c r="A188" s="1419" t="s">
        <v>76</v>
      </c>
      <c r="B188" s="1419" t="s">
        <v>881</v>
      </c>
      <c r="C188" s="123" t="str">
        <f t="shared" si="53"/>
        <v>NonQM OO</v>
      </c>
      <c r="D188" s="124" t="s">
        <v>1995</v>
      </c>
      <c r="E188" s="125" t="s">
        <v>166</v>
      </c>
      <c r="F188" s="125" t="s">
        <v>330</v>
      </c>
      <c r="G188" s="125" t="s">
        <v>178</v>
      </c>
      <c r="H188" s="125" t="s">
        <v>135</v>
      </c>
      <c r="I188" s="124" t="s">
        <v>16</v>
      </c>
      <c r="J188" s="124" t="s">
        <v>1130</v>
      </c>
      <c r="K188" s="124" t="s">
        <v>1398</v>
      </c>
      <c r="L188" s="125" t="s">
        <v>2025</v>
      </c>
      <c r="M188" s="125" t="s">
        <v>2289</v>
      </c>
      <c r="N188" s="125" t="s">
        <v>82</v>
      </c>
      <c r="O188" s="125" t="s">
        <v>309</v>
      </c>
      <c r="P188" s="125" t="s">
        <v>2433</v>
      </c>
      <c r="Q188" s="125" t="s">
        <v>293</v>
      </c>
      <c r="R188" s="124">
        <v>2000000.01</v>
      </c>
      <c r="S188" s="124">
        <v>2500000</v>
      </c>
      <c r="T188" s="124">
        <v>0</v>
      </c>
      <c r="U188" s="124">
        <f t="shared" ref="U188:U191" si="71">S188</f>
        <v>2500000</v>
      </c>
      <c r="V188" s="124">
        <v>0</v>
      </c>
      <c r="W188" s="124">
        <v>55</v>
      </c>
      <c r="X188" s="124">
        <v>0</v>
      </c>
      <c r="Y188" s="124">
        <v>999</v>
      </c>
      <c r="Z188" s="126">
        <v>720</v>
      </c>
      <c r="AA188" s="126">
        <v>999</v>
      </c>
      <c r="AB188" s="1879">
        <v>0</v>
      </c>
      <c r="AC188" s="126">
        <v>999999</v>
      </c>
      <c r="AD188" s="124">
        <v>0</v>
      </c>
      <c r="AE188" s="124">
        <v>70</v>
      </c>
      <c r="AF188" s="144">
        <v>0</v>
      </c>
      <c r="AG188" s="145">
        <v>1</v>
      </c>
      <c r="AH188" s="145">
        <v>1</v>
      </c>
      <c r="AI188" s="145">
        <v>0</v>
      </c>
      <c r="AJ188" s="145">
        <v>0</v>
      </c>
      <c r="AK188" s="145">
        <v>1</v>
      </c>
      <c r="AL188" s="145">
        <v>0</v>
      </c>
      <c r="AM188" s="145">
        <v>1</v>
      </c>
      <c r="AN188" s="145">
        <v>1</v>
      </c>
      <c r="AO188" s="145">
        <v>1</v>
      </c>
      <c r="AP188" s="145">
        <v>1</v>
      </c>
      <c r="AQ188" s="145">
        <v>0</v>
      </c>
      <c r="AR188" s="145">
        <v>1</v>
      </c>
      <c r="AS188" s="145">
        <v>1</v>
      </c>
      <c r="AT188" s="145">
        <v>1</v>
      </c>
      <c r="AU188" s="145">
        <f t="shared" si="55"/>
        <v>0</v>
      </c>
      <c r="AV188" s="145">
        <f t="shared" si="56"/>
        <v>1</v>
      </c>
      <c r="AW188" s="145">
        <f t="shared" si="57"/>
        <v>1</v>
      </c>
      <c r="AX188" s="145">
        <f t="shared" si="49"/>
        <v>1</v>
      </c>
      <c r="AY188" s="145">
        <f t="shared" si="58"/>
        <v>1</v>
      </c>
      <c r="AZ188" s="145">
        <f t="shared" si="59"/>
        <v>1</v>
      </c>
      <c r="BA188" s="146">
        <f t="shared" si="60"/>
        <v>1</v>
      </c>
      <c r="BB188" s="149">
        <f t="shared" si="63"/>
        <v>16</v>
      </c>
      <c r="BC188" s="150">
        <f t="shared" si="64"/>
        <v>15</v>
      </c>
      <c r="BD188" s="150">
        <f t="shared" si="65"/>
        <v>16</v>
      </c>
      <c r="BE188" s="211" t="str">
        <f t="shared" si="66"/>
        <v/>
      </c>
      <c r="BH188" s="184">
        <f>IF(AND(Input_Product=Elig!$C188,Elig_MatchAll_Ct&lt;22,$BC188=(Elig_MatchAll_Ct-1),AF188=0),C188,0)</f>
        <v>0</v>
      </c>
      <c r="BI188" s="184">
        <f>IF(AND(Input_Product=Elig!$C188,Elig_MatchAll_Ct&lt;22,$BC188=(Elig_MatchAll_Ct-1),AG188=0),D188,0)</f>
        <v>0</v>
      </c>
      <c r="BJ188" s="184">
        <f>IF(AND(Input_Product=Elig!$C188,Elig_MatchAll_Ct&lt;22,$BC188=(Elig_MatchAll_Ct-1),AH188=0),E188,0)</f>
        <v>0</v>
      </c>
      <c r="BK188" s="184">
        <f>IF(AND(Input_Product=Elig!$C188,Elig_MatchAll_Ct&lt;22,$BC188=(Elig_MatchAll_Ct-1),AI188=0),F188,0)</f>
        <v>0</v>
      </c>
      <c r="BL188" s="184">
        <f>IF(AND(Input_Product=Elig!$C188,Elig_MatchAll_Ct&lt;22,$BC188=(Elig_MatchAll_Ct-1),AJ188=0),G188,0)</f>
        <v>0</v>
      </c>
      <c r="BM188" s="184">
        <f>IF(AND(Input_Product=Elig!$C188,Elig_MatchAll_Ct&lt;22,$BC188=(Elig_MatchAll_Ct-1),AK188=0),H188,0)</f>
        <v>0</v>
      </c>
      <c r="BN188" s="184">
        <f>IF(AND(Input_Product=Elig!$C188,Elig_MatchAll_Ct&lt;22,$BC188=(Elig_MatchAll_Ct-1),AL188=0),I188,0)</f>
        <v>0</v>
      </c>
      <c r="BO188" s="184">
        <f>IF(AND(Input_Product=Elig!$C188,Elig_MatchAll_Ct&lt;22,$BC188=(Elig_MatchAll_Ct-1),AM188=0),J188,0)</f>
        <v>0</v>
      </c>
      <c r="BP188" s="184">
        <f>IF(AND(Input_Product=Elig!$C188,Elig_MatchAll_Ct&lt;22,$BC188=(Elig_MatchAll_Ct-1),AN188=0),K188,0)</f>
        <v>0</v>
      </c>
      <c r="BQ188" s="184">
        <f>IF(AND(Input_Product=Elig!$C188,Elig_MatchAll_Ct&lt;22,$BC188=(Elig_MatchAll_Ct-1),AP188=0),L188,0)</f>
        <v>0</v>
      </c>
      <c r="BR188" s="184">
        <f>IF(AND(Input_Product=Elig!$C188,Elig_MatchAll_Ct&lt;22,$BC188=(Elig_MatchAll_Ct-1),AO188=0),M188,0)</f>
        <v>0</v>
      </c>
      <c r="BS188" s="184">
        <f>IF(AND(Input_Product=Elig!$C188,Elig_MatchAll_Ct&lt;22,$BC188=(Elig_MatchAll_Ct-1),AQ188=0),N188,0)</f>
        <v>0</v>
      </c>
      <c r="BT188" s="184">
        <f>IF(AND(Input_Product=Elig!$C188,Elig_MatchAll_Ct&lt;22,$BC188=(Elig_MatchAll_Ct-1),AR188=0),O188,0)</f>
        <v>0</v>
      </c>
      <c r="BU188" s="184">
        <f>IF(AND(Input_Product=Elig!$C188,Elig_MatchAll_Ct&lt;22,$BC188=(Elig_MatchAll_Ct-1),AS188=0),P188,0)</f>
        <v>0</v>
      </c>
      <c r="BV188" s="185">
        <f>IF(AND(Input_Product=Elig!$C188,Elig_MatchAll_Ct&lt;22,$BC188=(Elig_MatchAll_Ct-1),AT188=0),Q188,0)</f>
        <v>0</v>
      </c>
      <c r="BW188" s="186">
        <f>IF(AND(Input_Product=Elig!$C188,Elig_MatchAll_Ct&lt;22,$BC188=(Elig_MatchAll_Ct-1),AU188=0),R188,0)</f>
        <v>0</v>
      </c>
      <c r="BX188" s="187">
        <f>IF(AND(Input_Product=Elig!$C188,Elig_MatchAll_Ct&lt;22,$BC188=(Elig_MatchAll_Ct-1),AU188=0),S188,0)</f>
        <v>0</v>
      </c>
      <c r="BY188" s="186">
        <f>IF(AND(Input_Product=Elig!$C188,Elig_MatchAll_Ct&lt;22,$BC188=(Elig_MatchAll_Ct-1),AV188=0),T188,0)</f>
        <v>0</v>
      </c>
      <c r="BZ188" s="187">
        <f>IF(AND(Input_Product=Elig!$C188,Elig_MatchAll_Ct&lt;22,$BC188=(Elig_MatchAll_Ct-1),AV188=0),U188,0)</f>
        <v>0</v>
      </c>
      <c r="CA188" s="186">
        <f>IF(AND(Input_Product=Elig!$C188,Elig_MatchAll_Ct&lt;22,$BC188=(Elig_MatchAll_Ct-1),AW188=0),V188,0)</f>
        <v>0</v>
      </c>
      <c r="CB188" s="187">
        <f>IF(AND(Input_Product=Elig!$C188,Elig_MatchAll_Ct&lt;22,$BC188=(Elig_MatchAll_Ct-1),AW188=0),W188,0)</f>
        <v>0</v>
      </c>
      <c r="CC188" s="186">
        <f>IF(AND(Input_Product=Elig!$C188,Elig_MatchAll_Ct&lt;22,$BC188=(Elig_MatchAll_Ct-1),AX188=0),X188,0)</f>
        <v>0</v>
      </c>
      <c r="CD188" s="187">
        <f>IF(AND(Input_Product=Elig!$C188,Elig_MatchAll_Ct&lt;22,$BC188=(Elig_MatchAll_Ct-1),AX188=0),Y188,0)</f>
        <v>0</v>
      </c>
      <c r="CE188" s="186">
        <f>IF(AND(Input_LTV&lt;=AE188,Input_Product=Elig!$C188,Elig_MatchAll_Ct&lt;22,$BC188=(Elig_MatchAll_Ct-1),AY188=0),Z188,0)</f>
        <v>0</v>
      </c>
      <c r="CF188" s="187">
        <f>IF(AND(Input_LTV&lt;=AE188,Input_Product=Elig!$C188,Elig_MatchAll_Ct&lt;22,$BC188=(Elig_MatchAll_Ct-1),AY188=0),AA188,0)</f>
        <v>0</v>
      </c>
      <c r="CG188" s="186">
        <f>IF(AND(Input_Product=Elig!$C188,Elig_MatchAll_Ct&lt;22,$BC188=(Elig_MatchAll_Ct-1),AZ188=0),AB188,0)</f>
        <v>0</v>
      </c>
      <c r="CH188" s="187">
        <f>IF(AND(Input_Product=Elig!$C188,Elig_MatchAll_Ct&lt;22,$BC188=(Elig_MatchAll_Ct-1),AZ188=0),AC188,0)</f>
        <v>0</v>
      </c>
      <c r="CI188" s="186">
        <f>IF(AND(Input_Product=Elig!$C188,Elig_MatchAll_Ct&lt;22,$BC188=(Elig_MatchAll_Ct-1),BA188=0),AD188,0)</f>
        <v>0</v>
      </c>
      <c r="CJ188" s="187">
        <f>IF(AND(Input_Product=Elig!$C188,Elig_MatchAll_Ct&lt;22,$BC188=(Elig_MatchAll_Ct-1),BA188=0),AE188,0)</f>
        <v>0</v>
      </c>
    </row>
    <row r="189" spans="1:89" ht="10.15" customHeight="1" x14ac:dyDescent="0.25">
      <c r="A189" s="1419" t="s">
        <v>76</v>
      </c>
      <c r="B189" s="1419" t="s">
        <v>882</v>
      </c>
      <c r="C189" s="116" t="str">
        <f t="shared" si="53"/>
        <v>NonQM OO</v>
      </c>
      <c r="D189" s="117" t="s">
        <v>1995</v>
      </c>
      <c r="E189" s="117" t="s">
        <v>166</v>
      </c>
      <c r="F189" s="117" t="s">
        <v>330</v>
      </c>
      <c r="G189" s="117" t="s">
        <v>178</v>
      </c>
      <c r="H189" s="117" t="s">
        <v>135</v>
      </c>
      <c r="I189" s="118" t="s">
        <v>16</v>
      </c>
      <c r="J189" s="118" t="s">
        <v>1130</v>
      </c>
      <c r="K189" s="118" t="s">
        <v>1398</v>
      </c>
      <c r="L189" s="117" t="s">
        <v>2025</v>
      </c>
      <c r="M189" s="117" t="s">
        <v>2289</v>
      </c>
      <c r="N189" s="117" t="s">
        <v>82</v>
      </c>
      <c r="O189" s="117" t="s">
        <v>309</v>
      </c>
      <c r="P189" s="117" t="s">
        <v>2433</v>
      </c>
      <c r="Q189" s="117" t="s">
        <v>293</v>
      </c>
      <c r="R189" s="117">
        <v>2000000.01</v>
      </c>
      <c r="S189" s="117">
        <v>2500000</v>
      </c>
      <c r="T189" s="117">
        <v>0</v>
      </c>
      <c r="U189" s="117">
        <f t="shared" si="71"/>
        <v>2500000</v>
      </c>
      <c r="V189" s="117">
        <v>0</v>
      </c>
      <c r="W189" s="117">
        <v>55</v>
      </c>
      <c r="X189" s="117">
        <v>0</v>
      </c>
      <c r="Y189" s="117">
        <v>999</v>
      </c>
      <c r="Z189" s="119">
        <v>700</v>
      </c>
      <c r="AA189" s="119">
        <v>719</v>
      </c>
      <c r="AB189" s="1877">
        <v>0</v>
      </c>
      <c r="AC189" s="119">
        <v>999999</v>
      </c>
      <c r="AD189" s="117">
        <v>0</v>
      </c>
      <c r="AE189" s="117">
        <v>65</v>
      </c>
      <c r="AF189" s="144">
        <v>0</v>
      </c>
      <c r="AG189" s="145">
        <v>1</v>
      </c>
      <c r="AH189" s="145">
        <v>1</v>
      </c>
      <c r="AI189" s="145">
        <v>0</v>
      </c>
      <c r="AJ189" s="145">
        <v>0</v>
      </c>
      <c r="AK189" s="145">
        <v>1</v>
      </c>
      <c r="AL189" s="145">
        <v>0</v>
      </c>
      <c r="AM189" s="145">
        <v>1</v>
      </c>
      <c r="AN189" s="145">
        <v>1</v>
      </c>
      <c r="AO189" s="145">
        <v>1</v>
      </c>
      <c r="AP189" s="145">
        <v>1</v>
      </c>
      <c r="AQ189" s="145">
        <v>0</v>
      </c>
      <c r="AR189" s="145">
        <v>1</v>
      </c>
      <c r="AS189" s="145">
        <v>1</v>
      </c>
      <c r="AT189" s="145">
        <v>1</v>
      </c>
      <c r="AU189" s="145">
        <f t="shared" si="55"/>
        <v>0</v>
      </c>
      <c r="AV189" s="145">
        <f t="shared" si="56"/>
        <v>1</v>
      </c>
      <c r="AW189" s="145">
        <f t="shared" si="57"/>
        <v>1</v>
      </c>
      <c r="AX189" s="145">
        <f t="shared" si="49"/>
        <v>1</v>
      </c>
      <c r="AY189" s="145">
        <f t="shared" si="58"/>
        <v>0</v>
      </c>
      <c r="AZ189" s="145">
        <f t="shared" si="59"/>
        <v>1</v>
      </c>
      <c r="BA189" s="146">
        <f t="shared" si="60"/>
        <v>0</v>
      </c>
      <c r="BB189" s="149">
        <f t="shared" si="63"/>
        <v>14</v>
      </c>
      <c r="BC189" s="150">
        <f t="shared" si="64"/>
        <v>14</v>
      </c>
      <c r="BD189" s="150">
        <f t="shared" si="65"/>
        <v>14</v>
      </c>
      <c r="BE189" s="211" t="str">
        <f t="shared" si="66"/>
        <v/>
      </c>
      <c r="BH189" s="173">
        <f>IF(AND(Input_Product=Elig!$C189,Elig_MatchAll_Ct&lt;22,$BC189=(Elig_MatchAll_Ct-1),AF189=0),C189,0)</f>
        <v>0</v>
      </c>
      <c r="BI189" s="173">
        <f>IF(AND(Input_Product=Elig!$C189,Elig_MatchAll_Ct&lt;22,$BC189=(Elig_MatchAll_Ct-1),AG189=0),D189,0)</f>
        <v>0</v>
      </c>
      <c r="BJ189" s="173">
        <f>IF(AND(Input_Product=Elig!$C189,Elig_MatchAll_Ct&lt;22,$BC189=(Elig_MatchAll_Ct-1),AH189=0),E189,0)</f>
        <v>0</v>
      </c>
      <c r="BK189" s="173">
        <f>IF(AND(Input_Product=Elig!$C189,Elig_MatchAll_Ct&lt;22,$BC189=(Elig_MatchAll_Ct-1),AI189=0),F189,0)</f>
        <v>0</v>
      </c>
      <c r="BL189" s="173">
        <f>IF(AND(Input_Product=Elig!$C189,Elig_MatchAll_Ct&lt;22,$BC189=(Elig_MatchAll_Ct-1),AJ189=0),G189,0)</f>
        <v>0</v>
      </c>
      <c r="BM189" s="173">
        <f>IF(AND(Input_Product=Elig!$C189,Elig_MatchAll_Ct&lt;22,$BC189=(Elig_MatchAll_Ct-1),AK189=0),H189,0)</f>
        <v>0</v>
      </c>
      <c r="BN189" s="173">
        <f>IF(AND(Input_Product=Elig!$C189,Elig_MatchAll_Ct&lt;22,$BC189=(Elig_MatchAll_Ct-1),AL189=0),I189,0)</f>
        <v>0</v>
      </c>
      <c r="BO189" s="173">
        <f>IF(AND(Input_Product=Elig!$C189,Elig_MatchAll_Ct&lt;22,$BC189=(Elig_MatchAll_Ct-1),AM189=0),J189,0)</f>
        <v>0</v>
      </c>
      <c r="BP189" s="173">
        <f>IF(AND(Input_Product=Elig!$C189,Elig_MatchAll_Ct&lt;22,$BC189=(Elig_MatchAll_Ct-1),AN189=0),K189,0)</f>
        <v>0</v>
      </c>
      <c r="BQ189" s="173">
        <f>IF(AND(Input_Product=Elig!$C189,Elig_MatchAll_Ct&lt;22,$BC189=(Elig_MatchAll_Ct-1),AP189=0),L189,0)</f>
        <v>0</v>
      </c>
      <c r="BR189" s="173">
        <f>IF(AND(Input_Product=Elig!$C189,Elig_MatchAll_Ct&lt;22,$BC189=(Elig_MatchAll_Ct-1),AO189=0),M189,0)</f>
        <v>0</v>
      </c>
      <c r="BS189" s="173">
        <f>IF(AND(Input_Product=Elig!$C189,Elig_MatchAll_Ct&lt;22,$BC189=(Elig_MatchAll_Ct-1),AQ189=0),N189,0)</f>
        <v>0</v>
      </c>
      <c r="BT189" s="173">
        <f>IF(AND(Input_Product=Elig!$C189,Elig_MatchAll_Ct&lt;22,$BC189=(Elig_MatchAll_Ct-1),AR189=0),O189,0)</f>
        <v>0</v>
      </c>
      <c r="BU189" s="173">
        <f>IF(AND(Input_Product=Elig!$C189,Elig_MatchAll_Ct&lt;22,$BC189=(Elig_MatchAll_Ct-1),AS189=0),P189,0)</f>
        <v>0</v>
      </c>
      <c r="BV189" s="174">
        <f>IF(AND(Input_Product=Elig!$C189,Elig_MatchAll_Ct&lt;22,$BC189=(Elig_MatchAll_Ct-1),AT189=0),Q189,0)</f>
        <v>0</v>
      </c>
      <c r="BW189" s="175">
        <f>IF(AND(Input_Product=Elig!$C189,Elig_MatchAll_Ct&lt;22,$BC189=(Elig_MatchAll_Ct-1),AU189=0),R189,0)</f>
        <v>0</v>
      </c>
      <c r="BX189" s="176">
        <f>IF(AND(Input_Product=Elig!$C189,Elig_MatchAll_Ct&lt;22,$BC189=(Elig_MatchAll_Ct-1),AU189=0),S189,0)</f>
        <v>0</v>
      </c>
      <c r="BY189" s="175">
        <f>IF(AND(Input_Product=Elig!$C189,Elig_MatchAll_Ct&lt;22,$BC189=(Elig_MatchAll_Ct-1),AV189=0),T189,0)</f>
        <v>0</v>
      </c>
      <c r="BZ189" s="176">
        <f>IF(AND(Input_Product=Elig!$C189,Elig_MatchAll_Ct&lt;22,$BC189=(Elig_MatchAll_Ct-1),AV189=0),U189,0)</f>
        <v>0</v>
      </c>
      <c r="CA189" s="175">
        <f>IF(AND(Input_Product=Elig!$C189,Elig_MatchAll_Ct&lt;22,$BC189=(Elig_MatchAll_Ct-1),AW189=0),V189,0)</f>
        <v>0</v>
      </c>
      <c r="CB189" s="176">
        <f>IF(AND(Input_Product=Elig!$C189,Elig_MatchAll_Ct&lt;22,$BC189=(Elig_MatchAll_Ct-1),AW189=0),W189,0)</f>
        <v>0</v>
      </c>
      <c r="CC189" s="175">
        <f>IF(AND(Input_Product=Elig!$C189,Elig_MatchAll_Ct&lt;22,$BC189=(Elig_MatchAll_Ct-1),AX189=0),X189,0)</f>
        <v>0</v>
      </c>
      <c r="CD189" s="176">
        <f>IF(AND(Input_Product=Elig!$C189,Elig_MatchAll_Ct&lt;22,$BC189=(Elig_MatchAll_Ct-1),AX189=0),Y189,0)</f>
        <v>0</v>
      </c>
      <c r="CE189" s="175">
        <f>IF(AND(Input_LTV&lt;=AE189,Input_Product=Elig!$C189,Elig_MatchAll_Ct&lt;22,$BC189=(Elig_MatchAll_Ct-1),AY189=0),Z189,0)</f>
        <v>0</v>
      </c>
      <c r="CF189" s="176">
        <f>IF(AND(Input_LTV&lt;=AE189,Input_Product=Elig!$C189,Elig_MatchAll_Ct&lt;22,$BC189=(Elig_MatchAll_Ct-1),AY189=0),AA189,0)</f>
        <v>0</v>
      </c>
      <c r="CG189" s="175">
        <f>IF(AND(Input_Product=Elig!$C189,Elig_MatchAll_Ct&lt;22,$BC189=(Elig_MatchAll_Ct-1),AZ189=0),AB189,0)</f>
        <v>0</v>
      </c>
      <c r="CH189" s="176">
        <f>IF(AND(Input_Product=Elig!$C189,Elig_MatchAll_Ct&lt;22,$BC189=(Elig_MatchAll_Ct-1),AZ189=0),AC189,0)</f>
        <v>0</v>
      </c>
      <c r="CI189" s="175">
        <f>IF(AND(Input_Product=Elig!$C189,Elig_MatchAll_Ct&lt;22,$BC189=(Elig_MatchAll_Ct-1),BA189=0),AD189,0)</f>
        <v>0</v>
      </c>
      <c r="CJ189" s="176">
        <f>IF(AND(Input_Product=Elig!$C189,Elig_MatchAll_Ct&lt;22,$BC189=(Elig_MatchAll_Ct-1),BA189=0),AE189,0)</f>
        <v>0</v>
      </c>
    </row>
    <row r="190" spans="1:89" ht="10.15" customHeight="1" x14ac:dyDescent="0.25">
      <c r="A190" s="1419" t="s">
        <v>76</v>
      </c>
      <c r="B190" s="1419" t="s">
        <v>883</v>
      </c>
      <c r="C190" s="116" t="str">
        <f t="shared" si="53"/>
        <v>NonQM OO</v>
      </c>
      <c r="D190" s="117" t="s">
        <v>1995</v>
      </c>
      <c r="E190" s="117" t="s">
        <v>166</v>
      </c>
      <c r="F190" s="117" t="s">
        <v>330</v>
      </c>
      <c r="G190" s="117" t="s">
        <v>178</v>
      </c>
      <c r="H190" s="117" t="s">
        <v>135</v>
      </c>
      <c r="I190" s="118" t="s">
        <v>16</v>
      </c>
      <c r="J190" s="118" t="s">
        <v>1130</v>
      </c>
      <c r="K190" s="118" t="s">
        <v>1398</v>
      </c>
      <c r="L190" s="117" t="s">
        <v>2025</v>
      </c>
      <c r="M190" s="117" t="s">
        <v>2289</v>
      </c>
      <c r="N190" s="117" t="s">
        <v>82</v>
      </c>
      <c r="O190" s="117" t="s">
        <v>309</v>
      </c>
      <c r="P190" s="117" t="s">
        <v>2433</v>
      </c>
      <c r="Q190" s="117" t="s">
        <v>293</v>
      </c>
      <c r="R190" s="117">
        <v>2000000.01</v>
      </c>
      <c r="S190" s="117">
        <v>2500000</v>
      </c>
      <c r="T190" s="117">
        <v>0</v>
      </c>
      <c r="U190" s="117">
        <f t="shared" ref="U190" si="72">S190</f>
        <v>2500000</v>
      </c>
      <c r="V190" s="117">
        <v>0</v>
      </c>
      <c r="W190" s="117">
        <v>55</v>
      </c>
      <c r="X190" s="117">
        <v>0</v>
      </c>
      <c r="Y190" s="117">
        <v>999</v>
      </c>
      <c r="Z190" s="119">
        <v>680</v>
      </c>
      <c r="AA190" s="119">
        <v>699</v>
      </c>
      <c r="AB190" s="1877">
        <v>0</v>
      </c>
      <c r="AC190" s="119">
        <v>999999</v>
      </c>
      <c r="AD190" s="117">
        <v>0</v>
      </c>
      <c r="AE190" s="117">
        <v>65</v>
      </c>
      <c r="AF190" s="144">
        <v>0</v>
      </c>
      <c r="AG190" s="145">
        <v>1</v>
      </c>
      <c r="AH190" s="145">
        <v>1</v>
      </c>
      <c r="AI190" s="145">
        <v>0</v>
      </c>
      <c r="AJ190" s="145">
        <v>0</v>
      </c>
      <c r="AK190" s="145">
        <v>1</v>
      </c>
      <c r="AL190" s="145">
        <v>0</v>
      </c>
      <c r="AM190" s="145">
        <v>1</v>
      </c>
      <c r="AN190" s="145">
        <v>1</v>
      </c>
      <c r="AO190" s="145">
        <v>1</v>
      </c>
      <c r="AP190" s="145">
        <v>1</v>
      </c>
      <c r="AQ190" s="145">
        <v>0</v>
      </c>
      <c r="AR190" s="145">
        <v>1</v>
      </c>
      <c r="AS190" s="145">
        <v>1</v>
      </c>
      <c r="AT190" s="145">
        <v>1</v>
      </c>
      <c r="AU190" s="145">
        <f t="shared" si="55"/>
        <v>0</v>
      </c>
      <c r="AV190" s="145">
        <f t="shared" si="56"/>
        <v>1</v>
      </c>
      <c r="AW190" s="145">
        <f t="shared" si="57"/>
        <v>1</v>
      </c>
      <c r="AX190" s="145">
        <f t="shared" si="49"/>
        <v>1</v>
      </c>
      <c r="AY190" s="145">
        <f t="shared" si="58"/>
        <v>0</v>
      </c>
      <c r="AZ190" s="145">
        <f t="shared" si="59"/>
        <v>1</v>
      </c>
      <c r="BA190" s="146">
        <f t="shared" si="60"/>
        <v>0</v>
      </c>
      <c r="BB190" s="149">
        <f t="shared" si="63"/>
        <v>14</v>
      </c>
      <c r="BC190" s="150">
        <f t="shared" si="64"/>
        <v>14</v>
      </c>
      <c r="BD190" s="150">
        <f t="shared" si="65"/>
        <v>14</v>
      </c>
      <c r="BE190" s="211" t="str">
        <f t="shared" si="66"/>
        <v/>
      </c>
      <c r="BH190" s="173">
        <f>IF(AND(Input_Product=Elig!$C190,Elig_MatchAll_Ct&lt;22,$BC190=(Elig_MatchAll_Ct-1),AF190=0),C190,0)</f>
        <v>0</v>
      </c>
      <c r="BI190" s="173">
        <f>IF(AND(Input_Product=Elig!$C190,Elig_MatchAll_Ct&lt;22,$BC190=(Elig_MatchAll_Ct-1),AG190=0),D190,0)</f>
        <v>0</v>
      </c>
      <c r="BJ190" s="173">
        <f>IF(AND(Input_Product=Elig!$C190,Elig_MatchAll_Ct&lt;22,$BC190=(Elig_MatchAll_Ct-1),AH190=0),E190,0)</f>
        <v>0</v>
      </c>
      <c r="BK190" s="173">
        <f>IF(AND(Input_Product=Elig!$C190,Elig_MatchAll_Ct&lt;22,$BC190=(Elig_MatchAll_Ct-1),AI190=0),F190,0)</f>
        <v>0</v>
      </c>
      <c r="BL190" s="173">
        <f>IF(AND(Input_Product=Elig!$C190,Elig_MatchAll_Ct&lt;22,$BC190=(Elig_MatchAll_Ct-1),AJ190=0),G190,0)</f>
        <v>0</v>
      </c>
      <c r="BM190" s="173">
        <f>IF(AND(Input_Product=Elig!$C190,Elig_MatchAll_Ct&lt;22,$BC190=(Elig_MatchAll_Ct-1),AK190=0),H190,0)</f>
        <v>0</v>
      </c>
      <c r="BN190" s="173">
        <f>IF(AND(Input_Product=Elig!$C190,Elig_MatchAll_Ct&lt;22,$BC190=(Elig_MatchAll_Ct-1),AL190=0),I190,0)</f>
        <v>0</v>
      </c>
      <c r="BO190" s="173">
        <f>IF(AND(Input_Product=Elig!$C190,Elig_MatchAll_Ct&lt;22,$BC190=(Elig_MatchAll_Ct-1),AM190=0),J190,0)</f>
        <v>0</v>
      </c>
      <c r="BP190" s="173">
        <f>IF(AND(Input_Product=Elig!$C190,Elig_MatchAll_Ct&lt;22,$BC190=(Elig_MatchAll_Ct-1),AN190=0),K190,0)</f>
        <v>0</v>
      </c>
      <c r="BQ190" s="173">
        <f>IF(AND(Input_Product=Elig!$C190,Elig_MatchAll_Ct&lt;22,$BC190=(Elig_MatchAll_Ct-1),AP190=0),L190,0)</f>
        <v>0</v>
      </c>
      <c r="BR190" s="173">
        <f>IF(AND(Input_Product=Elig!$C190,Elig_MatchAll_Ct&lt;22,$BC190=(Elig_MatchAll_Ct-1),AO190=0),M190,0)</f>
        <v>0</v>
      </c>
      <c r="BS190" s="173">
        <f>IF(AND(Input_Product=Elig!$C190,Elig_MatchAll_Ct&lt;22,$BC190=(Elig_MatchAll_Ct-1),AQ190=0),N190,0)</f>
        <v>0</v>
      </c>
      <c r="BT190" s="173">
        <f>IF(AND(Input_Product=Elig!$C190,Elig_MatchAll_Ct&lt;22,$BC190=(Elig_MatchAll_Ct-1),AR190=0),O190,0)</f>
        <v>0</v>
      </c>
      <c r="BU190" s="173">
        <f>IF(AND(Input_Product=Elig!$C190,Elig_MatchAll_Ct&lt;22,$BC190=(Elig_MatchAll_Ct-1),AS190=0),P190,0)</f>
        <v>0</v>
      </c>
      <c r="BV190" s="174">
        <f>IF(AND(Input_Product=Elig!$C190,Elig_MatchAll_Ct&lt;22,$BC190=(Elig_MatchAll_Ct-1),AT190=0),Q190,0)</f>
        <v>0</v>
      </c>
      <c r="BW190" s="175">
        <f>IF(AND(Input_Product=Elig!$C190,Elig_MatchAll_Ct&lt;22,$BC190=(Elig_MatchAll_Ct-1),AU190=0),R190,0)</f>
        <v>0</v>
      </c>
      <c r="BX190" s="176">
        <f>IF(AND(Input_Product=Elig!$C190,Elig_MatchAll_Ct&lt;22,$BC190=(Elig_MatchAll_Ct-1),AU190=0),S190,0)</f>
        <v>0</v>
      </c>
      <c r="BY190" s="175">
        <f>IF(AND(Input_Product=Elig!$C190,Elig_MatchAll_Ct&lt;22,$BC190=(Elig_MatchAll_Ct-1),AV190=0),T190,0)</f>
        <v>0</v>
      </c>
      <c r="BZ190" s="176">
        <f>IF(AND(Input_Product=Elig!$C190,Elig_MatchAll_Ct&lt;22,$BC190=(Elig_MatchAll_Ct-1),AV190=0),U190,0)</f>
        <v>0</v>
      </c>
      <c r="CA190" s="175">
        <f>IF(AND(Input_Product=Elig!$C190,Elig_MatchAll_Ct&lt;22,$BC190=(Elig_MatchAll_Ct-1),AW190=0),V190,0)</f>
        <v>0</v>
      </c>
      <c r="CB190" s="176">
        <f>IF(AND(Input_Product=Elig!$C190,Elig_MatchAll_Ct&lt;22,$BC190=(Elig_MatchAll_Ct-1),AW190=0),W190,0)</f>
        <v>0</v>
      </c>
      <c r="CC190" s="175">
        <f>IF(AND(Input_Product=Elig!$C190,Elig_MatchAll_Ct&lt;22,$BC190=(Elig_MatchAll_Ct-1),AX190=0),X190,0)</f>
        <v>0</v>
      </c>
      <c r="CD190" s="176">
        <f>IF(AND(Input_Product=Elig!$C190,Elig_MatchAll_Ct&lt;22,$BC190=(Elig_MatchAll_Ct-1),AX190=0),Y190,0)</f>
        <v>0</v>
      </c>
      <c r="CE190" s="175">
        <f>IF(AND(Input_LTV&lt;=AE190,Input_Product=Elig!$C190,Elig_MatchAll_Ct&lt;22,$BC190=(Elig_MatchAll_Ct-1),AY190=0),Z190,0)</f>
        <v>0</v>
      </c>
      <c r="CF190" s="176">
        <f>IF(AND(Input_LTV&lt;=AE190,Input_Product=Elig!$C190,Elig_MatchAll_Ct&lt;22,$BC190=(Elig_MatchAll_Ct-1),AY190=0),AA190,0)</f>
        <v>0</v>
      </c>
      <c r="CG190" s="175">
        <f>IF(AND(Input_Product=Elig!$C190,Elig_MatchAll_Ct&lt;22,$BC190=(Elig_MatchAll_Ct-1),AZ190=0),AB190,0)</f>
        <v>0</v>
      </c>
      <c r="CH190" s="176">
        <f>IF(AND(Input_Product=Elig!$C190,Elig_MatchAll_Ct&lt;22,$BC190=(Elig_MatchAll_Ct-1),AZ190=0),AC190,0)</f>
        <v>0</v>
      </c>
      <c r="CI190" s="175">
        <f>IF(AND(Input_Product=Elig!$C190,Elig_MatchAll_Ct&lt;22,$BC190=(Elig_MatchAll_Ct-1),BA190=0),AD190,0)</f>
        <v>0</v>
      </c>
      <c r="CJ190" s="176">
        <f>IF(AND(Input_Product=Elig!$C190,Elig_MatchAll_Ct&lt;22,$BC190=(Elig_MatchAll_Ct-1),BA190=0),AE190,0)</f>
        <v>0</v>
      </c>
    </row>
    <row r="191" spans="1:89" ht="10.15" customHeight="1" x14ac:dyDescent="0.25">
      <c r="A191" s="1419" t="s">
        <v>76</v>
      </c>
      <c r="B191" s="1419" t="s">
        <v>884</v>
      </c>
      <c r="C191" s="116" t="str">
        <f t="shared" si="53"/>
        <v>NonQM OO</v>
      </c>
      <c r="D191" s="117" t="s">
        <v>1995</v>
      </c>
      <c r="E191" s="117" t="s">
        <v>166</v>
      </c>
      <c r="F191" s="117" t="s">
        <v>330</v>
      </c>
      <c r="G191" s="117" t="s">
        <v>178</v>
      </c>
      <c r="H191" s="117" t="s">
        <v>135</v>
      </c>
      <c r="I191" s="118" t="s">
        <v>16</v>
      </c>
      <c r="J191" s="118" t="s">
        <v>1130</v>
      </c>
      <c r="K191" s="118" t="s">
        <v>1398</v>
      </c>
      <c r="L191" s="117" t="s">
        <v>2025</v>
      </c>
      <c r="M191" s="117" t="s">
        <v>2289</v>
      </c>
      <c r="N191" s="117" t="s">
        <v>82</v>
      </c>
      <c r="O191" s="117" t="s">
        <v>309</v>
      </c>
      <c r="P191" s="117" t="s">
        <v>2433</v>
      </c>
      <c r="Q191" s="117" t="s">
        <v>293</v>
      </c>
      <c r="R191" s="117">
        <v>2000000.01</v>
      </c>
      <c r="S191" s="117">
        <v>2500000</v>
      </c>
      <c r="T191" s="117">
        <v>0</v>
      </c>
      <c r="U191" s="117">
        <f t="shared" si="71"/>
        <v>2500000</v>
      </c>
      <c r="V191" s="117">
        <v>0</v>
      </c>
      <c r="W191" s="117">
        <v>55</v>
      </c>
      <c r="X191" s="117">
        <v>0</v>
      </c>
      <c r="Y191" s="117">
        <v>999</v>
      </c>
      <c r="Z191" s="119">
        <v>660</v>
      </c>
      <c r="AA191" s="119">
        <v>679</v>
      </c>
      <c r="AB191" s="1877">
        <v>0</v>
      </c>
      <c r="AC191" s="119">
        <v>999999</v>
      </c>
      <c r="AD191" s="117">
        <v>0</v>
      </c>
      <c r="AE191" s="117">
        <v>65</v>
      </c>
      <c r="AF191" s="144">
        <v>0</v>
      </c>
      <c r="AG191" s="145">
        <v>1</v>
      </c>
      <c r="AH191" s="145">
        <v>1</v>
      </c>
      <c r="AI191" s="145">
        <v>0</v>
      </c>
      <c r="AJ191" s="145">
        <v>0</v>
      </c>
      <c r="AK191" s="145">
        <v>1</v>
      </c>
      <c r="AL191" s="145">
        <v>0</v>
      </c>
      <c r="AM191" s="145">
        <v>1</v>
      </c>
      <c r="AN191" s="145">
        <v>1</v>
      </c>
      <c r="AO191" s="145">
        <v>1</v>
      </c>
      <c r="AP191" s="145">
        <v>1</v>
      </c>
      <c r="AQ191" s="145">
        <v>0</v>
      </c>
      <c r="AR191" s="145">
        <v>1</v>
      </c>
      <c r="AS191" s="145">
        <v>1</v>
      </c>
      <c r="AT191" s="145">
        <v>1</v>
      </c>
      <c r="AU191" s="145">
        <f t="shared" si="55"/>
        <v>0</v>
      </c>
      <c r="AV191" s="145">
        <f t="shared" si="56"/>
        <v>1</v>
      </c>
      <c r="AW191" s="145">
        <f t="shared" si="57"/>
        <v>1</v>
      </c>
      <c r="AX191" s="145">
        <f t="shared" si="49"/>
        <v>1</v>
      </c>
      <c r="AY191" s="145">
        <f t="shared" si="58"/>
        <v>0</v>
      </c>
      <c r="AZ191" s="145">
        <f t="shared" si="59"/>
        <v>1</v>
      </c>
      <c r="BA191" s="146">
        <f t="shared" si="60"/>
        <v>0</v>
      </c>
      <c r="BB191" s="149">
        <f t="shared" si="63"/>
        <v>14</v>
      </c>
      <c r="BC191" s="150">
        <f t="shared" si="64"/>
        <v>14</v>
      </c>
      <c r="BD191" s="150">
        <f t="shared" si="65"/>
        <v>14</v>
      </c>
      <c r="BE191" s="211" t="str">
        <f t="shared" si="66"/>
        <v/>
      </c>
      <c r="BH191" s="188">
        <f>IF(AND(Input_Product=Elig!$C191,Elig_MatchAll_Ct&lt;22,$BC191=(Elig_MatchAll_Ct-1),AF191=0),C191,0)</f>
        <v>0</v>
      </c>
      <c r="BI191" s="188">
        <f>IF(AND(Input_Product=Elig!$C191,Elig_MatchAll_Ct&lt;22,$BC191=(Elig_MatchAll_Ct-1),AG191=0),D191,0)</f>
        <v>0</v>
      </c>
      <c r="BJ191" s="188">
        <f>IF(AND(Input_Product=Elig!$C191,Elig_MatchAll_Ct&lt;22,$BC191=(Elig_MatchAll_Ct-1),AH191=0),E191,0)</f>
        <v>0</v>
      </c>
      <c r="BK191" s="188">
        <f>IF(AND(Input_Product=Elig!$C191,Elig_MatchAll_Ct&lt;22,$BC191=(Elig_MatchAll_Ct-1),AI191=0),F191,0)</f>
        <v>0</v>
      </c>
      <c r="BL191" s="188">
        <f>IF(AND(Input_Product=Elig!$C191,Elig_MatchAll_Ct&lt;22,$BC191=(Elig_MatchAll_Ct-1),AJ191=0),G191,0)</f>
        <v>0</v>
      </c>
      <c r="BM191" s="188">
        <f>IF(AND(Input_Product=Elig!$C191,Elig_MatchAll_Ct&lt;22,$BC191=(Elig_MatchAll_Ct-1),AK191=0),H191,0)</f>
        <v>0</v>
      </c>
      <c r="BN191" s="188">
        <f>IF(AND(Input_Product=Elig!$C191,Elig_MatchAll_Ct&lt;22,$BC191=(Elig_MatchAll_Ct-1),AL191=0),I191,0)</f>
        <v>0</v>
      </c>
      <c r="BO191" s="188">
        <f>IF(AND(Input_Product=Elig!$C191,Elig_MatchAll_Ct&lt;22,$BC191=(Elig_MatchAll_Ct-1),AM191=0),J191,0)</f>
        <v>0</v>
      </c>
      <c r="BP191" s="188">
        <f>IF(AND(Input_Product=Elig!$C191,Elig_MatchAll_Ct&lt;22,$BC191=(Elig_MatchAll_Ct-1),AN191=0),K191,0)</f>
        <v>0</v>
      </c>
      <c r="BQ191" s="188">
        <f>IF(AND(Input_Product=Elig!$C191,Elig_MatchAll_Ct&lt;22,$BC191=(Elig_MatchAll_Ct-1),AP191=0),L191,0)</f>
        <v>0</v>
      </c>
      <c r="BR191" s="188">
        <f>IF(AND(Input_Product=Elig!$C191,Elig_MatchAll_Ct&lt;22,$BC191=(Elig_MatchAll_Ct-1),AO191=0),M191,0)</f>
        <v>0</v>
      </c>
      <c r="BS191" s="188">
        <f>IF(AND(Input_Product=Elig!$C191,Elig_MatchAll_Ct&lt;22,$BC191=(Elig_MatchAll_Ct-1),AQ191=0),N191,0)</f>
        <v>0</v>
      </c>
      <c r="BT191" s="188">
        <f>IF(AND(Input_Product=Elig!$C191,Elig_MatchAll_Ct&lt;22,$BC191=(Elig_MatchAll_Ct-1),AR191=0),O191,0)</f>
        <v>0</v>
      </c>
      <c r="BU191" s="188">
        <f>IF(AND(Input_Product=Elig!$C191,Elig_MatchAll_Ct&lt;22,$BC191=(Elig_MatchAll_Ct-1),AS191=0),P191,0)</f>
        <v>0</v>
      </c>
      <c r="BV191" s="189">
        <f>IF(AND(Input_Product=Elig!$C191,Elig_MatchAll_Ct&lt;22,$BC191=(Elig_MatchAll_Ct-1),AT191=0),Q191,0)</f>
        <v>0</v>
      </c>
      <c r="BW191" s="271">
        <f>IF(AND(Input_Product=Elig!$C191,Elig_MatchAll_Ct&lt;22,$BC191=(Elig_MatchAll_Ct-1),AU191=0),R191,0)</f>
        <v>0</v>
      </c>
      <c r="BX191" s="272">
        <f>IF(AND(Input_Product=Elig!$C191,Elig_MatchAll_Ct&lt;22,$BC191=(Elig_MatchAll_Ct-1),AU191=0),S191,0)</f>
        <v>0</v>
      </c>
      <c r="BY191" s="271">
        <f>IF(AND(Input_Product=Elig!$C191,Elig_MatchAll_Ct&lt;22,$BC191=(Elig_MatchAll_Ct-1),AV191=0),T191,0)</f>
        <v>0</v>
      </c>
      <c r="BZ191" s="272">
        <f>IF(AND(Input_Product=Elig!$C191,Elig_MatchAll_Ct&lt;22,$BC191=(Elig_MatchAll_Ct-1),AV191=0),U191,0)</f>
        <v>0</v>
      </c>
      <c r="CA191" s="271">
        <f>IF(AND(Input_Product=Elig!$C191,Elig_MatchAll_Ct&lt;22,$BC191=(Elig_MatchAll_Ct-1),AW191=0),V191,0)</f>
        <v>0</v>
      </c>
      <c r="CB191" s="272">
        <f>IF(AND(Input_Product=Elig!$C191,Elig_MatchAll_Ct&lt;22,$BC191=(Elig_MatchAll_Ct-1),AW191=0),W191,0)</f>
        <v>0</v>
      </c>
      <c r="CC191" s="271">
        <f>IF(AND(Input_Product=Elig!$C191,Elig_MatchAll_Ct&lt;22,$BC191=(Elig_MatchAll_Ct-1),AX191=0),X191,0)</f>
        <v>0</v>
      </c>
      <c r="CD191" s="272">
        <f>IF(AND(Input_Product=Elig!$C191,Elig_MatchAll_Ct&lt;22,$BC191=(Elig_MatchAll_Ct-1),AX191=0),Y191,0)</f>
        <v>0</v>
      </c>
      <c r="CE191" s="271">
        <f>IF(AND(Input_LTV&lt;=AE191,Input_Product=Elig!$C191,Elig_MatchAll_Ct&lt;22,$BC191=(Elig_MatchAll_Ct-1),AY191=0),Z191,0)</f>
        <v>0</v>
      </c>
      <c r="CF191" s="272">
        <f>IF(AND(Input_LTV&lt;=AE191,Input_Product=Elig!$C191,Elig_MatchAll_Ct&lt;22,$BC191=(Elig_MatchAll_Ct-1),AY191=0),AA191,0)</f>
        <v>0</v>
      </c>
      <c r="CG191" s="271">
        <f>IF(AND(Input_Product=Elig!$C191,Elig_MatchAll_Ct&lt;22,$BC191=(Elig_MatchAll_Ct-1),AZ191=0),AB191,0)</f>
        <v>0</v>
      </c>
      <c r="CH191" s="272">
        <f>IF(AND(Input_Product=Elig!$C191,Elig_MatchAll_Ct&lt;22,$BC191=(Elig_MatchAll_Ct-1),AZ191=0),AC191,0)</f>
        <v>0</v>
      </c>
      <c r="CI191" s="271">
        <f>IF(AND(Input_Product=Elig!$C191,Elig_MatchAll_Ct&lt;22,$BC191=(Elig_MatchAll_Ct-1),BA191=0),AD191,0)</f>
        <v>0</v>
      </c>
      <c r="CJ191" s="272">
        <f>IF(AND(Input_Product=Elig!$C191,Elig_MatchAll_Ct&lt;22,$BC191=(Elig_MatchAll_Ct-1),BA191=0),AE191,0)</f>
        <v>0</v>
      </c>
    </row>
    <row r="192" spans="1:89" ht="10.15" customHeight="1" x14ac:dyDescent="0.25">
      <c r="A192" s="1419" t="s">
        <v>76</v>
      </c>
      <c r="B192" s="1419" t="s">
        <v>885</v>
      </c>
      <c r="C192" s="123" t="str">
        <f t="shared" si="53"/>
        <v>NonQM OO</v>
      </c>
      <c r="D192" s="124" t="s">
        <v>1995</v>
      </c>
      <c r="E192" s="125" t="s">
        <v>166</v>
      </c>
      <c r="F192" s="125" t="s">
        <v>330</v>
      </c>
      <c r="G192" s="125" t="s">
        <v>470</v>
      </c>
      <c r="H192" s="125" t="s">
        <v>135</v>
      </c>
      <c r="I192" s="124" t="s">
        <v>273</v>
      </c>
      <c r="J192" s="124" t="s">
        <v>1130</v>
      </c>
      <c r="K192" s="124" t="s">
        <v>1398</v>
      </c>
      <c r="L192" s="125" t="s">
        <v>2025</v>
      </c>
      <c r="M192" s="125" t="s">
        <v>2289</v>
      </c>
      <c r="N192" s="125" t="s">
        <v>82</v>
      </c>
      <c r="O192" s="125" t="s">
        <v>309</v>
      </c>
      <c r="P192" s="125" t="s">
        <v>2433</v>
      </c>
      <c r="Q192" s="125" t="s">
        <v>293</v>
      </c>
      <c r="R192" s="124">
        <v>2000000.01</v>
      </c>
      <c r="S192" s="124">
        <v>2500000</v>
      </c>
      <c r="T192" s="124">
        <v>0</v>
      </c>
      <c r="U192" s="124">
        <v>0</v>
      </c>
      <c r="V192" s="124">
        <v>0</v>
      </c>
      <c r="W192" s="124">
        <v>55</v>
      </c>
      <c r="X192" s="124">
        <v>0</v>
      </c>
      <c r="Y192" s="124">
        <v>999</v>
      </c>
      <c r="Z192" s="126">
        <v>720</v>
      </c>
      <c r="AA192" s="126">
        <v>999</v>
      </c>
      <c r="AB192" s="1879">
        <v>0</v>
      </c>
      <c r="AC192" s="126">
        <v>999999</v>
      </c>
      <c r="AD192" s="124">
        <v>0</v>
      </c>
      <c r="AE192" s="124">
        <v>70</v>
      </c>
      <c r="AF192" s="144">
        <v>0</v>
      </c>
      <c r="AG192" s="145">
        <v>1</v>
      </c>
      <c r="AH192" s="145">
        <v>1</v>
      </c>
      <c r="AI192" s="145">
        <v>0</v>
      </c>
      <c r="AJ192" s="145">
        <v>0</v>
      </c>
      <c r="AK192" s="145">
        <v>1</v>
      </c>
      <c r="AL192" s="145">
        <v>1</v>
      </c>
      <c r="AM192" s="145">
        <v>1</v>
      </c>
      <c r="AN192" s="145">
        <v>1</v>
      </c>
      <c r="AO192" s="145">
        <v>1</v>
      </c>
      <c r="AP192" s="145">
        <v>1</v>
      </c>
      <c r="AQ192" s="145">
        <v>0</v>
      </c>
      <c r="AR192" s="145">
        <v>1</v>
      </c>
      <c r="AS192" s="145">
        <v>1</v>
      </c>
      <c r="AT192" s="145">
        <v>1</v>
      </c>
      <c r="AU192" s="145">
        <f t="shared" si="55"/>
        <v>0</v>
      </c>
      <c r="AV192" s="145">
        <f t="shared" si="56"/>
        <v>1</v>
      </c>
      <c r="AW192" s="145">
        <f t="shared" si="57"/>
        <v>1</v>
      </c>
      <c r="AX192" s="145">
        <f t="shared" ref="AX192:AX297" si="73">IF(AND(Input_DSCR&gt;=Elig_DSCR_Min,Input_DSCR&lt;=Elig_DSCR_Max),1,0)</f>
        <v>1</v>
      </c>
      <c r="AY192" s="145">
        <f t="shared" si="58"/>
        <v>1</v>
      </c>
      <c r="AZ192" s="145">
        <f t="shared" si="59"/>
        <v>1</v>
      </c>
      <c r="BA192" s="146">
        <f t="shared" si="60"/>
        <v>1</v>
      </c>
      <c r="BB192" s="149">
        <f t="shared" si="63"/>
        <v>17</v>
      </c>
      <c r="BC192" s="150">
        <f t="shared" si="64"/>
        <v>16</v>
      </c>
      <c r="BD192" s="150">
        <f t="shared" si="65"/>
        <v>17</v>
      </c>
      <c r="BE192" s="211" t="str">
        <f t="shared" si="66"/>
        <v/>
      </c>
      <c r="BH192" s="184">
        <f>IF(AND(Input_Product=Elig!$C192,Elig_MatchAll_Ct&lt;22,$BC192=(Elig_MatchAll_Ct-1),AF192=0),C192,0)</f>
        <v>0</v>
      </c>
      <c r="BI192" s="184">
        <f>IF(AND(Input_Product=Elig!$C192,Elig_MatchAll_Ct&lt;22,$BC192=(Elig_MatchAll_Ct-1),AG192=0),D192,0)</f>
        <v>0</v>
      </c>
      <c r="BJ192" s="184">
        <f>IF(AND(Input_Product=Elig!$C192,Elig_MatchAll_Ct&lt;22,$BC192=(Elig_MatchAll_Ct-1),AH192=0),E192,0)</f>
        <v>0</v>
      </c>
      <c r="BK192" s="184">
        <f>IF(AND(Input_Product=Elig!$C192,Elig_MatchAll_Ct&lt;22,$BC192=(Elig_MatchAll_Ct-1),AI192=0),F192,0)</f>
        <v>0</v>
      </c>
      <c r="BL192" s="184">
        <f>IF(AND(Input_Product=Elig!$C192,Elig_MatchAll_Ct&lt;22,$BC192=(Elig_MatchAll_Ct-1),AJ192=0),G192,0)</f>
        <v>0</v>
      </c>
      <c r="BM192" s="184">
        <f>IF(AND(Input_Product=Elig!$C192,Elig_MatchAll_Ct&lt;22,$BC192=(Elig_MatchAll_Ct-1),AK192=0),H192,0)</f>
        <v>0</v>
      </c>
      <c r="BN192" s="184">
        <f>IF(AND(Input_Product=Elig!$C192,Elig_MatchAll_Ct&lt;22,$BC192=(Elig_MatchAll_Ct-1),AL192=0),I192,0)</f>
        <v>0</v>
      </c>
      <c r="BO192" s="184">
        <f>IF(AND(Input_Product=Elig!$C192,Elig_MatchAll_Ct&lt;22,$BC192=(Elig_MatchAll_Ct-1),AM192=0),J192,0)</f>
        <v>0</v>
      </c>
      <c r="BP192" s="184">
        <f>IF(AND(Input_Product=Elig!$C192,Elig_MatchAll_Ct&lt;22,$BC192=(Elig_MatchAll_Ct-1),AN192=0),K192,0)</f>
        <v>0</v>
      </c>
      <c r="BQ192" s="184">
        <f>IF(AND(Input_Product=Elig!$C192,Elig_MatchAll_Ct&lt;22,$BC192=(Elig_MatchAll_Ct-1),AP192=0),L192,0)</f>
        <v>0</v>
      </c>
      <c r="BR192" s="184">
        <f>IF(AND(Input_Product=Elig!$C192,Elig_MatchAll_Ct&lt;22,$BC192=(Elig_MatchAll_Ct-1),AO192=0),M192,0)</f>
        <v>0</v>
      </c>
      <c r="BS192" s="184">
        <f>IF(AND(Input_Product=Elig!$C192,Elig_MatchAll_Ct&lt;22,$BC192=(Elig_MatchAll_Ct-1),AQ192=0),N192,0)</f>
        <v>0</v>
      </c>
      <c r="BT192" s="184">
        <f>IF(AND(Input_Product=Elig!$C192,Elig_MatchAll_Ct&lt;22,$BC192=(Elig_MatchAll_Ct-1),AR192=0),O192,0)</f>
        <v>0</v>
      </c>
      <c r="BU192" s="184">
        <f>IF(AND(Input_Product=Elig!$C192,Elig_MatchAll_Ct&lt;22,$BC192=(Elig_MatchAll_Ct-1),AS192=0),P192,0)</f>
        <v>0</v>
      </c>
      <c r="BV192" s="185">
        <f>IF(AND(Input_Product=Elig!$C192,Elig_MatchAll_Ct&lt;22,$BC192=(Elig_MatchAll_Ct-1),AT192=0),Q192,0)</f>
        <v>0</v>
      </c>
      <c r="BW192" s="186">
        <f>IF(AND(Input_Product=Elig!$C192,Elig_MatchAll_Ct&lt;22,$BC192=(Elig_MatchAll_Ct-1),AU192=0),R192,0)</f>
        <v>0</v>
      </c>
      <c r="BX192" s="187">
        <f>IF(AND(Input_Product=Elig!$C192,Elig_MatchAll_Ct&lt;22,$BC192=(Elig_MatchAll_Ct-1),AU192=0),S192,0)</f>
        <v>0</v>
      </c>
      <c r="BY192" s="186">
        <f>IF(AND(Input_Product=Elig!$C192,Elig_MatchAll_Ct&lt;22,$BC192=(Elig_MatchAll_Ct-1),AV192=0),T192,0)</f>
        <v>0</v>
      </c>
      <c r="BZ192" s="187">
        <f>IF(AND(Input_Product=Elig!$C192,Elig_MatchAll_Ct&lt;22,$BC192=(Elig_MatchAll_Ct-1),AV192=0),U192,0)</f>
        <v>0</v>
      </c>
      <c r="CA192" s="186">
        <f>IF(AND(Input_Product=Elig!$C192,Elig_MatchAll_Ct&lt;22,$BC192=(Elig_MatchAll_Ct-1),AW192=0),V192,0)</f>
        <v>0</v>
      </c>
      <c r="CB192" s="187">
        <f>IF(AND(Input_Product=Elig!$C192,Elig_MatchAll_Ct&lt;22,$BC192=(Elig_MatchAll_Ct-1),AW192=0),W192,0)</f>
        <v>0</v>
      </c>
      <c r="CC192" s="186">
        <f>IF(AND(Input_Product=Elig!$C192,Elig_MatchAll_Ct&lt;22,$BC192=(Elig_MatchAll_Ct-1),AX192=0),X192,0)</f>
        <v>0</v>
      </c>
      <c r="CD192" s="187">
        <f>IF(AND(Input_Product=Elig!$C192,Elig_MatchAll_Ct&lt;22,$BC192=(Elig_MatchAll_Ct-1),AX192=0),Y192,0)</f>
        <v>0</v>
      </c>
      <c r="CE192" s="186">
        <f>IF(AND(Input_LTV&lt;=AE192,Input_Product=Elig!$C192,Elig_MatchAll_Ct&lt;22,$BC192=(Elig_MatchAll_Ct-1),AY192=0),Z192,0)</f>
        <v>0</v>
      </c>
      <c r="CF192" s="187">
        <f>IF(AND(Input_LTV&lt;=AE192,Input_Product=Elig!$C192,Elig_MatchAll_Ct&lt;22,$BC192=(Elig_MatchAll_Ct-1),AY192=0),AA192,0)</f>
        <v>0</v>
      </c>
      <c r="CG192" s="186">
        <f>IF(AND(Input_Product=Elig!$C192,Elig_MatchAll_Ct&lt;22,$BC192=(Elig_MatchAll_Ct-1),AZ192=0),AB192,0)</f>
        <v>0</v>
      </c>
      <c r="CH192" s="187">
        <f>IF(AND(Input_Product=Elig!$C192,Elig_MatchAll_Ct&lt;22,$BC192=(Elig_MatchAll_Ct-1),AZ192=0),AC192,0)</f>
        <v>0</v>
      </c>
      <c r="CI192" s="186">
        <f>IF(AND(Input_Product=Elig!$C192,Elig_MatchAll_Ct&lt;22,$BC192=(Elig_MatchAll_Ct-1),BA192=0),AD192,0)</f>
        <v>0</v>
      </c>
      <c r="CJ192" s="187">
        <f>IF(AND(Input_Product=Elig!$C192,Elig_MatchAll_Ct&lt;22,$BC192=(Elig_MatchAll_Ct-1),BA192=0),AE192,0)</f>
        <v>0</v>
      </c>
    </row>
    <row r="193" spans="1:88" ht="10.15" customHeight="1" x14ac:dyDescent="0.25">
      <c r="A193" s="1419" t="s">
        <v>76</v>
      </c>
      <c r="B193" s="1419" t="s">
        <v>886</v>
      </c>
      <c r="C193" s="116" t="str">
        <f t="shared" si="53"/>
        <v>NonQM OO</v>
      </c>
      <c r="D193" s="117" t="s">
        <v>1995</v>
      </c>
      <c r="E193" s="117" t="s">
        <v>166</v>
      </c>
      <c r="F193" s="117" t="s">
        <v>330</v>
      </c>
      <c r="G193" s="117" t="s">
        <v>470</v>
      </c>
      <c r="H193" s="117" t="s">
        <v>135</v>
      </c>
      <c r="I193" s="118" t="s">
        <v>273</v>
      </c>
      <c r="J193" s="118" t="s">
        <v>1130</v>
      </c>
      <c r="K193" s="118" t="s">
        <v>1398</v>
      </c>
      <c r="L193" s="117" t="s">
        <v>2025</v>
      </c>
      <c r="M193" s="117" t="s">
        <v>2289</v>
      </c>
      <c r="N193" s="117" t="s">
        <v>82</v>
      </c>
      <c r="O193" s="117" t="s">
        <v>309</v>
      </c>
      <c r="P193" s="117" t="s">
        <v>2433</v>
      </c>
      <c r="Q193" s="117" t="s">
        <v>293</v>
      </c>
      <c r="R193" s="117">
        <v>2000000.01</v>
      </c>
      <c r="S193" s="117">
        <v>2500000</v>
      </c>
      <c r="T193" s="117">
        <v>0</v>
      </c>
      <c r="U193" s="117">
        <v>0</v>
      </c>
      <c r="V193" s="117">
        <v>0</v>
      </c>
      <c r="W193" s="117">
        <v>55</v>
      </c>
      <c r="X193" s="117">
        <v>0</v>
      </c>
      <c r="Y193" s="117">
        <v>999</v>
      </c>
      <c r="Z193" s="119">
        <v>700</v>
      </c>
      <c r="AA193" s="119">
        <v>719</v>
      </c>
      <c r="AB193" s="1877">
        <v>0</v>
      </c>
      <c r="AC193" s="119">
        <v>999999</v>
      </c>
      <c r="AD193" s="117">
        <v>0</v>
      </c>
      <c r="AE193" s="117">
        <v>70</v>
      </c>
      <c r="AF193" s="144">
        <v>0</v>
      </c>
      <c r="AG193" s="145">
        <v>1</v>
      </c>
      <c r="AH193" s="145">
        <v>1</v>
      </c>
      <c r="AI193" s="145">
        <v>0</v>
      </c>
      <c r="AJ193" s="145">
        <v>0</v>
      </c>
      <c r="AK193" s="145">
        <v>1</v>
      </c>
      <c r="AL193" s="145">
        <v>1</v>
      </c>
      <c r="AM193" s="145">
        <v>1</v>
      </c>
      <c r="AN193" s="145">
        <v>1</v>
      </c>
      <c r="AO193" s="145">
        <v>1</v>
      </c>
      <c r="AP193" s="145">
        <v>1</v>
      </c>
      <c r="AQ193" s="145">
        <v>0</v>
      </c>
      <c r="AR193" s="145">
        <v>1</v>
      </c>
      <c r="AS193" s="145">
        <v>1</v>
      </c>
      <c r="AT193" s="145">
        <v>1</v>
      </c>
      <c r="AU193" s="145">
        <f t="shared" si="55"/>
        <v>0</v>
      </c>
      <c r="AV193" s="145">
        <f t="shared" si="56"/>
        <v>1</v>
      </c>
      <c r="AW193" s="145">
        <f t="shared" si="57"/>
        <v>1</v>
      </c>
      <c r="AX193" s="145">
        <f t="shared" si="73"/>
        <v>1</v>
      </c>
      <c r="AY193" s="145">
        <f t="shared" si="58"/>
        <v>0</v>
      </c>
      <c r="AZ193" s="145">
        <f t="shared" si="59"/>
        <v>1</v>
      </c>
      <c r="BA193" s="146">
        <f t="shared" si="60"/>
        <v>1</v>
      </c>
      <c r="BB193" s="149">
        <f t="shared" si="63"/>
        <v>16</v>
      </c>
      <c r="BC193" s="150">
        <f t="shared" si="64"/>
        <v>15</v>
      </c>
      <c r="BD193" s="150">
        <f t="shared" si="65"/>
        <v>16</v>
      </c>
      <c r="BE193" s="211" t="str">
        <f t="shared" si="66"/>
        <v/>
      </c>
      <c r="BH193" s="173">
        <f>IF(AND(Input_Product=Elig!$C193,Elig_MatchAll_Ct&lt;22,$BC193=(Elig_MatchAll_Ct-1),AF193=0),C193,0)</f>
        <v>0</v>
      </c>
      <c r="BI193" s="173">
        <f>IF(AND(Input_Product=Elig!$C193,Elig_MatchAll_Ct&lt;22,$BC193=(Elig_MatchAll_Ct-1),AG193=0),D193,0)</f>
        <v>0</v>
      </c>
      <c r="BJ193" s="173">
        <f>IF(AND(Input_Product=Elig!$C193,Elig_MatchAll_Ct&lt;22,$BC193=(Elig_MatchAll_Ct-1),AH193=0),E193,0)</f>
        <v>0</v>
      </c>
      <c r="BK193" s="173">
        <f>IF(AND(Input_Product=Elig!$C193,Elig_MatchAll_Ct&lt;22,$BC193=(Elig_MatchAll_Ct-1),AI193=0),F193,0)</f>
        <v>0</v>
      </c>
      <c r="BL193" s="173">
        <f>IF(AND(Input_Product=Elig!$C193,Elig_MatchAll_Ct&lt;22,$BC193=(Elig_MatchAll_Ct-1),AJ193=0),G193,0)</f>
        <v>0</v>
      </c>
      <c r="BM193" s="173">
        <f>IF(AND(Input_Product=Elig!$C193,Elig_MatchAll_Ct&lt;22,$BC193=(Elig_MatchAll_Ct-1),AK193=0),H193,0)</f>
        <v>0</v>
      </c>
      <c r="BN193" s="173">
        <f>IF(AND(Input_Product=Elig!$C193,Elig_MatchAll_Ct&lt;22,$BC193=(Elig_MatchAll_Ct-1),AL193=0),I193,0)</f>
        <v>0</v>
      </c>
      <c r="BO193" s="173">
        <f>IF(AND(Input_Product=Elig!$C193,Elig_MatchAll_Ct&lt;22,$BC193=(Elig_MatchAll_Ct-1),AM193=0),J193,0)</f>
        <v>0</v>
      </c>
      <c r="BP193" s="173">
        <f>IF(AND(Input_Product=Elig!$C193,Elig_MatchAll_Ct&lt;22,$BC193=(Elig_MatchAll_Ct-1),AN193=0),K193,0)</f>
        <v>0</v>
      </c>
      <c r="BQ193" s="173">
        <f>IF(AND(Input_Product=Elig!$C193,Elig_MatchAll_Ct&lt;22,$BC193=(Elig_MatchAll_Ct-1),AP193=0),L193,0)</f>
        <v>0</v>
      </c>
      <c r="BR193" s="173">
        <f>IF(AND(Input_Product=Elig!$C193,Elig_MatchAll_Ct&lt;22,$BC193=(Elig_MatchAll_Ct-1),AO193=0),M193,0)</f>
        <v>0</v>
      </c>
      <c r="BS193" s="173">
        <f>IF(AND(Input_Product=Elig!$C193,Elig_MatchAll_Ct&lt;22,$BC193=(Elig_MatchAll_Ct-1),AQ193=0),N193,0)</f>
        <v>0</v>
      </c>
      <c r="BT193" s="173">
        <f>IF(AND(Input_Product=Elig!$C193,Elig_MatchAll_Ct&lt;22,$BC193=(Elig_MatchAll_Ct-1),AR193=0),O193,0)</f>
        <v>0</v>
      </c>
      <c r="BU193" s="173">
        <f>IF(AND(Input_Product=Elig!$C193,Elig_MatchAll_Ct&lt;22,$BC193=(Elig_MatchAll_Ct-1),AS193=0),P193,0)</f>
        <v>0</v>
      </c>
      <c r="BV193" s="174">
        <f>IF(AND(Input_Product=Elig!$C193,Elig_MatchAll_Ct&lt;22,$BC193=(Elig_MatchAll_Ct-1),AT193=0),Q193,0)</f>
        <v>0</v>
      </c>
      <c r="BW193" s="175">
        <f>IF(AND(Input_Product=Elig!$C193,Elig_MatchAll_Ct&lt;22,$BC193=(Elig_MatchAll_Ct-1),AU193=0),R193,0)</f>
        <v>0</v>
      </c>
      <c r="BX193" s="176">
        <f>IF(AND(Input_Product=Elig!$C193,Elig_MatchAll_Ct&lt;22,$BC193=(Elig_MatchAll_Ct-1),AU193=0),S193,0)</f>
        <v>0</v>
      </c>
      <c r="BY193" s="175">
        <f>IF(AND(Input_Product=Elig!$C193,Elig_MatchAll_Ct&lt;22,$BC193=(Elig_MatchAll_Ct-1),AV193=0),T193,0)</f>
        <v>0</v>
      </c>
      <c r="BZ193" s="176">
        <f>IF(AND(Input_Product=Elig!$C193,Elig_MatchAll_Ct&lt;22,$BC193=(Elig_MatchAll_Ct-1),AV193=0),U193,0)</f>
        <v>0</v>
      </c>
      <c r="CA193" s="175">
        <f>IF(AND(Input_Product=Elig!$C193,Elig_MatchAll_Ct&lt;22,$BC193=(Elig_MatchAll_Ct-1),AW193=0),V193,0)</f>
        <v>0</v>
      </c>
      <c r="CB193" s="176">
        <f>IF(AND(Input_Product=Elig!$C193,Elig_MatchAll_Ct&lt;22,$BC193=(Elig_MatchAll_Ct-1),AW193=0),W193,0)</f>
        <v>0</v>
      </c>
      <c r="CC193" s="175">
        <f>IF(AND(Input_Product=Elig!$C193,Elig_MatchAll_Ct&lt;22,$BC193=(Elig_MatchAll_Ct-1),AX193=0),X193,0)</f>
        <v>0</v>
      </c>
      <c r="CD193" s="176">
        <f>IF(AND(Input_Product=Elig!$C193,Elig_MatchAll_Ct&lt;22,$BC193=(Elig_MatchAll_Ct-1),AX193=0),Y193,0)</f>
        <v>0</v>
      </c>
      <c r="CE193" s="175">
        <f>IF(AND(Input_LTV&lt;=AE193,Input_Product=Elig!$C193,Elig_MatchAll_Ct&lt;22,$BC193=(Elig_MatchAll_Ct-1),AY193=0),Z193,0)</f>
        <v>0</v>
      </c>
      <c r="CF193" s="176">
        <f>IF(AND(Input_LTV&lt;=AE193,Input_Product=Elig!$C193,Elig_MatchAll_Ct&lt;22,$BC193=(Elig_MatchAll_Ct-1),AY193=0),AA193,0)</f>
        <v>0</v>
      </c>
      <c r="CG193" s="175">
        <f>IF(AND(Input_Product=Elig!$C193,Elig_MatchAll_Ct&lt;22,$BC193=(Elig_MatchAll_Ct-1),AZ193=0),AB193,0)</f>
        <v>0</v>
      </c>
      <c r="CH193" s="176">
        <f>IF(AND(Input_Product=Elig!$C193,Elig_MatchAll_Ct&lt;22,$BC193=(Elig_MatchAll_Ct-1),AZ193=0),AC193,0)</f>
        <v>0</v>
      </c>
      <c r="CI193" s="175">
        <f>IF(AND(Input_Product=Elig!$C193,Elig_MatchAll_Ct&lt;22,$BC193=(Elig_MatchAll_Ct-1),BA193=0),AD193,0)</f>
        <v>0</v>
      </c>
      <c r="CJ193" s="176">
        <f>IF(AND(Input_Product=Elig!$C193,Elig_MatchAll_Ct&lt;22,$BC193=(Elig_MatchAll_Ct-1),BA193=0),AE193,0)</f>
        <v>0</v>
      </c>
    </row>
    <row r="194" spans="1:88" ht="10.15" customHeight="1" x14ac:dyDescent="0.25">
      <c r="A194" s="1419" t="s">
        <v>76</v>
      </c>
      <c r="B194" s="1419" t="s">
        <v>887</v>
      </c>
      <c r="C194" s="116" t="str">
        <f t="shared" si="53"/>
        <v>NonQM OO</v>
      </c>
      <c r="D194" s="117" t="s">
        <v>1995</v>
      </c>
      <c r="E194" s="117" t="s">
        <v>166</v>
      </c>
      <c r="F194" s="117" t="s">
        <v>330</v>
      </c>
      <c r="G194" s="117" t="s">
        <v>470</v>
      </c>
      <c r="H194" s="117" t="s">
        <v>135</v>
      </c>
      <c r="I194" s="118" t="s">
        <v>273</v>
      </c>
      <c r="J194" s="118" t="s">
        <v>1130</v>
      </c>
      <c r="K194" s="118" t="s">
        <v>1398</v>
      </c>
      <c r="L194" s="117" t="s">
        <v>2025</v>
      </c>
      <c r="M194" s="117" t="s">
        <v>2289</v>
      </c>
      <c r="N194" s="117" t="s">
        <v>82</v>
      </c>
      <c r="O194" s="117" t="s">
        <v>309</v>
      </c>
      <c r="P194" s="117" t="s">
        <v>2433</v>
      </c>
      <c r="Q194" s="117" t="s">
        <v>293</v>
      </c>
      <c r="R194" s="117">
        <v>2000000.01</v>
      </c>
      <c r="S194" s="117">
        <v>2500000</v>
      </c>
      <c r="T194" s="117">
        <v>0</v>
      </c>
      <c r="U194" s="117">
        <v>0</v>
      </c>
      <c r="V194" s="117">
        <v>0</v>
      </c>
      <c r="W194" s="117">
        <v>55</v>
      </c>
      <c r="X194" s="117">
        <v>0</v>
      </c>
      <c r="Y194" s="117">
        <v>999</v>
      </c>
      <c r="Z194" s="119">
        <v>680</v>
      </c>
      <c r="AA194" s="119">
        <v>699</v>
      </c>
      <c r="AB194" s="1877">
        <v>0</v>
      </c>
      <c r="AC194" s="119">
        <v>999999</v>
      </c>
      <c r="AD194" s="117">
        <v>0</v>
      </c>
      <c r="AE194" s="117">
        <v>70</v>
      </c>
      <c r="AF194" s="144">
        <v>0</v>
      </c>
      <c r="AG194" s="145">
        <v>1</v>
      </c>
      <c r="AH194" s="145">
        <v>1</v>
      </c>
      <c r="AI194" s="145">
        <v>0</v>
      </c>
      <c r="AJ194" s="145">
        <v>0</v>
      </c>
      <c r="AK194" s="145">
        <v>1</v>
      </c>
      <c r="AL194" s="145">
        <v>1</v>
      </c>
      <c r="AM194" s="145">
        <v>1</v>
      </c>
      <c r="AN194" s="145">
        <v>1</v>
      </c>
      <c r="AO194" s="145">
        <v>1</v>
      </c>
      <c r="AP194" s="145">
        <v>1</v>
      </c>
      <c r="AQ194" s="145">
        <v>0</v>
      </c>
      <c r="AR194" s="145">
        <v>1</v>
      </c>
      <c r="AS194" s="145">
        <v>1</v>
      </c>
      <c r="AT194" s="145">
        <v>1</v>
      </c>
      <c r="AU194" s="145">
        <f t="shared" si="55"/>
        <v>0</v>
      </c>
      <c r="AV194" s="145">
        <f t="shared" si="56"/>
        <v>1</v>
      </c>
      <c r="AW194" s="145">
        <f t="shared" si="57"/>
        <v>1</v>
      </c>
      <c r="AX194" s="145">
        <f t="shared" si="73"/>
        <v>1</v>
      </c>
      <c r="AY194" s="145">
        <f t="shared" si="58"/>
        <v>0</v>
      </c>
      <c r="AZ194" s="145">
        <f t="shared" si="59"/>
        <v>1</v>
      </c>
      <c r="BA194" s="146">
        <f t="shared" si="60"/>
        <v>1</v>
      </c>
      <c r="BB194" s="149">
        <f t="shared" si="63"/>
        <v>16</v>
      </c>
      <c r="BC194" s="150">
        <f t="shared" si="64"/>
        <v>15</v>
      </c>
      <c r="BD194" s="150">
        <f t="shared" si="65"/>
        <v>16</v>
      </c>
      <c r="BE194" s="211" t="str">
        <f t="shared" si="66"/>
        <v/>
      </c>
      <c r="BH194" s="173">
        <f>IF(AND(Input_Product=Elig!$C194,Elig_MatchAll_Ct&lt;22,$BC194=(Elig_MatchAll_Ct-1),AF194=0),C194,0)</f>
        <v>0</v>
      </c>
      <c r="BI194" s="173">
        <f>IF(AND(Input_Product=Elig!$C194,Elig_MatchAll_Ct&lt;22,$BC194=(Elig_MatchAll_Ct-1),AG194=0),D194,0)</f>
        <v>0</v>
      </c>
      <c r="BJ194" s="173">
        <f>IF(AND(Input_Product=Elig!$C194,Elig_MatchAll_Ct&lt;22,$BC194=(Elig_MatchAll_Ct-1),AH194=0),E194,0)</f>
        <v>0</v>
      </c>
      <c r="BK194" s="173">
        <f>IF(AND(Input_Product=Elig!$C194,Elig_MatchAll_Ct&lt;22,$BC194=(Elig_MatchAll_Ct-1),AI194=0),F194,0)</f>
        <v>0</v>
      </c>
      <c r="BL194" s="173">
        <f>IF(AND(Input_Product=Elig!$C194,Elig_MatchAll_Ct&lt;22,$BC194=(Elig_MatchAll_Ct-1),AJ194=0),G194,0)</f>
        <v>0</v>
      </c>
      <c r="BM194" s="173">
        <f>IF(AND(Input_Product=Elig!$C194,Elig_MatchAll_Ct&lt;22,$BC194=(Elig_MatchAll_Ct-1),AK194=0),H194,0)</f>
        <v>0</v>
      </c>
      <c r="BN194" s="173">
        <f>IF(AND(Input_Product=Elig!$C194,Elig_MatchAll_Ct&lt;22,$BC194=(Elig_MatchAll_Ct-1),AL194=0),I194,0)</f>
        <v>0</v>
      </c>
      <c r="BO194" s="173">
        <f>IF(AND(Input_Product=Elig!$C194,Elig_MatchAll_Ct&lt;22,$BC194=(Elig_MatchAll_Ct-1),AM194=0),J194,0)</f>
        <v>0</v>
      </c>
      <c r="BP194" s="173">
        <f>IF(AND(Input_Product=Elig!$C194,Elig_MatchAll_Ct&lt;22,$BC194=(Elig_MatchAll_Ct-1),AN194=0),K194,0)</f>
        <v>0</v>
      </c>
      <c r="BQ194" s="173">
        <f>IF(AND(Input_Product=Elig!$C194,Elig_MatchAll_Ct&lt;22,$BC194=(Elig_MatchAll_Ct-1),AP194=0),L194,0)</f>
        <v>0</v>
      </c>
      <c r="BR194" s="173">
        <f>IF(AND(Input_Product=Elig!$C194,Elig_MatchAll_Ct&lt;22,$BC194=(Elig_MatchAll_Ct-1),AO194=0),M194,0)</f>
        <v>0</v>
      </c>
      <c r="BS194" s="173">
        <f>IF(AND(Input_Product=Elig!$C194,Elig_MatchAll_Ct&lt;22,$BC194=(Elig_MatchAll_Ct-1),AQ194=0),N194,0)</f>
        <v>0</v>
      </c>
      <c r="BT194" s="173">
        <f>IF(AND(Input_Product=Elig!$C194,Elig_MatchAll_Ct&lt;22,$BC194=(Elig_MatchAll_Ct-1),AR194=0),O194,0)</f>
        <v>0</v>
      </c>
      <c r="BU194" s="173">
        <f>IF(AND(Input_Product=Elig!$C194,Elig_MatchAll_Ct&lt;22,$BC194=(Elig_MatchAll_Ct-1),AS194=0),P194,0)</f>
        <v>0</v>
      </c>
      <c r="BV194" s="174">
        <f>IF(AND(Input_Product=Elig!$C194,Elig_MatchAll_Ct&lt;22,$BC194=(Elig_MatchAll_Ct-1),AT194=0),Q194,0)</f>
        <v>0</v>
      </c>
      <c r="BW194" s="175">
        <f>IF(AND(Input_Product=Elig!$C194,Elig_MatchAll_Ct&lt;22,$BC194=(Elig_MatchAll_Ct-1),AU194=0),R194,0)</f>
        <v>0</v>
      </c>
      <c r="BX194" s="176">
        <f>IF(AND(Input_Product=Elig!$C194,Elig_MatchAll_Ct&lt;22,$BC194=(Elig_MatchAll_Ct-1),AU194=0),S194,0)</f>
        <v>0</v>
      </c>
      <c r="BY194" s="175">
        <f>IF(AND(Input_Product=Elig!$C194,Elig_MatchAll_Ct&lt;22,$BC194=(Elig_MatchAll_Ct-1),AV194=0),T194,0)</f>
        <v>0</v>
      </c>
      <c r="BZ194" s="176">
        <f>IF(AND(Input_Product=Elig!$C194,Elig_MatchAll_Ct&lt;22,$BC194=(Elig_MatchAll_Ct-1),AV194=0),U194,0)</f>
        <v>0</v>
      </c>
      <c r="CA194" s="175">
        <f>IF(AND(Input_Product=Elig!$C194,Elig_MatchAll_Ct&lt;22,$BC194=(Elig_MatchAll_Ct-1),AW194=0),V194,0)</f>
        <v>0</v>
      </c>
      <c r="CB194" s="176">
        <f>IF(AND(Input_Product=Elig!$C194,Elig_MatchAll_Ct&lt;22,$BC194=(Elig_MatchAll_Ct-1),AW194=0),W194,0)</f>
        <v>0</v>
      </c>
      <c r="CC194" s="175">
        <f>IF(AND(Input_Product=Elig!$C194,Elig_MatchAll_Ct&lt;22,$BC194=(Elig_MatchAll_Ct-1),AX194=0),X194,0)</f>
        <v>0</v>
      </c>
      <c r="CD194" s="176">
        <f>IF(AND(Input_Product=Elig!$C194,Elig_MatchAll_Ct&lt;22,$BC194=(Elig_MatchAll_Ct-1),AX194=0),Y194,0)</f>
        <v>0</v>
      </c>
      <c r="CE194" s="175">
        <f>IF(AND(Input_LTV&lt;=AE194,Input_Product=Elig!$C194,Elig_MatchAll_Ct&lt;22,$BC194=(Elig_MatchAll_Ct-1),AY194=0),Z194,0)</f>
        <v>0</v>
      </c>
      <c r="CF194" s="176">
        <f>IF(AND(Input_LTV&lt;=AE194,Input_Product=Elig!$C194,Elig_MatchAll_Ct&lt;22,$BC194=(Elig_MatchAll_Ct-1),AY194=0),AA194,0)</f>
        <v>0</v>
      </c>
      <c r="CG194" s="175">
        <f>IF(AND(Input_Product=Elig!$C194,Elig_MatchAll_Ct&lt;22,$BC194=(Elig_MatchAll_Ct-1),AZ194=0),AB194,0)</f>
        <v>0</v>
      </c>
      <c r="CH194" s="176">
        <f>IF(AND(Input_Product=Elig!$C194,Elig_MatchAll_Ct&lt;22,$BC194=(Elig_MatchAll_Ct-1),AZ194=0),AC194,0)</f>
        <v>0</v>
      </c>
      <c r="CI194" s="175">
        <f>IF(AND(Input_Product=Elig!$C194,Elig_MatchAll_Ct&lt;22,$BC194=(Elig_MatchAll_Ct-1),BA194=0),AD194,0)</f>
        <v>0</v>
      </c>
      <c r="CJ194" s="176">
        <f>IF(AND(Input_Product=Elig!$C194,Elig_MatchAll_Ct&lt;22,$BC194=(Elig_MatchAll_Ct-1),BA194=0),AE194,0)</f>
        <v>0</v>
      </c>
    </row>
    <row r="195" spans="1:88" ht="10.15" customHeight="1" x14ac:dyDescent="0.25">
      <c r="A195" s="1419" t="s">
        <v>76</v>
      </c>
      <c r="B195" s="1419" t="s">
        <v>888</v>
      </c>
      <c r="C195" s="116" t="str">
        <f t="shared" si="53"/>
        <v>NonQM OO</v>
      </c>
      <c r="D195" s="117" t="s">
        <v>1995</v>
      </c>
      <c r="E195" s="117" t="s">
        <v>166</v>
      </c>
      <c r="F195" s="117" t="s">
        <v>330</v>
      </c>
      <c r="G195" s="117" t="s">
        <v>470</v>
      </c>
      <c r="H195" s="117" t="s">
        <v>135</v>
      </c>
      <c r="I195" s="118" t="s">
        <v>273</v>
      </c>
      <c r="J195" s="118" t="s">
        <v>1130</v>
      </c>
      <c r="K195" s="118" t="s">
        <v>1398</v>
      </c>
      <c r="L195" s="117" t="s">
        <v>2025</v>
      </c>
      <c r="M195" s="117" t="s">
        <v>2289</v>
      </c>
      <c r="N195" s="117" t="s">
        <v>82</v>
      </c>
      <c r="O195" s="117" t="s">
        <v>309</v>
      </c>
      <c r="P195" s="117" t="s">
        <v>2433</v>
      </c>
      <c r="Q195" s="117" t="s">
        <v>293</v>
      </c>
      <c r="R195" s="117">
        <v>2000000.01</v>
      </c>
      <c r="S195" s="117">
        <v>2500000</v>
      </c>
      <c r="T195" s="117">
        <v>0</v>
      </c>
      <c r="U195" s="117">
        <v>0</v>
      </c>
      <c r="V195" s="117">
        <v>0</v>
      </c>
      <c r="W195" s="117">
        <v>55</v>
      </c>
      <c r="X195" s="117">
        <v>0</v>
      </c>
      <c r="Y195" s="117">
        <v>999</v>
      </c>
      <c r="Z195" s="119">
        <v>660</v>
      </c>
      <c r="AA195" s="119">
        <v>679</v>
      </c>
      <c r="AB195" s="1877">
        <v>0</v>
      </c>
      <c r="AC195" s="119">
        <v>999999</v>
      </c>
      <c r="AD195" s="117">
        <v>0</v>
      </c>
      <c r="AE195" s="117">
        <v>70</v>
      </c>
      <c r="AF195" s="144">
        <v>0</v>
      </c>
      <c r="AG195" s="145">
        <v>1</v>
      </c>
      <c r="AH195" s="145">
        <v>1</v>
      </c>
      <c r="AI195" s="145">
        <v>0</v>
      </c>
      <c r="AJ195" s="145">
        <v>0</v>
      </c>
      <c r="AK195" s="145">
        <v>1</v>
      </c>
      <c r="AL195" s="145">
        <v>1</v>
      </c>
      <c r="AM195" s="145">
        <v>1</v>
      </c>
      <c r="AN195" s="145">
        <v>1</v>
      </c>
      <c r="AO195" s="145">
        <v>1</v>
      </c>
      <c r="AP195" s="145">
        <v>1</v>
      </c>
      <c r="AQ195" s="145">
        <v>0</v>
      </c>
      <c r="AR195" s="145">
        <v>1</v>
      </c>
      <c r="AS195" s="145">
        <v>1</v>
      </c>
      <c r="AT195" s="145">
        <v>1</v>
      </c>
      <c r="AU195" s="145">
        <f t="shared" si="55"/>
        <v>0</v>
      </c>
      <c r="AV195" s="145">
        <f t="shared" si="56"/>
        <v>1</v>
      </c>
      <c r="AW195" s="145">
        <f t="shared" si="57"/>
        <v>1</v>
      </c>
      <c r="AX195" s="145">
        <f t="shared" si="73"/>
        <v>1</v>
      </c>
      <c r="AY195" s="145">
        <f t="shared" si="58"/>
        <v>0</v>
      </c>
      <c r="AZ195" s="145">
        <f t="shared" si="59"/>
        <v>1</v>
      </c>
      <c r="BA195" s="146">
        <f t="shared" si="60"/>
        <v>1</v>
      </c>
      <c r="BB195" s="149">
        <f t="shared" si="63"/>
        <v>16</v>
      </c>
      <c r="BC195" s="150">
        <f t="shared" si="64"/>
        <v>15</v>
      </c>
      <c r="BD195" s="150">
        <f t="shared" si="65"/>
        <v>16</v>
      </c>
      <c r="BE195" s="211" t="str">
        <f t="shared" si="66"/>
        <v/>
      </c>
      <c r="BH195" s="188">
        <f>IF(AND(Input_Product=Elig!$C195,Elig_MatchAll_Ct&lt;22,$BC195=(Elig_MatchAll_Ct-1),AF195=0),C195,0)</f>
        <v>0</v>
      </c>
      <c r="BI195" s="188">
        <f>IF(AND(Input_Product=Elig!$C195,Elig_MatchAll_Ct&lt;22,$BC195=(Elig_MatchAll_Ct-1),AG195=0),D195,0)</f>
        <v>0</v>
      </c>
      <c r="BJ195" s="188">
        <f>IF(AND(Input_Product=Elig!$C195,Elig_MatchAll_Ct&lt;22,$BC195=(Elig_MatchAll_Ct-1),AH195=0),E195,0)</f>
        <v>0</v>
      </c>
      <c r="BK195" s="188">
        <f>IF(AND(Input_Product=Elig!$C195,Elig_MatchAll_Ct&lt;22,$BC195=(Elig_MatchAll_Ct-1),AI195=0),F195,0)</f>
        <v>0</v>
      </c>
      <c r="BL195" s="188">
        <f>IF(AND(Input_Product=Elig!$C195,Elig_MatchAll_Ct&lt;22,$BC195=(Elig_MatchAll_Ct-1),AJ195=0),G195,0)</f>
        <v>0</v>
      </c>
      <c r="BM195" s="188">
        <f>IF(AND(Input_Product=Elig!$C195,Elig_MatchAll_Ct&lt;22,$BC195=(Elig_MatchAll_Ct-1),AK195=0),H195,0)</f>
        <v>0</v>
      </c>
      <c r="BN195" s="188">
        <f>IF(AND(Input_Product=Elig!$C195,Elig_MatchAll_Ct&lt;22,$BC195=(Elig_MatchAll_Ct-1),AL195=0),I195,0)</f>
        <v>0</v>
      </c>
      <c r="BO195" s="188">
        <f>IF(AND(Input_Product=Elig!$C195,Elig_MatchAll_Ct&lt;22,$BC195=(Elig_MatchAll_Ct-1),AM195=0),J195,0)</f>
        <v>0</v>
      </c>
      <c r="BP195" s="188">
        <f>IF(AND(Input_Product=Elig!$C195,Elig_MatchAll_Ct&lt;22,$BC195=(Elig_MatchAll_Ct-1),AN195=0),K195,0)</f>
        <v>0</v>
      </c>
      <c r="BQ195" s="188">
        <f>IF(AND(Input_Product=Elig!$C195,Elig_MatchAll_Ct&lt;22,$BC195=(Elig_MatchAll_Ct-1),AP195=0),L195,0)</f>
        <v>0</v>
      </c>
      <c r="BR195" s="188">
        <f>IF(AND(Input_Product=Elig!$C195,Elig_MatchAll_Ct&lt;22,$BC195=(Elig_MatchAll_Ct-1),AO195=0),M195,0)</f>
        <v>0</v>
      </c>
      <c r="BS195" s="188">
        <f>IF(AND(Input_Product=Elig!$C195,Elig_MatchAll_Ct&lt;22,$BC195=(Elig_MatchAll_Ct-1),AQ195=0),N195,0)</f>
        <v>0</v>
      </c>
      <c r="BT195" s="188">
        <f>IF(AND(Input_Product=Elig!$C195,Elig_MatchAll_Ct&lt;22,$BC195=(Elig_MatchAll_Ct-1),AR195=0),O195,0)</f>
        <v>0</v>
      </c>
      <c r="BU195" s="188">
        <f>IF(AND(Input_Product=Elig!$C195,Elig_MatchAll_Ct&lt;22,$BC195=(Elig_MatchAll_Ct-1),AS195=0),P195,0)</f>
        <v>0</v>
      </c>
      <c r="BV195" s="189">
        <f>IF(AND(Input_Product=Elig!$C195,Elig_MatchAll_Ct&lt;22,$BC195=(Elig_MatchAll_Ct-1),AT195=0),Q195,0)</f>
        <v>0</v>
      </c>
      <c r="BW195" s="271">
        <f>IF(AND(Input_Product=Elig!$C195,Elig_MatchAll_Ct&lt;22,$BC195=(Elig_MatchAll_Ct-1),AU195=0),R195,0)</f>
        <v>0</v>
      </c>
      <c r="BX195" s="272">
        <f>IF(AND(Input_Product=Elig!$C195,Elig_MatchAll_Ct&lt;22,$BC195=(Elig_MatchAll_Ct-1),AU195=0),S195,0)</f>
        <v>0</v>
      </c>
      <c r="BY195" s="271">
        <f>IF(AND(Input_Product=Elig!$C195,Elig_MatchAll_Ct&lt;22,$BC195=(Elig_MatchAll_Ct-1),AV195=0),T195,0)</f>
        <v>0</v>
      </c>
      <c r="BZ195" s="272">
        <f>IF(AND(Input_Product=Elig!$C195,Elig_MatchAll_Ct&lt;22,$BC195=(Elig_MatchAll_Ct-1),AV195=0),U195,0)</f>
        <v>0</v>
      </c>
      <c r="CA195" s="271">
        <f>IF(AND(Input_Product=Elig!$C195,Elig_MatchAll_Ct&lt;22,$BC195=(Elig_MatchAll_Ct-1),AW195=0),V195,0)</f>
        <v>0</v>
      </c>
      <c r="CB195" s="272">
        <f>IF(AND(Input_Product=Elig!$C195,Elig_MatchAll_Ct&lt;22,$BC195=(Elig_MatchAll_Ct-1),AW195=0),W195,0)</f>
        <v>0</v>
      </c>
      <c r="CC195" s="271">
        <f>IF(AND(Input_Product=Elig!$C195,Elig_MatchAll_Ct&lt;22,$BC195=(Elig_MatchAll_Ct-1),AX195=0),X195,0)</f>
        <v>0</v>
      </c>
      <c r="CD195" s="272">
        <f>IF(AND(Input_Product=Elig!$C195,Elig_MatchAll_Ct&lt;22,$BC195=(Elig_MatchAll_Ct-1),AX195=0),Y195,0)</f>
        <v>0</v>
      </c>
      <c r="CE195" s="271">
        <f>IF(AND(Input_LTV&lt;=AE195,Input_Product=Elig!$C195,Elig_MatchAll_Ct&lt;22,$BC195=(Elig_MatchAll_Ct-1),AY195=0),Z195,0)</f>
        <v>0</v>
      </c>
      <c r="CF195" s="272">
        <f>IF(AND(Input_LTV&lt;=AE195,Input_Product=Elig!$C195,Elig_MatchAll_Ct&lt;22,$BC195=(Elig_MatchAll_Ct-1),AY195=0),AA195,0)</f>
        <v>0</v>
      </c>
      <c r="CG195" s="271">
        <f>IF(AND(Input_Product=Elig!$C195,Elig_MatchAll_Ct&lt;22,$BC195=(Elig_MatchAll_Ct-1),AZ195=0),AB195,0)</f>
        <v>0</v>
      </c>
      <c r="CH195" s="272">
        <f>IF(AND(Input_Product=Elig!$C195,Elig_MatchAll_Ct&lt;22,$BC195=(Elig_MatchAll_Ct-1),AZ195=0),AC195,0)</f>
        <v>0</v>
      </c>
      <c r="CI195" s="271">
        <f>IF(AND(Input_Product=Elig!$C195,Elig_MatchAll_Ct&lt;22,$BC195=(Elig_MatchAll_Ct-1),BA195=0),AD195,0)</f>
        <v>0</v>
      </c>
      <c r="CJ195" s="272">
        <f>IF(AND(Input_Product=Elig!$C195,Elig_MatchAll_Ct&lt;22,$BC195=(Elig_MatchAll_Ct-1),BA195=0),AE195,0)</f>
        <v>0</v>
      </c>
    </row>
    <row r="196" spans="1:88" ht="10.15" customHeight="1" x14ac:dyDescent="0.25">
      <c r="A196" s="1419" t="s">
        <v>76</v>
      </c>
      <c r="B196" s="1419" t="s">
        <v>1040</v>
      </c>
      <c r="C196" s="123" t="str">
        <f t="shared" si="53"/>
        <v>NonQM OO</v>
      </c>
      <c r="D196" s="124" t="s">
        <v>1995</v>
      </c>
      <c r="E196" s="125" t="s">
        <v>166</v>
      </c>
      <c r="F196" s="125" t="s">
        <v>330</v>
      </c>
      <c r="G196" s="125" t="s">
        <v>470</v>
      </c>
      <c r="H196" s="125" t="s">
        <v>135</v>
      </c>
      <c r="I196" s="124" t="s">
        <v>16</v>
      </c>
      <c r="J196" s="124" t="s">
        <v>1130</v>
      </c>
      <c r="K196" s="124" t="s">
        <v>1398</v>
      </c>
      <c r="L196" s="125" t="s">
        <v>2025</v>
      </c>
      <c r="M196" s="125" t="s">
        <v>2289</v>
      </c>
      <c r="N196" s="125" t="s">
        <v>82</v>
      </c>
      <c r="O196" s="125" t="s">
        <v>309</v>
      </c>
      <c r="P196" s="125" t="s">
        <v>2433</v>
      </c>
      <c r="Q196" s="125" t="s">
        <v>293</v>
      </c>
      <c r="R196" s="124">
        <v>2000000.01</v>
      </c>
      <c r="S196" s="124">
        <v>2500000</v>
      </c>
      <c r="T196" s="124">
        <v>0</v>
      </c>
      <c r="U196" s="124">
        <f t="shared" ref="U196:U199" si="74">S196</f>
        <v>2500000</v>
      </c>
      <c r="V196" s="124">
        <v>0</v>
      </c>
      <c r="W196" s="124">
        <v>55</v>
      </c>
      <c r="X196" s="124">
        <v>0</v>
      </c>
      <c r="Y196" s="124">
        <v>999</v>
      </c>
      <c r="Z196" s="126">
        <v>720</v>
      </c>
      <c r="AA196" s="126">
        <v>999</v>
      </c>
      <c r="AB196" s="1879">
        <v>0</v>
      </c>
      <c r="AC196" s="126">
        <v>999999</v>
      </c>
      <c r="AD196" s="124">
        <v>0</v>
      </c>
      <c r="AE196" s="124">
        <v>65</v>
      </c>
      <c r="AF196" s="144">
        <v>0</v>
      </c>
      <c r="AG196" s="145">
        <v>1</v>
      </c>
      <c r="AH196" s="145">
        <v>1</v>
      </c>
      <c r="AI196" s="145">
        <v>0</v>
      </c>
      <c r="AJ196" s="145">
        <v>0</v>
      </c>
      <c r="AK196" s="145">
        <v>1</v>
      </c>
      <c r="AL196" s="145">
        <v>0</v>
      </c>
      <c r="AM196" s="145">
        <v>1</v>
      </c>
      <c r="AN196" s="145">
        <v>1</v>
      </c>
      <c r="AO196" s="145">
        <v>1</v>
      </c>
      <c r="AP196" s="145">
        <v>1</v>
      </c>
      <c r="AQ196" s="145">
        <v>0</v>
      </c>
      <c r="AR196" s="145">
        <v>1</v>
      </c>
      <c r="AS196" s="145">
        <v>1</v>
      </c>
      <c r="AT196" s="145">
        <v>1</v>
      </c>
      <c r="AU196" s="145">
        <f t="shared" si="55"/>
        <v>0</v>
      </c>
      <c r="AV196" s="145">
        <f t="shared" si="56"/>
        <v>1</v>
      </c>
      <c r="AW196" s="145">
        <f t="shared" si="57"/>
        <v>1</v>
      </c>
      <c r="AX196" s="145">
        <f t="shared" si="73"/>
        <v>1</v>
      </c>
      <c r="AY196" s="145">
        <f t="shared" si="58"/>
        <v>1</v>
      </c>
      <c r="AZ196" s="145">
        <f t="shared" si="59"/>
        <v>1</v>
      </c>
      <c r="BA196" s="146">
        <f t="shared" si="60"/>
        <v>0</v>
      </c>
      <c r="BB196" s="149">
        <f t="shared" si="63"/>
        <v>15</v>
      </c>
      <c r="BC196" s="150">
        <f t="shared" si="64"/>
        <v>15</v>
      </c>
      <c r="BD196" s="150">
        <f t="shared" si="65"/>
        <v>15</v>
      </c>
      <c r="BE196" s="211" t="str">
        <f t="shared" si="66"/>
        <v/>
      </c>
      <c r="BH196" s="184">
        <f>IF(AND(Input_Product=Elig!$C196,Elig_MatchAll_Ct&lt;22,$BC196=(Elig_MatchAll_Ct-1),AF196=0),C196,0)</f>
        <v>0</v>
      </c>
      <c r="BI196" s="184">
        <f>IF(AND(Input_Product=Elig!$C196,Elig_MatchAll_Ct&lt;22,$BC196=(Elig_MatchAll_Ct-1),AG196=0),D196,0)</f>
        <v>0</v>
      </c>
      <c r="BJ196" s="184">
        <f>IF(AND(Input_Product=Elig!$C196,Elig_MatchAll_Ct&lt;22,$BC196=(Elig_MatchAll_Ct-1),AH196=0),E196,0)</f>
        <v>0</v>
      </c>
      <c r="BK196" s="184">
        <f>IF(AND(Input_Product=Elig!$C196,Elig_MatchAll_Ct&lt;22,$BC196=(Elig_MatchAll_Ct-1),AI196=0),F196,0)</f>
        <v>0</v>
      </c>
      <c r="BL196" s="184">
        <f>IF(AND(Input_Product=Elig!$C196,Elig_MatchAll_Ct&lt;22,$BC196=(Elig_MatchAll_Ct-1),AJ196=0),G196,0)</f>
        <v>0</v>
      </c>
      <c r="BM196" s="184">
        <f>IF(AND(Input_Product=Elig!$C196,Elig_MatchAll_Ct&lt;22,$BC196=(Elig_MatchAll_Ct-1),AK196=0),H196,0)</f>
        <v>0</v>
      </c>
      <c r="BN196" s="184">
        <f>IF(AND(Input_Product=Elig!$C196,Elig_MatchAll_Ct&lt;22,$BC196=(Elig_MatchAll_Ct-1),AL196=0),I196,0)</f>
        <v>0</v>
      </c>
      <c r="BO196" s="184">
        <f>IF(AND(Input_Product=Elig!$C196,Elig_MatchAll_Ct&lt;22,$BC196=(Elig_MatchAll_Ct-1),AM196=0),J196,0)</f>
        <v>0</v>
      </c>
      <c r="BP196" s="184">
        <f>IF(AND(Input_Product=Elig!$C196,Elig_MatchAll_Ct&lt;22,$BC196=(Elig_MatchAll_Ct-1),AN196=0),K196,0)</f>
        <v>0</v>
      </c>
      <c r="BQ196" s="184">
        <f>IF(AND(Input_Product=Elig!$C196,Elig_MatchAll_Ct&lt;22,$BC196=(Elig_MatchAll_Ct-1),AP196=0),L196,0)</f>
        <v>0</v>
      </c>
      <c r="BR196" s="184">
        <f>IF(AND(Input_Product=Elig!$C196,Elig_MatchAll_Ct&lt;22,$BC196=(Elig_MatchAll_Ct-1),AO196=0),M196,0)</f>
        <v>0</v>
      </c>
      <c r="BS196" s="184">
        <f>IF(AND(Input_Product=Elig!$C196,Elig_MatchAll_Ct&lt;22,$BC196=(Elig_MatchAll_Ct-1),AQ196=0),N196,0)</f>
        <v>0</v>
      </c>
      <c r="BT196" s="184">
        <f>IF(AND(Input_Product=Elig!$C196,Elig_MatchAll_Ct&lt;22,$BC196=(Elig_MatchAll_Ct-1),AR196=0),O196,0)</f>
        <v>0</v>
      </c>
      <c r="BU196" s="184">
        <f>IF(AND(Input_Product=Elig!$C196,Elig_MatchAll_Ct&lt;22,$BC196=(Elig_MatchAll_Ct-1),AS196=0),P196,0)</f>
        <v>0</v>
      </c>
      <c r="BV196" s="185">
        <f>IF(AND(Input_Product=Elig!$C196,Elig_MatchAll_Ct&lt;22,$BC196=(Elig_MatchAll_Ct-1),AT196=0),Q196,0)</f>
        <v>0</v>
      </c>
      <c r="BW196" s="186">
        <f>IF(AND(Input_Product=Elig!$C196,Elig_MatchAll_Ct&lt;22,$BC196=(Elig_MatchAll_Ct-1),AU196=0),R196,0)</f>
        <v>0</v>
      </c>
      <c r="BX196" s="187">
        <f>IF(AND(Input_Product=Elig!$C196,Elig_MatchAll_Ct&lt;22,$BC196=(Elig_MatchAll_Ct-1),AU196=0),S196,0)</f>
        <v>0</v>
      </c>
      <c r="BY196" s="186">
        <f>IF(AND(Input_Product=Elig!$C196,Elig_MatchAll_Ct&lt;22,$BC196=(Elig_MatchAll_Ct-1),AV196=0),T196,0)</f>
        <v>0</v>
      </c>
      <c r="BZ196" s="187">
        <f>IF(AND(Input_Product=Elig!$C196,Elig_MatchAll_Ct&lt;22,$BC196=(Elig_MatchAll_Ct-1),AV196=0),U196,0)</f>
        <v>0</v>
      </c>
      <c r="CA196" s="186">
        <f>IF(AND(Input_Product=Elig!$C196,Elig_MatchAll_Ct&lt;22,$BC196=(Elig_MatchAll_Ct-1),AW196=0),V196,0)</f>
        <v>0</v>
      </c>
      <c r="CB196" s="187">
        <f>IF(AND(Input_Product=Elig!$C196,Elig_MatchAll_Ct&lt;22,$BC196=(Elig_MatchAll_Ct-1),AW196=0),W196,0)</f>
        <v>0</v>
      </c>
      <c r="CC196" s="186">
        <f>IF(AND(Input_Product=Elig!$C196,Elig_MatchAll_Ct&lt;22,$BC196=(Elig_MatchAll_Ct-1),AX196=0),X196,0)</f>
        <v>0</v>
      </c>
      <c r="CD196" s="187">
        <f>IF(AND(Input_Product=Elig!$C196,Elig_MatchAll_Ct&lt;22,$BC196=(Elig_MatchAll_Ct-1),AX196=0),Y196,0)</f>
        <v>0</v>
      </c>
      <c r="CE196" s="186">
        <f>IF(AND(Input_LTV&lt;=AE196,Input_Product=Elig!$C196,Elig_MatchAll_Ct&lt;22,$BC196=(Elig_MatchAll_Ct-1),AY196=0),Z196,0)</f>
        <v>0</v>
      </c>
      <c r="CF196" s="187">
        <f>IF(AND(Input_LTV&lt;=AE196,Input_Product=Elig!$C196,Elig_MatchAll_Ct&lt;22,$BC196=(Elig_MatchAll_Ct-1),AY196=0),AA196,0)</f>
        <v>0</v>
      </c>
      <c r="CG196" s="186">
        <f>IF(AND(Input_Product=Elig!$C196,Elig_MatchAll_Ct&lt;22,$BC196=(Elig_MatchAll_Ct-1),AZ196=0),AB196,0)</f>
        <v>0</v>
      </c>
      <c r="CH196" s="187">
        <f>IF(AND(Input_Product=Elig!$C196,Elig_MatchAll_Ct&lt;22,$BC196=(Elig_MatchAll_Ct-1),AZ196=0),AC196,0)</f>
        <v>0</v>
      </c>
      <c r="CI196" s="186">
        <f>IF(AND(Input_Product=Elig!$C196,Elig_MatchAll_Ct&lt;22,$BC196=(Elig_MatchAll_Ct-1),BA196=0),AD196,0)</f>
        <v>0</v>
      </c>
      <c r="CJ196" s="187">
        <f>IF(AND(Input_Product=Elig!$C196,Elig_MatchAll_Ct&lt;22,$BC196=(Elig_MatchAll_Ct-1),BA196=0),AE196,0)</f>
        <v>0</v>
      </c>
    </row>
    <row r="197" spans="1:88" ht="10.15" customHeight="1" x14ac:dyDescent="0.25">
      <c r="A197" s="1419" t="s">
        <v>76</v>
      </c>
      <c r="B197" s="1419" t="s">
        <v>1041</v>
      </c>
      <c r="C197" s="116" t="str">
        <f t="shared" si="53"/>
        <v>NonQM OO</v>
      </c>
      <c r="D197" s="117" t="s">
        <v>1995</v>
      </c>
      <c r="E197" s="117" t="s">
        <v>166</v>
      </c>
      <c r="F197" s="117" t="s">
        <v>330</v>
      </c>
      <c r="G197" s="117" t="s">
        <v>470</v>
      </c>
      <c r="H197" s="117" t="s">
        <v>135</v>
      </c>
      <c r="I197" s="118" t="s">
        <v>16</v>
      </c>
      <c r="J197" s="118" t="s">
        <v>1130</v>
      </c>
      <c r="K197" s="118" t="s">
        <v>1398</v>
      </c>
      <c r="L197" s="117" t="s">
        <v>2025</v>
      </c>
      <c r="M197" s="117" t="s">
        <v>2289</v>
      </c>
      <c r="N197" s="117" t="s">
        <v>82</v>
      </c>
      <c r="O197" s="117" t="s">
        <v>309</v>
      </c>
      <c r="P197" s="117" t="s">
        <v>2433</v>
      </c>
      <c r="Q197" s="117" t="s">
        <v>293</v>
      </c>
      <c r="R197" s="117">
        <v>2000000.01</v>
      </c>
      <c r="S197" s="117">
        <v>2500000</v>
      </c>
      <c r="T197" s="117">
        <v>0</v>
      </c>
      <c r="U197" s="117">
        <f t="shared" si="74"/>
        <v>2500000</v>
      </c>
      <c r="V197" s="117">
        <v>0</v>
      </c>
      <c r="W197" s="117">
        <v>55</v>
      </c>
      <c r="X197" s="117">
        <v>0</v>
      </c>
      <c r="Y197" s="117">
        <v>999</v>
      </c>
      <c r="Z197" s="119">
        <v>700</v>
      </c>
      <c r="AA197" s="119">
        <v>719</v>
      </c>
      <c r="AB197" s="1877">
        <v>0</v>
      </c>
      <c r="AC197" s="119">
        <v>999999</v>
      </c>
      <c r="AD197" s="117">
        <v>0</v>
      </c>
      <c r="AE197" s="117">
        <v>65</v>
      </c>
      <c r="AF197" s="144">
        <v>0</v>
      </c>
      <c r="AG197" s="145">
        <v>1</v>
      </c>
      <c r="AH197" s="145">
        <v>1</v>
      </c>
      <c r="AI197" s="145">
        <v>0</v>
      </c>
      <c r="AJ197" s="145">
        <v>0</v>
      </c>
      <c r="AK197" s="145">
        <v>1</v>
      </c>
      <c r="AL197" s="145">
        <v>0</v>
      </c>
      <c r="AM197" s="145">
        <v>1</v>
      </c>
      <c r="AN197" s="145">
        <v>1</v>
      </c>
      <c r="AO197" s="145">
        <v>1</v>
      </c>
      <c r="AP197" s="145">
        <v>1</v>
      </c>
      <c r="AQ197" s="145">
        <v>0</v>
      </c>
      <c r="AR197" s="145">
        <v>1</v>
      </c>
      <c r="AS197" s="145">
        <v>1</v>
      </c>
      <c r="AT197" s="145">
        <v>1</v>
      </c>
      <c r="AU197" s="145">
        <f t="shared" si="55"/>
        <v>0</v>
      </c>
      <c r="AV197" s="145">
        <f t="shared" si="56"/>
        <v>1</v>
      </c>
      <c r="AW197" s="145">
        <f t="shared" si="57"/>
        <v>1</v>
      </c>
      <c r="AX197" s="145">
        <f t="shared" si="73"/>
        <v>1</v>
      </c>
      <c r="AY197" s="145">
        <f t="shared" si="58"/>
        <v>0</v>
      </c>
      <c r="AZ197" s="145">
        <f t="shared" si="59"/>
        <v>1</v>
      </c>
      <c r="BA197" s="146">
        <f t="shared" si="60"/>
        <v>0</v>
      </c>
      <c r="BB197" s="149">
        <f t="shared" si="63"/>
        <v>14</v>
      </c>
      <c r="BC197" s="150">
        <f t="shared" si="64"/>
        <v>14</v>
      </c>
      <c r="BD197" s="150">
        <f t="shared" si="65"/>
        <v>14</v>
      </c>
      <c r="BE197" s="211" t="str">
        <f t="shared" si="66"/>
        <v/>
      </c>
      <c r="BH197" s="173">
        <f>IF(AND(Input_Product=Elig!$C197,Elig_MatchAll_Ct&lt;22,$BC197=(Elig_MatchAll_Ct-1),AF197=0),C197,0)</f>
        <v>0</v>
      </c>
      <c r="BI197" s="173">
        <f>IF(AND(Input_Product=Elig!$C197,Elig_MatchAll_Ct&lt;22,$BC197=(Elig_MatchAll_Ct-1),AG197=0),D197,0)</f>
        <v>0</v>
      </c>
      <c r="BJ197" s="173">
        <f>IF(AND(Input_Product=Elig!$C197,Elig_MatchAll_Ct&lt;22,$BC197=(Elig_MatchAll_Ct-1),AH197=0),E197,0)</f>
        <v>0</v>
      </c>
      <c r="BK197" s="173">
        <f>IF(AND(Input_Product=Elig!$C197,Elig_MatchAll_Ct&lt;22,$BC197=(Elig_MatchAll_Ct-1),AI197=0),F197,0)</f>
        <v>0</v>
      </c>
      <c r="BL197" s="173">
        <f>IF(AND(Input_Product=Elig!$C197,Elig_MatchAll_Ct&lt;22,$BC197=(Elig_MatchAll_Ct-1),AJ197=0),G197,0)</f>
        <v>0</v>
      </c>
      <c r="BM197" s="173">
        <f>IF(AND(Input_Product=Elig!$C197,Elig_MatchAll_Ct&lt;22,$BC197=(Elig_MatchAll_Ct-1),AK197=0),H197,0)</f>
        <v>0</v>
      </c>
      <c r="BN197" s="173">
        <f>IF(AND(Input_Product=Elig!$C197,Elig_MatchAll_Ct&lt;22,$BC197=(Elig_MatchAll_Ct-1),AL197=0),I197,0)</f>
        <v>0</v>
      </c>
      <c r="BO197" s="173">
        <f>IF(AND(Input_Product=Elig!$C197,Elig_MatchAll_Ct&lt;22,$BC197=(Elig_MatchAll_Ct-1),AM197=0),J197,0)</f>
        <v>0</v>
      </c>
      <c r="BP197" s="173">
        <f>IF(AND(Input_Product=Elig!$C197,Elig_MatchAll_Ct&lt;22,$BC197=(Elig_MatchAll_Ct-1),AN197=0),K197,0)</f>
        <v>0</v>
      </c>
      <c r="BQ197" s="173">
        <f>IF(AND(Input_Product=Elig!$C197,Elig_MatchAll_Ct&lt;22,$BC197=(Elig_MatchAll_Ct-1),AP197=0),L197,0)</f>
        <v>0</v>
      </c>
      <c r="BR197" s="173">
        <f>IF(AND(Input_Product=Elig!$C197,Elig_MatchAll_Ct&lt;22,$BC197=(Elig_MatchAll_Ct-1),AO197=0),M197,0)</f>
        <v>0</v>
      </c>
      <c r="BS197" s="173">
        <f>IF(AND(Input_Product=Elig!$C197,Elig_MatchAll_Ct&lt;22,$BC197=(Elig_MatchAll_Ct-1),AQ197=0),N197,0)</f>
        <v>0</v>
      </c>
      <c r="BT197" s="173">
        <f>IF(AND(Input_Product=Elig!$C197,Elig_MatchAll_Ct&lt;22,$BC197=(Elig_MatchAll_Ct-1),AR197=0),O197,0)</f>
        <v>0</v>
      </c>
      <c r="BU197" s="173">
        <f>IF(AND(Input_Product=Elig!$C197,Elig_MatchAll_Ct&lt;22,$BC197=(Elig_MatchAll_Ct-1),AS197=0),P197,0)</f>
        <v>0</v>
      </c>
      <c r="BV197" s="174">
        <f>IF(AND(Input_Product=Elig!$C197,Elig_MatchAll_Ct&lt;22,$BC197=(Elig_MatchAll_Ct-1),AT197=0),Q197,0)</f>
        <v>0</v>
      </c>
      <c r="BW197" s="175">
        <f>IF(AND(Input_Product=Elig!$C197,Elig_MatchAll_Ct&lt;22,$BC197=(Elig_MatchAll_Ct-1),AU197=0),R197,0)</f>
        <v>0</v>
      </c>
      <c r="BX197" s="176">
        <f>IF(AND(Input_Product=Elig!$C197,Elig_MatchAll_Ct&lt;22,$BC197=(Elig_MatchAll_Ct-1),AU197=0),S197,0)</f>
        <v>0</v>
      </c>
      <c r="BY197" s="175">
        <f>IF(AND(Input_Product=Elig!$C197,Elig_MatchAll_Ct&lt;22,$BC197=(Elig_MatchAll_Ct-1),AV197=0),T197,0)</f>
        <v>0</v>
      </c>
      <c r="BZ197" s="176">
        <f>IF(AND(Input_Product=Elig!$C197,Elig_MatchAll_Ct&lt;22,$BC197=(Elig_MatchAll_Ct-1),AV197=0),U197,0)</f>
        <v>0</v>
      </c>
      <c r="CA197" s="175">
        <f>IF(AND(Input_Product=Elig!$C197,Elig_MatchAll_Ct&lt;22,$BC197=(Elig_MatchAll_Ct-1),AW197=0),V197,0)</f>
        <v>0</v>
      </c>
      <c r="CB197" s="176">
        <f>IF(AND(Input_Product=Elig!$C197,Elig_MatchAll_Ct&lt;22,$BC197=(Elig_MatchAll_Ct-1),AW197=0),W197,0)</f>
        <v>0</v>
      </c>
      <c r="CC197" s="175">
        <f>IF(AND(Input_Product=Elig!$C197,Elig_MatchAll_Ct&lt;22,$BC197=(Elig_MatchAll_Ct-1),AX197=0),X197,0)</f>
        <v>0</v>
      </c>
      <c r="CD197" s="176">
        <f>IF(AND(Input_Product=Elig!$C197,Elig_MatchAll_Ct&lt;22,$BC197=(Elig_MatchAll_Ct-1),AX197=0),Y197,0)</f>
        <v>0</v>
      </c>
      <c r="CE197" s="175">
        <f>IF(AND(Input_LTV&lt;=AE197,Input_Product=Elig!$C197,Elig_MatchAll_Ct&lt;22,$BC197=(Elig_MatchAll_Ct-1),AY197=0),Z197,0)</f>
        <v>0</v>
      </c>
      <c r="CF197" s="176">
        <f>IF(AND(Input_LTV&lt;=AE197,Input_Product=Elig!$C197,Elig_MatchAll_Ct&lt;22,$BC197=(Elig_MatchAll_Ct-1),AY197=0),AA197,0)</f>
        <v>0</v>
      </c>
      <c r="CG197" s="175">
        <f>IF(AND(Input_Product=Elig!$C197,Elig_MatchAll_Ct&lt;22,$BC197=(Elig_MatchAll_Ct-1),AZ197=0),AB197,0)</f>
        <v>0</v>
      </c>
      <c r="CH197" s="176">
        <f>IF(AND(Input_Product=Elig!$C197,Elig_MatchAll_Ct&lt;22,$BC197=(Elig_MatchAll_Ct-1),AZ197=0),AC197,0)</f>
        <v>0</v>
      </c>
      <c r="CI197" s="175">
        <f>IF(AND(Input_Product=Elig!$C197,Elig_MatchAll_Ct&lt;22,$BC197=(Elig_MatchAll_Ct-1),BA197=0),AD197,0)</f>
        <v>0</v>
      </c>
      <c r="CJ197" s="176">
        <f>IF(AND(Input_Product=Elig!$C197,Elig_MatchAll_Ct&lt;22,$BC197=(Elig_MatchAll_Ct-1),BA197=0),AE197,0)</f>
        <v>0</v>
      </c>
    </row>
    <row r="198" spans="1:88" ht="10.15" customHeight="1" x14ac:dyDescent="0.25">
      <c r="A198" s="1419" t="s">
        <v>76</v>
      </c>
      <c r="B198" s="1419" t="s">
        <v>1042</v>
      </c>
      <c r="C198" s="116" t="str">
        <f t="shared" si="53"/>
        <v>NonQM OO</v>
      </c>
      <c r="D198" s="117" t="s">
        <v>1995</v>
      </c>
      <c r="E198" s="117" t="s">
        <v>166</v>
      </c>
      <c r="F198" s="117" t="s">
        <v>330</v>
      </c>
      <c r="G198" s="117" t="s">
        <v>470</v>
      </c>
      <c r="H198" s="117" t="s">
        <v>135</v>
      </c>
      <c r="I198" s="118" t="s">
        <v>16</v>
      </c>
      <c r="J198" s="118" t="s">
        <v>1130</v>
      </c>
      <c r="K198" s="118" t="s">
        <v>1398</v>
      </c>
      <c r="L198" s="117" t="s">
        <v>2025</v>
      </c>
      <c r="M198" s="117" t="s">
        <v>2289</v>
      </c>
      <c r="N198" s="117" t="s">
        <v>82</v>
      </c>
      <c r="O198" s="117" t="s">
        <v>309</v>
      </c>
      <c r="P198" s="117" t="s">
        <v>2433</v>
      </c>
      <c r="Q198" s="117" t="s">
        <v>293</v>
      </c>
      <c r="R198" s="117">
        <v>2000000.01</v>
      </c>
      <c r="S198" s="117">
        <v>2500000</v>
      </c>
      <c r="T198" s="117">
        <v>0</v>
      </c>
      <c r="U198" s="117">
        <f t="shared" ref="U198" si="75">S198</f>
        <v>2500000</v>
      </c>
      <c r="V198" s="117">
        <v>0</v>
      </c>
      <c r="W198" s="117">
        <v>55</v>
      </c>
      <c r="X198" s="117">
        <v>0</v>
      </c>
      <c r="Y198" s="117">
        <v>999</v>
      </c>
      <c r="Z198" s="119">
        <v>680</v>
      </c>
      <c r="AA198" s="119">
        <v>699</v>
      </c>
      <c r="AB198" s="1877">
        <v>0</v>
      </c>
      <c r="AC198" s="119">
        <v>999999</v>
      </c>
      <c r="AD198" s="117">
        <v>0</v>
      </c>
      <c r="AE198" s="117">
        <v>65</v>
      </c>
      <c r="AF198" s="144">
        <v>0</v>
      </c>
      <c r="AG198" s="145">
        <v>1</v>
      </c>
      <c r="AH198" s="145">
        <v>1</v>
      </c>
      <c r="AI198" s="145">
        <v>0</v>
      </c>
      <c r="AJ198" s="145">
        <v>0</v>
      </c>
      <c r="AK198" s="145">
        <v>1</v>
      </c>
      <c r="AL198" s="145">
        <v>0</v>
      </c>
      <c r="AM198" s="145">
        <v>1</v>
      </c>
      <c r="AN198" s="145">
        <v>1</v>
      </c>
      <c r="AO198" s="145">
        <v>1</v>
      </c>
      <c r="AP198" s="145">
        <v>1</v>
      </c>
      <c r="AQ198" s="145">
        <v>0</v>
      </c>
      <c r="AR198" s="145">
        <v>1</v>
      </c>
      <c r="AS198" s="145">
        <v>1</v>
      </c>
      <c r="AT198" s="145">
        <v>1</v>
      </c>
      <c r="AU198" s="145">
        <f t="shared" si="55"/>
        <v>0</v>
      </c>
      <c r="AV198" s="145">
        <f t="shared" si="56"/>
        <v>1</v>
      </c>
      <c r="AW198" s="145">
        <f t="shared" si="57"/>
        <v>1</v>
      </c>
      <c r="AX198" s="145">
        <f t="shared" si="73"/>
        <v>1</v>
      </c>
      <c r="AY198" s="145">
        <f t="shared" si="58"/>
        <v>0</v>
      </c>
      <c r="AZ198" s="145">
        <f t="shared" si="59"/>
        <v>1</v>
      </c>
      <c r="BA198" s="146">
        <f t="shared" si="60"/>
        <v>0</v>
      </c>
      <c r="BB198" s="149">
        <f t="shared" si="63"/>
        <v>14</v>
      </c>
      <c r="BC198" s="150">
        <f t="shared" si="64"/>
        <v>14</v>
      </c>
      <c r="BD198" s="150">
        <f t="shared" si="65"/>
        <v>14</v>
      </c>
      <c r="BE198" s="211" t="str">
        <f t="shared" si="66"/>
        <v/>
      </c>
      <c r="BH198" s="173">
        <f>IF(AND(Input_Product=Elig!$C198,Elig_MatchAll_Ct&lt;22,$BC198=(Elig_MatchAll_Ct-1),AF198=0),C198,0)</f>
        <v>0</v>
      </c>
      <c r="BI198" s="173">
        <f>IF(AND(Input_Product=Elig!$C198,Elig_MatchAll_Ct&lt;22,$BC198=(Elig_MatchAll_Ct-1),AG198=0),D198,0)</f>
        <v>0</v>
      </c>
      <c r="BJ198" s="173">
        <f>IF(AND(Input_Product=Elig!$C198,Elig_MatchAll_Ct&lt;22,$BC198=(Elig_MatchAll_Ct-1),AH198=0),E198,0)</f>
        <v>0</v>
      </c>
      <c r="BK198" s="173">
        <f>IF(AND(Input_Product=Elig!$C198,Elig_MatchAll_Ct&lt;22,$BC198=(Elig_MatchAll_Ct-1),AI198=0),F198,0)</f>
        <v>0</v>
      </c>
      <c r="BL198" s="173">
        <f>IF(AND(Input_Product=Elig!$C198,Elig_MatchAll_Ct&lt;22,$BC198=(Elig_MatchAll_Ct-1),AJ198=0),G198,0)</f>
        <v>0</v>
      </c>
      <c r="BM198" s="173">
        <f>IF(AND(Input_Product=Elig!$C198,Elig_MatchAll_Ct&lt;22,$BC198=(Elig_MatchAll_Ct-1),AK198=0),H198,0)</f>
        <v>0</v>
      </c>
      <c r="BN198" s="173">
        <f>IF(AND(Input_Product=Elig!$C198,Elig_MatchAll_Ct&lt;22,$BC198=(Elig_MatchAll_Ct-1),AL198=0),I198,0)</f>
        <v>0</v>
      </c>
      <c r="BO198" s="173">
        <f>IF(AND(Input_Product=Elig!$C198,Elig_MatchAll_Ct&lt;22,$BC198=(Elig_MatchAll_Ct-1),AM198=0),J198,0)</f>
        <v>0</v>
      </c>
      <c r="BP198" s="173">
        <f>IF(AND(Input_Product=Elig!$C198,Elig_MatchAll_Ct&lt;22,$BC198=(Elig_MatchAll_Ct-1),AN198=0),K198,0)</f>
        <v>0</v>
      </c>
      <c r="BQ198" s="173">
        <f>IF(AND(Input_Product=Elig!$C198,Elig_MatchAll_Ct&lt;22,$BC198=(Elig_MatchAll_Ct-1),AP198=0),L198,0)</f>
        <v>0</v>
      </c>
      <c r="BR198" s="173">
        <f>IF(AND(Input_Product=Elig!$C198,Elig_MatchAll_Ct&lt;22,$BC198=(Elig_MatchAll_Ct-1),AO198=0),M198,0)</f>
        <v>0</v>
      </c>
      <c r="BS198" s="173">
        <f>IF(AND(Input_Product=Elig!$C198,Elig_MatchAll_Ct&lt;22,$BC198=(Elig_MatchAll_Ct-1),AQ198=0),N198,0)</f>
        <v>0</v>
      </c>
      <c r="BT198" s="173">
        <f>IF(AND(Input_Product=Elig!$C198,Elig_MatchAll_Ct&lt;22,$BC198=(Elig_MatchAll_Ct-1),AR198=0),O198,0)</f>
        <v>0</v>
      </c>
      <c r="BU198" s="173">
        <f>IF(AND(Input_Product=Elig!$C198,Elig_MatchAll_Ct&lt;22,$BC198=(Elig_MatchAll_Ct-1),AS198=0),P198,0)</f>
        <v>0</v>
      </c>
      <c r="BV198" s="174">
        <f>IF(AND(Input_Product=Elig!$C198,Elig_MatchAll_Ct&lt;22,$BC198=(Elig_MatchAll_Ct-1),AT198=0),Q198,0)</f>
        <v>0</v>
      </c>
      <c r="BW198" s="175">
        <f>IF(AND(Input_Product=Elig!$C198,Elig_MatchAll_Ct&lt;22,$BC198=(Elig_MatchAll_Ct-1),AU198=0),R198,0)</f>
        <v>0</v>
      </c>
      <c r="BX198" s="176">
        <f>IF(AND(Input_Product=Elig!$C198,Elig_MatchAll_Ct&lt;22,$BC198=(Elig_MatchAll_Ct-1),AU198=0),S198,0)</f>
        <v>0</v>
      </c>
      <c r="BY198" s="175">
        <f>IF(AND(Input_Product=Elig!$C198,Elig_MatchAll_Ct&lt;22,$BC198=(Elig_MatchAll_Ct-1),AV198=0),T198,0)</f>
        <v>0</v>
      </c>
      <c r="BZ198" s="176">
        <f>IF(AND(Input_Product=Elig!$C198,Elig_MatchAll_Ct&lt;22,$BC198=(Elig_MatchAll_Ct-1),AV198=0),U198,0)</f>
        <v>0</v>
      </c>
      <c r="CA198" s="175">
        <f>IF(AND(Input_Product=Elig!$C198,Elig_MatchAll_Ct&lt;22,$BC198=(Elig_MatchAll_Ct-1),AW198=0),V198,0)</f>
        <v>0</v>
      </c>
      <c r="CB198" s="176">
        <f>IF(AND(Input_Product=Elig!$C198,Elig_MatchAll_Ct&lt;22,$BC198=(Elig_MatchAll_Ct-1),AW198=0),W198,0)</f>
        <v>0</v>
      </c>
      <c r="CC198" s="175">
        <f>IF(AND(Input_Product=Elig!$C198,Elig_MatchAll_Ct&lt;22,$BC198=(Elig_MatchAll_Ct-1),AX198=0),X198,0)</f>
        <v>0</v>
      </c>
      <c r="CD198" s="176">
        <f>IF(AND(Input_Product=Elig!$C198,Elig_MatchAll_Ct&lt;22,$BC198=(Elig_MatchAll_Ct-1),AX198=0),Y198,0)</f>
        <v>0</v>
      </c>
      <c r="CE198" s="175">
        <f>IF(AND(Input_LTV&lt;=AE198,Input_Product=Elig!$C198,Elig_MatchAll_Ct&lt;22,$BC198=(Elig_MatchAll_Ct-1),AY198=0),Z198,0)</f>
        <v>0</v>
      </c>
      <c r="CF198" s="176">
        <f>IF(AND(Input_LTV&lt;=AE198,Input_Product=Elig!$C198,Elig_MatchAll_Ct&lt;22,$BC198=(Elig_MatchAll_Ct-1),AY198=0),AA198,0)</f>
        <v>0</v>
      </c>
      <c r="CG198" s="175">
        <f>IF(AND(Input_Product=Elig!$C198,Elig_MatchAll_Ct&lt;22,$BC198=(Elig_MatchAll_Ct-1),AZ198=0),AB198,0)</f>
        <v>0</v>
      </c>
      <c r="CH198" s="176">
        <f>IF(AND(Input_Product=Elig!$C198,Elig_MatchAll_Ct&lt;22,$BC198=(Elig_MatchAll_Ct-1),AZ198=0),AC198,0)</f>
        <v>0</v>
      </c>
      <c r="CI198" s="175">
        <f>IF(AND(Input_Product=Elig!$C198,Elig_MatchAll_Ct&lt;22,$BC198=(Elig_MatchAll_Ct-1),BA198=0),AD198,0)</f>
        <v>0</v>
      </c>
      <c r="CJ198" s="176">
        <f>IF(AND(Input_Product=Elig!$C198,Elig_MatchAll_Ct&lt;22,$BC198=(Elig_MatchAll_Ct-1),BA198=0),AE198,0)</f>
        <v>0</v>
      </c>
    </row>
    <row r="199" spans="1:88" ht="10.15" customHeight="1" x14ac:dyDescent="0.25">
      <c r="A199" s="1419" t="s">
        <v>76</v>
      </c>
      <c r="B199" s="1419" t="s">
        <v>1043</v>
      </c>
      <c r="C199" s="201" t="str">
        <f t="shared" si="53"/>
        <v>NonQM OO</v>
      </c>
      <c r="D199" s="24" t="s">
        <v>1995</v>
      </c>
      <c r="E199" s="24" t="s">
        <v>166</v>
      </c>
      <c r="F199" s="24" t="s">
        <v>330</v>
      </c>
      <c r="G199" s="24" t="s">
        <v>470</v>
      </c>
      <c r="H199" s="24" t="s">
        <v>135</v>
      </c>
      <c r="I199" s="127" t="s">
        <v>16</v>
      </c>
      <c r="J199" s="127" t="s">
        <v>1130</v>
      </c>
      <c r="K199" s="127" t="s">
        <v>1398</v>
      </c>
      <c r="L199" s="24" t="s">
        <v>2025</v>
      </c>
      <c r="M199" s="24" t="s">
        <v>2289</v>
      </c>
      <c r="N199" s="24" t="s">
        <v>82</v>
      </c>
      <c r="O199" s="24" t="s">
        <v>309</v>
      </c>
      <c r="P199" s="24" t="s">
        <v>2433</v>
      </c>
      <c r="Q199" s="24" t="s">
        <v>293</v>
      </c>
      <c r="R199" s="24">
        <v>2000000.01</v>
      </c>
      <c r="S199" s="24">
        <v>2500000</v>
      </c>
      <c r="T199" s="24">
        <v>0</v>
      </c>
      <c r="U199" s="24">
        <f t="shared" si="74"/>
        <v>2500000</v>
      </c>
      <c r="V199" s="24">
        <v>0</v>
      </c>
      <c r="W199" s="24">
        <v>55</v>
      </c>
      <c r="X199" s="24">
        <v>0</v>
      </c>
      <c r="Y199" s="24">
        <v>999</v>
      </c>
      <c r="Z199" s="119">
        <v>660</v>
      </c>
      <c r="AA199" s="119">
        <v>679</v>
      </c>
      <c r="AB199" s="1881">
        <v>0</v>
      </c>
      <c r="AC199" s="25">
        <v>999999</v>
      </c>
      <c r="AD199" s="24">
        <v>0</v>
      </c>
      <c r="AE199" s="24">
        <v>65</v>
      </c>
      <c r="AF199" s="144">
        <v>0</v>
      </c>
      <c r="AG199" s="145">
        <v>1</v>
      </c>
      <c r="AH199" s="145">
        <v>1</v>
      </c>
      <c r="AI199" s="145">
        <v>0</v>
      </c>
      <c r="AJ199" s="145">
        <v>0</v>
      </c>
      <c r="AK199" s="145">
        <v>1</v>
      </c>
      <c r="AL199" s="145">
        <v>0</v>
      </c>
      <c r="AM199" s="145">
        <v>1</v>
      </c>
      <c r="AN199" s="145">
        <v>1</v>
      </c>
      <c r="AO199" s="145">
        <v>1</v>
      </c>
      <c r="AP199" s="145">
        <v>1</v>
      </c>
      <c r="AQ199" s="145">
        <v>0</v>
      </c>
      <c r="AR199" s="145">
        <v>1</v>
      </c>
      <c r="AS199" s="145">
        <v>1</v>
      </c>
      <c r="AT199" s="145">
        <v>1</v>
      </c>
      <c r="AU199" s="145">
        <f t="shared" si="55"/>
        <v>0</v>
      </c>
      <c r="AV199" s="145">
        <f t="shared" si="56"/>
        <v>1</v>
      </c>
      <c r="AW199" s="145">
        <f t="shared" si="57"/>
        <v>1</v>
      </c>
      <c r="AX199" s="145">
        <f t="shared" si="73"/>
        <v>1</v>
      </c>
      <c r="AY199" s="145">
        <f t="shared" si="58"/>
        <v>0</v>
      </c>
      <c r="AZ199" s="145">
        <f t="shared" si="59"/>
        <v>1</v>
      </c>
      <c r="BA199" s="146">
        <f t="shared" si="60"/>
        <v>0</v>
      </c>
      <c r="BB199" s="149">
        <f t="shared" si="63"/>
        <v>14</v>
      </c>
      <c r="BC199" s="150">
        <f t="shared" si="64"/>
        <v>14</v>
      </c>
      <c r="BD199" s="150">
        <f t="shared" si="65"/>
        <v>14</v>
      </c>
      <c r="BE199" s="211" t="str">
        <f t="shared" si="66"/>
        <v/>
      </c>
      <c r="BH199" s="188">
        <f>IF(AND(Input_Product=Elig!$C199,Elig_MatchAll_Ct&lt;22,$BC199=(Elig_MatchAll_Ct-1),AF199=0),C199,0)</f>
        <v>0</v>
      </c>
      <c r="BI199" s="188">
        <f>IF(AND(Input_Product=Elig!$C199,Elig_MatchAll_Ct&lt;22,$BC199=(Elig_MatchAll_Ct-1),AG199=0),D199,0)</f>
        <v>0</v>
      </c>
      <c r="BJ199" s="188">
        <f>IF(AND(Input_Product=Elig!$C199,Elig_MatchAll_Ct&lt;22,$BC199=(Elig_MatchAll_Ct-1),AH199=0),E199,0)</f>
        <v>0</v>
      </c>
      <c r="BK199" s="188">
        <f>IF(AND(Input_Product=Elig!$C199,Elig_MatchAll_Ct&lt;22,$BC199=(Elig_MatchAll_Ct-1),AI199=0),F199,0)</f>
        <v>0</v>
      </c>
      <c r="BL199" s="188">
        <f>IF(AND(Input_Product=Elig!$C199,Elig_MatchAll_Ct&lt;22,$BC199=(Elig_MatchAll_Ct-1),AJ199=0),G199,0)</f>
        <v>0</v>
      </c>
      <c r="BM199" s="188">
        <f>IF(AND(Input_Product=Elig!$C199,Elig_MatchAll_Ct&lt;22,$BC199=(Elig_MatchAll_Ct-1),AK199=0),H199,0)</f>
        <v>0</v>
      </c>
      <c r="BN199" s="188">
        <f>IF(AND(Input_Product=Elig!$C199,Elig_MatchAll_Ct&lt;22,$BC199=(Elig_MatchAll_Ct-1),AL199=0),I199,0)</f>
        <v>0</v>
      </c>
      <c r="BO199" s="188">
        <f>IF(AND(Input_Product=Elig!$C199,Elig_MatchAll_Ct&lt;22,$BC199=(Elig_MatchAll_Ct-1),AM199=0),J199,0)</f>
        <v>0</v>
      </c>
      <c r="BP199" s="188">
        <f>IF(AND(Input_Product=Elig!$C199,Elig_MatchAll_Ct&lt;22,$BC199=(Elig_MatchAll_Ct-1),AN199=0),K199,0)</f>
        <v>0</v>
      </c>
      <c r="BQ199" s="188">
        <f>IF(AND(Input_Product=Elig!$C199,Elig_MatchAll_Ct&lt;22,$BC199=(Elig_MatchAll_Ct-1),AP199=0),L199,0)</f>
        <v>0</v>
      </c>
      <c r="BR199" s="188">
        <f>IF(AND(Input_Product=Elig!$C199,Elig_MatchAll_Ct&lt;22,$BC199=(Elig_MatchAll_Ct-1),AO199=0),M199,0)</f>
        <v>0</v>
      </c>
      <c r="BS199" s="188">
        <f>IF(AND(Input_Product=Elig!$C199,Elig_MatchAll_Ct&lt;22,$BC199=(Elig_MatchAll_Ct-1),AQ199=0),N199,0)</f>
        <v>0</v>
      </c>
      <c r="BT199" s="188">
        <f>IF(AND(Input_Product=Elig!$C199,Elig_MatchAll_Ct&lt;22,$BC199=(Elig_MatchAll_Ct-1),AR199=0),O199,0)</f>
        <v>0</v>
      </c>
      <c r="BU199" s="188">
        <f>IF(AND(Input_Product=Elig!$C199,Elig_MatchAll_Ct&lt;22,$BC199=(Elig_MatchAll_Ct-1),AS199=0),P199,0)</f>
        <v>0</v>
      </c>
      <c r="BV199" s="189">
        <f>IF(AND(Input_Product=Elig!$C199,Elig_MatchAll_Ct&lt;22,$BC199=(Elig_MatchAll_Ct-1),AT199=0),Q199,0)</f>
        <v>0</v>
      </c>
      <c r="BW199" s="271">
        <f>IF(AND(Input_Product=Elig!$C199,Elig_MatchAll_Ct&lt;22,$BC199=(Elig_MatchAll_Ct-1),AU199=0),R199,0)</f>
        <v>0</v>
      </c>
      <c r="BX199" s="272">
        <f>IF(AND(Input_Product=Elig!$C199,Elig_MatchAll_Ct&lt;22,$BC199=(Elig_MatchAll_Ct-1),AU199=0),S199,0)</f>
        <v>0</v>
      </c>
      <c r="BY199" s="271">
        <f>IF(AND(Input_Product=Elig!$C199,Elig_MatchAll_Ct&lt;22,$BC199=(Elig_MatchAll_Ct-1),AV199=0),T199,0)</f>
        <v>0</v>
      </c>
      <c r="BZ199" s="272">
        <f>IF(AND(Input_Product=Elig!$C199,Elig_MatchAll_Ct&lt;22,$BC199=(Elig_MatchAll_Ct-1),AV199=0),U199,0)</f>
        <v>0</v>
      </c>
      <c r="CA199" s="271">
        <f>IF(AND(Input_Product=Elig!$C199,Elig_MatchAll_Ct&lt;22,$BC199=(Elig_MatchAll_Ct-1),AW199=0),V199,0)</f>
        <v>0</v>
      </c>
      <c r="CB199" s="272">
        <f>IF(AND(Input_Product=Elig!$C199,Elig_MatchAll_Ct&lt;22,$BC199=(Elig_MatchAll_Ct-1),AW199=0),W199,0)</f>
        <v>0</v>
      </c>
      <c r="CC199" s="271">
        <f>IF(AND(Input_Product=Elig!$C199,Elig_MatchAll_Ct&lt;22,$BC199=(Elig_MatchAll_Ct-1),AX199=0),X199,0)</f>
        <v>0</v>
      </c>
      <c r="CD199" s="272">
        <f>IF(AND(Input_Product=Elig!$C199,Elig_MatchAll_Ct&lt;22,$BC199=(Elig_MatchAll_Ct-1),AX199=0),Y199,0)</f>
        <v>0</v>
      </c>
      <c r="CE199" s="271">
        <f>IF(AND(Input_LTV&lt;=AE199,Input_Product=Elig!$C199,Elig_MatchAll_Ct&lt;22,$BC199=(Elig_MatchAll_Ct-1),AY199=0),Z199,0)</f>
        <v>0</v>
      </c>
      <c r="CF199" s="272">
        <f>IF(AND(Input_LTV&lt;=AE199,Input_Product=Elig!$C199,Elig_MatchAll_Ct&lt;22,$BC199=(Elig_MatchAll_Ct-1),AY199=0),AA199,0)</f>
        <v>0</v>
      </c>
      <c r="CG199" s="271">
        <f>IF(AND(Input_Product=Elig!$C199,Elig_MatchAll_Ct&lt;22,$BC199=(Elig_MatchAll_Ct-1),AZ199=0),AB199,0)</f>
        <v>0</v>
      </c>
      <c r="CH199" s="272">
        <f>IF(AND(Input_Product=Elig!$C199,Elig_MatchAll_Ct&lt;22,$BC199=(Elig_MatchAll_Ct-1),AZ199=0),AC199,0)</f>
        <v>0</v>
      </c>
      <c r="CI199" s="271">
        <f>IF(AND(Input_Product=Elig!$C199,Elig_MatchAll_Ct&lt;22,$BC199=(Elig_MatchAll_Ct-1),BA199=0),AD199,0)</f>
        <v>0</v>
      </c>
      <c r="CJ199" s="272">
        <f>IF(AND(Input_Product=Elig!$C199,Elig_MatchAll_Ct&lt;22,$BC199=(Elig_MatchAll_Ct-1),BA199=0),AE199,0)</f>
        <v>0</v>
      </c>
    </row>
    <row r="200" spans="1:88" ht="10.15" customHeight="1" x14ac:dyDescent="0.25">
      <c r="A200" s="1419" t="s">
        <v>76</v>
      </c>
      <c r="B200" s="1419" t="s">
        <v>1044</v>
      </c>
      <c r="C200" s="123" t="str">
        <f t="shared" si="53"/>
        <v>NonQM OO</v>
      </c>
      <c r="D200" s="124" t="s">
        <v>1995</v>
      </c>
      <c r="E200" s="125" t="s">
        <v>166</v>
      </c>
      <c r="F200" s="125" t="s">
        <v>330</v>
      </c>
      <c r="G200" s="125" t="s">
        <v>302</v>
      </c>
      <c r="H200" s="125" t="s">
        <v>135</v>
      </c>
      <c r="I200" s="124" t="s">
        <v>273</v>
      </c>
      <c r="J200" s="124" t="s">
        <v>1130</v>
      </c>
      <c r="K200" s="124" t="s">
        <v>1398</v>
      </c>
      <c r="L200" s="125" t="s">
        <v>2025</v>
      </c>
      <c r="M200" s="125" t="s">
        <v>2289</v>
      </c>
      <c r="N200" s="125" t="s">
        <v>82</v>
      </c>
      <c r="O200" s="125" t="s">
        <v>309</v>
      </c>
      <c r="P200" s="125" t="s">
        <v>2433</v>
      </c>
      <c r="Q200" s="125" t="s">
        <v>293</v>
      </c>
      <c r="R200" s="124">
        <v>2500000.0099999998</v>
      </c>
      <c r="S200" s="124">
        <v>3000000</v>
      </c>
      <c r="T200" s="124">
        <v>0</v>
      </c>
      <c r="U200" s="124">
        <v>0</v>
      </c>
      <c r="V200" s="124">
        <v>0</v>
      </c>
      <c r="W200" s="124">
        <v>55</v>
      </c>
      <c r="X200" s="124">
        <v>0</v>
      </c>
      <c r="Y200" s="124">
        <v>999</v>
      </c>
      <c r="Z200" s="126">
        <v>720</v>
      </c>
      <c r="AA200" s="126">
        <v>999</v>
      </c>
      <c r="AB200" s="1879">
        <v>0</v>
      </c>
      <c r="AC200" s="126">
        <v>999999</v>
      </c>
      <c r="AD200" s="124">
        <v>0</v>
      </c>
      <c r="AE200" s="124">
        <v>75</v>
      </c>
      <c r="AF200" s="144">
        <v>0</v>
      </c>
      <c r="AG200" s="145">
        <v>1</v>
      </c>
      <c r="AH200" s="145">
        <v>1</v>
      </c>
      <c r="AI200" s="145">
        <v>0</v>
      </c>
      <c r="AJ200" s="145">
        <v>0</v>
      </c>
      <c r="AK200" s="145">
        <v>1</v>
      </c>
      <c r="AL200" s="145">
        <v>1</v>
      </c>
      <c r="AM200" s="145">
        <v>1</v>
      </c>
      <c r="AN200" s="145">
        <v>1</v>
      </c>
      <c r="AO200" s="145">
        <v>1</v>
      </c>
      <c r="AP200" s="145">
        <v>1</v>
      </c>
      <c r="AQ200" s="145">
        <v>0</v>
      </c>
      <c r="AR200" s="145">
        <v>1</v>
      </c>
      <c r="AS200" s="145">
        <v>1</v>
      </c>
      <c r="AT200" s="145">
        <v>1</v>
      </c>
      <c r="AU200" s="145">
        <f t="shared" si="55"/>
        <v>0</v>
      </c>
      <c r="AV200" s="145">
        <f t="shared" si="56"/>
        <v>1</v>
      </c>
      <c r="AW200" s="145">
        <f t="shared" si="57"/>
        <v>1</v>
      </c>
      <c r="AX200" s="145">
        <f t="shared" si="73"/>
        <v>1</v>
      </c>
      <c r="AY200" s="145">
        <f t="shared" si="58"/>
        <v>1</v>
      </c>
      <c r="AZ200" s="145">
        <f t="shared" si="59"/>
        <v>1</v>
      </c>
      <c r="BA200" s="146">
        <f t="shared" si="60"/>
        <v>1</v>
      </c>
      <c r="BB200" s="149">
        <f t="shared" si="63"/>
        <v>17</v>
      </c>
      <c r="BC200" s="150">
        <f t="shared" si="64"/>
        <v>16</v>
      </c>
      <c r="BD200" s="150">
        <f t="shared" si="65"/>
        <v>17</v>
      </c>
      <c r="BE200" s="211" t="str">
        <f t="shared" si="66"/>
        <v/>
      </c>
      <c r="BH200" s="184">
        <f>IF(AND(Input_Product=Elig!$C200,Elig_MatchAll_Ct&lt;22,$BC200=(Elig_MatchAll_Ct-1),AF200=0),C200,0)</f>
        <v>0</v>
      </c>
      <c r="BI200" s="184">
        <f>IF(AND(Input_Product=Elig!$C200,Elig_MatchAll_Ct&lt;22,$BC200=(Elig_MatchAll_Ct-1),AG200=0),D200,0)</f>
        <v>0</v>
      </c>
      <c r="BJ200" s="184">
        <f>IF(AND(Input_Product=Elig!$C200,Elig_MatchAll_Ct&lt;22,$BC200=(Elig_MatchAll_Ct-1),AH200=0),E200,0)</f>
        <v>0</v>
      </c>
      <c r="BK200" s="184">
        <f>IF(AND(Input_Product=Elig!$C200,Elig_MatchAll_Ct&lt;22,$BC200=(Elig_MatchAll_Ct-1),AI200=0),F200,0)</f>
        <v>0</v>
      </c>
      <c r="BL200" s="184">
        <f>IF(AND(Input_Product=Elig!$C200,Elig_MatchAll_Ct&lt;22,$BC200=(Elig_MatchAll_Ct-1),AJ200=0),G200,0)</f>
        <v>0</v>
      </c>
      <c r="BM200" s="184">
        <f>IF(AND(Input_Product=Elig!$C200,Elig_MatchAll_Ct&lt;22,$BC200=(Elig_MatchAll_Ct-1),AK200=0),H200,0)</f>
        <v>0</v>
      </c>
      <c r="BN200" s="184">
        <f>IF(AND(Input_Product=Elig!$C200,Elig_MatchAll_Ct&lt;22,$BC200=(Elig_MatchAll_Ct-1),AL200=0),I200,0)</f>
        <v>0</v>
      </c>
      <c r="BO200" s="184">
        <f>IF(AND(Input_Product=Elig!$C200,Elig_MatchAll_Ct&lt;22,$BC200=(Elig_MatchAll_Ct-1),AM200=0),J200,0)</f>
        <v>0</v>
      </c>
      <c r="BP200" s="184">
        <f>IF(AND(Input_Product=Elig!$C200,Elig_MatchAll_Ct&lt;22,$BC200=(Elig_MatchAll_Ct-1),AN200=0),K200,0)</f>
        <v>0</v>
      </c>
      <c r="BQ200" s="184">
        <f>IF(AND(Input_Product=Elig!$C200,Elig_MatchAll_Ct&lt;22,$BC200=(Elig_MatchAll_Ct-1),AP200=0),L200,0)</f>
        <v>0</v>
      </c>
      <c r="BR200" s="184">
        <f>IF(AND(Input_Product=Elig!$C200,Elig_MatchAll_Ct&lt;22,$BC200=(Elig_MatchAll_Ct-1),AO200=0),M200,0)</f>
        <v>0</v>
      </c>
      <c r="BS200" s="184">
        <f>IF(AND(Input_Product=Elig!$C200,Elig_MatchAll_Ct&lt;22,$BC200=(Elig_MatchAll_Ct-1),AQ200=0),N200,0)</f>
        <v>0</v>
      </c>
      <c r="BT200" s="184">
        <f>IF(AND(Input_Product=Elig!$C200,Elig_MatchAll_Ct&lt;22,$BC200=(Elig_MatchAll_Ct-1),AR200=0),O200,0)</f>
        <v>0</v>
      </c>
      <c r="BU200" s="184">
        <f>IF(AND(Input_Product=Elig!$C200,Elig_MatchAll_Ct&lt;22,$BC200=(Elig_MatchAll_Ct-1),AS200=0),P200,0)</f>
        <v>0</v>
      </c>
      <c r="BV200" s="185">
        <f>IF(AND(Input_Product=Elig!$C200,Elig_MatchAll_Ct&lt;22,$BC200=(Elig_MatchAll_Ct-1),AT200=0),Q200,0)</f>
        <v>0</v>
      </c>
      <c r="BW200" s="186">
        <f>IF(AND(Input_Product=Elig!$C200,Elig_MatchAll_Ct&lt;22,$BC200=(Elig_MatchAll_Ct-1),AU200=0),R200,0)</f>
        <v>0</v>
      </c>
      <c r="BX200" s="187">
        <f>IF(AND(Input_Product=Elig!$C200,Elig_MatchAll_Ct&lt;22,$BC200=(Elig_MatchAll_Ct-1),AU200=0),S200,0)</f>
        <v>0</v>
      </c>
      <c r="BY200" s="186">
        <f>IF(AND(Input_Product=Elig!$C200,Elig_MatchAll_Ct&lt;22,$BC200=(Elig_MatchAll_Ct-1),AV200=0),T200,0)</f>
        <v>0</v>
      </c>
      <c r="BZ200" s="187">
        <f>IF(AND(Input_Product=Elig!$C200,Elig_MatchAll_Ct&lt;22,$BC200=(Elig_MatchAll_Ct-1),AV200=0),U200,0)</f>
        <v>0</v>
      </c>
      <c r="CA200" s="186">
        <f>IF(AND(Input_Product=Elig!$C200,Elig_MatchAll_Ct&lt;22,$BC200=(Elig_MatchAll_Ct-1),AW200=0),V200,0)</f>
        <v>0</v>
      </c>
      <c r="CB200" s="187">
        <f>IF(AND(Input_Product=Elig!$C200,Elig_MatchAll_Ct&lt;22,$BC200=(Elig_MatchAll_Ct-1),AW200=0),W200,0)</f>
        <v>0</v>
      </c>
      <c r="CC200" s="186">
        <f>IF(AND(Input_Product=Elig!$C200,Elig_MatchAll_Ct&lt;22,$BC200=(Elig_MatchAll_Ct-1),AX200=0),X200,0)</f>
        <v>0</v>
      </c>
      <c r="CD200" s="187">
        <f>IF(AND(Input_Product=Elig!$C200,Elig_MatchAll_Ct&lt;22,$BC200=(Elig_MatchAll_Ct-1),AX200=0),Y200,0)</f>
        <v>0</v>
      </c>
      <c r="CE200" s="186">
        <f>IF(AND(Input_LTV&lt;=AE200,Input_Product=Elig!$C200,Elig_MatchAll_Ct&lt;22,$BC200=(Elig_MatchAll_Ct-1),AY200=0),Z200,0)</f>
        <v>0</v>
      </c>
      <c r="CF200" s="187">
        <f>IF(AND(Input_LTV&lt;=AE200,Input_Product=Elig!$C200,Elig_MatchAll_Ct&lt;22,$BC200=(Elig_MatchAll_Ct-1),AY200=0),AA200,0)</f>
        <v>0</v>
      </c>
      <c r="CG200" s="186">
        <f>IF(AND(Input_Product=Elig!$C200,Elig_MatchAll_Ct&lt;22,$BC200=(Elig_MatchAll_Ct-1),AZ200=0),AB200,0)</f>
        <v>0</v>
      </c>
      <c r="CH200" s="187">
        <f>IF(AND(Input_Product=Elig!$C200,Elig_MatchAll_Ct&lt;22,$BC200=(Elig_MatchAll_Ct-1),AZ200=0),AC200,0)</f>
        <v>0</v>
      </c>
      <c r="CI200" s="186">
        <f>IF(AND(Input_Product=Elig!$C200,Elig_MatchAll_Ct&lt;22,$BC200=(Elig_MatchAll_Ct-1),BA200=0),AD200,0)</f>
        <v>0</v>
      </c>
      <c r="CJ200" s="187">
        <f>IF(AND(Input_Product=Elig!$C200,Elig_MatchAll_Ct&lt;22,$BC200=(Elig_MatchAll_Ct-1),BA200=0),AE200,0)</f>
        <v>0</v>
      </c>
    </row>
    <row r="201" spans="1:88" ht="10.15" customHeight="1" x14ac:dyDescent="0.25">
      <c r="A201" s="1419" t="s">
        <v>76</v>
      </c>
      <c r="B201" s="1419" t="s">
        <v>1045</v>
      </c>
      <c r="C201" s="116" t="str">
        <f t="shared" si="53"/>
        <v>NonQM OO</v>
      </c>
      <c r="D201" s="117" t="s">
        <v>1995</v>
      </c>
      <c r="E201" s="117" t="s">
        <v>166</v>
      </c>
      <c r="F201" s="117" t="s">
        <v>330</v>
      </c>
      <c r="G201" s="117" t="s">
        <v>302</v>
      </c>
      <c r="H201" s="117" t="s">
        <v>135</v>
      </c>
      <c r="I201" s="118" t="s">
        <v>273</v>
      </c>
      <c r="J201" s="118" t="s">
        <v>1130</v>
      </c>
      <c r="K201" s="118" t="s">
        <v>1398</v>
      </c>
      <c r="L201" s="117" t="s">
        <v>2025</v>
      </c>
      <c r="M201" s="117" t="s">
        <v>2289</v>
      </c>
      <c r="N201" s="117" t="s">
        <v>82</v>
      </c>
      <c r="O201" s="117" t="s">
        <v>309</v>
      </c>
      <c r="P201" s="117" t="s">
        <v>2433</v>
      </c>
      <c r="Q201" s="117" t="s">
        <v>293</v>
      </c>
      <c r="R201" s="117">
        <v>2500000.0099999998</v>
      </c>
      <c r="S201" s="117">
        <v>3000000</v>
      </c>
      <c r="T201" s="117">
        <v>0</v>
      </c>
      <c r="U201" s="117">
        <v>0</v>
      </c>
      <c r="V201" s="117">
        <v>0</v>
      </c>
      <c r="W201" s="117">
        <v>55</v>
      </c>
      <c r="X201" s="117">
        <v>0</v>
      </c>
      <c r="Y201" s="117">
        <v>999</v>
      </c>
      <c r="Z201" s="119">
        <v>700</v>
      </c>
      <c r="AA201" s="119">
        <v>719</v>
      </c>
      <c r="AB201" s="1877">
        <v>0</v>
      </c>
      <c r="AC201" s="119">
        <v>999999</v>
      </c>
      <c r="AD201" s="117">
        <v>0</v>
      </c>
      <c r="AE201" s="117">
        <v>75</v>
      </c>
      <c r="AF201" s="144">
        <v>0</v>
      </c>
      <c r="AG201" s="145">
        <v>1</v>
      </c>
      <c r="AH201" s="145">
        <v>1</v>
      </c>
      <c r="AI201" s="145">
        <v>0</v>
      </c>
      <c r="AJ201" s="145">
        <v>0</v>
      </c>
      <c r="AK201" s="145">
        <v>1</v>
      </c>
      <c r="AL201" s="145">
        <v>1</v>
      </c>
      <c r="AM201" s="145">
        <v>1</v>
      </c>
      <c r="AN201" s="145">
        <v>1</v>
      </c>
      <c r="AO201" s="145">
        <v>1</v>
      </c>
      <c r="AP201" s="145">
        <v>1</v>
      </c>
      <c r="AQ201" s="145">
        <v>0</v>
      </c>
      <c r="AR201" s="145">
        <v>1</v>
      </c>
      <c r="AS201" s="145">
        <v>1</v>
      </c>
      <c r="AT201" s="145">
        <v>1</v>
      </c>
      <c r="AU201" s="145">
        <f t="shared" si="55"/>
        <v>0</v>
      </c>
      <c r="AV201" s="145">
        <f t="shared" si="56"/>
        <v>1</v>
      </c>
      <c r="AW201" s="145">
        <f t="shared" si="57"/>
        <v>1</v>
      </c>
      <c r="AX201" s="145">
        <f t="shared" si="73"/>
        <v>1</v>
      </c>
      <c r="AY201" s="145">
        <f t="shared" si="58"/>
        <v>0</v>
      </c>
      <c r="AZ201" s="145">
        <f t="shared" si="59"/>
        <v>1</v>
      </c>
      <c r="BA201" s="146">
        <f t="shared" si="60"/>
        <v>1</v>
      </c>
      <c r="BB201" s="149">
        <f t="shared" si="63"/>
        <v>16</v>
      </c>
      <c r="BC201" s="150">
        <f t="shared" si="64"/>
        <v>15</v>
      </c>
      <c r="BD201" s="150">
        <f t="shared" si="65"/>
        <v>16</v>
      </c>
      <c r="BE201" s="211" t="str">
        <f t="shared" si="66"/>
        <v/>
      </c>
      <c r="BH201" s="173">
        <f>IF(AND(Input_Product=Elig!$C201,Elig_MatchAll_Ct&lt;22,$BC201=(Elig_MatchAll_Ct-1),AF201=0),C201,0)</f>
        <v>0</v>
      </c>
      <c r="BI201" s="173">
        <f>IF(AND(Input_Product=Elig!$C201,Elig_MatchAll_Ct&lt;22,$BC201=(Elig_MatchAll_Ct-1),AG201=0),D201,0)</f>
        <v>0</v>
      </c>
      <c r="BJ201" s="173">
        <f>IF(AND(Input_Product=Elig!$C201,Elig_MatchAll_Ct&lt;22,$BC201=(Elig_MatchAll_Ct-1),AH201=0),E201,0)</f>
        <v>0</v>
      </c>
      <c r="BK201" s="173">
        <f>IF(AND(Input_Product=Elig!$C201,Elig_MatchAll_Ct&lt;22,$BC201=(Elig_MatchAll_Ct-1),AI201=0),F201,0)</f>
        <v>0</v>
      </c>
      <c r="BL201" s="173">
        <f>IF(AND(Input_Product=Elig!$C201,Elig_MatchAll_Ct&lt;22,$BC201=(Elig_MatchAll_Ct-1),AJ201=0),G201,0)</f>
        <v>0</v>
      </c>
      <c r="BM201" s="173">
        <f>IF(AND(Input_Product=Elig!$C201,Elig_MatchAll_Ct&lt;22,$BC201=(Elig_MatchAll_Ct-1),AK201=0),H201,0)</f>
        <v>0</v>
      </c>
      <c r="BN201" s="173">
        <f>IF(AND(Input_Product=Elig!$C201,Elig_MatchAll_Ct&lt;22,$BC201=(Elig_MatchAll_Ct-1),AL201=0),I201,0)</f>
        <v>0</v>
      </c>
      <c r="BO201" s="173">
        <f>IF(AND(Input_Product=Elig!$C201,Elig_MatchAll_Ct&lt;22,$BC201=(Elig_MatchAll_Ct-1),AM201=0),J201,0)</f>
        <v>0</v>
      </c>
      <c r="BP201" s="173">
        <f>IF(AND(Input_Product=Elig!$C201,Elig_MatchAll_Ct&lt;22,$BC201=(Elig_MatchAll_Ct-1),AN201=0),K201,0)</f>
        <v>0</v>
      </c>
      <c r="BQ201" s="173">
        <f>IF(AND(Input_Product=Elig!$C201,Elig_MatchAll_Ct&lt;22,$BC201=(Elig_MatchAll_Ct-1),AP201=0),L201,0)</f>
        <v>0</v>
      </c>
      <c r="BR201" s="173">
        <f>IF(AND(Input_Product=Elig!$C201,Elig_MatchAll_Ct&lt;22,$BC201=(Elig_MatchAll_Ct-1),AO201=0),M201,0)</f>
        <v>0</v>
      </c>
      <c r="BS201" s="173">
        <f>IF(AND(Input_Product=Elig!$C201,Elig_MatchAll_Ct&lt;22,$BC201=(Elig_MatchAll_Ct-1),AQ201=0),N201,0)</f>
        <v>0</v>
      </c>
      <c r="BT201" s="173">
        <f>IF(AND(Input_Product=Elig!$C201,Elig_MatchAll_Ct&lt;22,$BC201=(Elig_MatchAll_Ct-1),AR201=0),O201,0)</f>
        <v>0</v>
      </c>
      <c r="BU201" s="173">
        <f>IF(AND(Input_Product=Elig!$C201,Elig_MatchAll_Ct&lt;22,$BC201=(Elig_MatchAll_Ct-1),AS201=0),P201,0)</f>
        <v>0</v>
      </c>
      <c r="BV201" s="174">
        <f>IF(AND(Input_Product=Elig!$C201,Elig_MatchAll_Ct&lt;22,$BC201=(Elig_MatchAll_Ct-1),AT201=0),Q201,0)</f>
        <v>0</v>
      </c>
      <c r="BW201" s="175">
        <f>IF(AND(Input_Product=Elig!$C201,Elig_MatchAll_Ct&lt;22,$BC201=(Elig_MatchAll_Ct-1),AU201=0),R201,0)</f>
        <v>0</v>
      </c>
      <c r="BX201" s="176">
        <f>IF(AND(Input_Product=Elig!$C201,Elig_MatchAll_Ct&lt;22,$BC201=(Elig_MatchAll_Ct-1),AU201=0),S201,0)</f>
        <v>0</v>
      </c>
      <c r="BY201" s="175">
        <f>IF(AND(Input_Product=Elig!$C201,Elig_MatchAll_Ct&lt;22,$BC201=(Elig_MatchAll_Ct-1),AV201=0),T201,0)</f>
        <v>0</v>
      </c>
      <c r="BZ201" s="176">
        <f>IF(AND(Input_Product=Elig!$C201,Elig_MatchAll_Ct&lt;22,$BC201=(Elig_MatchAll_Ct-1),AV201=0),U201,0)</f>
        <v>0</v>
      </c>
      <c r="CA201" s="175">
        <f>IF(AND(Input_Product=Elig!$C201,Elig_MatchAll_Ct&lt;22,$BC201=(Elig_MatchAll_Ct-1),AW201=0),V201,0)</f>
        <v>0</v>
      </c>
      <c r="CB201" s="176">
        <f>IF(AND(Input_Product=Elig!$C201,Elig_MatchAll_Ct&lt;22,$BC201=(Elig_MatchAll_Ct-1),AW201=0),W201,0)</f>
        <v>0</v>
      </c>
      <c r="CC201" s="175">
        <f>IF(AND(Input_Product=Elig!$C201,Elig_MatchAll_Ct&lt;22,$BC201=(Elig_MatchAll_Ct-1),AX201=0),X201,0)</f>
        <v>0</v>
      </c>
      <c r="CD201" s="176">
        <f>IF(AND(Input_Product=Elig!$C201,Elig_MatchAll_Ct&lt;22,$BC201=(Elig_MatchAll_Ct-1),AX201=0),Y201,0)</f>
        <v>0</v>
      </c>
      <c r="CE201" s="175">
        <f>IF(AND(Input_LTV&lt;=AE201,Input_Product=Elig!$C201,Elig_MatchAll_Ct&lt;22,$BC201=(Elig_MatchAll_Ct-1),AY201=0),Z201,0)</f>
        <v>0</v>
      </c>
      <c r="CF201" s="176">
        <f>IF(AND(Input_LTV&lt;=AE201,Input_Product=Elig!$C201,Elig_MatchAll_Ct&lt;22,$BC201=(Elig_MatchAll_Ct-1),AY201=0),AA201,0)</f>
        <v>0</v>
      </c>
      <c r="CG201" s="175">
        <f>IF(AND(Input_Product=Elig!$C201,Elig_MatchAll_Ct&lt;22,$BC201=(Elig_MatchAll_Ct-1),AZ201=0),AB201,0)</f>
        <v>0</v>
      </c>
      <c r="CH201" s="176">
        <f>IF(AND(Input_Product=Elig!$C201,Elig_MatchAll_Ct&lt;22,$BC201=(Elig_MatchAll_Ct-1),AZ201=0),AC201,0)</f>
        <v>0</v>
      </c>
      <c r="CI201" s="175">
        <f>IF(AND(Input_Product=Elig!$C201,Elig_MatchAll_Ct&lt;22,$BC201=(Elig_MatchAll_Ct-1),BA201=0),AD201,0)</f>
        <v>0</v>
      </c>
      <c r="CJ201" s="176">
        <f>IF(AND(Input_Product=Elig!$C201,Elig_MatchAll_Ct&lt;22,$BC201=(Elig_MatchAll_Ct-1),BA201=0),AE201,0)</f>
        <v>0</v>
      </c>
    </row>
    <row r="202" spans="1:88" ht="10.15" customHeight="1" x14ac:dyDescent="0.25">
      <c r="A202" s="1419" t="s">
        <v>76</v>
      </c>
      <c r="B202" s="1419" t="s">
        <v>2035</v>
      </c>
      <c r="C202" s="116" t="str">
        <f t="shared" si="53"/>
        <v>NonQM OO</v>
      </c>
      <c r="D202" s="117" t="s">
        <v>1995</v>
      </c>
      <c r="E202" s="117" t="s">
        <v>166</v>
      </c>
      <c r="F202" s="117" t="s">
        <v>330</v>
      </c>
      <c r="G202" s="117" t="s">
        <v>302</v>
      </c>
      <c r="H202" s="117" t="s">
        <v>135</v>
      </c>
      <c r="I202" s="118" t="s">
        <v>273</v>
      </c>
      <c r="J202" s="118" t="s">
        <v>1130</v>
      </c>
      <c r="K202" s="118" t="s">
        <v>1398</v>
      </c>
      <c r="L202" s="117" t="s">
        <v>2025</v>
      </c>
      <c r="M202" s="117" t="s">
        <v>2289</v>
      </c>
      <c r="N202" s="117" t="s">
        <v>82</v>
      </c>
      <c r="O202" s="117" t="s">
        <v>309</v>
      </c>
      <c r="P202" s="117" t="s">
        <v>2433</v>
      </c>
      <c r="Q202" s="117" t="s">
        <v>293</v>
      </c>
      <c r="R202" s="117">
        <v>2500000.0099999998</v>
      </c>
      <c r="S202" s="117">
        <v>3000000</v>
      </c>
      <c r="T202" s="117">
        <v>0</v>
      </c>
      <c r="U202" s="117">
        <v>0</v>
      </c>
      <c r="V202" s="117">
        <v>0</v>
      </c>
      <c r="W202" s="117">
        <v>55</v>
      </c>
      <c r="X202" s="117">
        <v>0</v>
      </c>
      <c r="Y202" s="117">
        <v>999</v>
      </c>
      <c r="Z202" s="119">
        <v>680</v>
      </c>
      <c r="AA202" s="119">
        <v>699</v>
      </c>
      <c r="AB202" s="1877">
        <v>0</v>
      </c>
      <c r="AC202" s="119">
        <v>999999</v>
      </c>
      <c r="AD202" s="117">
        <v>0</v>
      </c>
      <c r="AE202" s="117">
        <v>70</v>
      </c>
      <c r="AF202" s="144">
        <v>0</v>
      </c>
      <c r="AG202" s="145">
        <v>1</v>
      </c>
      <c r="AH202" s="145">
        <v>1</v>
      </c>
      <c r="AI202" s="145">
        <v>0</v>
      </c>
      <c r="AJ202" s="145">
        <v>0</v>
      </c>
      <c r="AK202" s="145">
        <v>1</v>
      </c>
      <c r="AL202" s="145">
        <v>1</v>
      </c>
      <c r="AM202" s="145">
        <v>1</v>
      </c>
      <c r="AN202" s="145">
        <v>1</v>
      </c>
      <c r="AO202" s="145">
        <v>1</v>
      </c>
      <c r="AP202" s="145">
        <v>1</v>
      </c>
      <c r="AQ202" s="145">
        <v>0</v>
      </c>
      <c r="AR202" s="145">
        <v>1</v>
      </c>
      <c r="AS202" s="145">
        <v>1</v>
      </c>
      <c r="AT202" s="145">
        <v>1</v>
      </c>
      <c r="AU202" s="145">
        <f t="shared" si="55"/>
        <v>0</v>
      </c>
      <c r="AV202" s="145">
        <f t="shared" si="56"/>
        <v>1</v>
      </c>
      <c r="AW202" s="145">
        <f t="shared" si="57"/>
        <v>1</v>
      </c>
      <c r="AX202" s="145">
        <f t="shared" si="73"/>
        <v>1</v>
      </c>
      <c r="AY202" s="145">
        <f t="shared" si="58"/>
        <v>0</v>
      </c>
      <c r="AZ202" s="145">
        <f t="shared" si="59"/>
        <v>1</v>
      </c>
      <c r="BA202" s="146">
        <f t="shared" si="60"/>
        <v>1</v>
      </c>
      <c r="BB202" s="149">
        <f t="shared" si="63"/>
        <v>16</v>
      </c>
      <c r="BC202" s="150">
        <f t="shared" si="64"/>
        <v>15</v>
      </c>
      <c r="BD202" s="150">
        <f t="shared" si="65"/>
        <v>16</v>
      </c>
      <c r="BE202" s="211" t="str">
        <f t="shared" si="66"/>
        <v/>
      </c>
      <c r="BH202" s="188">
        <f>IF(AND(Input_Product=Elig!$C202,Elig_MatchAll_Ct&lt;22,$BC202=(Elig_MatchAll_Ct-1),AF202=0),C202,0)</f>
        <v>0</v>
      </c>
      <c r="BI202" s="188">
        <f>IF(AND(Input_Product=Elig!$C202,Elig_MatchAll_Ct&lt;22,$BC202=(Elig_MatchAll_Ct-1),AG202=0),D202,0)</f>
        <v>0</v>
      </c>
      <c r="BJ202" s="188">
        <f>IF(AND(Input_Product=Elig!$C202,Elig_MatchAll_Ct&lt;22,$BC202=(Elig_MatchAll_Ct-1),AH202=0),E202,0)</f>
        <v>0</v>
      </c>
      <c r="BK202" s="188">
        <f>IF(AND(Input_Product=Elig!$C202,Elig_MatchAll_Ct&lt;22,$BC202=(Elig_MatchAll_Ct-1),AI202=0),F202,0)</f>
        <v>0</v>
      </c>
      <c r="BL202" s="188">
        <f>IF(AND(Input_Product=Elig!$C202,Elig_MatchAll_Ct&lt;22,$BC202=(Elig_MatchAll_Ct-1),AJ202=0),G202,0)</f>
        <v>0</v>
      </c>
      <c r="BM202" s="188">
        <f>IF(AND(Input_Product=Elig!$C202,Elig_MatchAll_Ct&lt;22,$BC202=(Elig_MatchAll_Ct-1),AK202=0),H202,0)</f>
        <v>0</v>
      </c>
      <c r="BN202" s="188">
        <f>IF(AND(Input_Product=Elig!$C202,Elig_MatchAll_Ct&lt;22,$BC202=(Elig_MatchAll_Ct-1),AL202=0),I202,0)</f>
        <v>0</v>
      </c>
      <c r="BO202" s="188">
        <f>IF(AND(Input_Product=Elig!$C202,Elig_MatchAll_Ct&lt;22,$BC202=(Elig_MatchAll_Ct-1),AM202=0),J202,0)</f>
        <v>0</v>
      </c>
      <c r="BP202" s="188">
        <f>IF(AND(Input_Product=Elig!$C202,Elig_MatchAll_Ct&lt;22,$BC202=(Elig_MatchAll_Ct-1),AN202=0),K202,0)</f>
        <v>0</v>
      </c>
      <c r="BQ202" s="188">
        <f>IF(AND(Input_Product=Elig!$C202,Elig_MatchAll_Ct&lt;22,$BC202=(Elig_MatchAll_Ct-1),AP202=0),L202,0)</f>
        <v>0</v>
      </c>
      <c r="BR202" s="188">
        <f>IF(AND(Input_Product=Elig!$C202,Elig_MatchAll_Ct&lt;22,$BC202=(Elig_MatchAll_Ct-1),AO202=0),M202,0)</f>
        <v>0</v>
      </c>
      <c r="BS202" s="188">
        <f>IF(AND(Input_Product=Elig!$C202,Elig_MatchAll_Ct&lt;22,$BC202=(Elig_MatchAll_Ct-1),AQ202=0),N202,0)</f>
        <v>0</v>
      </c>
      <c r="BT202" s="188">
        <f>IF(AND(Input_Product=Elig!$C202,Elig_MatchAll_Ct&lt;22,$BC202=(Elig_MatchAll_Ct-1),AR202=0),O202,0)</f>
        <v>0</v>
      </c>
      <c r="BU202" s="188">
        <f>IF(AND(Input_Product=Elig!$C202,Elig_MatchAll_Ct&lt;22,$BC202=(Elig_MatchAll_Ct-1),AS202=0),P202,0)</f>
        <v>0</v>
      </c>
      <c r="BV202" s="189">
        <f>IF(AND(Input_Product=Elig!$C202,Elig_MatchAll_Ct&lt;22,$BC202=(Elig_MatchAll_Ct-1),AT202=0),Q202,0)</f>
        <v>0</v>
      </c>
      <c r="BW202" s="271">
        <f>IF(AND(Input_Product=Elig!$C202,Elig_MatchAll_Ct&lt;22,$BC202=(Elig_MatchAll_Ct-1),AU202=0),R202,0)</f>
        <v>0</v>
      </c>
      <c r="BX202" s="272">
        <f>IF(AND(Input_Product=Elig!$C202,Elig_MatchAll_Ct&lt;22,$BC202=(Elig_MatchAll_Ct-1),AU202=0),S202,0)</f>
        <v>0</v>
      </c>
      <c r="BY202" s="271">
        <f>IF(AND(Input_Product=Elig!$C202,Elig_MatchAll_Ct&lt;22,$BC202=(Elig_MatchAll_Ct-1),AV202=0),T202,0)</f>
        <v>0</v>
      </c>
      <c r="BZ202" s="272">
        <f>IF(AND(Input_Product=Elig!$C202,Elig_MatchAll_Ct&lt;22,$BC202=(Elig_MatchAll_Ct-1),AV202=0),U202,0)</f>
        <v>0</v>
      </c>
      <c r="CA202" s="271">
        <f>IF(AND(Input_Product=Elig!$C202,Elig_MatchAll_Ct&lt;22,$BC202=(Elig_MatchAll_Ct-1),AW202=0),V202,0)</f>
        <v>0</v>
      </c>
      <c r="CB202" s="272">
        <f>IF(AND(Input_Product=Elig!$C202,Elig_MatchAll_Ct&lt;22,$BC202=(Elig_MatchAll_Ct-1),AW202=0),W202,0)</f>
        <v>0</v>
      </c>
      <c r="CC202" s="271">
        <f>IF(AND(Input_Product=Elig!$C202,Elig_MatchAll_Ct&lt;22,$BC202=(Elig_MatchAll_Ct-1),AX202=0),X202,0)</f>
        <v>0</v>
      </c>
      <c r="CD202" s="272">
        <f>IF(AND(Input_Product=Elig!$C202,Elig_MatchAll_Ct&lt;22,$BC202=(Elig_MatchAll_Ct-1),AX202=0),Y202,0)</f>
        <v>0</v>
      </c>
      <c r="CE202" s="271">
        <f>IF(AND(Input_LTV&lt;=AE202,Input_Product=Elig!$C202,Elig_MatchAll_Ct&lt;22,$BC202=(Elig_MatchAll_Ct-1),AY202=0),Z202,0)</f>
        <v>0</v>
      </c>
      <c r="CF202" s="272">
        <f>IF(AND(Input_LTV&lt;=AE202,Input_Product=Elig!$C202,Elig_MatchAll_Ct&lt;22,$BC202=(Elig_MatchAll_Ct-1),AY202=0),AA202,0)</f>
        <v>0</v>
      </c>
      <c r="CG202" s="271">
        <f>IF(AND(Input_Product=Elig!$C202,Elig_MatchAll_Ct&lt;22,$BC202=(Elig_MatchAll_Ct-1),AZ202=0),AB202,0)</f>
        <v>0</v>
      </c>
      <c r="CH202" s="272">
        <f>IF(AND(Input_Product=Elig!$C202,Elig_MatchAll_Ct&lt;22,$BC202=(Elig_MatchAll_Ct-1),AZ202=0),AC202,0)</f>
        <v>0</v>
      </c>
      <c r="CI202" s="271">
        <f>IF(AND(Input_Product=Elig!$C202,Elig_MatchAll_Ct&lt;22,$BC202=(Elig_MatchAll_Ct-1),BA202=0),AD202,0)</f>
        <v>0</v>
      </c>
      <c r="CJ202" s="272">
        <f>IF(AND(Input_Product=Elig!$C202,Elig_MatchAll_Ct&lt;22,$BC202=(Elig_MatchAll_Ct-1),BA202=0),AE202,0)</f>
        <v>0</v>
      </c>
    </row>
    <row r="203" spans="1:88" ht="10.15" customHeight="1" x14ac:dyDescent="0.25">
      <c r="A203" s="1419" t="s">
        <v>76</v>
      </c>
      <c r="B203" s="1419" t="s">
        <v>2036</v>
      </c>
      <c r="C203" s="123" t="str">
        <f t="shared" si="53"/>
        <v>NonQM OO</v>
      </c>
      <c r="D203" s="124" t="s">
        <v>1995</v>
      </c>
      <c r="E203" s="125" t="s">
        <v>166</v>
      </c>
      <c r="F203" s="125" t="s">
        <v>330</v>
      </c>
      <c r="G203" s="125" t="s">
        <v>302</v>
      </c>
      <c r="H203" s="125" t="s">
        <v>135</v>
      </c>
      <c r="I203" s="124" t="s">
        <v>16</v>
      </c>
      <c r="J203" s="124" t="s">
        <v>1130</v>
      </c>
      <c r="K203" s="124" t="s">
        <v>1398</v>
      </c>
      <c r="L203" s="125" t="s">
        <v>2025</v>
      </c>
      <c r="M203" s="125" t="s">
        <v>2289</v>
      </c>
      <c r="N203" s="125" t="s">
        <v>82</v>
      </c>
      <c r="O203" s="125" t="s">
        <v>309</v>
      </c>
      <c r="P203" s="125" t="s">
        <v>2433</v>
      </c>
      <c r="Q203" s="125" t="s">
        <v>293</v>
      </c>
      <c r="R203" s="124">
        <v>2500000.0099999998</v>
      </c>
      <c r="S203" s="124">
        <v>3000000</v>
      </c>
      <c r="T203" s="124">
        <v>0</v>
      </c>
      <c r="U203" s="124">
        <f t="shared" ref="U203:U205" si="76">S203</f>
        <v>3000000</v>
      </c>
      <c r="V203" s="124">
        <v>0</v>
      </c>
      <c r="W203" s="124">
        <v>55</v>
      </c>
      <c r="X203" s="124">
        <v>0</v>
      </c>
      <c r="Y203" s="124">
        <v>999</v>
      </c>
      <c r="Z203" s="126">
        <v>720</v>
      </c>
      <c r="AA203" s="126">
        <v>999</v>
      </c>
      <c r="AB203" s="1879">
        <v>0</v>
      </c>
      <c r="AC203" s="126">
        <v>999999</v>
      </c>
      <c r="AD203" s="124">
        <v>0</v>
      </c>
      <c r="AE203" s="124">
        <v>70</v>
      </c>
      <c r="AF203" s="144">
        <v>0</v>
      </c>
      <c r="AG203" s="145">
        <v>1</v>
      </c>
      <c r="AH203" s="145">
        <v>1</v>
      </c>
      <c r="AI203" s="145">
        <v>0</v>
      </c>
      <c r="AJ203" s="145">
        <v>0</v>
      </c>
      <c r="AK203" s="145">
        <v>1</v>
      </c>
      <c r="AL203" s="145">
        <v>0</v>
      </c>
      <c r="AM203" s="145">
        <v>1</v>
      </c>
      <c r="AN203" s="145">
        <v>1</v>
      </c>
      <c r="AO203" s="145">
        <v>1</v>
      </c>
      <c r="AP203" s="145">
        <v>1</v>
      </c>
      <c r="AQ203" s="145">
        <v>0</v>
      </c>
      <c r="AR203" s="145">
        <v>1</v>
      </c>
      <c r="AS203" s="145">
        <v>1</v>
      </c>
      <c r="AT203" s="145">
        <v>1</v>
      </c>
      <c r="AU203" s="145">
        <f t="shared" si="55"/>
        <v>0</v>
      </c>
      <c r="AV203" s="145">
        <f t="shared" si="56"/>
        <v>1</v>
      </c>
      <c r="AW203" s="145">
        <f t="shared" si="57"/>
        <v>1</v>
      </c>
      <c r="AX203" s="145">
        <f t="shared" si="73"/>
        <v>1</v>
      </c>
      <c r="AY203" s="145">
        <f t="shared" si="58"/>
        <v>1</v>
      </c>
      <c r="AZ203" s="145">
        <f t="shared" si="59"/>
        <v>1</v>
      </c>
      <c r="BA203" s="146">
        <f t="shared" si="60"/>
        <v>1</v>
      </c>
      <c r="BB203" s="149">
        <f t="shared" si="63"/>
        <v>16</v>
      </c>
      <c r="BC203" s="150">
        <f t="shared" si="64"/>
        <v>15</v>
      </c>
      <c r="BD203" s="150">
        <f t="shared" si="65"/>
        <v>16</v>
      </c>
      <c r="BE203" s="211" t="str">
        <f t="shared" si="66"/>
        <v/>
      </c>
      <c r="BH203" s="184">
        <f>IF(AND(Input_Product=Elig!$C203,Elig_MatchAll_Ct&lt;22,$BC203=(Elig_MatchAll_Ct-1),AF203=0),C203,0)</f>
        <v>0</v>
      </c>
      <c r="BI203" s="184">
        <f>IF(AND(Input_Product=Elig!$C203,Elig_MatchAll_Ct&lt;22,$BC203=(Elig_MatchAll_Ct-1),AG203=0),D203,0)</f>
        <v>0</v>
      </c>
      <c r="BJ203" s="184">
        <f>IF(AND(Input_Product=Elig!$C203,Elig_MatchAll_Ct&lt;22,$BC203=(Elig_MatchAll_Ct-1),AH203=0),E203,0)</f>
        <v>0</v>
      </c>
      <c r="BK203" s="184">
        <f>IF(AND(Input_Product=Elig!$C203,Elig_MatchAll_Ct&lt;22,$BC203=(Elig_MatchAll_Ct-1),AI203=0),F203,0)</f>
        <v>0</v>
      </c>
      <c r="BL203" s="184">
        <f>IF(AND(Input_Product=Elig!$C203,Elig_MatchAll_Ct&lt;22,$BC203=(Elig_MatchAll_Ct-1),AJ203=0),G203,0)</f>
        <v>0</v>
      </c>
      <c r="BM203" s="184">
        <f>IF(AND(Input_Product=Elig!$C203,Elig_MatchAll_Ct&lt;22,$BC203=(Elig_MatchAll_Ct-1),AK203=0),H203,0)</f>
        <v>0</v>
      </c>
      <c r="BN203" s="184">
        <f>IF(AND(Input_Product=Elig!$C203,Elig_MatchAll_Ct&lt;22,$BC203=(Elig_MatchAll_Ct-1),AL203=0),I203,0)</f>
        <v>0</v>
      </c>
      <c r="BO203" s="184">
        <f>IF(AND(Input_Product=Elig!$C203,Elig_MatchAll_Ct&lt;22,$BC203=(Elig_MatchAll_Ct-1),AM203=0),J203,0)</f>
        <v>0</v>
      </c>
      <c r="BP203" s="184">
        <f>IF(AND(Input_Product=Elig!$C203,Elig_MatchAll_Ct&lt;22,$BC203=(Elig_MatchAll_Ct-1),AN203=0),K203,0)</f>
        <v>0</v>
      </c>
      <c r="BQ203" s="184">
        <f>IF(AND(Input_Product=Elig!$C203,Elig_MatchAll_Ct&lt;22,$BC203=(Elig_MatchAll_Ct-1),AP203=0),L203,0)</f>
        <v>0</v>
      </c>
      <c r="BR203" s="184">
        <f>IF(AND(Input_Product=Elig!$C203,Elig_MatchAll_Ct&lt;22,$BC203=(Elig_MatchAll_Ct-1),AO203=0),M203,0)</f>
        <v>0</v>
      </c>
      <c r="BS203" s="184">
        <f>IF(AND(Input_Product=Elig!$C203,Elig_MatchAll_Ct&lt;22,$BC203=(Elig_MatchAll_Ct-1),AQ203=0),N203,0)</f>
        <v>0</v>
      </c>
      <c r="BT203" s="184">
        <f>IF(AND(Input_Product=Elig!$C203,Elig_MatchAll_Ct&lt;22,$BC203=(Elig_MatchAll_Ct-1),AR203=0),O203,0)</f>
        <v>0</v>
      </c>
      <c r="BU203" s="184">
        <f>IF(AND(Input_Product=Elig!$C203,Elig_MatchAll_Ct&lt;22,$BC203=(Elig_MatchAll_Ct-1),AS203=0),P203,0)</f>
        <v>0</v>
      </c>
      <c r="BV203" s="185">
        <f>IF(AND(Input_Product=Elig!$C203,Elig_MatchAll_Ct&lt;22,$BC203=(Elig_MatchAll_Ct-1),AT203=0),Q203,0)</f>
        <v>0</v>
      </c>
      <c r="BW203" s="186">
        <f>IF(AND(Input_Product=Elig!$C203,Elig_MatchAll_Ct&lt;22,$BC203=(Elig_MatchAll_Ct-1),AU203=0),R203,0)</f>
        <v>0</v>
      </c>
      <c r="BX203" s="187">
        <f>IF(AND(Input_Product=Elig!$C203,Elig_MatchAll_Ct&lt;22,$BC203=(Elig_MatchAll_Ct-1),AU203=0),S203,0)</f>
        <v>0</v>
      </c>
      <c r="BY203" s="186">
        <f>IF(AND(Input_Product=Elig!$C203,Elig_MatchAll_Ct&lt;22,$BC203=(Elig_MatchAll_Ct-1),AV203=0),T203,0)</f>
        <v>0</v>
      </c>
      <c r="BZ203" s="187">
        <f>IF(AND(Input_Product=Elig!$C203,Elig_MatchAll_Ct&lt;22,$BC203=(Elig_MatchAll_Ct-1),AV203=0),U203,0)</f>
        <v>0</v>
      </c>
      <c r="CA203" s="186">
        <f>IF(AND(Input_Product=Elig!$C203,Elig_MatchAll_Ct&lt;22,$BC203=(Elig_MatchAll_Ct-1),AW203=0),V203,0)</f>
        <v>0</v>
      </c>
      <c r="CB203" s="187">
        <f>IF(AND(Input_Product=Elig!$C203,Elig_MatchAll_Ct&lt;22,$BC203=(Elig_MatchAll_Ct-1),AW203=0),W203,0)</f>
        <v>0</v>
      </c>
      <c r="CC203" s="186">
        <f>IF(AND(Input_Product=Elig!$C203,Elig_MatchAll_Ct&lt;22,$BC203=(Elig_MatchAll_Ct-1),AX203=0),X203,0)</f>
        <v>0</v>
      </c>
      <c r="CD203" s="187">
        <f>IF(AND(Input_Product=Elig!$C203,Elig_MatchAll_Ct&lt;22,$BC203=(Elig_MatchAll_Ct-1),AX203=0),Y203,0)</f>
        <v>0</v>
      </c>
      <c r="CE203" s="186">
        <f>IF(AND(Input_LTV&lt;=AE203,Input_Product=Elig!$C203,Elig_MatchAll_Ct&lt;22,$BC203=(Elig_MatchAll_Ct-1),AY203=0),Z203,0)</f>
        <v>0</v>
      </c>
      <c r="CF203" s="187">
        <f>IF(AND(Input_LTV&lt;=AE203,Input_Product=Elig!$C203,Elig_MatchAll_Ct&lt;22,$BC203=(Elig_MatchAll_Ct-1),AY203=0),AA203,0)</f>
        <v>0</v>
      </c>
      <c r="CG203" s="186">
        <f>IF(AND(Input_Product=Elig!$C203,Elig_MatchAll_Ct&lt;22,$BC203=(Elig_MatchAll_Ct-1),AZ203=0),AB203,0)</f>
        <v>0</v>
      </c>
      <c r="CH203" s="187">
        <f>IF(AND(Input_Product=Elig!$C203,Elig_MatchAll_Ct&lt;22,$BC203=(Elig_MatchAll_Ct-1),AZ203=0),AC203,0)</f>
        <v>0</v>
      </c>
      <c r="CI203" s="186">
        <f>IF(AND(Input_Product=Elig!$C203,Elig_MatchAll_Ct&lt;22,$BC203=(Elig_MatchAll_Ct-1),BA203=0),AD203,0)</f>
        <v>0</v>
      </c>
      <c r="CJ203" s="187">
        <f>IF(AND(Input_Product=Elig!$C203,Elig_MatchAll_Ct&lt;22,$BC203=(Elig_MatchAll_Ct-1),BA203=0),AE203,0)</f>
        <v>0</v>
      </c>
    </row>
    <row r="204" spans="1:88" ht="10.15" customHeight="1" x14ac:dyDescent="0.25">
      <c r="A204" s="1419" t="s">
        <v>76</v>
      </c>
      <c r="B204" s="1419" t="s">
        <v>2037</v>
      </c>
      <c r="C204" s="116" t="str">
        <f t="shared" si="53"/>
        <v>NonQM OO</v>
      </c>
      <c r="D204" s="117" t="s">
        <v>1995</v>
      </c>
      <c r="E204" s="117" t="s">
        <v>166</v>
      </c>
      <c r="F204" s="117" t="s">
        <v>330</v>
      </c>
      <c r="G204" s="117" t="s">
        <v>302</v>
      </c>
      <c r="H204" s="117" t="s">
        <v>135</v>
      </c>
      <c r="I204" s="118" t="s">
        <v>16</v>
      </c>
      <c r="J204" s="118" t="s">
        <v>1130</v>
      </c>
      <c r="K204" s="118" t="s">
        <v>1398</v>
      </c>
      <c r="L204" s="117" t="s">
        <v>2025</v>
      </c>
      <c r="M204" s="117" t="s">
        <v>2289</v>
      </c>
      <c r="N204" s="117" t="s">
        <v>82</v>
      </c>
      <c r="O204" s="117" t="s">
        <v>309</v>
      </c>
      <c r="P204" s="117" t="s">
        <v>2433</v>
      </c>
      <c r="Q204" s="117" t="s">
        <v>293</v>
      </c>
      <c r="R204" s="117">
        <v>2500000.0099999998</v>
      </c>
      <c r="S204" s="117">
        <v>3000000</v>
      </c>
      <c r="T204" s="117">
        <v>0</v>
      </c>
      <c r="U204" s="117">
        <f t="shared" si="76"/>
        <v>3000000</v>
      </c>
      <c r="V204" s="117">
        <v>0</v>
      </c>
      <c r="W204" s="117">
        <v>55</v>
      </c>
      <c r="X204" s="117">
        <v>0</v>
      </c>
      <c r="Y204" s="117">
        <v>999</v>
      </c>
      <c r="Z204" s="119">
        <v>700</v>
      </c>
      <c r="AA204" s="119">
        <v>719</v>
      </c>
      <c r="AB204" s="1877">
        <v>0</v>
      </c>
      <c r="AC204" s="119">
        <v>999999</v>
      </c>
      <c r="AD204" s="117">
        <v>0</v>
      </c>
      <c r="AE204" s="117">
        <v>65</v>
      </c>
      <c r="AF204" s="144">
        <v>0</v>
      </c>
      <c r="AG204" s="145">
        <v>1</v>
      </c>
      <c r="AH204" s="145">
        <v>1</v>
      </c>
      <c r="AI204" s="145">
        <v>0</v>
      </c>
      <c r="AJ204" s="145">
        <v>0</v>
      </c>
      <c r="AK204" s="145">
        <v>1</v>
      </c>
      <c r="AL204" s="145">
        <v>0</v>
      </c>
      <c r="AM204" s="145">
        <v>1</v>
      </c>
      <c r="AN204" s="145">
        <v>1</v>
      </c>
      <c r="AO204" s="145">
        <v>1</v>
      </c>
      <c r="AP204" s="145">
        <v>1</v>
      </c>
      <c r="AQ204" s="145">
        <v>0</v>
      </c>
      <c r="AR204" s="145">
        <v>1</v>
      </c>
      <c r="AS204" s="145">
        <v>1</v>
      </c>
      <c r="AT204" s="145">
        <v>1</v>
      </c>
      <c r="AU204" s="145">
        <f t="shared" si="55"/>
        <v>0</v>
      </c>
      <c r="AV204" s="145">
        <f t="shared" si="56"/>
        <v>1</v>
      </c>
      <c r="AW204" s="145">
        <f t="shared" si="57"/>
        <v>1</v>
      </c>
      <c r="AX204" s="145">
        <f t="shared" si="73"/>
        <v>1</v>
      </c>
      <c r="AY204" s="145">
        <f t="shared" si="58"/>
        <v>0</v>
      </c>
      <c r="AZ204" s="145">
        <f t="shared" si="59"/>
        <v>1</v>
      </c>
      <c r="BA204" s="146">
        <f t="shared" si="60"/>
        <v>0</v>
      </c>
      <c r="BB204" s="149">
        <f t="shared" si="63"/>
        <v>14</v>
      </c>
      <c r="BC204" s="150">
        <f t="shared" si="64"/>
        <v>14</v>
      </c>
      <c r="BD204" s="150">
        <f t="shared" si="65"/>
        <v>14</v>
      </c>
      <c r="BE204" s="211" t="str">
        <f t="shared" si="66"/>
        <v/>
      </c>
      <c r="BH204" s="173">
        <f>IF(AND(Input_Product=Elig!$C204,Elig_MatchAll_Ct&lt;22,$BC204=(Elig_MatchAll_Ct-1),AF204=0),C204,0)</f>
        <v>0</v>
      </c>
      <c r="BI204" s="173">
        <f>IF(AND(Input_Product=Elig!$C204,Elig_MatchAll_Ct&lt;22,$BC204=(Elig_MatchAll_Ct-1),AG204=0),D204,0)</f>
        <v>0</v>
      </c>
      <c r="BJ204" s="173">
        <f>IF(AND(Input_Product=Elig!$C204,Elig_MatchAll_Ct&lt;22,$BC204=(Elig_MatchAll_Ct-1),AH204=0),E204,0)</f>
        <v>0</v>
      </c>
      <c r="BK204" s="173">
        <f>IF(AND(Input_Product=Elig!$C204,Elig_MatchAll_Ct&lt;22,$BC204=(Elig_MatchAll_Ct-1),AI204=0),F204,0)</f>
        <v>0</v>
      </c>
      <c r="BL204" s="173">
        <f>IF(AND(Input_Product=Elig!$C204,Elig_MatchAll_Ct&lt;22,$BC204=(Elig_MatchAll_Ct-1),AJ204=0),G204,0)</f>
        <v>0</v>
      </c>
      <c r="BM204" s="173">
        <f>IF(AND(Input_Product=Elig!$C204,Elig_MatchAll_Ct&lt;22,$BC204=(Elig_MatchAll_Ct-1),AK204=0),H204,0)</f>
        <v>0</v>
      </c>
      <c r="BN204" s="173">
        <f>IF(AND(Input_Product=Elig!$C204,Elig_MatchAll_Ct&lt;22,$BC204=(Elig_MatchAll_Ct-1),AL204=0),I204,0)</f>
        <v>0</v>
      </c>
      <c r="BO204" s="173">
        <f>IF(AND(Input_Product=Elig!$C204,Elig_MatchAll_Ct&lt;22,$BC204=(Elig_MatchAll_Ct-1),AM204=0),J204,0)</f>
        <v>0</v>
      </c>
      <c r="BP204" s="173">
        <f>IF(AND(Input_Product=Elig!$C204,Elig_MatchAll_Ct&lt;22,$BC204=(Elig_MatchAll_Ct-1),AN204=0),K204,0)</f>
        <v>0</v>
      </c>
      <c r="BQ204" s="173">
        <f>IF(AND(Input_Product=Elig!$C204,Elig_MatchAll_Ct&lt;22,$BC204=(Elig_MatchAll_Ct-1),AP204=0),L204,0)</f>
        <v>0</v>
      </c>
      <c r="BR204" s="173">
        <f>IF(AND(Input_Product=Elig!$C204,Elig_MatchAll_Ct&lt;22,$BC204=(Elig_MatchAll_Ct-1),AO204=0),M204,0)</f>
        <v>0</v>
      </c>
      <c r="BS204" s="173">
        <f>IF(AND(Input_Product=Elig!$C204,Elig_MatchAll_Ct&lt;22,$BC204=(Elig_MatchAll_Ct-1),AQ204=0),N204,0)</f>
        <v>0</v>
      </c>
      <c r="BT204" s="173">
        <f>IF(AND(Input_Product=Elig!$C204,Elig_MatchAll_Ct&lt;22,$BC204=(Elig_MatchAll_Ct-1),AR204=0),O204,0)</f>
        <v>0</v>
      </c>
      <c r="BU204" s="173">
        <f>IF(AND(Input_Product=Elig!$C204,Elig_MatchAll_Ct&lt;22,$BC204=(Elig_MatchAll_Ct-1),AS204=0),P204,0)</f>
        <v>0</v>
      </c>
      <c r="BV204" s="174">
        <f>IF(AND(Input_Product=Elig!$C204,Elig_MatchAll_Ct&lt;22,$BC204=(Elig_MatchAll_Ct-1),AT204=0),Q204,0)</f>
        <v>0</v>
      </c>
      <c r="BW204" s="175">
        <f>IF(AND(Input_Product=Elig!$C204,Elig_MatchAll_Ct&lt;22,$BC204=(Elig_MatchAll_Ct-1),AU204=0),R204,0)</f>
        <v>0</v>
      </c>
      <c r="BX204" s="176">
        <f>IF(AND(Input_Product=Elig!$C204,Elig_MatchAll_Ct&lt;22,$BC204=(Elig_MatchAll_Ct-1),AU204=0),S204,0)</f>
        <v>0</v>
      </c>
      <c r="BY204" s="175">
        <f>IF(AND(Input_Product=Elig!$C204,Elig_MatchAll_Ct&lt;22,$BC204=(Elig_MatchAll_Ct-1),AV204=0),T204,0)</f>
        <v>0</v>
      </c>
      <c r="BZ204" s="176">
        <f>IF(AND(Input_Product=Elig!$C204,Elig_MatchAll_Ct&lt;22,$BC204=(Elig_MatchAll_Ct-1),AV204=0),U204,0)</f>
        <v>0</v>
      </c>
      <c r="CA204" s="175">
        <f>IF(AND(Input_Product=Elig!$C204,Elig_MatchAll_Ct&lt;22,$BC204=(Elig_MatchAll_Ct-1),AW204=0),V204,0)</f>
        <v>0</v>
      </c>
      <c r="CB204" s="176">
        <f>IF(AND(Input_Product=Elig!$C204,Elig_MatchAll_Ct&lt;22,$BC204=(Elig_MatchAll_Ct-1),AW204=0),W204,0)</f>
        <v>0</v>
      </c>
      <c r="CC204" s="175">
        <f>IF(AND(Input_Product=Elig!$C204,Elig_MatchAll_Ct&lt;22,$BC204=(Elig_MatchAll_Ct-1),AX204=0),X204,0)</f>
        <v>0</v>
      </c>
      <c r="CD204" s="176">
        <f>IF(AND(Input_Product=Elig!$C204,Elig_MatchAll_Ct&lt;22,$BC204=(Elig_MatchAll_Ct-1),AX204=0),Y204,0)</f>
        <v>0</v>
      </c>
      <c r="CE204" s="175">
        <f>IF(AND(Input_LTV&lt;=AE204,Input_Product=Elig!$C204,Elig_MatchAll_Ct&lt;22,$BC204=(Elig_MatchAll_Ct-1),AY204=0),Z204,0)</f>
        <v>0</v>
      </c>
      <c r="CF204" s="176">
        <f>IF(AND(Input_LTV&lt;=AE204,Input_Product=Elig!$C204,Elig_MatchAll_Ct&lt;22,$BC204=(Elig_MatchAll_Ct-1),AY204=0),AA204,0)</f>
        <v>0</v>
      </c>
      <c r="CG204" s="175">
        <f>IF(AND(Input_Product=Elig!$C204,Elig_MatchAll_Ct&lt;22,$BC204=(Elig_MatchAll_Ct-1),AZ204=0),AB204,0)</f>
        <v>0</v>
      </c>
      <c r="CH204" s="176">
        <f>IF(AND(Input_Product=Elig!$C204,Elig_MatchAll_Ct&lt;22,$BC204=(Elig_MatchAll_Ct-1),AZ204=0),AC204,0)</f>
        <v>0</v>
      </c>
      <c r="CI204" s="175">
        <f>IF(AND(Input_Product=Elig!$C204,Elig_MatchAll_Ct&lt;22,$BC204=(Elig_MatchAll_Ct-1),BA204=0),AD204,0)</f>
        <v>0</v>
      </c>
      <c r="CJ204" s="176">
        <f>IF(AND(Input_Product=Elig!$C204,Elig_MatchAll_Ct&lt;22,$BC204=(Elig_MatchAll_Ct-1),BA204=0),AE204,0)</f>
        <v>0</v>
      </c>
    </row>
    <row r="205" spans="1:88" ht="10.15" customHeight="1" x14ac:dyDescent="0.25">
      <c r="A205" s="1419" t="s">
        <v>76</v>
      </c>
      <c r="B205" s="1419" t="s">
        <v>2038</v>
      </c>
      <c r="C205" s="116" t="str">
        <f t="shared" si="53"/>
        <v>NonQM OO</v>
      </c>
      <c r="D205" s="117" t="s">
        <v>1995</v>
      </c>
      <c r="E205" s="117" t="s">
        <v>166</v>
      </c>
      <c r="F205" s="117" t="s">
        <v>330</v>
      </c>
      <c r="G205" s="117" t="s">
        <v>302</v>
      </c>
      <c r="H205" s="117" t="s">
        <v>135</v>
      </c>
      <c r="I205" s="118" t="s">
        <v>16</v>
      </c>
      <c r="J205" s="118" t="s">
        <v>1130</v>
      </c>
      <c r="K205" s="118" t="s">
        <v>1398</v>
      </c>
      <c r="L205" s="117" t="s">
        <v>2025</v>
      </c>
      <c r="M205" s="117" t="s">
        <v>2289</v>
      </c>
      <c r="N205" s="117" t="s">
        <v>82</v>
      </c>
      <c r="O205" s="117" t="s">
        <v>309</v>
      </c>
      <c r="P205" s="117" t="s">
        <v>2433</v>
      </c>
      <c r="Q205" s="117" t="s">
        <v>293</v>
      </c>
      <c r="R205" s="117">
        <v>2500000.0099999998</v>
      </c>
      <c r="S205" s="117">
        <v>3000000</v>
      </c>
      <c r="T205" s="117">
        <v>0</v>
      </c>
      <c r="U205" s="117">
        <f t="shared" si="76"/>
        <v>3000000</v>
      </c>
      <c r="V205" s="117">
        <v>0</v>
      </c>
      <c r="W205" s="117">
        <v>55</v>
      </c>
      <c r="X205" s="117">
        <v>0</v>
      </c>
      <c r="Y205" s="117">
        <v>999</v>
      </c>
      <c r="Z205" s="119">
        <v>680</v>
      </c>
      <c r="AA205" s="119">
        <v>699</v>
      </c>
      <c r="AB205" s="1877">
        <v>0</v>
      </c>
      <c r="AC205" s="119">
        <v>999999</v>
      </c>
      <c r="AD205" s="117">
        <v>0</v>
      </c>
      <c r="AE205" s="117">
        <v>65</v>
      </c>
      <c r="AF205" s="144">
        <v>0</v>
      </c>
      <c r="AG205" s="145">
        <v>1</v>
      </c>
      <c r="AH205" s="145">
        <v>1</v>
      </c>
      <c r="AI205" s="145">
        <v>0</v>
      </c>
      <c r="AJ205" s="145">
        <v>0</v>
      </c>
      <c r="AK205" s="145">
        <v>1</v>
      </c>
      <c r="AL205" s="145">
        <v>0</v>
      </c>
      <c r="AM205" s="145">
        <v>1</v>
      </c>
      <c r="AN205" s="145">
        <v>1</v>
      </c>
      <c r="AO205" s="145">
        <v>1</v>
      </c>
      <c r="AP205" s="145">
        <v>1</v>
      </c>
      <c r="AQ205" s="145">
        <v>0</v>
      </c>
      <c r="AR205" s="145">
        <v>1</v>
      </c>
      <c r="AS205" s="145">
        <v>1</v>
      </c>
      <c r="AT205" s="145">
        <v>1</v>
      </c>
      <c r="AU205" s="145">
        <f t="shared" si="55"/>
        <v>0</v>
      </c>
      <c r="AV205" s="145">
        <f t="shared" si="56"/>
        <v>1</v>
      </c>
      <c r="AW205" s="145">
        <f t="shared" si="57"/>
        <v>1</v>
      </c>
      <c r="AX205" s="145">
        <f t="shared" si="73"/>
        <v>1</v>
      </c>
      <c r="AY205" s="145">
        <f t="shared" si="58"/>
        <v>0</v>
      </c>
      <c r="AZ205" s="145">
        <f t="shared" si="59"/>
        <v>1</v>
      </c>
      <c r="BA205" s="146">
        <f t="shared" si="60"/>
        <v>0</v>
      </c>
      <c r="BB205" s="149">
        <f t="shared" si="63"/>
        <v>14</v>
      </c>
      <c r="BC205" s="150">
        <f t="shared" si="64"/>
        <v>14</v>
      </c>
      <c r="BD205" s="150">
        <f t="shared" si="65"/>
        <v>14</v>
      </c>
      <c r="BE205" s="211" t="str">
        <f t="shared" si="66"/>
        <v/>
      </c>
      <c r="BH205" s="188">
        <f>IF(AND(Input_Product=Elig!$C205,Elig_MatchAll_Ct&lt;22,$BC205=(Elig_MatchAll_Ct-1),AF205=0),C205,0)</f>
        <v>0</v>
      </c>
      <c r="BI205" s="188">
        <f>IF(AND(Input_Product=Elig!$C205,Elig_MatchAll_Ct&lt;22,$BC205=(Elig_MatchAll_Ct-1),AG205=0),D205,0)</f>
        <v>0</v>
      </c>
      <c r="BJ205" s="188">
        <f>IF(AND(Input_Product=Elig!$C205,Elig_MatchAll_Ct&lt;22,$BC205=(Elig_MatchAll_Ct-1),AH205=0),E205,0)</f>
        <v>0</v>
      </c>
      <c r="BK205" s="188">
        <f>IF(AND(Input_Product=Elig!$C205,Elig_MatchAll_Ct&lt;22,$BC205=(Elig_MatchAll_Ct-1),AI205=0),F205,0)</f>
        <v>0</v>
      </c>
      <c r="BL205" s="188">
        <f>IF(AND(Input_Product=Elig!$C205,Elig_MatchAll_Ct&lt;22,$BC205=(Elig_MatchAll_Ct-1),AJ205=0),G205,0)</f>
        <v>0</v>
      </c>
      <c r="BM205" s="188">
        <f>IF(AND(Input_Product=Elig!$C205,Elig_MatchAll_Ct&lt;22,$BC205=(Elig_MatchAll_Ct-1),AK205=0),H205,0)</f>
        <v>0</v>
      </c>
      <c r="BN205" s="188">
        <f>IF(AND(Input_Product=Elig!$C205,Elig_MatchAll_Ct&lt;22,$BC205=(Elig_MatchAll_Ct-1),AL205=0),I205,0)</f>
        <v>0</v>
      </c>
      <c r="BO205" s="188">
        <f>IF(AND(Input_Product=Elig!$C205,Elig_MatchAll_Ct&lt;22,$BC205=(Elig_MatchAll_Ct-1),AM205=0),J205,0)</f>
        <v>0</v>
      </c>
      <c r="BP205" s="188">
        <f>IF(AND(Input_Product=Elig!$C205,Elig_MatchAll_Ct&lt;22,$BC205=(Elig_MatchAll_Ct-1),AN205=0),K205,0)</f>
        <v>0</v>
      </c>
      <c r="BQ205" s="188">
        <f>IF(AND(Input_Product=Elig!$C205,Elig_MatchAll_Ct&lt;22,$BC205=(Elig_MatchAll_Ct-1),AP205=0),L205,0)</f>
        <v>0</v>
      </c>
      <c r="BR205" s="188">
        <f>IF(AND(Input_Product=Elig!$C205,Elig_MatchAll_Ct&lt;22,$BC205=(Elig_MatchAll_Ct-1),AO205=0),M205,0)</f>
        <v>0</v>
      </c>
      <c r="BS205" s="188">
        <f>IF(AND(Input_Product=Elig!$C205,Elig_MatchAll_Ct&lt;22,$BC205=(Elig_MatchAll_Ct-1),AQ205=0),N205,0)</f>
        <v>0</v>
      </c>
      <c r="BT205" s="188">
        <f>IF(AND(Input_Product=Elig!$C205,Elig_MatchAll_Ct&lt;22,$BC205=(Elig_MatchAll_Ct-1),AR205=0),O205,0)</f>
        <v>0</v>
      </c>
      <c r="BU205" s="188">
        <f>IF(AND(Input_Product=Elig!$C205,Elig_MatchAll_Ct&lt;22,$BC205=(Elig_MatchAll_Ct-1),AS205=0),P205,0)</f>
        <v>0</v>
      </c>
      <c r="BV205" s="189">
        <f>IF(AND(Input_Product=Elig!$C205,Elig_MatchAll_Ct&lt;22,$BC205=(Elig_MatchAll_Ct-1),AT205=0),Q205,0)</f>
        <v>0</v>
      </c>
      <c r="BW205" s="271">
        <f>IF(AND(Input_Product=Elig!$C205,Elig_MatchAll_Ct&lt;22,$BC205=(Elig_MatchAll_Ct-1),AU205=0),R205,0)</f>
        <v>0</v>
      </c>
      <c r="BX205" s="272">
        <f>IF(AND(Input_Product=Elig!$C205,Elig_MatchAll_Ct&lt;22,$BC205=(Elig_MatchAll_Ct-1),AU205=0),S205,0)</f>
        <v>0</v>
      </c>
      <c r="BY205" s="271">
        <f>IF(AND(Input_Product=Elig!$C205,Elig_MatchAll_Ct&lt;22,$BC205=(Elig_MatchAll_Ct-1),AV205=0),T205,0)</f>
        <v>0</v>
      </c>
      <c r="BZ205" s="272">
        <f>IF(AND(Input_Product=Elig!$C205,Elig_MatchAll_Ct&lt;22,$BC205=(Elig_MatchAll_Ct-1),AV205=0),U205,0)</f>
        <v>0</v>
      </c>
      <c r="CA205" s="271">
        <f>IF(AND(Input_Product=Elig!$C205,Elig_MatchAll_Ct&lt;22,$BC205=(Elig_MatchAll_Ct-1),AW205=0),V205,0)</f>
        <v>0</v>
      </c>
      <c r="CB205" s="272">
        <f>IF(AND(Input_Product=Elig!$C205,Elig_MatchAll_Ct&lt;22,$BC205=(Elig_MatchAll_Ct-1),AW205=0),W205,0)</f>
        <v>0</v>
      </c>
      <c r="CC205" s="271">
        <f>IF(AND(Input_Product=Elig!$C205,Elig_MatchAll_Ct&lt;22,$BC205=(Elig_MatchAll_Ct-1),AX205=0),X205,0)</f>
        <v>0</v>
      </c>
      <c r="CD205" s="272">
        <f>IF(AND(Input_Product=Elig!$C205,Elig_MatchAll_Ct&lt;22,$BC205=(Elig_MatchAll_Ct-1),AX205=0),Y205,0)</f>
        <v>0</v>
      </c>
      <c r="CE205" s="271">
        <f>IF(AND(Input_LTV&lt;=AE205,Input_Product=Elig!$C205,Elig_MatchAll_Ct&lt;22,$BC205=(Elig_MatchAll_Ct-1),AY205=0),Z205,0)</f>
        <v>0</v>
      </c>
      <c r="CF205" s="272">
        <f>IF(AND(Input_LTV&lt;=AE205,Input_Product=Elig!$C205,Elig_MatchAll_Ct&lt;22,$BC205=(Elig_MatchAll_Ct-1),AY205=0),AA205,0)</f>
        <v>0</v>
      </c>
      <c r="CG205" s="271">
        <f>IF(AND(Input_Product=Elig!$C205,Elig_MatchAll_Ct&lt;22,$BC205=(Elig_MatchAll_Ct-1),AZ205=0),AB205,0)</f>
        <v>0</v>
      </c>
      <c r="CH205" s="272">
        <f>IF(AND(Input_Product=Elig!$C205,Elig_MatchAll_Ct&lt;22,$BC205=(Elig_MatchAll_Ct-1),AZ205=0),AC205,0)</f>
        <v>0</v>
      </c>
      <c r="CI205" s="271">
        <f>IF(AND(Input_Product=Elig!$C205,Elig_MatchAll_Ct&lt;22,$BC205=(Elig_MatchAll_Ct-1),BA205=0),AD205,0)</f>
        <v>0</v>
      </c>
      <c r="CJ205" s="272">
        <f>IF(AND(Input_Product=Elig!$C205,Elig_MatchAll_Ct&lt;22,$BC205=(Elig_MatchAll_Ct-1),BA205=0),AE205,0)</f>
        <v>0</v>
      </c>
    </row>
    <row r="206" spans="1:88" ht="10.15" customHeight="1" x14ac:dyDescent="0.25">
      <c r="A206" s="1419" t="s">
        <v>76</v>
      </c>
      <c r="B206" s="1419" t="s">
        <v>2039</v>
      </c>
      <c r="C206" s="123" t="str">
        <f t="shared" si="53"/>
        <v>NonQM OO</v>
      </c>
      <c r="D206" s="124" t="s">
        <v>1995</v>
      </c>
      <c r="E206" s="125" t="s">
        <v>166</v>
      </c>
      <c r="F206" s="125" t="s">
        <v>330</v>
      </c>
      <c r="G206" s="125" t="s">
        <v>303</v>
      </c>
      <c r="H206" s="125" t="s">
        <v>444</v>
      </c>
      <c r="I206" s="124" t="s">
        <v>273</v>
      </c>
      <c r="J206" s="124" t="s">
        <v>1130</v>
      </c>
      <c r="K206" s="124" t="s">
        <v>1398</v>
      </c>
      <c r="L206" s="125" t="s">
        <v>2025</v>
      </c>
      <c r="M206" s="125" t="s">
        <v>2289</v>
      </c>
      <c r="N206" s="125" t="s">
        <v>82</v>
      </c>
      <c r="O206" s="125" t="s">
        <v>309</v>
      </c>
      <c r="P206" s="125" t="s">
        <v>2433</v>
      </c>
      <c r="Q206" s="125" t="s">
        <v>293</v>
      </c>
      <c r="R206" s="124">
        <v>2500000.0099999998</v>
      </c>
      <c r="S206" s="124">
        <v>3000000</v>
      </c>
      <c r="T206" s="124">
        <v>0</v>
      </c>
      <c r="U206" s="124">
        <v>0</v>
      </c>
      <c r="V206" s="124">
        <v>0</v>
      </c>
      <c r="W206" s="124">
        <v>55</v>
      </c>
      <c r="X206" s="124">
        <v>0</v>
      </c>
      <c r="Y206" s="124">
        <v>999</v>
      </c>
      <c r="Z206" s="126">
        <v>720</v>
      </c>
      <c r="AA206" s="126">
        <v>999</v>
      </c>
      <c r="AB206" s="1879">
        <v>0</v>
      </c>
      <c r="AC206" s="126">
        <v>999999</v>
      </c>
      <c r="AD206" s="124">
        <v>0</v>
      </c>
      <c r="AE206" s="124">
        <v>75</v>
      </c>
      <c r="AF206" s="144">
        <v>0</v>
      </c>
      <c r="AG206" s="145">
        <v>1</v>
      </c>
      <c r="AH206" s="145">
        <v>1</v>
      </c>
      <c r="AI206" s="145">
        <v>0</v>
      </c>
      <c r="AJ206" s="145">
        <v>0</v>
      </c>
      <c r="AK206" s="145">
        <v>0</v>
      </c>
      <c r="AL206" s="145">
        <v>1</v>
      </c>
      <c r="AM206" s="145">
        <v>1</v>
      </c>
      <c r="AN206" s="145">
        <v>1</v>
      </c>
      <c r="AO206" s="145">
        <v>1</v>
      </c>
      <c r="AP206" s="145">
        <v>1</v>
      </c>
      <c r="AQ206" s="145">
        <v>0</v>
      </c>
      <c r="AR206" s="145">
        <v>1</v>
      </c>
      <c r="AS206" s="145">
        <v>1</v>
      </c>
      <c r="AT206" s="145">
        <v>1</v>
      </c>
      <c r="AU206" s="145">
        <f t="shared" si="55"/>
        <v>0</v>
      </c>
      <c r="AV206" s="145">
        <f t="shared" si="56"/>
        <v>1</v>
      </c>
      <c r="AW206" s="145">
        <f t="shared" si="57"/>
        <v>1</v>
      </c>
      <c r="AX206" s="145">
        <f t="shared" si="73"/>
        <v>1</v>
      </c>
      <c r="AY206" s="145">
        <f t="shared" si="58"/>
        <v>1</v>
      </c>
      <c r="AZ206" s="145">
        <f t="shared" si="59"/>
        <v>1</v>
      </c>
      <c r="BA206" s="146">
        <f t="shared" si="60"/>
        <v>1</v>
      </c>
      <c r="BB206" s="149">
        <f t="shared" si="63"/>
        <v>16</v>
      </c>
      <c r="BC206" s="150">
        <f t="shared" si="64"/>
        <v>15</v>
      </c>
      <c r="BD206" s="150">
        <f t="shared" si="65"/>
        <v>16</v>
      </c>
      <c r="BE206" s="211" t="str">
        <f t="shared" si="66"/>
        <v/>
      </c>
      <c r="BH206" s="184">
        <f>IF(AND(Input_Product=Elig!$C206,Elig_MatchAll_Ct&lt;22,$BC206=(Elig_MatchAll_Ct-1),AF206=0),C206,0)</f>
        <v>0</v>
      </c>
      <c r="BI206" s="184">
        <f>IF(AND(Input_Product=Elig!$C206,Elig_MatchAll_Ct&lt;22,$BC206=(Elig_MatchAll_Ct-1),AG206=0),D206,0)</f>
        <v>0</v>
      </c>
      <c r="BJ206" s="184">
        <f>IF(AND(Input_Product=Elig!$C206,Elig_MatchAll_Ct&lt;22,$BC206=(Elig_MatchAll_Ct-1),AH206=0),E206,0)</f>
        <v>0</v>
      </c>
      <c r="BK206" s="184">
        <f>IF(AND(Input_Product=Elig!$C206,Elig_MatchAll_Ct&lt;22,$BC206=(Elig_MatchAll_Ct-1),AI206=0),F206,0)</f>
        <v>0</v>
      </c>
      <c r="BL206" s="184">
        <f>IF(AND(Input_Product=Elig!$C206,Elig_MatchAll_Ct&lt;22,$BC206=(Elig_MatchAll_Ct-1),AJ206=0),G206,0)</f>
        <v>0</v>
      </c>
      <c r="BM206" s="184">
        <f>IF(AND(Input_Product=Elig!$C206,Elig_MatchAll_Ct&lt;22,$BC206=(Elig_MatchAll_Ct-1),AK206=0),H206,0)</f>
        <v>0</v>
      </c>
      <c r="BN206" s="184">
        <f>IF(AND(Input_Product=Elig!$C206,Elig_MatchAll_Ct&lt;22,$BC206=(Elig_MatchAll_Ct-1),AL206=0),I206,0)</f>
        <v>0</v>
      </c>
      <c r="BO206" s="184">
        <f>IF(AND(Input_Product=Elig!$C206,Elig_MatchAll_Ct&lt;22,$BC206=(Elig_MatchAll_Ct-1),AM206=0),J206,0)</f>
        <v>0</v>
      </c>
      <c r="BP206" s="184">
        <f>IF(AND(Input_Product=Elig!$C206,Elig_MatchAll_Ct&lt;22,$BC206=(Elig_MatchAll_Ct-1),AN206=0),K206,0)</f>
        <v>0</v>
      </c>
      <c r="BQ206" s="184">
        <f>IF(AND(Input_Product=Elig!$C206,Elig_MatchAll_Ct&lt;22,$BC206=(Elig_MatchAll_Ct-1),AP206=0),L206,0)</f>
        <v>0</v>
      </c>
      <c r="BR206" s="184">
        <f>IF(AND(Input_Product=Elig!$C206,Elig_MatchAll_Ct&lt;22,$BC206=(Elig_MatchAll_Ct-1),AO206=0),M206,0)</f>
        <v>0</v>
      </c>
      <c r="BS206" s="184">
        <f>IF(AND(Input_Product=Elig!$C206,Elig_MatchAll_Ct&lt;22,$BC206=(Elig_MatchAll_Ct-1),AQ206=0),N206,0)</f>
        <v>0</v>
      </c>
      <c r="BT206" s="184">
        <f>IF(AND(Input_Product=Elig!$C206,Elig_MatchAll_Ct&lt;22,$BC206=(Elig_MatchAll_Ct-1),AR206=0),O206,0)</f>
        <v>0</v>
      </c>
      <c r="BU206" s="184">
        <f>IF(AND(Input_Product=Elig!$C206,Elig_MatchAll_Ct&lt;22,$BC206=(Elig_MatchAll_Ct-1),AS206=0),P206,0)</f>
        <v>0</v>
      </c>
      <c r="BV206" s="185">
        <f>IF(AND(Input_Product=Elig!$C206,Elig_MatchAll_Ct&lt;22,$BC206=(Elig_MatchAll_Ct-1),AT206=0),Q206,0)</f>
        <v>0</v>
      </c>
      <c r="BW206" s="186">
        <f>IF(AND(Input_Product=Elig!$C206,Elig_MatchAll_Ct&lt;22,$BC206=(Elig_MatchAll_Ct-1),AU206=0),R206,0)</f>
        <v>0</v>
      </c>
      <c r="BX206" s="187">
        <f>IF(AND(Input_Product=Elig!$C206,Elig_MatchAll_Ct&lt;22,$BC206=(Elig_MatchAll_Ct-1),AU206=0),S206,0)</f>
        <v>0</v>
      </c>
      <c r="BY206" s="186">
        <f>IF(AND(Input_Product=Elig!$C206,Elig_MatchAll_Ct&lt;22,$BC206=(Elig_MatchAll_Ct-1),AV206=0),T206,0)</f>
        <v>0</v>
      </c>
      <c r="BZ206" s="187">
        <f>IF(AND(Input_Product=Elig!$C206,Elig_MatchAll_Ct&lt;22,$BC206=(Elig_MatchAll_Ct-1),AV206=0),U206,0)</f>
        <v>0</v>
      </c>
      <c r="CA206" s="186">
        <f>IF(AND(Input_Product=Elig!$C206,Elig_MatchAll_Ct&lt;22,$BC206=(Elig_MatchAll_Ct-1),AW206=0),V206,0)</f>
        <v>0</v>
      </c>
      <c r="CB206" s="187">
        <f>IF(AND(Input_Product=Elig!$C206,Elig_MatchAll_Ct&lt;22,$BC206=(Elig_MatchAll_Ct-1),AW206=0),W206,0)</f>
        <v>0</v>
      </c>
      <c r="CC206" s="186">
        <f>IF(AND(Input_Product=Elig!$C206,Elig_MatchAll_Ct&lt;22,$BC206=(Elig_MatchAll_Ct-1),AX206=0),X206,0)</f>
        <v>0</v>
      </c>
      <c r="CD206" s="187">
        <f>IF(AND(Input_Product=Elig!$C206,Elig_MatchAll_Ct&lt;22,$BC206=(Elig_MatchAll_Ct-1),AX206=0),Y206,0)</f>
        <v>0</v>
      </c>
      <c r="CE206" s="186">
        <f>IF(AND(Input_LTV&lt;=AE206,Input_Product=Elig!$C206,Elig_MatchAll_Ct&lt;22,$BC206=(Elig_MatchAll_Ct-1),AY206=0),Z206,0)</f>
        <v>0</v>
      </c>
      <c r="CF206" s="187">
        <f>IF(AND(Input_LTV&lt;=AE206,Input_Product=Elig!$C206,Elig_MatchAll_Ct&lt;22,$BC206=(Elig_MatchAll_Ct-1),AY206=0),AA206,0)</f>
        <v>0</v>
      </c>
      <c r="CG206" s="186">
        <f>IF(AND(Input_Product=Elig!$C206,Elig_MatchAll_Ct&lt;22,$BC206=(Elig_MatchAll_Ct-1),AZ206=0),AB206,0)</f>
        <v>0</v>
      </c>
      <c r="CH206" s="187">
        <f>IF(AND(Input_Product=Elig!$C206,Elig_MatchAll_Ct&lt;22,$BC206=(Elig_MatchAll_Ct-1),AZ206=0),AC206,0)</f>
        <v>0</v>
      </c>
      <c r="CI206" s="186">
        <f>IF(AND(Input_Product=Elig!$C206,Elig_MatchAll_Ct&lt;22,$BC206=(Elig_MatchAll_Ct-1),BA206=0),AD206,0)</f>
        <v>0</v>
      </c>
      <c r="CJ206" s="187">
        <f>IF(AND(Input_Product=Elig!$C206,Elig_MatchAll_Ct&lt;22,$BC206=(Elig_MatchAll_Ct-1),BA206=0),AE206,0)</f>
        <v>0</v>
      </c>
    </row>
    <row r="207" spans="1:88" ht="10.15" customHeight="1" x14ac:dyDescent="0.25">
      <c r="A207" s="1419" t="s">
        <v>76</v>
      </c>
      <c r="B207" s="1419" t="s">
        <v>2040</v>
      </c>
      <c r="C207" s="116" t="str">
        <f t="shared" si="53"/>
        <v>NonQM OO</v>
      </c>
      <c r="D207" s="117" t="s">
        <v>1995</v>
      </c>
      <c r="E207" s="117" t="s">
        <v>166</v>
      </c>
      <c r="F207" s="117" t="s">
        <v>330</v>
      </c>
      <c r="G207" s="117" t="s">
        <v>303</v>
      </c>
      <c r="H207" s="117" t="s">
        <v>444</v>
      </c>
      <c r="I207" s="118" t="s">
        <v>273</v>
      </c>
      <c r="J207" s="118" t="s">
        <v>1130</v>
      </c>
      <c r="K207" s="118" t="s">
        <v>1398</v>
      </c>
      <c r="L207" s="117" t="s">
        <v>2025</v>
      </c>
      <c r="M207" s="117" t="s">
        <v>2289</v>
      </c>
      <c r="N207" s="117" t="s">
        <v>82</v>
      </c>
      <c r="O207" s="117" t="s">
        <v>309</v>
      </c>
      <c r="P207" s="117" t="s">
        <v>2433</v>
      </c>
      <c r="Q207" s="117" t="s">
        <v>293</v>
      </c>
      <c r="R207" s="117">
        <v>2500000.0099999998</v>
      </c>
      <c r="S207" s="117">
        <v>3000000</v>
      </c>
      <c r="T207" s="117">
        <v>0</v>
      </c>
      <c r="U207" s="117">
        <v>0</v>
      </c>
      <c r="V207" s="117">
        <v>0</v>
      </c>
      <c r="W207" s="117">
        <v>55</v>
      </c>
      <c r="X207" s="117">
        <v>0</v>
      </c>
      <c r="Y207" s="117">
        <v>999</v>
      </c>
      <c r="Z207" s="119">
        <v>700</v>
      </c>
      <c r="AA207" s="119">
        <v>719</v>
      </c>
      <c r="AB207" s="1877">
        <v>0</v>
      </c>
      <c r="AC207" s="119">
        <v>999999</v>
      </c>
      <c r="AD207" s="117">
        <v>0</v>
      </c>
      <c r="AE207" s="117">
        <v>75</v>
      </c>
      <c r="AF207" s="144">
        <v>0</v>
      </c>
      <c r="AG207" s="145">
        <v>1</v>
      </c>
      <c r="AH207" s="145">
        <v>1</v>
      </c>
      <c r="AI207" s="145">
        <v>0</v>
      </c>
      <c r="AJ207" s="145">
        <v>0</v>
      </c>
      <c r="AK207" s="145">
        <v>0</v>
      </c>
      <c r="AL207" s="145">
        <v>1</v>
      </c>
      <c r="AM207" s="145">
        <v>1</v>
      </c>
      <c r="AN207" s="145">
        <v>1</v>
      </c>
      <c r="AO207" s="145">
        <v>1</v>
      </c>
      <c r="AP207" s="145">
        <v>1</v>
      </c>
      <c r="AQ207" s="145">
        <v>0</v>
      </c>
      <c r="AR207" s="145">
        <v>1</v>
      </c>
      <c r="AS207" s="145">
        <v>1</v>
      </c>
      <c r="AT207" s="145">
        <v>1</v>
      </c>
      <c r="AU207" s="145">
        <f t="shared" si="55"/>
        <v>0</v>
      </c>
      <c r="AV207" s="145">
        <f t="shared" si="56"/>
        <v>1</v>
      </c>
      <c r="AW207" s="145">
        <f t="shared" si="57"/>
        <v>1</v>
      </c>
      <c r="AX207" s="145">
        <f t="shared" si="73"/>
        <v>1</v>
      </c>
      <c r="AY207" s="145">
        <f t="shared" si="58"/>
        <v>0</v>
      </c>
      <c r="AZ207" s="145">
        <f t="shared" si="59"/>
        <v>1</v>
      </c>
      <c r="BA207" s="146">
        <f t="shared" si="60"/>
        <v>1</v>
      </c>
      <c r="BB207" s="149">
        <f t="shared" si="63"/>
        <v>15</v>
      </c>
      <c r="BC207" s="150">
        <f t="shared" si="64"/>
        <v>14</v>
      </c>
      <c r="BD207" s="150">
        <f t="shared" si="65"/>
        <v>15</v>
      </c>
      <c r="BE207" s="211" t="str">
        <f t="shared" si="66"/>
        <v/>
      </c>
      <c r="BH207" s="173">
        <f>IF(AND(Input_Product=Elig!$C207,Elig_MatchAll_Ct&lt;22,$BC207=(Elig_MatchAll_Ct-1),AF207=0),C207,0)</f>
        <v>0</v>
      </c>
      <c r="BI207" s="173">
        <f>IF(AND(Input_Product=Elig!$C207,Elig_MatchAll_Ct&lt;22,$BC207=(Elig_MatchAll_Ct-1),AG207=0),D207,0)</f>
        <v>0</v>
      </c>
      <c r="BJ207" s="173">
        <f>IF(AND(Input_Product=Elig!$C207,Elig_MatchAll_Ct&lt;22,$BC207=(Elig_MatchAll_Ct-1),AH207=0),E207,0)</f>
        <v>0</v>
      </c>
      <c r="BK207" s="173">
        <f>IF(AND(Input_Product=Elig!$C207,Elig_MatchAll_Ct&lt;22,$BC207=(Elig_MatchAll_Ct-1),AI207=0),F207,0)</f>
        <v>0</v>
      </c>
      <c r="BL207" s="173">
        <f>IF(AND(Input_Product=Elig!$C207,Elig_MatchAll_Ct&lt;22,$BC207=(Elig_MatchAll_Ct-1),AJ207=0),G207,0)</f>
        <v>0</v>
      </c>
      <c r="BM207" s="173">
        <f>IF(AND(Input_Product=Elig!$C207,Elig_MatchAll_Ct&lt;22,$BC207=(Elig_MatchAll_Ct-1),AK207=0),H207,0)</f>
        <v>0</v>
      </c>
      <c r="BN207" s="173">
        <f>IF(AND(Input_Product=Elig!$C207,Elig_MatchAll_Ct&lt;22,$BC207=(Elig_MatchAll_Ct-1),AL207=0),I207,0)</f>
        <v>0</v>
      </c>
      <c r="BO207" s="173">
        <f>IF(AND(Input_Product=Elig!$C207,Elig_MatchAll_Ct&lt;22,$BC207=(Elig_MatchAll_Ct-1),AM207=0),J207,0)</f>
        <v>0</v>
      </c>
      <c r="BP207" s="173">
        <f>IF(AND(Input_Product=Elig!$C207,Elig_MatchAll_Ct&lt;22,$BC207=(Elig_MatchAll_Ct-1),AN207=0),K207,0)</f>
        <v>0</v>
      </c>
      <c r="BQ207" s="173">
        <f>IF(AND(Input_Product=Elig!$C207,Elig_MatchAll_Ct&lt;22,$BC207=(Elig_MatchAll_Ct-1),AP207=0),L207,0)</f>
        <v>0</v>
      </c>
      <c r="BR207" s="173">
        <f>IF(AND(Input_Product=Elig!$C207,Elig_MatchAll_Ct&lt;22,$BC207=(Elig_MatchAll_Ct-1),AO207=0),M207,0)</f>
        <v>0</v>
      </c>
      <c r="BS207" s="173">
        <f>IF(AND(Input_Product=Elig!$C207,Elig_MatchAll_Ct&lt;22,$BC207=(Elig_MatchAll_Ct-1),AQ207=0),N207,0)</f>
        <v>0</v>
      </c>
      <c r="BT207" s="173">
        <f>IF(AND(Input_Product=Elig!$C207,Elig_MatchAll_Ct&lt;22,$BC207=(Elig_MatchAll_Ct-1),AR207=0),O207,0)</f>
        <v>0</v>
      </c>
      <c r="BU207" s="173">
        <f>IF(AND(Input_Product=Elig!$C207,Elig_MatchAll_Ct&lt;22,$BC207=(Elig_MatchAll_Ct-1),AS207=0),P207,0)</f>
        <v>0</v>
      </c>
      <c r="BV207" s="174">
        <f>IF(AND(Input_Product=Elig!$C207,Elig_MatchAll_Ct&lt;22,$BC207=(Elig_MatchAll_Ct-1),AT207=0),Q207,0)</f>
        <v>0</v>
      </c>
      <c r="BW207" s="175">
        <f>IF(AND(Input_Product=Elig!$C207,Elig_MatchAll_Ct&lt;22,$BC207=(Elig_MatchAll_Ct-1),AU207=0),R207,0)</f>
        <v>0</v>
      </c>
      <c r="BX207" s="176">
        <f>IF(AND(Input_Product=Elig!$C207,Elig_MatchAll_Ct&lt;22,$BC207=(Elig_MatchAll_Ct-1),AU207=0),S207,0)</f>
        <v>0</v>
      </c>
      <c r="BY207" s="175">
        <f>IF(AND(Input_Product=Elig!$C207,Elig_MatchAll_Ct&lt;22,$BC207=(Elig_MatchAll_Ct-1),AV207=0),T207,0)</f>
        <v>0</v>
      </c>
      <c r="BZ207" s="176">
        <f>IF(AND(Input_Product=Elig!$C207,Elig_MatchAll_Ct&lt;22,$BC207=(Elig_MatchAll_Ct-1),AV207=0),U207,0)</f>
        <v>0</v>
      </c>
      <c r="CA207" s="175">
        <f>IF(AND(Input_Product=Elig!$C207,Elig_MatchAll_Ct&lt;22,$BC207=(Elig_MatchAll_Ct-1),AW207=0),V207,0)</f>
        <v>0</v>
      </c>
      <c r="CB207" s="176">
        <f>IF(AND(Input_Product=Elig!$C207,Elig_MatchAll_Ct&lt;22,$BC207=(Elig_MatchAll_Ct-1),AW207=0),W207,0)</f>
        <v>0</v>
      </c>
      <c r="CC207" s="175">
        <f>IF(AND(Input_Product=Elig!$C207,Elig_MatchAll_Ct&lt;22,$BC207=(Elig_MatchAll_Ct-1),AX207=0),X207,0)</f>
        <v>0</v>
      </c>
      <c r="CD207" s="176">
        <f>IF(AND(Input_Product=Elig!$C207,Elig_MatchAll_Ct&lt;22,$BC207=(Elig_MatchAll_Ct-1),AX207=0),Y207,0)</f>
        <v>0</v>
      </c>
      <c r="CE207" s="175">
        <f>IF(AND(Input_LTV&lt;=AE207,Input_Product=Elig!$C207,Elig_MatchAll_Ct&lt;22,$BC207=(Elig_MatchAll_Ct-1),AY207=0),Z207,0)</f>
        <v>0</v>
      </c>
      <c r="CF207" s="176">
        <f>IF(AND(Input_LTV&lt;=AE207,Input_Product=Elig!$C207,Elig_MatchAll_Ct&lt;22,$BC207=(Elig_MatchAll_Ct-1),AY207=0),AA207,0)</f>
        <v>0</v>
      </c>
      <c r="CG207" s="175">
        <f>IF(AND(Input_Product=Elig!$C207,Elig_MatchAll_Ct&lt;22,$BC207=(Elig_MatchAll_Ct-1),AZ207=0),AB207,0)</f>
        <v>0</v>
      </c>
      <c r="CH207" s="176">
        <f>IF(AND(Input_Product=Elig!$C207,Elig_MatchAll_Ct&lt;22,$BC207=(Elig_MatchAll_Ct-1),AZ207=0),AC207,0)</f>
        <v>0</v>
      </c>
      <c r="CI207" s="175">
        <f>IF(AND(Input_Product=Elig!$C207,Elig_MatchAll_Ct&lt;22,$BC207=(Elig_MatchAll_Ct-1),BA207=0),AD207,0)</f>
        <v>0</v>
      </c>
      <c r="CJ207" s="176">
        <f>IF(AND(Input_Product=Elig!$C207,Elig_MatchAll_Ct&lt;22,$BC207=(Elig_MatchAll_Ct-1),BA207=0),AE207,0)</f>
        <v>0</v>
      </c>
    </row>
    <row r="208" spans="1:88" ht="10.15" customHeight="1" x14ac:dyDescent="0.25">
      <c r="A208" s="1419" t="s">
        <v>76</v>
      </c>
      <c r="B208" s="1419" t="s">
        <v>2041</v>
      </c>
      <c r="C208" s="116" t="str">
        <f t="shared" si="53"/>
        <v>NonQM OO</v>
      </c>
      <c r="D208" s="117" t="s">
        <v>1995</v>
      </c>
      <c r="E208" s="117" t="s">
        <v>166</v>
      </c>
      <c r="F208" s="117" t="s">
        <v>330</v>
      </c>
      <c r="G208" s="117" t="s">
        <v>303</v>
      </c>
      <c r="H208" s="117" t="s">
        <v>444</v>
      </c>
      <c r="I208" s="118" t="s">
        <v>273</v>
      </c>
      <c r="J208" s="118" t="s">
        <v>1130</v>
      </c>
      <c r="K208" s="118" t="s">
        <v>1398</v>
      </c>
      <c r="L208" s="117" t="s">
        <v>2025</v>
      </c>
      <c r="M208" s="117" t="s">
        <v>2289</v>
      </c>
      <c r="N208" s="117" t="s">
        <v>82</v>
      </c>
      <c r="O208" s="117" t="s">
        <v>309</v>
      </c>
      <c r="P208" s="117" t="s">
        <v>2433</v>
      </c>
      <c r="Q208" s="117" t="s">
        <v>293</v>
      </c>
      <c r="R208" s="117">
        <v>2500000.0099999998</v>
      </c>
      <c r="S208" s="117">
        <v>3000000</v>
      </c>
      <c r="T208" s="117">
        <v>0</v>
      </c>
      <c r="U208" s="117">
        <v>0</v>
      </c>
      <c r="V208" s="117">
        <v>0</v>
      </c>
      <c r="W208" s="117">
        <v>55</v>
      </c>
      <c r="X208" s="117">
        <v>0</v>
      </c>
      <c r="Y208" s="117">
        <v>999</v>
      </c>
      <c r="Z208" s="119">
        <v>680</v>
      </c>
      <c r="AA208" s="119">
        <v>699</v>
      </c>
      <c r="AB208" s="1877">
        <v>0</v>
      </c>
      <c r="AC208" s="119">
        <v>999999</v>
      </c>
      <c r="AD208" s="117">
        <v>0</v>
      </c>
      <c r="AE208" s="117">
        <v>70</v>
      </c>
      <c r="AF208" s="144">
        <v>0</v>
      </c>
      <c r="AG208" s="145">
        <v>1</v>
      </c>
      <c r="AH208" s="145">
        <v>1</v>
      </c>
      <c r="AI208" s="145">
        <v>0</v>
      </c>
      <c r="AJ208" s="145">
        <v>0</v>
      </c>
      <c r="AK208" s="145">
        <v>0</v>
      </c>
      <c r="AL208" s="145">
        <v>1</v>
      </c>
      <c r="AM208" s="145">
        <v>1</v>
      </c>
      <c r="AN208" s="145">
        <v>1</v>
      </c>
      <c r="AO208" s="145">
        <v>1</v>
      </c>
      <c r="AP208" s="145">
        <v>1</v>
      </c>
      <c r="AQ208" s="145">
        <v>0</v>
      </c>
      <c r="AR208" s="145">
        <v>1</v>
      </c>
      <c r="AS208" s="145">
        <v>1</v>
      </c>
      <c r="AT208" s="145">
        <v>1</v>
      </c>
      <c r="AU208" s="145">
        <f t="shared" si="55"/>
        <v>0</v>
      </c>
      <c r="AV208" s="145">
        <f t="shared" si="56"/>
        <v>1</v>
      </c>
      <c r="AW208" s="145">
        <f t="shared" si="57"/>
        <v>1</v>
      </c>
      <c r="AX208" s="145">
        <f t="shared" si="73"/>
        <v>1</v>
      </c>
      <c r="AY208" s="145">
        <f t="shared" si="58"/>
        <v>0</v>
      </c>
      <c r="AZ208" s="145">
        <f t="shared" si="59"/>
        <v>1</v>
      </c>
      <c r="BA208" s="146">
        <f t="shared" si="60"/>
        <v>1</v>
      </c>
      <c r="BB208" s="149">
        <f t="shared" si="63"/>
        <v>15</v>
      </c>
      <c r="BC208" s="150">
        <f t="shared" si="64"/>
        <v>14</v>
      </c>
      <c r="BD208" s="150">
        <f t="shared" si="65"/>
        <v>15</v>
      </c>
      <c r="BE208" s="211" t="str">
        <f t="shared" si="66"/>
        <v/>
      </c>
      <c r="BH208" s="188">
        <f>IF(AND(Input_Product=Elig!$C208,Elig_MatchAll_Ct&lt;22,$BC208=(Elig_MatchAll_Ct-1),AF208=0),C208,0)</f>
        <v>0</v>
      </c>
      <c r="BI208" s="188">
        <f>IF(AND(Input_Product=Elig!$C208,Elig_MatchAll_Ct&lt;22,$BC208=(Elig_MatchAll_Ct-1),AG208=0),D208,0)</f>
        <v>0</v>
      </c>
      <c r="BJ208" s="188">
        <f>IF(AND(Input_Product=Elig!$C208,Elig_MatchAll_Ct&lt;22,$BC208=(Elig_MatchAll_Ct-1),AH208=0),E208,0)</f>
        <v>0</v>
      </c>
      <c r="BK208" s="188">
        <f>IF(AND(Input_Product=Elig!$C208,Elig_MatchAll_Ct&lt;22,$BC208=(Elig_MatchAll_Ct-1),AI208=0),F208,0)</f>
        <v>0</v>
      </c>
      <c r="BL208" s="188">
        <f>IF(AND(Input_Product=Elig!$C208,Elig_MatchAll_Ct&lt;22,$BC208=(Elig_MatchAll_Ct-1),AJ208=0),G208,0)</f>
        <v>0</v>
      </c>
      <c r="BM208" s="188">
        <f>IF(AND(Input_Product=Elig!$C208,Elig_MatchAll_Ct&lt;22,$BC208=(Elig_MatchAll_Ct-1),AK208=0),H208,0)</f>
        <v>0</v>
      </c>
      <c r="BN208" s="188">
        <f>IF(AND(Input_Product=Elig!$C208,Elig_MatchAll_Ct&lt;22,$BC208=(Elig_MatchAll_Ct-1),AL208=0),I208,0)</f>
        <v>0</v>
      </c>
      <c r="BO208" s="188">
        <f>IF(AND(Input_Product=Elig!$C208,Elig_MatchAll_Ct&lt;22,$BC208=(Elig_MatchAll_Ct-1),AM208=0),J208,0)</f>
        <v>0</v>
      </c>
      <c r="BP208" s="188">
        <f>IF(AND(Input_Product=Elig!$C208,Elig_MatchAll_Ct&lt;22,$BC208=(Elig_MatchAll_Ct-1),AN208=0),K208,0)</f>
        <v>0</v>
      </c>
      <c r="BQ208" s="188">
        <f>IF(AND(Input_Product=Elig!$C208,Elig_MatchAll_Ct&lt;22,$BC208=(Elig_MatchAll_Ct-1),AP208=0),L208,0)</f>
        <v>0</v>
      </c>
      <c r="BR208" s="188">
        <f>IF(AND(Input_Product=Elig!$C208,Elig_MatchAll_Ct&lt;22,$BC208=(Elig_MatchAll_Ct-1),AO208=0),M208,0)</f>
        <v>0</v>
      </c>
      <c r="BS208" s="188">
        <f>IF(AND(Input_Product=Elig!$C208,Elig_MatchAll_Ct&lt;22,$BC208=(Elig_MatchAll_Ct-1),AQ208=0),N208,0)</f>
        <v>0</v>
      </c>
      <c r="BT208" s="188">
        <f>IF(AND(Input_Product=Elig!$C208,Elig_MatchAll_Ct&lt;22,$BC208=(Elig_MatchAll_Ct-1),AR208=0),O208,0)</f>
        <v>0</v>
      </c>
      <c r="BU208" s="188">
        <f>IF(AND(Input_Product=Elig!$C208,Elig_MatchAll_Ct&lt;22,$BC208=(Elig_MatchAll_Ct-1),AS208=0),P208,0)</f>
        <v>0</v>
      </c>
      <c r="BV208" s="189">
        <f>IF(AND(Input_Product=Elig!$C208,Elig_MatchAll_Ct&lt;22,$BC208=(Elig_MatchAll_Ct-1),AT208=0),Q208,0)</f>
        <v>0</v>
      </c>
      <c r="BW208" s="271">
        <f>IF(AND(Input_Product=Elig!$C208,Elig_MatchAll_Ct&lt;22,$BC208=(Elig_MatchAll_Ct-1),AU208=0),R208,0)</f>
        <v>0</v>
      </c>
      <c r="BX208" s="272">
        <f>IF(AND(Input_Product=Elig!$C208,Elig_MatchAll_Ct&lt;22,$BC208=(Elig_MatchAll_Ct-1),AU208=0),S208,0)</f>
        <v>0</v>
      </c>
      <c r="BY208" s="271">
        <f>IF(AND(Input_Product=Elig!$C208,Elig_MatchAll_Ct&lt;22,$BC208=(Elig_MatchAll_Ct-1),AV208=0),T208,0)</f>
        <v>0</v>
      </c>
      <c r="BZ208" s="272">
        <f>IF(AND(Input_Product=Elig!$C208,Elig_MatchAll_Ct&lt;22,$BC208=(Elig_MatchAll_Ct-1),AV208=0),U208,0)</f>
        <v>0</v>
      </c>
      <c r="CA208" s="271">
        <f>IF(AND(Input_Product=Elig!$C208,Elig_MatchAll_Ct&lt;22,$BC208=(Elig_MatchAll_Ct-1),AW208=0),V208,0)</f>
        <v>0</v>
      </c>
      <c r="CB208" s="272">
        <f>IF(AND(Input_Product=Elig!$C208,Elig_MatchAll_Ct&lt;22,$BC208=(Elig_MatchAll_Ct-1),AW208=0),W208,0)</f>
        <v>0</v>
      </c>
      <c r="CC208" s="271">
        <f>IF(AND(Input_Product=Elig!$C208,Elig_MatchAll_Ct&lt;22,$BC208=(Elig_MatchAll_Ct-1),AX208=0),X208,0)</f>
        <v>0</v>
      </c>
      <c r="CD208" s="272">
        <f>IF(AND(Input_Product=Elig!$C208,Elig_MatchAll_Ct&lt;22,$BC208=(Elig_MatchAll_Ct-1),AX208=0),Y208,0)</f>
        <v>0</v>
      </c>
      <c r="CE208" s="271">
        <f>IF(AND(Input_LTV&lt;=AE208,Input_Product=Elig!$C208,Elig_MatchAll_Ct&lt;22,$BC208=(Elig_MatchAll_Ct-1),AY208=0),Z208,0)</f>
        <v>0</v>
      </c>
      <c r="CF208" s="272">
        <f>IF(AND(Input_LTV&lt;=AE208,Input_Product=Elig!$C208,Elig_MatchAll_Ct&lt;22,$BC208=(Elig_MatchAll_Ct-1),AY208=0),AA208,0)</f>
        <v>0</v>
      </c>
      <c r="CG208" s="271">
        <f>IF(AND(Input_Product=Elig!$C208,Elig_MatchAll_Ct&lt;22,$BC208=(Elig_MatchAll_Ct-1),AZ208=0),AB208,0)</f>
        <v>0</v>
      </c>
      <c r="CH208" s="272">
        <f>IF(AND(Input_Product=Elig!$C208,Elig_MatchAll_Ct&lt;22,$BC208=(Elig_MatchAll_Ct-1),AZ208=0),AC208,0)</f>
        <v>0</v>
      </c>
      <c r="CI208" s="271">
        <f>IF(AND(Input_Product=Elig!$C208,Elig_MatchAll_Ct&lt;22,$BC208=(Elig_MatchAll_Ct-1),BA208=0),AD208,0)</f>
        <v>0</v>
      </c>
      <c r="CJ208" s="272">
        <f>IF(AND(Input_Product=Elig!$C208,Elig_MatchAll_Ct&lt;22,$BC208=(Elig_MatchAll_Ct-1),BA208=0),AE208,0)</f>
        <v>0</v>
      </c>
    </row>
    <row r="209" spans="1:89" ht="10.15" customHeight="1" x14ac:dyDescent="0.25">
      <c r="A209" s="1419" t="s">
        <v>76</v>
      </c>
      <c r="B209" s="1419" t="s">
        <v>2042</v>
      </c>
      <c r="C209" s="123" t="str">
        <f t="shared" si="53"/>
        <v>NonQM OO</v>
      </c>
      <c r="D209" s="124" t="s">
        <v>1995</v>
      </c>
      <c r="E209" s="125" t="s">
        <v>166</v>
      </c>
      <c r="F209" s="125" t="s">
        <v>330</v>
      </c>
      <c r="G209" s="125" t="s">
        <v>303</v>
      </c>
      <c r="H209" s="125" t="s">
        <v>444</v>
      </c>
      <c r="I209" s="124" t="s">
        <v>16</v>
      </c>
      <c r="J209" s="124" t="s">
        <v>1130</v>
      </c>
      <c r="K209" s="124" t="s">
        <v>1398</v>
      </c>
      <c r="L209" s="125" t="s">
        <v>2025</v>
      </c>
      <c r="M209" s="125" t="s">
        <v>2289</v>
      </c>
      <c r="N209" s="125" t="s">
        <v>82</v>
      </c>
      <c r="O209" s="125" t="s">
        <v>309</v>
      </c>
      <c r="P209" s="125" t="s">
        <v>2433</v>
      </c>
      <c r="Q209" s="125" t="s">
        <v>293</v>
      </c>
      <c r="R209" s="124">
        <v>2500000.0099999998</v>
      </c>
      <c r="S209" s="124">
        <v>3000000</v>
      </c>
      <c r="T209" s="124">
        <v>0</v>
      </c>
      <c r="U209" s="124">
        <f t="shared" ref="U209:U211" si="77">S209</f>
        <v>3000000</v>
      </c>
      <c r="V209" s="124">
        <v>0</v>
      </c>
      <c r="W209" s="124">
        <v>55</v>
      </c>
      <c r="X209" s="124">
        <v>0</v>
      </c>
      <c r="Y209" s="124">
        <v>999</v>
      </c>
      <c r="Z209" s="126">
        <v>720</v>
      </c>
      <c r="AA209" s="126">
        <v>999</v>
      </c>
      <c r="AB209" s="1879">
        <v>0</v>
      </c>
      <c r="AC209" s="126">
        <v>999999</v>
      </c>
      <c r="AD209" s="124">
        <v>0</v>
      </c>
      <c r="AE209" s="124">
        <v>70</v>
      </c>
      <c r="AF209" s="144">
        <v>0</v>
      </c>
      <c r="AG209" s="145">
        <v>1</v>
      </c>
      <c r="AH209" s="145">
        <v>1</v>
      </c>
      <c r="AI209" s="145">
        <v>0</v>
      </c>
      <c r="AJ209" s="145">
        <v>0</v>
      </c>
      <c r="AK209" s="145">
        <v>0</v>
      </c>
      <c r="AL209" s="145">
        <v>0</v>
      </c>
      <c r="AM209" s="145">
        <v>1</v>
      </c>
      <c r="AN209" s="145">
        <v>1</v>
      </c>
      <c r="AO209" s="145">
        <v>1</v>
      </c>
      <c r="AP209" s="145">
        <v>1</v>
      </c>
      <c r="AQ209" s="145">
        <v>0</v>
      </c>
      <c r="AR209" s="145">
        <v>1</v>
      </c>
      <c r="AS209" s="145">
        <v>1</v>
      </c>
      <c r="AT209" s="145">
        <v>1</v>
      </c>
      <c r="AU209" s="145">
        <f t="shared" si="55"/>
        <v>0</v>
      </c>
      <c r="AV209" s="145">
        <f t="shared" si="56"/>
        <v>1</v>
      </c>
      <c r="AW209" s="145">
        <f t="shared" si="57"/>
        <v>1</v>
      </c>
      <c r="AX209" s="145">
        <f t="shared" si="73"/>
        <v>1</v>
      </c>
      <c r="AY209" s="145">
        <f t="shared" si="58"/>
        <v>1</v>
      </c>
      <c r="AZ209" s="145">
        <f t="shared" si="59"/>
        <v>1</v>
      </c>
      <c r="BA209" s="146">
        <f t="shared" si="60"/>
        <v>1</v>
      </c>
      <c r="BB209" s="149">
        <f t="shared" si="63"/>
        <v>15</v>
      </c>
      <c r="BC209" s="150">
        <f t="shared" si="64"/>
        <v>14</v>
      </c>
      <c r="BD209" s="150">
        <f t="shared" si="65"/>
        <v>15</v>
      </c>
      <c r="BE209" s="211" t="str">
        <f t="shared" si="66"/>
        <v/>
      </c>
      <c r="BH209" s="184">
        <f>IF(AND(Input_Product=Elig!$C209,Elig_MatchAll_Ct&lt;22,$BC209=(Elig_MatchAll_Ct-1),AF209=0),C209,0)</f>
        <v>0</v>
      </c>
      <c r="BI209" s="184">
        <f>IF(AND(Input_Product=Elig!$C209,Elig_MatchAll_Ct&lt;22,$BC209=(Elig_MatchAll_Ct-1),AG209=0),D209,0)</f>
        <v>0</v>
      </c>
      <c r="BJ209" s="184">
        <f>IF(AND(Input_Product=Elig!$C209,Elig_MatchAll_Ct&lt;22,$BC209=(Elig_MatchAll_Ct-1),AH209=0),E209,0)</f>
        <v>0</v>
      </c>
      <c r="BK209" s="184">
        <f>IF(AND(Input_Product=Elig!$C209,Elig_MatchAll_Ct&lt;22,$BC209=(Elig_MatchAll_Ct-1),AI209=0),F209,0)</f>
        <v>0</v>
      </c>
      <c r="BL209" s="184">
        <f>IF(AND(Input_Product=Elig!$C209,Elig_MatchAll_Ct&lt;22,$BC209=(Elig_MatchAll_Ct-1),AJ209=0),G209,0)</f>
        <v>0</v>
      </c>
      <c r="BM209" s="184">
        <f>IF(AND(Input_Product=Elig!$C209,Elig_MatchAll_Ct&lt;22,$BC209=(Elig_MatchAll_Ct-1),AK209=0),H209,0)</f>
        <v>0</v>
      </c>
      <c r="BN209" s="184">
        <f>IF(AND(Input_Product=Elig!$C209,Elig_MatchAll_Ct&lt;22,$BC209=(Elig_MatchAll_Ct-1),AL209=0),I209,0)</f>
        <v>0</v>
      </c>
      <c r="BO209" s="184">
        <f>IF(AND(Input_Product=Elig!$C209,Elig_MatchAll_Ct&lt;22,$BC209=(Elig_MatchAll_Ct-1),AM209=0),J209,0)</f>
        <v>0</v>
      </c>
      <c r="BP209" s="184">
        <f>IF(AND(Input_Product=Elig!$C209,Elig_MatchAll_Ct&lt;22,$BC209=(Elig_MatchAll_Ct-1),AN209=0),K209,0)</f>
        <v>0</v>
      </c>
      <c r="BQ209" s="184">
        <f>IF(AND(Input_Product=Elig!$C209,Elig_MatchAll_Ct&lt;22,$BC209=(Elig_MatchAll_Ct-1),AP209=0),L209,0)</f>
        <v>0</v>
      </c>
      <c r="BR209" s="184">
        <f>IF(AND(Input_Product=Elig!$C209,Elig_MatchAll_Ct&lt;22,$BC209=(Elig_MatchAll_Ct-1),AO209=0),M209,0)</f>
        <v>0</v>
      </c>
      <c r="BS209" s="184">
        <f>IF(AND(Input_Product=Elig!$C209,Elig_MatchAll_Ct&lt;22,$BC209=(Elig_MatchAll_Ct-1),AQ209=0),N209,0)</f>
        <v>0</v>
      </c>
      <c r="BT209" s="184">
        <f>IF(AND(Input_Product=Elig!$C209,Elig_MatchAll_Ct&lt;22,$BC209=(Elig_MatchAll_Ct-1),AR209=0),O209,0)</f>
        <v>0</v>
      </c>
      <c r="BU209" s="184">
        <f>IF(AND(Input_Product=Elig!$C209,Elig_MatchAll_Ct&lt;22,$BC209=(Elig_MatchAll_Ct-1),AS209=0),P209,0)</f>
        <v>0</v>
      </c>
      <c r="BV209" s="185">
        <f>IF(AND(Input_Product=Elig!$C209,Elig_MatchAll_Ct&lt;22,$BC209=(Elig_MatchAll_Ct-1),AT209=0),Q209,0)</f>
        <v>0</v>
      </c>
      <c r="BW209" s="186">
        <f>IF(AND(Input_Product=Elig!$C209,Elig_MatchAll_Ct&lt;22,$BC209=(Elig_MatchAll_Ct-1),AU209=0),R209,0)</f>
        <v>0</v>
      </c>
      <c r="BX209" s="187">
        <f>IF(AND(Input_Product=Elig!$C209,Elig_MatchAll_Ct&lt;22,$BC209=(Elig_MatchAll_Ct-1),AU209=0),S209,0)</f>
        <v>0</v>
      </c>
      <c r="BY209" s="186">
        <f>IF(AND(Input_Product=Elig!$C209,Elig_MatchAll_Ct&lt;22,$BC209=(Elig_MatchAll_Ct-1),AV209=0),T209,0)</f>
        <v>0</v>
      </c>
      <c r="BZ209" s="187">
        <f>IF(AND(Input_Product=Elig!$C209,Elig_MatchAll_Ct&lt;22,$BC209=(Elig_MatchAll_Ct-1),AV209=0),U209,0)</f>
        <v>0</v>
      </c>
      <c r="CA209" s="186">
        <f>IF(AND(Input_Product=Elig!$C209,Elig_MatchAll_Ct&lt;22,$BC209=(Elig_MatchAll_Ct-1),AW209=0),V209,0)</f>
        <v>0</v>
      </c>
      <c r="CB209" s="187">
        <f>IF(AND(Input_Product=Elig!$C209,Elig_MatchAll_Ct&lt;22,$BC209=(Elig_MatchAll_Ct-1),AW209=0),W209,0)</f>
        <v>0</v>
      </c>
      <c r="CC209" s="186">
        <f>IF(AND(Input_Product=Elig!$C209,Elig_MatchAll_Ct&lt;22,$BC209=(Elig_MatchAll_Ct-1),AX209=0),X209,0)</f>
        <v>0</v>
      </c>
      <c r="CD209" s="187">
        <f>IF(AND(Input_Product=Elig!$C209,Elig_MatchAll_Ct&lt;22,$BC209=(Elig_MatchAll_Ct-1),AX209=0),Y209,0)</f>
        <v>0</v>
      </c>
      <c r="CE209" s="186">
        <f>IF(AND(Input_LTV&lt;=AE209,Input_Product=Elig!$C209,Elig_MatchAll_Ct&lt;22,$BC209=(Elig_MatchAll_Ct-1),AY209=0),Z209,0)</f>
        <v>0</v>
      </c>
      <c r="CF209" s="187">
        <f>IF(AND(Input_LTV&lt;=AE209,Input_Product=Elig!$C209,Elig_MatchAll_Ct&lt;22,$BC209=(Elig_MatchAll_Ct-1),AY209=0),AA209,0)</f>
        <v>0</v>
      </c>
      <c r="CG209" s="186">
        <f>IF(AND(Input_Product=Elig!$C209,Elig_MatchAll_Ct&lt;22,$BC209=(Elig_MatchAll_Ct-1),AZ209=0),AB209,0)</f>
        <v>0</v>
      </c>
      <c r="CH209" s="187">
        <f>IF(AND(Input_Product=Elig!$C209,Elig_MatchAll_Ct&lt;22,$BC209=(Elig_MatchAll_Ct-1),AZ209=0),AC209,0)</f>
        <v>0</v>
      </c>
      <c r="CI209" s="186">
        <f>IF(AND(Input_Product=Elig!$C209,Elig_MatchAll_Ct&lt;22,$BC209=(Elig_MatchAll_Ct-1),BA209=0),AD209,0)</f>
        <v>0</v>
      </c>
      <c r="CJ209" s="187">
        <f>IF(AND(Input_Product=Elig!$C209,Elig_MatchAll_Ct&lt;22,$BC209=(Elig_MatchAll_Ct-1),BA209=0),AE209,0)</f>
        <v>0</v>
      </c>
    </row>
    <row r="210" spans="1:89" ht="10.15" customHeight="1" x14ac:dyDescent="0.25">
      <c r="A210" s="1419" t="s">
        <v>76</v>
      </c>
      <c r="B210" s="1419" t="s">
        <v>2043</v>
      </c>
      <c r="C210" s="116" t="str">
        <f t="shared" si="53"/>
        <v>NonQM OO</v>
      </c>
      <c r="D210" s="117" t="s">
        <v>1995</v>
      </c>
      <c r="E210" s="117" t="s">
        <v>166</v>
      </c>
      <c r="F210" s="117" t="s">
        <v>330</v>
      </c>
      <c r="G210" s="117" t="s">
        <v>303</v>
      </c>
      <c r="H210" s="117" t="s">
        <v>444</v>
      </c>
      <c r="I210" s="118" t="s">
        <v>16</v>
      </c>
      <c r="J210" s="118" t="s">
        <v>1130</v>
      </c>
      <c r="K210" s="118" t="s">
        <v>1398</v>
      </c>
      <c r="L210" s="117" t="s">
        <v>2025</v>
      </c>
      <c r="M210" s="117" t="s">
        <v>2289</v>
      </c>
      <c r="N210" s="117" t="s">
        <v>82</v>
      </c>
      <c r="O210" s="117" t="s">
        <v>309</v>
      </c>
      <c r="P210" s="117" t="s">
        <v>2433</v>
      </c>
      <c r="Q210" s="117" t="s">
        <v>293</v>
      </c>
      <c r="R210" s="117">
        <v>2500000.0099999998</v>
      </c>
      <c r="S210" s="117">
        <v>3000000</v>
      </c>
      <c r="T210" s="117">
        <v>0</v>
      </c>
      <c r="U210" s="117">
        <f t="shared" si="77"/>
        <v>3000000</v>
      </c>
      <c r="V210" s="117">
        <v>0</v>
      </c>
      <c r="W210" s="117">
        <v>55</v>
      </c>
      <c r="X210" s="117">
        <v>0</v>
      </c>
      <c r="Y210" s="117">
        <v>999</v>
      </c>
      <c r="Z210" s="119">
        <v>700</v>
      </c>
      <c r="AA210" s="119">
        <v>719</v>
      </c>
      <c r="AB210" s="1877">
        <v>0</v>
      </c>
      <c r="AC210" s="119">
        <v>999999</v>
      </c>
      <c r="AD210" s="117">
        <v>0</v>
      </c>
      <c r="AE210" s="117">
        <v>65</v>
      </c>
      <c r="AF210" s="144">
        <v>0</v>
      </c>
      <c r="AG210" s="145">
        <v>1</v>
      </c>
      <c r="AH210" s="145">
        <v>1</v>
      </c>
      <c r="AI210" s="145">
        <v>0</v>
      </c>
      <c r="AJ210" s="145">
        <v>0</v>
      </c>
      <c r="AK210" s="145">
        <v>0</v>
      </c>
      <c r="AL210" s="145">
        <v>0</v>
      </c>
      <c r="AM210" s="145">
        <v>1</v>
      </c>
      <c r="AN210" s="145">
        <v>1</v>
      </c>
      <c r="AO210" s="145">
        <v>1</v>
      </c>
      <c r="AP210" s="145">
        <v>1</v>
      </c>
      <c r="AQ210" s="145">
        <v>0</v>
      </c>
      <c r="AR210" s="145">
        <v>1</v>
      </c>
      <c r="AS210" s="145">
        <v>1</v>
      </c>
      <c r="AT210" s="145">
        <v>1</v>
      </c>
      <c r="AU210" s="145">
        <f t="shared" si="55"/>
        <v>0</v>
      </c>
      <c r="AV210" s="145">
        <f t="shared" si="56"/>
        <v>1</v>
      </c>
      <c r="AW210" s="145">
        <f t="shared" si="57"/>
        <v>1</v>
      </c>
      <c r="AX210" s="145">
        <f t="shared" si="73"/>
        <v>1</v>
      </c>
      <c r="AY210" s="145">
        <f t="shared" si="58"/>
        <v>0</v>
      </c>
      <c r="AZ210" s="145">
        <f t="shared" si="59"/>
        <v>1</v>
      </c>
      <c r="BA210" s="146">
        <f t="shared" si="60"/>
        <v>0</v>
      </c>
      <c r="BB210" s="149">
        <f t="shared" si="63"/>
        <v>13</v>
      </c>
      <c r="BC210" s="150">
        <f t="shared" si="64"/>
        <v>13</v>
      </c>
      <c r="BD210" s="150">
        <f t="shared" si="65"/>
        <v>13</v>
      </c>
      <c r="BE210" s="211" t="str">
        <f t="shared" si="66"/>
        <v/>
      </c>
      <c r="BH210" s="173">
        <f>IF(AND(Input_Product=Elig!$C210,Elig_MatchAll_Ct&lt;22,$BC210=(Elig_MatchAll_Ct-1),AF210=0),C210,0)</f>
        <v>0</v>
      </c>
      <c r="BI210" s="173">
        <f>IF(AND(Input_Product=Elig!$C210,Elig_MatchAll_Ct&lt;22,$BC210=(Elig_MatchAll_Ct-1),AG210=0),D210,0)</f>
        <v>0</v>
      </c>
      <c r="BJ210" s="173">
        <f>IF(AND(Input_Product=Elig!$C210,Elig_MatchAll_Ct&lt;22,$BC210=(Elig_MatchAll_Ct-1),AH210=0),E210,0)</f>
        <v>0</v>
      </c>
      <c r="BK210" s="173">
        <f>IF(AND(Input_Product=Elig!$C210,Elig_MatchAll_Ct&lt;22,$BC210=(Elig_MatchAll_Ct-1),AI210=0),F210,0)</f>
        <v>0</v>
      </c>
      <c r="BL210" s="173">
        <f>IF(AND(Input_Product=Elig!$C210,Elig_MatchAll_Ct&lt;22,$BC210=(Elig_MatchAll_Ct-1),AJ210=0),G210,0)</f>
        <v>0</v>
      </c>
      <c r="BM210" s="173">
        <f>IF(AND(Input_Product=Elig!$C210,Elig_MatchAll_Ct&lt;22,$BC210=(Elig_MatchAll_Ct-1),AK210=0),H210,0)</f>
        <v>0</v>
      </c>
      <c r="BN210" s="173">
        <f>IF(AND(Input_Product=Elig!$C210,Elig_MatchAll_Ct&lt;22,$BC210=(Elig_MatchAll_Ct-1),AL210=0),I210,0)</f>
        <v>0</v>
      </c>
      <c r="BO210" s="173">
        <f>IF(AND(Input_Product=Elig!$C210,Elig_MatchAll_Ct&lt;22,$BC210=(Elig_MatchAll_Ct-1),AM210=0),J210,0)</f>
        <v>0</v>
      </c>
      <c r="BP210" s="173">
        <f>IF(AND(Input_Product=Elig!$C210,Elig_MatchAll_Ct&lt;22,$BC210=(Elig_MatchAll_Ct-1),AN210=0),K210,0)</f>
        <v>0</v>
      </c>
      <c r="BQ210" s="173">
        <f>IF(AND(Input_Product=Elig!$C210,Elig_MatchAll_Ct&lt;22,$BC210=(Elig_MatchAll_Ct-1),AP210=0),L210,0)</f>
        <v>0</v>
      </c>
      <c r="BR210" s="173">
        <f>IF(AND(Input_Product=Elig!$C210,Elig_MatchAll_Ct&lt;22,$BC210=(Elig_MatchAll_Ct-1),AO210=0),M210,0)</f>
        <v>0</v>
      </c>
      <c r="BS210" s="173">
        <f>IF(AND(Input_Product=Elig!$C210,Elig_MatchAll_Ct&lt;22,$BC210=(Elig_MatchAll_Ct-1),AQ210=0),N210,0)</f>
        <v>0</v>
      </c>
      <c r="BT210" s="173">
        <f>IF(AND(Input_Product=Elig!$C210,Elig_MatchAll_Ct&lt;22,$BC210=(Elig_MatchAll_Ct-1),AR210=0),O210,0)</f>
        <v>0</v>
      </c>
      <c r="BU210" s="173">
        <f>IF(AND(Input_Product=Elig!$C210,Elig_MatchAll_Ct&lt;22,$BC210=(Elig_MatchAll_Ct-1),AS210=0),P210,0)</f>
        <v>0</v>
      </c>
      <c r="BV210" s="174">
        <f>IF(AND(Input_Product=Elig!$C210,Elig_MatchAll_Ct&lt;22,$BC210=(Elig_MatchAll_Ct-1),AT210=0),Q210,0)</f>
        <v>0</v>
      </c>
      <c r="BW210" s="175">
        <f>IF(AND(Input_Product=Elig!$C210,Elig_MatchAll_Ct&lt;22,$BC210=(Elig_MatchAll_Ct-1),AU210=0),R210,0)</f>
        <v>0</v>
      </c>
      <c r="BX210" s="176">
        <f>IF(AND(Input_Product=Elig!$C210,Elig_MatchAll_Ct&lt;22,$BC210=(Elig_MatchAll_Ct-1),AU210=0),S210,0)</f>
        <v>0</v>
      </c>
      <c r="BY210" s="175">
        <f>IF(AND(Input_Product=Elig!$C210,Elig_MatchAll_Ct&lt;22,$BC210=(Elig_MatchAll_Ct-1),AV210=0),T210,0)</f>
        <v>0</v>
      </c>
      <c r="BZ210" s="176">
        <f>IF(AND(Input_Product=Elig!$C210,Elig_MatchAll_Ct&lt;22,$BC210=(Elig_MatchAll_Ct-1),AV210=0),U210,0)</f>
        <v>0</v>
      </c>
      <c r="CA210" s="175">
        <f>IF(AND(Input_Product=Elig!$C210,Elig_MatchAll_Ct&lt;22,$BC210=(Elig_MatchAll_Ct-1),AW210=0),V210,0)</f>
        <v>0</v>
      </c>
      <c r="CB210" s="176">
        <f>IF(AND(Input_Product=Elig!$C210,Elig_MatchAll_Ct&lt;22,$BC210=(Elig_MatchAll_Ct-1),AW210=0),W210,0)</f>
        <v>0</v>
      </c>
      <c r="CC210" s="175">
        <f>IF(AND(Input_Product=Elig!$C210,Elig_MatchAll_Ct&lt;22,$BC210=(Elig_MatchAll_Ct-1),AX210=0),X210,0)</f>
        <v>0</v>
      </c>
      <c r="CD210" s="176">
        <f>IF(AND(Input_Product=Elig!$C210,Elig_MatchAll_Ct&lt;22,$BC210=(Elig_MatchAll_Ct-1),AX210=0),Y210,0)</f>
        <v>0</v>
      </c>
      <c r="CE210" s="175">
        <f>IF(AND(Input_LTV&lt;=AE210,Input_Product=Elig!$C210,Elig_MatchAll_Ct&lt;22,$BC210=(Elig_MatchAll_Ct-1),AY210=0),Z210,0)</f>
        <v>0</v>
      </c>
      <c r="CF210" s="176">
        <f>IF(AND(Input_LTV&lt;=AE210,Input_Product=Elig!$C210,Elig_MatchAll_Ct&lt;22,$BC210=(Elig_MatchAll_Ct-1),AY210=0),AA210,0)</f>
        <v>0</v>
      </c>
      <c r="CG210" s="175">
        <f>IF(AND(Input_Product=Elig!$C210,Elig_MatchAll_Ct&lt;22,$BC210=(Elig_MatchAll_Ct-1),AZ210=0),AB210,0)</f>
        <v>0</v>
      </c>
      <c r="CH210" s="176">
        <f>IF(AND(Input_Product=Elig!$C210,Elig_MatchAll_Ct&lt;22,$BC210=(Elig_MatchAll_Ct-1),AZ210=0),AC210,0)</f>
        <v>0</v>
      </c>
      <c r="CI210" s="175">
        <f>IF(AND(Input_Product=Elig!$C210,Elig_MatchAll_Ct&lt;22,$BC210=(Elig_MatchAll_Ct-1),BA210=0),AD210,0)</f>
        <v>0</v>
      </c>
      <c r="CJ210" s="176">
        <f>IF(AND(Input_Product=Elig!$C210,Elig_MatchAll_Ct&lt;22,$BC210=(Elig_MatchAll_Ct-1),BA210=0),AE210,0)</f>
        <v>0</v>
      </c>
    </row>
    <row r="211" spans="1:89" ht="10.15" customHeight="1" x14ac:dyDescent="0.25">
      <c r="A211" s="1419" t="s">
        <v>76</v>
      </c>
      <c r="B211" s="1419" t="s">
        <v>2044</v>
      </c>
      <c r="C211" s="116" t="str">
        <f t="shared" si="53"/>
        <v>NonQM OO</v>
      </c>
      <c r="D211" s="117" t="s">
        <v>1995</v>
      </c>
      <c r="E211" s="117" t="s">
        <v>166</v>
      </c>
      <c r="F211" s="117" t="s">
        <v>330</v>
      </c>
      <c r="G211" s="117" t="s">
        <v>303</v>
      </c>
      <c r="H211" s="117" t="s">
        <v>444</v>
      </c>
      <c r="I211" s="118" t="s">
        <v>16</v>
      </c>
      <c r="J211" s="118" t="s">
        <v>1130</v>
      </c>
      <c r="K211" s="118" t="s">
        <v>1398</v>
      </c>
      <c r="L211" s="117" t="s">
        <v>2025</v>
      </c>
      <c r="M211" s="117" t="s">
        <v>2289</v>
      </c>
      <c r="N211" s="117" t="s">
        <v>82</v>
      </c>
      <c r="O211" s="117" t="s">
        <v>309</v>
      </c>
      <c r="P211" s="117" t="s">
        <v>2433</v>
      </c>
      <c r="Q211" s="117" t="s">
        <v>293</v>
      </c>
      <c r="R211" s="117">
        <v>2500000.0099999998</v>
      </c>
      <c r="S211" s="117">
        <v>3000000</v>
      </c>
      <c r="T211" s="117">
        <v>0</v>
      </c>
      <c r="U211" s="117">
        <f t="shared" si="77"/>
        <v>3000000</v>
      </c>
      <c r="V211" s="117">
        <v>0</v>
      </c>
      <c r="W211" s="117">
        <v>55</v>
      </c>
      <c r="X211" s="117">
        <v>0</v>
      </c>
      <c r="Y211" s="117">
        <v>999</v>
      </c>
      <c r="Z211" s="119">
        <v>680</v>
      </c>
      <c r="AA211" s="119">
        <v>699</v>
      </c>
      <c r="AB211" s="1877">
        <v>0</v>
      </c>
      <c r="AC211" s="119">
        <v>999999</v>
      </c>
      <c r="AD211" s="117">
        <v>0</v>
      </c>
      <c r="AE211" s="117">
        <v>65</v>
      </c>
      <c r="AF211" s="144">
        <v>0</v>
      </c>
      <c r="AG211" s="145">
        <v>1</v>
      </c>
      <c r="AH211" s="145">
        <v>1</v>
      </c>
      <c r="AI211" s="145">
        <v>0</v>
      </c>
      <c r="AJ211" s="145">
        <v>0</v>
      </c>
      <c r="AK211" s="145">
        <v>0</v>
      </c>
      <c r="AL211" s="145">
        <v>0</v>
      </c>
      <c r="AM211" s="145">
        <v>1</v>
      </c>
      <c r="AN211" s="145">
        <v>1</v>
      </c>
      <c r="AO211" s="145">
        <v>1</v>
      </c>
      <c r="AP211" s="145">
        <v>1</v>
      </c>
      <c r="AQ211" s="145">
        <v>0</v>
      </c>
      <c r="AR211" s="145">
        <v>1</v>
      </c>
      <c r="AS211" s="145">
        <v>1</v>
      </c>
      <c r="AT211" s="145">
        <v>1</v>
      </c>
      <c r="AU211" s="145">
        <f t="shared" si="55"/>
        <v>0</v>
      </c>
      <c r="AV211" s="145">
        <f t="shared" si="56"/>
        <v>1</v>
      </c>
      <c r="AW211" s="145">
        <f t="shared" si="57"/>
        <v>1</v>
      </c>
      <c r="AX211" s="145">
        <f t="shared" si="73"/>
        <v>1</v>
      </c>
      <c r="AY211" s="145">
        <f t="shared" si="58"/>
        <v>0</v>
      </c>
      <c r="AZ211" s="145">
        <f t="shared" si="59"/>
        <v>1</v>
      </c>
      <c r="BA211" s="146">
        <f t="shared" si="60"/>
        <v>0</v>
      </c>
      <c r="BB211" s="149">
        <f t="shared" si="63"/>
        <v>13</v>
      </c>
      <c r="BC211" s="150">
        <f t="shared" si="64"/>
        <v>13</v>
      </c>
      <c r="BD211" s="150">
        <f t="shared" si="65"/>
        <v>13</v>
      </c>
      <c r="BE211" s="211" t="str">
        <f t="shared" si="66"/>
        <v/>
      </c>
      <c r="BH211" s="188">
        <f>IF(AND(Input_Product=Elig!$C211,Elig_MatchAll_Ct&lt;22,$BC211=(Elig_MatchAll_Ct-1),AF211=0),C211,0)</f>
        <v>0</v>
      </c>
      <c r="BI211" s="188">
        <f>IF(AND(Input_Product=Elig!$C211,Elig_MatchAll_Ct&lt;22,$BC211=(Elig_MatchAll_Ct-1),AG211=0),D211,0)</f>
        <v>0</v>
      </c>
      <c r="BJ211" s="188">
        <f>IF(AND(Input_Product=Elig!$C211,Elig_MatchAll_Ct&lt;22,$BC211=(Elig_MatchAll_Ct-1),AH211=0),E211,0)</f>
        <v>0</v>
      </c>
      <c r="BK211" s="188">
        <f>IF(AND(Input_Product=Elig!$C211,Elig_MatchAll_Ct&lt;22,$BC211=(Elig_MatchAll_Ct-1),AI211=0),F211,0)</f>
        <v>0</v>
      </c>
      <c r="BL211" s="188">
        <f>IF(AND(Input_Product=Elig!$C211,Elig_MatchAll_Ct&lt;22,$BC211=(Elig_MatchAll_Ct-1),AJ211=0),G211,0)</f>
        <v>0</v>
      </c>
      <c r="BM211" s="188">
        <f>IF(AND(Input_Product=Elig!$C211,Elig_MatchAll_Ct&lt;22,$BC211=(Elig_MatchAll_Ct-1),AK211=0),H211,0)</f>
        <v>0</v>
      </c>
      <c r="BN211" s="188">
        <f>IF(AND(Input_Product=Elig!$C211,Elig_MatchAll_Ct&lt;22,$BC211=(Elig_MatchAll_Ct-1),AL211=0),I211,0)</f>
        <v>0</v>
      </c>
      <c r="BO211" s="188">
        <f>IF(AND(Input_Product=Elig!$C211,Elig_MatchAll_Ct&lt;22,$BC211=(Elig_MatchAll_Ct-1),AM211=0),J211,0)</f>
        <v>0</v>
      </c>
      <c r="BP211" s="188">
        <f>IF(AND(Input_Product=Elig!$C211,Elig_MatchAll_Ct&lt;22,$BC211=(Elig_MatchAll_Ct-1),AN211=0),K211,0)</f>
        <v>0</v>
      </c>
      <c r="BQ211" s="188">
        <f>IF(AND(Input_Product=Elig!$C211,Elig_MatchAll_Ct&lt;22,$BC211=(Elig_MatchAll_Ct-1),AP211=0),L211,0)</f>
        <v>0</v>
      </c>
      <c r="BR211" s="188">
        <f>IF(AND(Input_Product=Elig!$C211,Elig_MatchAll_Ct&lt;22,$BC211=(Elig_MatchAll_Ct-1),AO211=0),M211,0)</f>
        <v>0</v>
      </c>
      <c r="BS211" s="188">
        <f>IF(AND(Input_Product=Elig!$C211,Elig_MatchAll_Ct&lt;22,$BC211=(Elig_MatchAll_Ct-1),AQ211=0),N211,0)</f>
        <v>0</v>
      </c>
      <c r="BT211" s="188">
        <f>IF(AND(Input_Product=Elig!$C211,Elig_MatchAll_Ct&lt;22,$BC211=(Elig_MatchAll_Ct-1),AR211=0),O211,0)</f>
        <v>0</v>
      </c>
      <c r="BU211" s="188">
        <f>IF(AND(Input_Product=Elig!$C211,Elig_MatchAll_Ct&lt;22,$BC211=(Elig_MatchAll_Ct-1),AS211=0),P211,0)</f>
        <v>0</v>
      </c>
      <c r="BV211" s="189">
        <f>IF(AND(Input_Product=Elig!$C211,Elig_MatchAll_Ct&lt;22,$BC211=(Elig_MatchAll_Ct-1),AT211=0),Q211,0)</f>
        <v>0</v>
      </c>
      <c r="BW211" s="271">
        <f>IF(AND(Input_Product=Elig!$C211,Elig_MatchAll_Ct&lt;22,$BC211=(Elig_MatchAll_Ct-1),AU211=0),R211,0)</f>
        <v>0</v>
      </c>
      <c r="BX211" s="272">
        <f>IF(AND(Input_Product=Elig!$C211,Elig_MatchAll_Ct&lt;22,$BC211=(Elig_MatchAll_Ct-1),AU211=0),S211,0)</f>
        <v>0</v>
      </c>
      <c r="BY211" s="271">
        <f>IF(AND(Input_Product=Elig!$C211,Elig_MatchAll_Ct&lt;22,$BC211=(Elig_MatchAll_Ct-1),AV211=0),T211,0)</f>
        <v>0</v>
      </c>
      <c r="BZ211" s="272">
        <f>IF(AND(Input_Product=Elig!$C211,Elig_MatchAll_Ct&lt;22,$BC211=(Elig_MatchAll_Ct-1),AV211=0),U211,0)</f>
        <v>0</v>
      </c>
      <c r="CA211" s="271">
        <f>IF(AND(Input_Product=Elig!$C211,Elig_MatchAll_Ct&lt;22,$BC211=(Elig_MatchAll_Ct-1),AW211=0),V211,0)</f>
        <v>0</v>
      </c>
      <c r="CB211" s="272">
        <f>IF(AND(Input_Product=Elig!$C211,Elig_MatchAll_Ct&lt;22,$BC211=(Elig_MatchAll_Ct-1),AW211=0),W211,0)</f>
        <v>0</v>
      </c>
      <c r="CC211" s="271">
        <f>IF(AND(Input_Product=Elig!$C211,Elig_MatchAll_Ct&lt;22,$BC211=(Elig_MatchAll_Ct-1),AX211=0),X211,0)</f>
        <v>0</v>
      </c>
      <c r="CD211" s="272">
        <f>IF(AND(Input_Product=Elig!$C211,Elig_MatchAll_Ct&lt;22,$BC211=(Elig_MatchAll_Ct-1),AX211=0),Y211,0)</f>
        <v>0</v>
      </c>
      <c r="CE211" s="271">
        <f>IF(AND(Input_LTV&lt;=AE211,Input_Product=Elig!$C211,Elig_MatchAll_Ct&lt;22,$BC211=(Elig_MatchAll_Ct-1),AY211=0),Z211,0)</f>
        <v>0</v>
      </c>
      <c r="CF211" s="272">
        <f>IF(AND(Input_LTV&lt;=AE211,Input_Product=Elig!$C211,Elig_MatchAll_Ct&lt;22,$BC211=(Elig_MatchAll_Ct-1),AY211=0),AA211,0)</f>
        <v>0</v>
      </c>
      <c r="CG211" s="271">
        <f>IF(AND(Input_Product=Elig!$C211,Elig_MatchAll_Ct&lt;22,$BC211=(Elig_MatchAll_Ct-1),AZ211=0),AB211,0)</f>
        <v>0</v>
      </c>
      <c r="CH211" s="272">
        <f>IF(AND(Input_Product=Elig!$C211,Elig_MatchAll_Ct&lt;22,$BC211=(Elig_MatchAll_Ct-1),AZ211=0),AC211,0)</f>
        <v>0</v>
      </c>
      <c r="CI211" s="271">
        <f>IF(AND(Input_Product=Elig!$C211,Elig_MatchAll_Ct&lt;22,$BC211=(Elig_MatchAll_Ct-1),BA211=0),AD211,0)</f>
        <v>0</v>
      </c>
      <c r="CJ211" s="272">
        <f>IF(AND(Input_Product=Elig!$C211,Elig_MatchAll_Ct&lt;22,$BC211=(Elig_MatchAll_Ct-1),BA211=0),AE211,0)</f>
        <v>0</v>
      </c>
    </row>
    <row r="212" spans="1:89" ht="10.15" customHeight="1" x14ac:dyDescent="0.25">
      <c r="A212" s="1419" t="s">
        <v>76</v>
      </c>
      <c r="B212" s="1419" t="s">
        <v>2045</v>
      </c>
      <c r="C212" s="123" t="str">
        <f t="shared" si="53"/>
        <v>NonQM OO</v>
      </c>
      <c r="D212" s="124" t="s">
        <v>1995</v>
      </c>
      <c r="E212" s="125" t="s">
        <v>166</v>
      </c>
      <c r="F212" s="125" t="s">
        <v>330</v>
      </c>
      <c r="G212" s="125" t="s">
        <v>465</v>
      </c>
      <c r="H212" s="125" t="s">
        <v>135</v>
      </c>
      <c r="I212" s="124" t="s">
        <v>273</v>
      </c>
      <c r="J212" s="124" t="s">
        <v>1130</v>
      </c>
      <c r="K212" s="124" t="s">
        <v>1398</v>
      </c>
      <c r="L212" s="125" t="s">
        <v>2025</v>
      </c>
      <c r="M212" s="125" t="s">
        <v>2289</v>
      </c>
      <c r="N212" s="125" t="s">
        <v>82</v>
      </c>
      <c r="O212" s="125" t="s">
        <v>309</v>
      </c>
      <c r="P212" s="125" t="s">
        <v>2433</v>
      </c>
      <c r="Q212" s="125" t="s">
        <v>293</v>
      </c>
      <c r="R212" s="124">
        <v>2500000.0099999998</v>
      </c>
      <c r="S212" s="124">
        <v>3000000</v>
      </c>
      <c r="T212" s="124">
        <v>0</v>
      </c>
      <c r="U212" s="124">
        <v>0</v>
      </c>
      <c r="V212" s="124">
        <v>0</v>
      </c>
      <c r="W212" s="124">
        <v>55</v>
      </c>
      <c r="X212" s="124">
        <v>0</v>
      </c>
      <c r="Y212" s="124">
        <v>999</v>
      </c>
      <c r="Z212" s="126">
        <v>720</v>
      </c>
      <c r="AA212" s="126">
        <v>999</v>
      </c>
      <c r="AB212" s="1879">
        <v>0</v>
      </c>
      <c r="AC212" s="126">
        <v>999999</v>
      </c>
      <c r="AD212" s="124">
        <v>0</v>
      </c>
      <c r="AE212" s="124">
        <v>75</v>
      </c>
      <c r="AF212" s="144">
        <v>0</v>
      </c>
      <c r="AG212" s="145">
        <v>1</v>
      </c>
      <c r="AH212" s="145">
        <v>1</v>
      </c>
      <c r="AI212" s="145">
        <v>0</v>
      </c>
      <c r="AJ212" s="145">
        <v>0</v>
      </c>
      <c r="AK212" s="145">
        <v>1</v>
      </c>
      <c r="AL212" s="145">
        <v>1</v>
      </c>
      <c r="AM212" s="145">
        <v>1</v>
      </c>
      <c r="AN212" s="145">
        <v>1</v>
      </c>
      <c r="AO212" s="145">
        <v>1</v>
      </c>
      <c r="AP212" s="145">
        <v>1</v>
      </c>
      <c r="AQ212" s="145">
        <v>0</v>
      </c>
      <c r="AR212" s="145">
        <v>1</v>
      </c>
      <c r="AS212" s="145">
        <v>1</v>
      </c>
      <c r="AT212" s="145">
        <v>1</v>
      </c>
      <c r="AU212" s="145">
        <f t="shared" si="55"/>
        <v>0</v>
      </c>
      <c r="AV212" s="145">
        <f t="shared" si="56"/>
        <v>1</v>
      </c>
      <c r="AW212" s="145">
        <f t="shared" si="57"/>
        <v>1</v>
      </c>
      <c r="AX212" s="145">
        <f t="shared" si="73"/>
        <v>1</v>
      </c>
      <c r="AY212" s="145">
        <f t="shared" si="58"/>
        <v>1</v>
      </c>
      <c r="AZ212" s="145">
        <f t="shared" si="59"/>
        <v>1</v>
      </c>
      <c r="BA212" s="146">
        <f t="shared" si="60"/>
        <v>1</v>
      </c>
      <c r="BB212" s="149">
        <f t="shared" si="63"/>
        <v>17</v>
      </c>
      <c r="BC212" s="150">
        <f t="shared" si="64"/>
        <v>16</v>
      </c>
      <c r="BD212" s="150">
        <f t="shared" si="65"/>
        <v>17</v>
      </c>
      <c r="BE212" s="211" t="str">
        <f t="shared" si="66"/>
        <v/>
      </c>
      <c r="BH212" s="184">
        <f>IF(AND(Input_Product=Elig!$C212,Elig_MatchAll_Ct&lt;22,$BC212=(Elig_MatchAll_Ct-1),AF212=0),C212,0)</f>
        <v>0</v>
      </c>
      <c r="BI212" s="184">
        <f>IF(AND(Input_Product=Elig!$C212,Elig_MatchAll_Ct&lt;22,$BC212=(Elig_MatchAll_Ct-1),AG212=0),D212,0)</f>
        <v>0</v>
      </c>
      <c r="BJ212" s="184">
        <f>IF(AND(Input_Product=Elig!$C212,Elig_MatchAll_Ct&lt;22,$BC212=(Elig_MatchAll_Ct-1),AH212=0),E212,0)</f>
        <v>0</v>
      </c>
      <c r="BK212" s="184">
        <f>IF(AND(Input_Product=Elig!$C212,Elig_MatchAll_Ct&lt;22,$BC212=(Elig_MatchAll_Ct-1),AI212=0),F212,0)</f>
        <v>0</v>
      </c>
      <c r="BL212" s="184">
        <f>IF(AND(Input_Product=Elig!$C212,Elig_MatchAll_Ct&lt;22,$BC212=(Elig_MatchAll_Ct-1),AJ212=0),G212,0)</f>
        <v>0</v>
      </c>
      <c r="BM212" s="184">
        <f>IF(AND(Input_Product=Elig!$C212,Elig_MatchAll_Ct&lt;22,$BC212=(Elig_MatchAll_Ct-1),AK212=0),H212,0)</f>
        <v>0</v>
      </c>
      <c r="BN212" s="184">
        <f>IF(AND(Input_Product=Elig!$C212,Elig_MatchAll_Ct&lt;22,$BC212=(Elig_MatchAll_Ct-1),AL212=0),I212,0)</f>
        <v>0</v>
      </c>
      <c r="BO212" s="184">
        <f>IF(AND(Input_Product=Elig!$C212,Elig_MatchAll_Ct&lt;22,$BC212=(Elig_MatchAll_Ct-1),AM212=0),J212,0)</f>
        <v>0</v>
      </c>
      <c r="BP212" s="184">
        <f>IF(AND(Input_Product=Elig!$C212,Elig_MatchAll_Ct&lt;22,$BC212=(Elig_MatchAll_Ct-1),AN212=0),K212,0)</f>
        <v>0</v>
      </c>
      <c r="BQ212" s="184">
        <f>IF(AND(Input_Product=Elig!$C212,Elig_MatchAll_Ct&lt;22,$BC212=(Elig_MatchAll_Ct-1),AP212=0),L212,0)</f>
        <v>0</v>
      </c>
      <c r="BR212" s="184">
        <f>IF(AND(Input_Product=Elig!$C212,Elig_MatchAll_Ct&lt;22,$BC212=(Elig_MatchAll_Ct-1),AO212=0),M212,0)</f>
        <v>0</v>
      </c>
      <c r="BS212" s="184">
        <f>IF(AND(Input_Product=Elig!$C212,Elig_MatchAll_Ct&lt;22,$BC212=(Elig_MatchAll_Ct-1),AQ212=0),N212,0)</f>
        <v>0</v>
      </c>
      <c r="BT212" s="184">
        <f>IF(AND(Input_Product=Elig!$C212,Elig_MatchAll_Ct&lt;22,$BC212=(Elig_MatchAll_Ct-1),AR212=0),O212,0)</f>
        <v>0</v>
      </c>
      <c r="BU212" s="184">
        <f>IF(AND(Input_Product=Elig!$C212,Elig_MatchAll_Ct&lt;22,$BC212=(Elig_MatchAll_Ct-1),AS212=0),P212,0)</f>
        <v>0</v>
      </c>
      <c r="BV212" s="185">
        <f>IF(AND(Input_Product=Elig!$C212,Elig_MatchAll_Ct&lt;22,$BC212=(Elig_MatchAll_Ct-1),AT212=0),Q212,0)</f>
        <v>0</v>
      </c>
      <c r="BW212" s="186">
        <f>IF(AND(Input_Product=Elig!$C212,Elig_MatchAll_Ct&lt;22,$BC212=(Elig_MatchAll_Ct-1),AU212=0),R212,0)</f>
        <v>0</v>
      </c>
      <c r="BX212" s="187">
        <f>IF(AND(Input_Product=Elig!$C212,Elig_MatchAll_Ct&lt;22,$BC212=(Elig_MatchAll_Ct-1),AU212=0),S212,0)</f>
        <v>0</v>
      </c>
      <c r="BY212" s="186">
        <f>IF(AND(Input_Product=Elig!$C212,Elig_MatchAll_Ct&lt;22,$BC212=(Elig_MatchAll_Ct-1),AV212=0),T212,0)</f>
        <v>0</v>
      </c>
      <c r="BZ212" s="187">
        <f>IF(AND(Input_Product=Elig!$C212,Elig_MatchAll_Ct&lt;22,$BC212=(Elig_MatchAll_Ct-1),AV212=0),U212,0)</f>
        <v>0</v>
      </c>
      <c r="CA212" s="186">
        <f>IF(AND(Input_Product=Elig!$C212,Elig_MatchAll_Ct&lt;22,$BC212=(Elig_MatchAll_Ct-1),AW212=0),V212,0)</f>
        <v>0</v>
      </c>
      <c r="CB212" s="187">
        <f>IF(AND(Input_Product=Elig!$C212,Elig_MatchAll_Ct&lt;22,$BC212=(Elig_MatchAll_Ct-1),AW212=0),W212,0)</f>
        <v>0</v>
      </c>
      <c r="CC212" s="186">
        <f>IF(AND(Input_Product=Elig!$C212,Elig_MatchAll_Ct&lt;22,$BC212=(Elig_MatchAll_Ct-1),AX212=0),X212,0)</f>
        <v>0</v>
      </c>
      <c r="CD212" s="187">
        <f>IF(AND(Input_Product=Elig!$C212,Elig_MatchAll_Ct&lt;22,$BC212=(Elig_MatchAll_Ct-1),AX212=0),Y212,0)</f>
        <v>0</v>
      </c>
      <c r="CE212" s="186">
        <f>IF(AND(Input_LTV&lt;=AE212,Input_Product=Elig!$C212,Elig_MatchAll_Ct&lt;22,$BC212=(Elig_MatchAll_Ct-1),AY212=0),Z212,0)</f>
        <v>0</v>
      </c>
      <c r="CF212" s="187">
        <f>IF(AND(Input_LTV&lt;=AE212,Input_Product=Elig!$C212,Elig_MatchAll_Ct&lt;22,$BC212=(Elig_MatchAll_Ct-1),AY212=0),AA212,0)</f>
        <v>0</v>
      </c>
      <c r="CG212" s="186">
        <f>IF(AND(Input_Product=Elig!$C212,Elig_MatchAll_Ct&lt;22,$BC212=(Elig_MatchAll_Ct-1),AZ212=0),AB212,0)</f>
        <v>0</v>
      </c>
      <c r="CH212" s="187">
        <f>IF(AND(Input_Product=Elig!$C212,Elig_MatchAll_Ct&lt;22,$BC212=(Elig_MatchAll_Ct-1),AZ212=0),AC212,0)</f>
        <v>0</v>
      </c>
      <c r="CI212" s="186">
        <f>IF(AND(Input_Product=Elig!$C212,Elig_MatchAll_Ct&lt;22,$BC212=(Elig_MatchAll_Ct-1),BA212=0),AD212,0)</f>
        <v>0</v>
      </c>
      <c r="CJ212" s="187">
        <f>IF(AND(Input_Product=Elig!$C212,Elig_MatchAll_Ct&lt;22,$BC212=(Elig_MatchAll_Ct-1),BA212=0),AE212,0)</f>
        <v>0</v>
      </c>
    </row>
    <row r="213" spans="1:89" ht="10.15" customHeight="1" x14ac:dyDescent="0.25">
      <c r="A213" s="1419" t="s">
        <v>76</v>
      </c>
      <c r="B213" s="1419" t="s">
        <v>2046</v>
      </c>
      <c r="C213" s="116" t="str">
        <f t="shared" si="53"/>
        <v>NonQM OO</v>
      </c>
      <c r="D213" s="117" t="s">
        <v>1995</v>
      </c>
      <c r="E213" s="117" t="s">
        <v>166</v>
      </c>
      <c r="F213" s="117" t="s">
        <v>330</v>
      </c>
      <c r="G213" s="117" t="s">
        <v>465</v>
      </c>
      <c r="H213" s="117" t="s">
        <v>135</v>
      </c>
      <c r="I213" s="118" t="s">
        <v>273</v>
      </c>
      <c r="J213" s="118" t="s">
        <v>1130</v>
      </c>
      <c r="K213" s="118" t="s">
        <v>1398</v>
      </c>
      <c r="L213" s="117" t="s">
        <v>2025</v>
      </c>
      <c r="M213" s="117" t="s">
        <v>2289</v>
      </c>
      <c r="N213" s="117" t="s">
        <v>82</v>
      </c>
      <c r="O213" s="117" t="s">
        <v>309</v>
      </c>
      <c r="P213" s="117" t="s">
        <v>2433</v>
      </c>
      <c r="Q213" s="117" t="s">
        <v>293</v>
      </c>
      <c r="R213" s="117">
        <v>2500000.0099999998</v>
      </c>
      <c r="S213" s="117">
        <v>3000000</v>
      </c>
      <c r="T213" s="117">
        <v>0</v>
      </c>
      <c r="U213" s="117">
        <v>0</v>
      </c>
      <c r="V213" s="117">
        <v>0</v>
      </c>
      <c r="W213" s="117">
        <v>55</v>
      </c>
      <c r="X213" s="117">
        <v>0</v>
      </c>
      <c r="Y213" s="117">
        <v>999</v>
      </c>
      <c r="Z213" s="119">
        <v>700</v>
      </c>
      <c r="AA213" s="119">
        <v>719</v>
      </c>
      <c r="AB213" s="1877">
        <v>0</v>
      </c>
      <c r="AC213" s="119">
        <v>999999</v>
      </c>
      <c r="AD213" s="117">
        <v>0</v>
      </c>
      <c r="AE213" s="117">
        <v>75</v>
      </c>
      <c r="AF213" s="144">
        <v>0</v>
      </c>
      <c r="AG213" s="145">
        <v>1</v>
      </c>
      <c r="AH213" s="145">
        <v>1</v>
      </c>
      <c r="AI213" s="145">
        <v>0</v>
      </c>
      <c r="AJ213" s="145">
        <v>0</v>
      </c>
      <c r="AK213" s="145">
        <v>1</v>
      </c>
      <c r="AL213" s="145">
        <v>1</v>
      </c>
      <c r="AM213" s="145">
        <v>1</v>
      </c>
      <c r="AN213" s="145">
        <v>1</v>
      </c>
      <c r="AO213" s="145">
        <v>1</v>
      </c>
      <c r="AP213" s="145">
        <v>1</v>
      </c>
      <c r="AQ213" s="145">
        <v>0</v>
      </c>
      <c r="AR213" s="145">
        <v>1</v>
      </c>
      <c r="AS213" s="145">
        <v>1</v>
      </c>
      <c r="AT213" s="145">
        <v>1</v>
      </c>
      <c r="AU213" s="145">
        <f t="shared" si="55"/>
        <v>0</v>
      </c>
      <c r="AV213" s="145">
        <f t="shared" si="56"/>
        <v>1</v>
      </c>
      <c r="AW213" s="145">
        <f t="shared" si="57"/>
        <v>1</v>
      </c>
      <c r="AX213" s="145">
        <f t="shared" si="73"/>
        <v>1</v>
      </c>
      <c r="AY213" s="145">
        <f t="shared" si="58"/>
        <v>0</v>
      </c>
      <c r="AZ213" s="145">
        <f t="shared" si="59"/>
        <v>1</v>
      </c>
      <c r="BA213" s="146">
        <f t="shared" si="60"/>
        <v>1</v>
      </c>
      <c r="BB213" s="149">
        <f t="shared" si="63"/>
        <v>16</v>
      </c>
      <c r="BC213" s="150">
        <f t="shared" si="64"/>
        <v>15</v>
      </c>
      <c r="BD213" s="150">
        <f t="shared" si="65"/>
        <v>16</v>
      </c>
      <c r="BE213" s="211" t="str">
        <f t="shared" si="66"/>
        <v/>
      </c>
      <c r="BH213" s="173">
        <f>IF(AND(Input_Product=Elig!$C213,Elig_MatchAll_Ct&lt;22,$BC213=(Elig_MatchAll_Ct-1),AF213=0),C213,0)</f>
        <v>0</v>
      </c>
      <c r="BI213" s="173">
        <f>IF(AND(Input_Product=Elig!$C213,Elig_MatchAll_Ct&lt;22,$BC213=(Elig_MatchAll_Ct-1),AG213=0),D213,0)</f>
        <v>0</v>
      </c>
      <c r="BJ213" s="173">
        <f>IF(AND(Input_Product=Elig!$C213,Elig_MatchAll_Ct&lt;22,$BC213=(Elig_MatchAll_Ct-1),AH213=0),E213,0)</f>
        <v>0</v>
      </c>
      <c r="BK213" s="173">
        <f>IF(AND(Input_Product=Elig!$C213,Elig_MatchAll_Ct&lt;22,$BC213=(Elig_MatchAll_Ct-1),AI213=0),F213,0)</f>
        <v>0</v>
      </c>
      <c r="BL213" s="173">
        <f>IF(AND(Input_Product=Elig!$C213,Elig_MatchAll_Ct&lt;22,$BC213=(Elig_MatchAll_Ct-1),AJ213=0),G213,0)</f>
        <v>0</v>
      </c>
      <c r="BM213" s="173">
        <f>IF(AND(Input_Product=Elig!$C213,Elig_MatchAll_Ct&lt;22,$BC213=(Elig_MatchAll_Ct-1),AK213=0),H213,0)</f>
        <v>0</v>
      </c>
      <c r="BN213" s="173">
        <f>IF(AND(Input_Product=Elig!$C213,Elig_MatchAll_Ct&lt;22,$BC213=(Elig_MatchAll_Ct-1),AL213=0),I213,0)</f>
        <v>0</v>
      </c>
      <c r="BO213" s="173">
        <f>IF(AND(Input_Product=Elig!$C213,Elig_MatchAll_Ct&lt;22,$BC213=(Elig_MatchAll_Ct-1),AM213=0),J213,0)</f>
        <v>0</v>
      </c>
      <c r="BP213" s="173">
        <f>IF(AND(Input_Product=Elig!$C213,Elig_MatchAll_Ct&lt;22,$BC213=(Elig_MatchAll_Ct-1),AN213=0),K213,0)</f>
        <v>0</v>
      </c>
      <c r="BQ213" s="173">
        <f>IF(AND(Input_Product=Elig!$C213,Elig_MatchAll_Ct&lt;22,$BC213=(Elig_MatchAll_Ct-1),AP213=0),L213,0)</f>
        <v>0</v>
      </c>
      <c r="BR213" s="173">
        <f>IF(AND(Input_Product=Elig!$C213,Elig_MatchAll_Ct&lt;22,$BC213=(Elig_MatchAll_Ct-1),AO213=0),M213,0)</f>
        <v>0</v>
      </c>
      <c r="BS213" s="173">
        <f>IF(AND(Input_Product=Elig!$C213,Elig_MatchAll_Ct&lt;22,$BC213=(Elig_MatchAll_Ct-1),AQ213=0),N213,0)</f>
        <v>0</v>
      </c>
      <c r="BT213" s="173">
        <f>IF(AND(Input_Product=Elig!$C213,Elig_MatchAll_Ct&lt;22,$BC213=(Elig_MatchAll_Ct-1),AR213=0),O213,0)</f>
        <v>0</v>
      </c>
      <c r="BU213" s="173">
        <f>IF(AND(Input_Product=Elig!$C213,Elig_MatchAll_Ct&lt;22,$BC213=(Elig_MatchAll_Ct-1),AS213=0),P213,0)</f>
        <v>0</v>
      </c>
      <c r="BV213" s="174">
        <f>IF(AND(Input_Product=Elig!$C213,Elig_MatchAll_Ct&lt;22,$BC213=(Elig_MatchAll_Ct-1),AT213=0),Q213,0)</f>
        <v>0</v>
      </c>
      <c r="BW213" s="175">
        <f>IF(AND(Input_Product=Elig!$C213,Elig_MatchAll_Ct&lt;22,$BC213=(Elig_MatchAll_Ct-1),AU213=0),R213,0)</f>
        <v>0</v>
      </c>
      <c r="BX213" s="176">
        <f>IF(AND(Input_Product=Elig!$C213,Elig_MatchAll_Ct&lt;22,$BC213=(Elig_MatchAll_Ct-1),AU213=0),S213,0)</f>
        <v>0</v>
      </c>
      <c r="BY213" s="175">
        <f>IF(AND(Input_Product=Elig!$C213,Elig_MatchAll_Ct&lt;22,$BC213=(Elig_MatchAll_Ct-1),AV213=0),T213,0)</f>
        <v>0</v>
      </c>
      <c r="BZ213" s="176">
        <f>IF(AND(Input_Product=Elig!$C213,Elig_MatchAll_Ct&lt;22,$BC213=(Elig_MatchAll_Ct-1),AV213=0),U213,0)</f>
        <v>0</v>
      </c>
      <c r="CA213" s="175">
        <f>IF(AND(Input_Product=Elig!$C213,Elig_MatchAll_Ct&lt;22,$BC213=(Elig_MatchAll_Ct-1),AW213=0),V213,0)</f>
        <v>0</v>
      </c>
      <c r="CB213" s="176">
        <f>IF(AND(Input_Product=Elig!$C213,Elig_MatchAll_Ct&lt;22,$BC213=(Elig_MatchAll_Ct-1),AW213=0),W213,0)</f>
        <v>0</v>
      </c>
      <c r="CC213" s="175">
        <f>IF(AND(Input_Product=Elig!$C213,Elig_MatchAll_Ct&lt;22,$BC213=(Elig_MatchAll_Ct-1),AX213=0),X213,0)</f>
        <v>0</v>
      </c>
      <c r="CD213" s="176">
        <f>IF(AND(Input_Product=Elig!$C213,Elig_MatchAll_Ct&lt;22,$BC213=(Elig_MatchAll_Ct-1),AX213=0),Y213,0)</f>
        <v>0</v>
      </c>
      <c r="CE213" s="175">
        <f>IF(AND(Input_LTV&lt;=AE213,Input_Product=Elig!$C213,Elig_MatchAll_Ct&lt;22,$BC213=(Elig_MatchAll_Ct-1),AY213=0),Z213,0)</f>
        <v>0</v>
      </c>
      <c r="CF213" s="176">
        <f>IF(AND(Input_LTV&lt;=AE213,Input_Product=Elig!$C213,Elig_MatchAll_Ct&lt;22,$BC213=(Elig_MatchAll_Ct-1),AY213=0),AA213,0)</f>
        <v>0</v>
      </c>
      <c r="CG213" s="175">
        <f>IF(AND(Input_Product=Elig!$C213,Elig_MatchAll_Ct&lt;22,$BC213=(Elig_MatchAll_Ct-1),AZ213=0),AB213,0)</f>
        <v>0</v>
      </c>
      <c r="CH213" s="176">
        <f>IF(AND(Input_Product=Elig!$C213,Elig_MatchAll_Ct&lt;22,$BC213=(Elig_MatchAll_Ct-1),AZ213=0),AC213,0)</f>
        <v>0</v>
      </c>
      <c r="CI213" s="175">
        <f>IF(AND(Input_Product=Elig!$C213,Elig_MatchAll_Ct&lt;22,$BC213=(Elig_MatchAll_Ct-1),BA213=0),AD213,0)</f>
        <v>0</v>
      </c>
      <c r="CJ213" s="176">
        <f>IF(AND(Input_Product=Elig!$C213,Elig_MatchAll_Ct&lt;22,$BC213=(Elig_MatchAll_Ct-1),BA213=0),AE213,0)</f>
        <v>0</v>
      </c>
    </row>
    <row r="214" spans="1:89" ht="10.15" customHeight="1" x14ac:dyDescent="0.25">
      <c r="A214" s="1419" t="s">
        <v>76</v>
      </c>
      <c r="B214" s="1419" t="s">
        <v>2047</v>
      </c>
      <c r="C214" s="116" t="str">
        <f t="shared" si="53"/>
        <v>NonQM OO</v>
      </c>
      <c r="D214" s="117" t="s">
        <v>1995</v>
      </c>
      <c r="E214" s="117" t="s">
        <v>166</v>
      </c>
      <c r="F214" s="117" t="s">
        <v>330</v>
      </c>
      <c r="G214" s="117" t="s">
        <v>465</v>
      </c>
      <c r="H214" s="117" t="s">
        <v>135</v>
      </c>
      <c r="I214" s="118" t="s">
        <v>273</v>
      </c>
      <c r="J214" s="118" t="s">
        <v>1130</v>
      </c>
      <c r="K214" s="118" t="s">
        <v>1398</v>
      </c>
      <c r="L214" s="117" t="s">
        <v>2025</v>
      </c>
      <c r="M214" s="117" t="s">
        <v>2289</v>
      </c>
      <c r="N214" s="117" t="s">
        <v>82</v>
      </c>
      <c r="O214" s="117" t="s">
        <v>309</v>
      </c>
      <c r="P214" s="117" t="s">
        <v>2433</v>
      </c>
      <c r="Q214" s="117" t="s">
        <v>293</v>
      </c>
      <c r="R214" s="117">
        <v>2500000.0099999998</v>
      </c>
      <c r="S214" s="117">
        <v>3000000</v>
      </c>
      <c r="T214" s="117">
        <v>0</v>
      </c>
      <c r="U214" s="117">
        <v>0</v>
      </c>
      <c r="V214" s="117">
        <v>0</v>
      </c>
      <c r="W214" s="117">
        <v>55</v>
      </c>
      <c r="X214" s="117">
        <v>0</v>
      </c>
      <c r="Y214" s="117">
        <v>999</v>
      </c>
      <c r="Z214" s="119">
        <v>680</v>
      </c>
      <c r="AA214" s="119">
        <v>699</v>
      </c>
      <c r="AB214" s="1877">
        <v>0</v>
      </c>
      <c r="AC214" s="119">
        <v>999999</v>
      </c>
      <c r="AD214" s="117">
        <v>0</v>
      </c>
      <c r="AE214" s="117">
        <v>70</v>
      </c>
      <c r="AF214" s="144">
        <v>0</v>
      </c>
      <c r="AG214" s="145">
        <v>1</v>
      </c>
      <c r="AH214" s="145">
        <v>1</v>
      </c>
      <c r="AI214" s="145">
        <v>0</v>
      </c>
      <c r="AJ214" s="145">
        <v>0</v>
      </c>
      <c r="AK214" s="145">
        <v>1</v>
      </c>
      <c r="AL214" s="145">
        <v>1</v>
      </c>
      <c r="AM214" s="145">
        <v>1</v>
      </c>
      <c r="AN214" s="145">
        <v>1</v>
      </c>
      <c r="AO214" s="145">
        <v>1</v>
      </c>
      <c r="AP214" s="145">
        <v>1</v>
      </c>
      <c r="AQ214" s="145">
        <v>0</v>
      </c>
      <c r="AR214" s="145">
        <v>1</v>
      </c>
      <c r="AS214" s="145">
        <v>1</v>
      </c>
      <c r="AT214" s="145">
        <v>1</v>
      </c>
      <c r="AU214" s="145">
        <f t="shared" si="55"/>
        <v>0</v>
      </c>
      <c r="AV214" s="145">
        <f t="shared" si="56"/>
        <v>1</v>
      </c>
      <c r="AW214" s="145">
        <f t="shared" si="57"/>
        <v>1</v>
      </c>
      <c r="AX214" s="145">
        <f t="shared" si="73"/>
        <v>1</v>
      </c>
      <c r="AY214" s="145">
        <f t="shared" si="58"/>
        <v>0</v>
      </c>
      <c r="AZ214" s="145">
        <f t="shared" si="59"/>
        <v>1</v>
      </c>
      <c r="BA214" s="146">
        <f t="shared" si="60"/>
        <v>1</v>
      </c>
      <c r="BB214" s="149">
        <f t="shared" si="63"/>
        <v>16</v>
      </c>
      <c r="BC214" s="150">
        <f t="shared" si="64"/>
        <v>15</v>
      </c>
      <c r="BD214" s="150">
        <f t="shared" si="65"/>
        <v>16</v>
      </c>
      <c r="BE214" s="211" t="str">
        <f t="shared" si="66"/>
        <v/>
      </c>
      <c r="BH214" s="188">
        <f>IF(AND(Input_Product=Elig!$C214,Elig_MatchAll_Ct&lt;22,$BC214=(Elig_MatchAll_Ct-1),AF214=0),C214,0)</f>
        <v>0</v>
      </c>
      <c r="BI214" s="188">
        <f>IF(AND(Input_Product=Elig!$C214,Elig_MatchAll_Ct&lt;22,$BC214=(Elig_MatchAll_Ct-1),AG214=0),D214,0)</f>
        <v>0</v>
      </c>
      <c r="BJ214" s="188">
        <f>IF(AND(Input_Product=Elig!$C214,Elig_MatchAll_Ct&lt;22,$BC214=(Elig_MatchAll_Ct-1),AH214=0),E214,0)</f>
        <v>0</v>
      </c>
      <c r="BK214" s="188">
        <f>IF(AND(Input_Product=Elig!$C214,Elig_MatchAll_Ct&lt;22,$BC214=(Elig_MatchAll_Ct-1),AI214=0),F214,0)</f>
        <v>0</v>
      </c>
      <c r="BL214" s="188">
        <f>IF(AND(Input_Product=Elig!$C214,Elig_MatchAll_Ct&lt;22,$BC214=(Elig_MatchAll_Ct-1),AJ214=0),G214,0)</f>
        <v>0</v>
      </c>
      <c r="BM214" s="188">
        <f>IF(AND(Input_Product=Elig!$C214,Elig_MatchAll_Ct&lt;22,$BC214=(Elig_MatchAll_Ct-1),AK214=0),H214,0)</f>
        <v>0</v>
      </c>
      <c r="BN214" s="188">
        <f>IF(AND(Input_Product=Elig!$C214,Elig_MatchAll_Ct&lt;22,$BC214=(Elig_MatchAll_Ct-1),AL214=0),I214,0)</f>
        <v>0</v>
      </c>
      <c r="BO214" s="188">
        <f>IF(AND(Input_Product=Elig!$C214,Elig_MatchAll_Ct&lt;22,$BC214=(Elig_MatchAll_Ct-1),AM214=0),J214,0)</f>
        <v>0</v>
      </c>
      <c r="BP214" s="188">
        <f>IF(AND(Input_Product=Elig!$C214,Elig_MatchAll_Ct&lt;22,$BC214=(Elig_MatchAll_Ct-1),AN214=0),K214,0)</f>
        <v>0</v>
      </c>
      <c r="BQ214" s="188">
        <f>IF(AND(Input_Product=Elig!$C214,Elig_MatchAll_Ct&lt;22,$BC214=(Elig_MatchAll_Ct-1),AP214=0),L214,0)</f>
        <v>0</v>
      </c>
      <c r="BR214" s="188">
        <f>IF(AND(Input_Product=Elig!$C214,Elig_MatchAll_Ct&lt;22,$BC214=(Elig_MatchAll_Ct-1),AO214=0),M214,0)</f>
        <v>0</v>
      </c>
      <c r="BS214" s="188">
        <f>IF(AND(Input_Product=Elig!$C214,Elig_MatchAll_Ct&lt;22,$BC214=(Elig_MatchAll_Ct-1),AQ214=0),N214,0)</f>
        <v>0</v>
      </c>
      <c r="BT214" s="188">
        <f>IF(AND(Input_Product=Elig!$C214,Elig_MatchAll_Ct&lt;22,$BC214=(Elig_MatchAll_Ct-1),AR214=0),O214,0)</f>
        <v>0</v>
      </c>
      <c r="BU214" s="188">
        <f>IF(AND(Input_Product=Elig!$C214,Elig_MatchAll_Ct&lt;22,$BC214=(Elig_MatchAll_Ct-1),AS214=0),P214,0)</f>
        <v>0</v>
      </c>
      <c r="BV214" s="189">
        <f>IF(AND(Input_Product=Elig!$C214,Elig_MatchAll_Ct&lt;22,$BC214=(Elig_MatchAll_Ct-1),AT214=0),Q214,0)</f>
        <v>0</v>
      </c>
      <c r="BW214" s="271">
        <f>IF(AND(Input_Product=Elig!$C214,Elig_MatchAll_Ct&lt;22,$BC214=(Elig_MatchAll_Ct-1),AU214=0),R214,0)</f>
        <v>0</v>
      </c>
      <c r="BX214" s="272">
        <f>IF(AND(Input_Product=Elig!$C214,Elig_MatchAll_Ct&lt;22,$BC214=(Elig_MatchAll_Ct-1),AU214=0),S214,0)</f>
        <v>0</v>
      </c>
      <c r="BY214" s="271">
        <f>IF(AND(Input_Product=Elig!$C214,Elig_MatchAll_Ct&lt;22,$BC214=(Elig_MatchAll_Ct-1),AV214=0),T214,0)</f>
        <v>0</v>
      </c>
      <c r="BZ214" s="272">
        <f>IF(AND(Input_Product=Elig!$C214,Elig_MatchAll_Ct&lt;22,$BC214=(Elig_MatchAll_Ct-1),AV214=0),U214,0)</f>
        <v>0</v>
      </c>
      <c r="CA214" s="271">
        <f>IF(AND(Input_Product=Elig!$C214,Elig_MatchAll_Ct&lt;22,$BC214=(Elig_MatchAll_Ct-1),AW214=0),V214,0)</f>
        <v>0</v>
      </c>
      <c r="CB214" s="272">
        <f>IF(AND(Input_Product=Elig!$C214,Elig_MatchAll_Ct&lt;22,$BC214=(Elig_MatchAll_Ct-1),AW214=0),W214,0)</f>
        <v>0</v>
      </c>
      <c r="CC214" s="271">
        <f>IF(AND(Input_Product=Elig!$C214,Elig_MatchAll_Ct&lt;22,$BC214=(Elig_MatchAll_Ct-1),AX214=0),X214,0)</f>
        <v>0</v>
      </c>
      <c r="CD214" s="272">
        <f>IF(AND(Input_Product=Elig!$C214,Elig_MatchAll_Ct&lt;22,$BC214=(Elig_MatchAll_Ct-1),AX214=0),Y214,0)</f>
        <v>0</v>
      </c>
      <c r="CE214" s="271">
        <f>IF(AND(Input_LTV&lt;=AE214,Input_Product=Elig!$C214,Elig_MatchAll_Ct&lt;22,$BC214=(Elig_MatchAll_Ct-1),AY214=0),Z214,0)</f>
        <v>0</v>
      </c>
      <c r="CF214" s="272">
        <f>IF(AND(Input_LTV&lt;=AE214,Input_Product=Elig!$C214,Elig_MatchAll_Ct&lt;22,$BC214=(Elig_MatchAll_Ct-1),AY214=0),AA214,0)</f>
        <v>0</v>
      </c>
      <c r="CG214" s="271">
        <f>IF(AND(Input_Product=Elig!$C214,Elig_MatchAll_Ct&lt;22,$BC214=(Elig_MatchAll_Ct-1),AZ214=0),AB214,0)</f>
        <v>0</v>
      </c>
      <c r="CH214" s="272">
        <f>IF(AND(Input_Product=Elig!$C214,Elig_MatchAll_Ct&lt;22,$BC214=(Elig_MatchAll_Ct-1),AZ214=0),AC214,0)</f>
        <v>0</v>
      </c>
      <c r="CI214" s="271">
        <f>IF(AND(Input_Product=Elig!$C214,Elig_MatchAll_Ct&lt;22,$BC214=(Elig_MatchAll_Ct-1),BA214=0),AD214,0)</f>
        <v>0</v>
      </c>
      <c r="CJ214" s="272">
        <f>IF(AND(Input_Product=Elig!$C214,Elig_MatchAll_Ct&lt;22,$BC214=(Elig_MatchAll_Ct-1),BA214=0),AE214,0)</f>
        <v>0</v>
      </c>
    </row>
    <row r="215" spans="1:89" ht="10.15" customHeight="1" x14ac:dyDescent="0.25">
      <c r="A215" s="1419" t="s">
        <v>76</v>
      </c>
      <c r="B215" s="1419" t="s">
        <v>2048</v>
      </c>
      <c r="C215" s="123" t="str">
        <f t="shared" si="53"/>
        <v>NonQM OO</v>
      </c>
      <c r="D215" s="124" t="s">
        <v>1995</v>
      </c>
      <c r="E215" s="125" t="s">
        <v>166</v>
      </c>
      <c r="F215" s="125" t="s">
        <v>330</v>
      </c>
      <c r="G215" s="125" t="s">
        <v>465</v>
      </c>
      <c r="H215" s="125" t="s">
        <v>135</v>
      </c>
      <c r="I215" s="124" t="s">
        <v>16</v>
      </c>
      <c r="J215" s="124" t="s">
        <v>1130</v>
      </c>
      <c r="K215" s="124" t="s">
        <v>1398</v>
      </c>
      <c r="L215" s="125" t="s">
        <v>2025</v>
      </c>
      <c r="M215" s="125" t="s">
        <v>2289</v>
      </c>
      <c r="N215" s="125" t="s">
        <v>82</v>
      </c>
      <c r="O215" s="125" t="s">
        <v>309</v>
      </c>
      <c r="P215" s="125" t="s">
        <v>2433</v>
      </c>
      <c r="Q215" s="125" t="s">
        <v>293</v>
      </c>
      <c r="R215" s="124">
        <v>2500000.0099999998</v>
      </c>
      <c r="S215" s="124">
        <v>3000000</v>
      </c>
      <c r="T215" s="124">
        <v>0</v>
      </c>
      <c r="U215" s="124">
        <f t="shared" ref="U215:U217" si="78">S215</f>
        <v>3000000</v>
      </c>
      <c r="V215" s="124">
        <v>0</v>
      </c>
      <c r="W215" s="124">
        <v>55</v>
      </c>
      <c r="X215" s="124">
        <v>0</v>
      </c>
      <c r="Y215" s="124">
        <v>999</v>
      </c>
      <c r="Z215" s="126">
        <v>720</v>
      </c>
      <c r="AA215" s="126">
        <v>999</v>
      </c>
      <c r="AB215" s="1879">
        <v>0</v>
      </c>
      <c r="AC215" s="126">
        <v>999999</v>
      </c>
      <c r="AD215" s="124">
        <v>0</v>
      </c>
      <c r="AE215" s="124">
        <v>70</v>
      </c>
      <c r="AF215" s="144">
        <v>0</v>
      </c>
      <c r="AG215" s="145">
        <v>1</v>
      </c>
      <c r="AH215" s="145">
        <v>1</v>
      </c>
      <c r="AI215" s="145">
        <v>0</v>
      </c>
      <c r="AJ215" s="145">
        <v>0</v>
      </c>
      <c r="AK215" s="145">
        <v>1</v>
      </c>
      <c r="AL215" s="145">
        <v>0</v>
      </c>
      <c r="AM215" s="145">
        <v>1</v>
      </c>
      <c r="AN215" s="145">
        <v>1</v>
      </c>
      <c r="AO215" s="145">
        <v>1</v>
      </c>
      <c r="AP215" s="145">
        <v>1</v>
      </c>
      <c r="AQ215" s="145">
        <v>0</v>
      </c>
      <c r="AR215" s="145">
        <v>1</v>
      </c>
      <c r="AS215" s="145">
        <v>1</v>
      </c>
      <c r="AT215" s="145">
        <v>1</v>
      </c>
      <c r="AU215" s="145">
        <f t="shared" si="55"/>
        <v>0</v>
      </c>
      <c r="AV215" s="145">
        <f t="shared" si="56"/>
        <v>1</v>
      </c>
      <c r="AW215" s="145">
        <f t="shared" si="57"/>
        <v>1</v>
      </c>
      <c r="AX215" s="145">
        <f t="shared" si="73"/>
        <v>1</v>
      </c>
      <c r="AY215" s="145">
        <f t="shared" si="58"/>
        <v>1</v>
      </c>
      <c r="AZ215" s="145">
        <f t="shared" si="59"/>
        <v>1</v>
      </c>
      <c r="BA215" s="146">
        <f t="shared" si="60"/>
        <v>1</v>
      </c>
      <c r="BB215" s="149">
        <f t="shared" si="63"/>
        <v>16</v>
      </c>
      <c r="BC215" s="150">
        <f t="shared" si="64"/>
        <v>15</v>
      </c>
      <c r="BD215" s="150">
        <f t="shared" si="65"/>
        <v>16</v>
      </c>
      <c r="BE215" s="211" t="str">
        <f t="shared" si="66"/>
        <v/>
      </c>
      <c r="BH215" s="184">
        <f>IF(AND(Input_Product=Elig!$C215,Elig_MatchAll_Ct&lt;22,$BC215=(Elig_MatchAll_Ct-1),AF215=0),C215,0)</f>
        <v>0</v>
      </c>
      <c r="BI215" s="184">
        <f>IF(AND(Input_Product=Elig!$C215,Elig_MatchAll_Ct&lt;22,$BC215=(Elig_MatchAll_Ct-1),AG215=0),D215,0)</f>
        <v>0</v>
      </c>
      <c r="BJ215" s="184">
        <f>IF(AND(Input_Product=Elig!$C215,Elig_MatchAll_Ct&lt;22,$BC215=(Elig_MatchAll_Ct-1),AH215=0),E215,0)</f>
        <v>0</v>
      </c>
      <c r="BK215" s="184">
        <f>IF(AND(Input_Product=Elig!$C215,Elig_MatchAll_Ct&lt;22,$BC215=(Elig_MatchAll_Ct-1),AI215=0),F215,0)</f>
        <v>0</v>
      </c>
      <c r="BL215" s="184">
        <f>IF(AND(Input_Product=Elig!$C215,Elig_MatchAll_Ct&lt;22,$BC215=(Elig_MatchAll_Ct-1),AJ215=0),G215,0)</f>
        <v>0</v>
      </c>
      <c r="BM215" s="184">
        <f>IF(AND(Input_Product=Elig!$C215,Elig_MatchAll_Ct&lt;22,$BC215=(Elig_MatchAll_Ct-1),AK215=0),H215,0)</f>
        <v>0</v>
      </c>
      <c r="BN215" s="184">
        <f>IF(AND(Input_Product=Elig!$C215,Elig_MatchAll_Ct&lt;22,$BC215=(Elig_MatchAll_Ct-1),AL215=0),I215,0)</f>
        <v>0</v>
      </c>
      <c r="BO215" s="184">
        <f>IF(AND(Input_Product=Elig!$C215,Elig_MatchAll_Ct&lt;22,$BC215=(Elig_MatchAll_Ct-1),AM215=0),J215,0)</f>
        <v>0</v>
      </c>
      <c r="BP215" s="184">
        <f>IF(AND(Input_Product=Elig!$C215,Elig_MatchAll_Ct&lt;22,$BC215=(Elig_MatchAll_Ct-1),AN215=0),K215,0)</f>
        <v>0</v>
      </c>
      <c r="BQ215" s="184">
        <f>IF(AND(Input_Product=Elig!$C215,Elig_MatchAll_Ct&lt;22,$BC215=(Elig_MatchAll_Ct-1),AP215=0),L215,0)</f>
        <v>0</v>
      </c>
      <c r="BR215" s="184">
        <f>IF(AND(Input_Product=Elig!$C215,Elig_MatchAll_Ct&lt;22,$BC215=(Elig_MatchAll_Ct-1),AO215=0),M215,0)</f>
        <v>0</v>
      </c>
      <c r="BS215" s="184">
        <f>IF(AND(Input_Product=Elig!$C215,Elig_MatchAll_Ct&lt;22,$BC215=(Elig_MatchAll_Ct-1),AQ215=0),N215,0)</f>
        <v>0</v>
      </c>
      <c r="BT215" s="184">
        <f>IF(AND(Input_Product=Elig!$C215,Elig_MatchAll_Ct&lt;22,$BC215=(Elig_MatchAll_Ct-1),AR215=0),O215,0)</f>
        <v>0</v>
      </c>
      <c r="BU215" s="184">
        <f>IF(AND(Input_Product=Elig!$C215,Elig_MatchAll_Ct&lt;22,$BC215=(Elig_MatchAll_Ct-1),AS215=0),P215,0)</f>
        <v>0</v>
      </c>
      <c r="BV215" s="185">
        <f>IF(AND(Input_Product=Elig!$C215,Elig_MatchAll_Ct&lt;22,$BC215=(Elig_MatchAll_Ct-1),AT215=0),Q215,0)</f>
        <v>0</v>
      </c>
      <c r="BW215" s="186">
        <f>IF(AND(Input_Product=Elig!$C215,Elig_MatchAll_Ct&lt;22,$BC215=(Elig_MatchAll_Ct-1),AU215=0),R215,0)</f>
        <v>0</v>
      </c>
      <c r="BX215" s="187">
        <f>IF(AND(Input_Product=Elig!$C215,Elig_MatchAll_Ct&lt;22,$BC215=(Elig_MatchAll_Ct-1),AU215=0),S215,0)</f>
        <v>0</v>
      </c>
      <c r="BY215" s="186">
        <f>IF(AND(Input_Product=Elig!$C215,Elig_MatchAll_Ct&lt;22,$BC215=(Elig_MatchAll_Ct-1),AV215=0),T215,0)</f>
        <v>0</v>
      </c>
      <c r="BZ215" s="187">
        <f>IF(AND(Input_Product=Elig!$C215,Elig_MatchAll_Ct&lt;22,$BC215=(Elig_MatchAll_Ct-1),AV215=0),U215,0)</f>
        <v>0</v>
      </c>
      <c r="CA215" s="186">
        <f>IF(AND(Input_Product=Elig!$C215,Elig_MatchAll_Ct&lt;22,$BC215=(Elig_MatchAll_Ct-1),AW215=0),V215,0)</f>
        <v>0</v>
      </c>
      <c r="CB215" s="187">
        <f>IF(AND(Input_Product=Elig!$C215,Elig_MatchAll_Ct&lt;22,$BC215=(Elig_MatchAll_Ct-1),AW215=0),W215,0)</f>
        <v>0</v>
      </c>
      <c r="CC215" s="186">
        <f>IF(AND(Input_Product=Elig!$C215,Elig_MatchAll_Ct&lt;22,$BC215=(Elig_MatchAll_Ct-1),AX215=0),X215,0)</f>
        <v>0</v>
      </c>
      <c r="CD215" s="187">
        <f>IF(AND(Input_Product=Elig!$C215,Elig_MatchAll_Ct&lt;22,$BC215=(Elig_MatchAll_Ct-1),AX215=0),Y215,0)</f>
        <v>0</v>
      </c>
      <c r="CE215" s="186">
        <f>IF(AND(Input_LTV&lt;=AE215,Input_Product=Elig!$C215,Elig_MatchAll_Ct&lt;22,$BC215=(Elig_MatchAll_Ct-1),AY215=0),Z215,0)</f>
        <v>0</v>
      </c>
      <c r="CF215" s="187">
        <f>IF(AND(Input_LTV&lt;=AE215,Input_Product=Elig!$C215,Elig_MatchAll_Ct&lt;22,$BC215=(Elig_MatchAll_Ct-1),AY215=0),AA215,0)</f>
        <v>0</v>
      </c>
      <c r="CG215" s="186">
        <f>IF(AND(Input_Product=Elig!$C215,Elig_MatchAll_Ct&lt;22,$BC215=(Elig_MatchAll_Ct-1),AZ215=0),AB215,0)</f>
        <v>0</v>
      </c>
      <c r="CH215" s="187">
        <f>IF(AND(Input_Product=Elig!$C215,Elig_MatchAll_Ct&lt;22,$BC215=(Elig_MatchAll_Ct-1),AZ215=0),AC215,0)</f>
        <v>0</v>
      </c>
      <c r="CI215" s="186">
        <f>IF(AND(Input_Product=Elig!$C215,Elig_MatchAll_Ct&lt;22,$BC215=(Elig_MatchAll_Ct-1),BA215=0),AD215,0)</f>
        <v>0</v>
      </c>
      <c r="CJ215" s="187">
        <f>IF(AND(Input_Product=Elig!$C215,Elig_MatchAll_Ct&lt;22,$BC215=(Elig_MatchAll_Ct-1),BA215=0),AE215,0)</f>
        <v>0</v>
      </c>
    </row>
    <row r="216" spans="1:89" ht="10.15" customHeight="1" x14ac:dyDescent="0.25">
      <c r="A216" s="1419" t="s">
        <v>76</v>
      </c>
      <c r="B216" s="1419" t="s">
        <v>2049</v>
      </c>
      <c r="C216" s="116" t="str">
        <f t="shared" si="53"/>
        <v>NonQM OO</v>
      </c>
      <c r="D216" s="117" t="s">
        <v>1995</v>
      </c>
      <c r="E216" s="117" t="s">
        <v>166</v>
      </c>
      <c r="F216" s="117" t="s">
        <v>330</v>
      </c>
      <c r="G216" s="117" t="s">
        <v>465</v>
      </c>
      <c r="H216" s="117" t="s">
        <v>135</v>
      </c>
      <c r="I216" s="118" t="s">
        <v>16</v>
      </c>
      <c r="J216" s="118" t="s">
        <v>1130</v>
      </c>
      <c r="K216" s="118" t="s">
        <v>1398</v>
      </c>
      <c r="L216" s="117" t="s">
        <v>2025</v>
      </c>
      <c r="M216" s="117" t="s">
        <v>2289</v>
      </c>
      <c r="N216" s="117" t="s">
        <v>82</v>
      </c>
      <c r="O216" s="117" t="s">
        <v>309</v>
      </c>
      <c r="P216" s="117" t="s">
        <v>2433</v>
      </c>
      <c r="Q216" s="117" t="s">
        <v>293</v>
      </c>
      <c r="R216" s="117">
        <v>2500000.0099999998</v>
      </c>
      <c r="S216" s="117">
        <v>3000000</v>
      </c>
      <c r="T216" s="117">
        <v>0</v>
      </c>
      <c r="U216" s="117">
        <f t="shared" si="78"/>
        <v>3000000</v>
      </c>
      <c r="V216" s="117">
        <v>0</v>
      </c>
      <c r="W216" s="117">
        <v>55</v>
      </c>
      <c r="X216" s="117">
        <v>0</v>
      </c>
      <c r="Y216" s="117">
        <v>999</v>
      </c>
      <c r="Z216" s="119">
        <v>700</v>
      </c>
      <c r="AA216" s="119">
        <v>719</v>
      </c>
      <c r="AB216" s="1877">
        <v>0</v>
      </c>
      <c r="AC216" s="119">
        <v>999999</v>
      </c>
      <c r="AD216" s="117">
        <v>0</v>
      </c>
      <c r="AE216" s="117">
        <v>65</v>
      </c>
      <c r="AF216" s="144">
        <v>0</v>
      </c>
      <c r="AG216" s="145">
        <v>1</v>
      </c>
      <c r="AH216" s="145">
        <v>1</v>
      </c>
      <c r="AI216" s="145">
        <v>0</v>
      </c>
      <c r="AJ216" s="145">
        <v>0</v>
      </c>
      <c r="AK216" s="145">
        <v>1</v>
      </c>
      <c r="AL216" s="145">
        <v>0</v>
      </c>
      <c r="AM216" s="145">
        <v>1</v>
      </c>
      <c r="AN216" s="145">
        <v>1</v>
      </c>
      <c r="AO216" s="145">
        <v>1</v>
      </c>
      <c r="AP216" s="145">
        <v>1</v>
      </c>
      <c r="AQ216" s="145">
        <v>0</v>
      </c>
      <c r="AR216" s="145">
        <v>1</v>
      </c>
      <c r="AS216" s="145">
        <v>1</v>
      </c>
      <c r="AT216" s="145">
        <v>1</v>
      </c>
      <c r="AU216" s="145">
        <f t="shared" si="55"/>
        <v>0</v>
      </c>
      <c r="AV216" s="145">
        <f t="shared" si="56"/>
        <v>1</v>
      </c>
      <c r="AW216" s="145">
        <f t="shared" si="57"/>
        <v>1</v>
      </c>
      <c r="AX216" s="145">
        <f t="shared" si="73"/>
        <v>1</v>
      </c>
      <c r="AY216" s="145">
        <f t="shared" si="58"/>
        <v>0</v>
      </c>
      <c r="AZ216" s="145">
        <f t="shared" si="59"/>
        <v>1</v>
      </c>
      <c r="BA216" s="146">
        <f t="shared" si="60"/>
        <v>0</v>
      </c>
      <c r="BB216" s="149">
        <f t="shared" si="63"/>
        <v>14</v>
      </c>
      <c r="BC216" s="150">
        <f t="shared" si="64"/>
        <v>14</v>
      </c>
      <c r="BD216" s="150">
        <f t="shared" si="65"/>
        <v>14</v>
      </c>
      <c r="BE216" s="211" t="str">
        <f t="shared" si="66"/>
        <v/>
      </c>
      <c r="BH216" s="173">
        <f>IF(AND(Input_Product=Elig!$C216,Elig_MatchAll_Ct&lt;22,$BC216=(Elig_MatchAll_Ct-1),AF216=0),C216,0)</f>
        <v>0</v>
      </c>
      <c r="BI216" s="173">
        <f>IF(AND(Input_Product=Elig!$C216,Elig_MatchAll_Ct&lt;22,$BC216=(Elig_MatchAll_Ct-1),AG216=0),D216,0)</f>
        <v>0</v>
      </c>
      <c r="BJ216" s="173">
        <f>IF(AND(Input_Product=Elig!$C216,Elig_MatchAll_Ct&lt;22,$BC216=(Elig_MatchAll_Ct-1),AH216=0),E216,0)</f>
        <v>0</v>
      </c>
      <c r="BK216" s="173">
        <f>IF(AND(Input_Product=Elig!$C216,Elig_MatchAll_Ct&lt;22,$BC216=(Elig_MatchAll_Ct-1),AI216=0),F216,0)</f>
        <v>0</v>
      </c>
      <c r="BL216" s="173">
        <f>IF(AND(Input_Product=Elig!$C216,Elig_MatchAll_Ct&lt;22,$BC216=(Elig_MatchAll_Ct-1),AJ216=0),G216,0)</f>
        <v>0</v>
      </c>
      <c r="BM216" s="173">
        <f>IF(AND(Input_Product=Elig!$C216,Elig_MatchAll_Ct&lt;22,$BC216=(Elig_MatchAll_Ct-1),AK216=0),H216,0)</f>
        <v>0</v>
      </c>
      <c r="BN216" s="173">
        <f>IF(AND(Input_Product=Elig!$C216,Elig_MatchAll_Ct&lt;22,$BC216=(Elig_MatchAll_Ct-1),AL216=0),I216,0)</f>
        <v>0</v>
      </c>
      <c r="BO216" s="173">
        <f>IF(AND(Input_Product=Elig!$C216,Elig_MatchAll_Ct&lt;22,$BC216=(Elig_MatchAll_Ct-1),AM216=0),J216,0)</f>
        <v>0</v>
      </c>
      <c r="BP216" s="173">
        <f>IF(AND(Input_Product=Elig!$C216,Elig_MatchAll_Ct&lt;22,$BC216=(Elig_MatchAll_Ct-1),AN216=0),K216,0)</f>
        <v>0</v>
      </c>
      <c r="BQ216" s="173">
        <f>IF(AND(Input_Product=Elig!$C216,Elig_MatchAll_Ct&lt;22,$BC216=(Elig_MatchAll_Ct-1),AP216=0),L216,0)</f>
        <v>0</v>
      </c>
      <c r="BR216" s="173">
        <f>IF(AND(Input_Product=Elig!$C216,Elig_MatchAll_Ct&lt;22,$BC216=(Elig_MatchAll_Ct-1),AO216=0),M216,0)</f>
        <v>0</v>
      </c>
      <c r="BS216" s="173">
        <f>IF(AND(Input_Product=Elig!$C216,Elig_MatchAll_Ct&lt;22,$BC216=(Elig_MatchAll_Ct-1),AQ216=0),N216,0)</f>
        <v>0</v>
      </c>
      <c r="BT216" s="173">
        <f>IF(AND(Input_Product=Elig!$C216,Elig_MatchAll_Ct&lt;22,$BC216=(Elig_MatchAll_Ct-1),AR216=0),O216,0)</f>
        <v>0</v>
      </c>
      <c r="BU216" s="173">
        <f>IF(AND(Input_Product=Elig!$C216,Elig_MatchAll_Ct&lt;22,$BC216=(Elig_MatchAll_Ct-1),AS216=0),P216,0)</f>
        <v>0</v>
      </c>
      <c r="BV216" s="174">
        <f>IF(AND(Input_Product=Elig!$C216,Elig_MatchAll_Ct&lt;22,$BC216=(Elig_MatchAll_Ct-1),AT216=0),Q216,0)</f>
        <v>0</v>
      </c>
      <c r="BW216" s="175">
        <f>IF(AND(Input_Product=Elig!$C216,Elig_MatchAll_Ct&lt;22,$BC216=(Elig_MatchAll_Ct-1),AU216=0),R216,0)</f>
        <v>0</v>
      </c>
      <c r="BX216" s="176">
        <f>IF(AND(Input_Product=Elig!$C216,Elig_MatchAll_Ct&lt;22,$BC216=(Elig_MatchAll_Ct-1),AU216=0),S216,0)</f>
        <v>0</v>
      </c>
      <c r="BY216" s="175">
        <f>IF(AND(Input_Product=Elig!$C216,Elig_MatchAll_Ct&lt;22,$BC216=(Elig_MatchAll_Ct-1),AV216=0),T216,0)</f>
        <v>0</v>
      </c>
      <c r="BZ216" s="176">
        <f>IF(AND(Input_Product=Elig!$C216,Elig_MatchAll_Ct&lt;22,$BC216=(Elig_MatchAll_Ct-1),AV216=0),U216,0)</f>
        <v>0</v>
      </c>
      <c r="CA216" s="175">
        <f>IF(AND(Input_Product=Elig!$C216,Elig_MatchAll_Ct&lt;22,$BC216=(Elig_MatchAll_Ct-1),AW216=0),V216,0)</f>
        <v>0</v>
      </c>
      <c r="CB216" s="176">
        <f>IF(AND(Input_Product=Elig!$C216,Elig_MatchAll_Ct&lt;22,$BC216=(Elig_MatchAll_Ct-1),AW216=0),W216,0)</f>
        <v>0</v>
      </c>
      <c r="CC216" s="175">
        <f>IF(AND(Input_Product=Elig!$C216,Elig_MatchAll_Ct&lt;22,$BC216=(Elig_MatchAll_Ct-1),AX216=0),X216,0)</f>
        <v>0</v>
      </c>
      <c r="CD216" s="176">
        <f>IF(AND(Input_Product=Elig!$C216,Elig_MatchAll_Ct&lt;22,$BC216=(Elig_MatchAll_Ct-1),AX216=0),Y216,0)</f>
        <v>0</v>
      </c>
      <c r="CE216" s="175">
        <f>IF(AND(Input_LTV&lt;=AE216,Input_Product=Elig!$C216,Elig_MatchAll_Ct&lt;22,$BC216=(Elig_MatchAll_Ct-1),AY216=0),Z216,0)</f>
        <v>0</v>
      </c>
      <c r="CF216" s="176">
        <f>IF(AND(Input_LTV&lt;=AE216,Input_Product=Elig!$C216,Elig_MatchAll_Ct&lt;22,$BC216=(Elig_MatchAll_Ct-1),AY216=0),AA216,0)</f>
        <v>0</v>
      </c>
      <c r="CG216" s="175">
        <f>IF(AND(Input_Product=Elig!$C216,Elig_MatchAll_Ct&lt;22,$BC216=(Elig_MatchAll_Ct-1),AZ216=0),AB216,0)</f>
        <v>0</v>
      </c>
      <c r="CH216" s="176">
        <f>IF(AND(Input_Product=Elig!$C216,Elig_MatchAll_Ct&lt;22,$BC216=(Elig_MatchAll_Ct-1),AZ216=0),AC216,0)</f>
        <v>0</v>
      </c>
      <c r="CI216" s="175">
        <f>IF(AND(Input_Product=Elig!$C216,Elig_MatchAll_Ct&lt;22,$BC216=(Elig_MatchAll_Ct-1),BA216=0),AD216,0)</f>
        <v>0</v>
      </c>
      <c r="CJ216" s="176">
        <f>IF(AND(Input_Product=Elig!$C216,Elig_MatchAll_Ct&lt;22,$BC216=(Elig_MatchAll_Ct-1),BA216=0),AE216,0)</f>
        <v>0</v>
      </c>
    </row>
    <row r="217" spans="1:89" ht="10.15" customHeight="1" x14ac:dyDescent="0.25">
      <c r="A217" s="1419" t="s">
        <v>76</v>
      </c>
      <c r="B217" s="1419" t="s">
        <v>2050</v>
      </c>
      <c r="C217" s="116" t="str">
        <f t="shared" si="53"/>
        <v>NonQM OO</v>
      </c>
      <c r="D217" s="117" t="s">
        <v>1995</v>
      </c>
      <c r="E217" s="117" t="s">
        <v>166</v>
      </c>
      <c r="F217" s="117" t="s">
        <v>330</v>
      </c>
      <c r="G217" s="117" t="s">
        <v>465</v>
      </c>
      <c r="H217" s="117" t="s">
        <v>135</v>
      </c>
      <c r="I217" s="118" t="s">
        <v>16</v>
      </c>
      <c r="J217" s="118" t="s">
        <v>1130</v>
      </c>
      <c r="K217" s="118" t="s">
        <v>1398</v>
      </c>
      <c r="L217" s="117" t="s">
        <v>2025</v>
      </c>
      <c r="M217" s="117" t="s">
        <v>2289</v>
      </c>
      <c r="N217" s="117" t="s">
        <v>82</v>
      </c>
      <c r="O217" s="117" t="s">
        <v>309</v>
      </c>
      <c r="P217" s="117" t="s">
        <v>2433</v>
      </c>
      <c r="Q217" s="117" t="s">
        <v>293</v>
      </c>
      <c r="R217" s="117">
        <v>2500000.0099999998</v>
      </c>
      <c r="S217" s="117">
        <v>3000000</v>
      </c>
      <c r="T217" s="117">
        <v>0</v>
      </c>
      <c r="U217" s="117">
        <f t="shared" si="78"/>
        <v>3000000</v>
      </c>
      <c r="V217" s="117">
        <v>0</v>
      </c>
      <c r="W217" s="117">
        <v>55</v>
      </c>
      <c r="X217" s="117">
        <v>0</v>
      </c>
      <c r="Y217" s="117">
        <v>999</v>
      </c>
      <c r="Z217" s="119">
        <v>680</v>
      </c>
      <c r="AA217" s="119">
        <v>699</v>
      </c>
      <c r="AB217" s="1877">
        <v>0</v>
      </c>
      <c r="AC217" s="119">
        <v>999999</v>
      </c>
      <c r="AD217" s="117">
        <v>0</v>
      </c>
      <c r="AE217" s="117">
        <v>65</v>
      </c>
      <c r="AF217" s="144">
        <v>0</v>
      </c>
      <c r="AG217" s="145">
        <v>1</v>
      </c>
      <c r="AH217" s="145">
        <v>1</v>
      </c>
      <c r="AI217" s="145">
        <v>0</v>
      </c>
      <c r="AJ217" s="145">
        <v>0</v>
      </c>
      <c r="AK217" s="145">
        <v>1</v>
      </c>
      <c r="AL217" s="145">
        <v>0</v>
      </c>
      <c r="AM217" s="145">
        <v>1</v>
      </c>
      <c r="AN217" s="145">
        <v>1</v>
      </c>
      <c r="AO217" s="145">
        <v>1</v>
      </c>
      <c r="AP217" s="145">
        <v>1</v>
      </c>
      <c r="AQ217" s="145">
        <v>0</v>
      </c>
      <c r="AR217" s="145">
        <v>1</v>
      </c>
      <c r="AS217" s="145">
        <v>1</v>
      </c>
      <c r="AT217" s="145">
        <v>1</v>
      </c>
      <c r="AU217" s="145">
        <f t="shared" si="55"/>
        <v>0</v>
      </c>
      <c r="AV217" s="145">
        <f t="shared" si="56"/>
        <v>1</v>
      </c>
      <c r="AW217" s="145">
        <f t="shared" si="57"/>
        <v>1</v>
      </c>
      <c r="AX217" s="145">
        <f t="shared" si="73"/>
        <v>1</v>
      </c>
      <c r="AY217" s="145">
        <f t="shared" si="58"/>
        <v>0</v>
      </c>
      <c r="AZ217" s="145">
        <f t="shared" si="59"/>
        <v>1</v>
      </c>
      <c r="BA217" s="146">
        <f t="shared" si="60"/>
        <v>0</v>
      </c>
      <c r="BB217" s="149">
        <f t="shared" si="63"/>
        <v>14</v>
      </c>
      <c r="BC217" s="150">
        <f t="shared" si="64"/>
        <v>14</v>
      </c>
      <c r="BD217" s="150">
        <f t="shared" si="65"/>
        <v>14</v>
      </c>
      <c r="BE217" s="211" t="str">
        <f t="shared" si="66"/>
        <v/>
      </c>
      <c r="BH217" s="188">
        <f>IF(AND(Input_Product=Elig!$C217,Elig_MatchAll_Ct&lt;22,$BC217=(Elig_MatchAll_Ct-1),AF217=0),C217,0)</f>
        <v>0</v>
      </c>
      <c r="BI217" s="188">
        <f>IF(AND(Input_Product=Elig!$C217,Elig_MatchAll_Ct&lt;22,$BC217=(Elig_MatchAll_Ct-1),AG217=0),D217,0)</f>
        <v>0</v>
      </c>
      <c r="BJ217" s="188">
        <f>IF(AND(Input_Product=Elig!$C217,Elig_MatchAll_Ct&lt;22,$BC217=(Elig_MatchAll_Ct-1),AH217=0),E217,0)</f>
        <v>0</v>
      </c>
      <c r="BK217" s="188">
        <f>IF(AND(Input_Product=Elig!$C217,Elig_MatchAll_Ct&lt;22,$BC217=(Elig_MatchAll_Ct-1),AI217=0),F217,0)</f>
        <v>0</v>
      </c>
      <c r="BL217" s="188">
        <f>IF(AND(Input_Product=Elig!$C217,Elig_MatchAll_Ct&lt;22,$BC217=(Elig_MatchAll_Ct-1),AJ217=0),G217,0)</f>
        <v>0</v>
      </c>
      <c r="BM217" s="188">
        <f>IF(AND(Input_Product=Elig!$C217,Elig_MatchAll_Ct&lt;22,$BC217=(Elig_MatchAll_Ct-1),AK217=0),H217,0)</f>
        <v>0</v>
      </c>
      <c r="BN217" s="188">
        <f>IF(AND(Input_Product=Elig!$C217,Elig_MatchAll_Ct&lt;22,$BC217=(Elig_MatchAll_Ct-1),AL217=0),I217,0)</f>
        <v>0</v>
      </c>
      <c r="BO217" s="188">
        <f>IF(AND(Input_Product=Elig!$C217,Elig_MatchAll_Ct&lt;22,$BC217=(Elig_MatchAll_Ct-1),AM217=0),J217,0)</f>
        <v>0</v>
      </c>
      <c r="BP217" s="188">
        <f>IF(AND(Input_Product=Elig!$C217,Elig_MatchAll_Ct&lt;22,$BC217=(Elig_MatchAll_Ct-1),AN217=0),K217,0)</f>
        <v>0</v>
      </c>
      <c r="BQ217" s="188">
        <f>IF(AND(Input_Product=Elig!$C217,Elig_MatchAll_Ct&lt;22,$BC217=(Elig_MatchAll_Ct-1),AP217=0),L217,0)</f>
        <v>0</v>
      </c>
      <c r="BR217" s="188">
        <f>IF(AND(Input_Product=Elig!$C217,Elig_MatchAll_Ct&lt;22,$BC217=(Elig_MatchAll_Ct-1),AO217=0),M217,0)</f>
        <v>0</v>
      </c>
      <c r="BS217" s="188">
        <f>IF(AND(Input_Product=Elig!$C217,Elig_MatchAll_Ct&lt;22,$BC217=(Elig_MatchAll_Ct-1),AQ217=0),N217,0)</f>
        <v>0</v>
      </c>
      <c r="BT217" s="188">
        <f>IF(AND(Input_Product=Elig!$C217,Elig_MatchAll_Ct&lt;22,$BC217=(Elig_MatchAll_Ct-1),AR217=0),O217,0)</f>
        <v>0</v>
      </c>
      <c r="BU217" s="188">
        <f>IF(AND(Input_Product=Elig!$C217,Elig_MatchAll_Ct&lt;22,$BC217=(Elig_MatchAll_Ct-1),AS217=0),P217,0)</f>
        <v>0</v>
      </c>
      <c r="BV217" s="189">
        <f>IF(AND(Input_Product=Elig!$C217,Elig_MatchAll_Ct&lt;22,$BC217=(Elig_MatchAll_Ct-1),AT217=0),Q217,0)</f>
        <v>0</v>
      </c>
      <c r="BW217" s="271">
        <f>IF(AND(Input_Product=Elig!$C217,Elig_MatchAll_Ct&lt;22,$BC217=(Elig_MatchAll_Ct-1),AU217=0),R217,0)</f>
        <v>0</v>
      </c>
      <c r="BX217" s="272">
        <f>IF(AND(Input_Product=Elig!$C217,Elig_MatchAll_Ct&lt;22,$BC217=(Elig_MatchAll_Ct-1),AU217=0),S217,0)</f>
        <v>0</v>
      </c>
      <c r="BY217" s="271">
        <f>IF(AND(Input_Product=Elig!$C217,Elig_MatchAll_Ct&lt;22,$BC217=(Elig_MatchAll_Ct-1),AV217=0),T217,0)</f>
        <v>0</v>
      </c>
      <c r="BZ217" s="272">
        <f>IF(AND(Input_Product=Elig!$C217,Elig_MatchAll_Ct&lt;22,$BC217=(Elig_MatchAll_Ct-1),AV217=0),U217,0)</f>
        <v>0</v>
      </c>
      <c r="CA217" s="271">
        <f>IF(AND(Input_Product=Elig!$C217,Elig_MatchAll_Ct&lt;22,$BC217=(Elig_MatchAll_Ct-1),AW217=0),V217,0)</f>
        <v>0</v>
      </c>
      <c r="CB217" s="272">
        <f>IF(AND(Input_Product=Elig!$C217,Elig_MatchAll_Ct&lt;22,$BC217=(Elig_MatchAll_Ct-1),AW217=0),W217,0)</f>
        <v>0</v>
      </c>
      <c r="CC217" s="271">
        <f>IF(AND(Input_Product=Elig!$C217,Elig_MatchAll_Ct&lt;22,$BC217=(Elig_MatchAll_Ct-1),AX217=0),X217,0)</f>
        <v>0</v>
      </c>
      <c r="CD217" s="272">
        <f>IF(AND(Input_Product=Elig!$C217,Elig_MatchAll_Ct&lt;22,$BC217=(Elig_MatchAll_Ct-1),AX217=0),Y217,0)</f>
        <v>0</v>
      </c>
      <c r="CE217" s="271">
        <f>IF(AND(Input_LTV&lt;=AE217,Input_Product=Elig!$C217,Elig_MatchAll_Ct&lt;22,$BC217=(Elig_MatchAll_Ct-1),AY217=0),Z217,0)</f>
        <v>0</v>
      </c>
      <c r="CF217" s="272">
        <f>IF(AND(Input_LTV&lt;=AE217,Input_Product=Elig!$C217,Elig_MatchAll_Ct&lt;22,$BC217=(Elig_MatchAll_Ct-1),AY217=0),AA217,0)</f>
        <v>0</v>
      </c>
      <c r="CG217" s="271">
        <f>IF(AND(Input_Product=Elig!$C217,Elig_MatchAll_Ct&lt;22,$BC217=(Elig_MatchAll_Ct-1),AZ217=0),AB217,0)</f>
        <v>0</v>
      </c>
      <c r="CH217" s="272">
        <f>IF(AND(Input_Product=Elig!$C217,Elig_MatchAll_Ct&lt;22,$BC217=(Elig_MatchAll_Ct-1),AZ217=0),AC217,0)</f>
        <v>0</v>
      </c>
      <c r="CI217" s="271">
        <f>IF(AND(Input_Product=Elig!$C217,Elig_MatchAll_Ct&lt;22,$BC217=(Elig_MatchAll_Ct-1),BA217=0),AD217,0)</f>
        <v>0</v>
      </c>
      <c r="CJ217" s="272">
        <f>IF(AND(Input_Product=Elig!$C217,Elig_MatchAll_Ct&lt;22,$BC217=(Elig_MatchAll_Ct-1),BA217=0),AE217,0)</f>
        <v>0</v>
      </c>
      <c r="CK217" s="460" t="str">
        <f>Input_Product</f>
        <v>Second NOO</v>
      </c>
    </row>
    <row r="218" spans="1:89" ht="10.15" customHeight="1" x14ac:dyDescent="0.25">
      <c r="A218" s="1419" t="s">
        <v>76</v>
      </c>
      <c r="B218" s="1419" t="s">
        <v>2051</v>
      </c>
      <c r="C218" s="123" t="str">
        <f t="shared" ref="C218:C229" si="79">Input_Name_Product1</f>
        <v>NonQM OO</v>
      </c>
      <c r="D218" s="124" t="s">
        <v>1995</v>
      </c>
      <c r="E218" s="125" t="s">
        <v>166</v>
      </c>
      <c r="F218" s="125" t="s">
        <v>330</v>
      </c>
      <c r="G218" s="125" t="s">
        <v>178</v>
      </c>
      <c r="H218" s="125" t="s">
        <v>135</v>
      </c>
      <c r="I218" s="124" t="s">
        <v>273</v>
      </c>
      <c r="J218" s="124" t="s">
        <v>1130</v>
      </c>
      <c r="K218" s="124" t="s">
        <v>1398</v>
      </c>
      <c r="L218" s="125" t="s">
        <v>2025</v>
      </c>
      <c r="M218" s="125" t="s">
        <v>2289</v>
      </c>
      <c r="N218" s="125" t="s">
        <v>82</v>
      </c>
      <c r="O218" s="125" t="s">
        <v>309</v>
      </c>
      <c r="P218" s="125" t="s">
        <v>2433</v>
      </c>
      <c r="Q218" s="125" t="s">
        <v>293</v>
      </c>
      <c r="R218" s="124">
        <v>2500000.0099999998</v>
      </c>
      <c r="S218" s="124">
        <v>3000000</v>
      </c>
      <c r="T218" s="124">
        <v>0</v>
      </c>
      <c r="U218" s="124">
        <v>0</v>
      </c>
      <c r="V218" s="124">
        <v>0</v>
      </c>
      <c r="W218" s="124">
        <v>55</v>
      </c>
      <c r="X218" s="124">
        <v>0</v>
      </c>
      <c r="Y218" s="124">
        <v>999</v>
      </c>
      <c r="Z218" s="126">
        <v>720</v>
      </c>
      <c r="AA218" s="126">
        <v>999</v>
      </c>
      <c r="AB218" s="1879">
        <v>0</v>
      </c>
      <c r="AC218" s="126">
        <v>999999</v>
      </c>
      <c r="AD218" s="124">
        <v>0</v>
      </c>
      <c r="AE218" s="124">
        <v>70</v>
      </c>
      <c r="AF218" s="144">
        <v>0</v>
      </c>
      <c r="AG218" s="145">
        <v>1</v>
      </c>
      <c r="AH218" s="145">
        <v>1</v>
      </c>
      <c r="AI218" s="145">
        <v>0</v>
      </c>
      <c r="AJ218" s="145">
        <v>0</v>
      </c>
      <c r="AK218" s="145">
        <v>1</v>
      </c>
      <c r="AL218" s="145">
        <v>1</v>
      </c>
      <c r="AM218" s="145">
        <v>1</v>
      </c>
      <c r="AN218" s="145">
        <v>1</v>
      </c>
      <c r="AO218" s="145">
        <v>1</v>
      </c>
      <c r="AP218" s="145">
        <v>1</v>
      </c>
      <c r="AQ218" s="145">
        <v>0</v>
      </c>
      <c r="AR218" s="145">
        <v>1</v>
      </c>
      <c r="AS218" s="145">
        <v>1</v>
      </c>
      <c r="AT218" s="145">
        <v>1</v>
      </c>
      <c r="AU218" s="145">
        <f t="shared" si="55"/>
        <v>0</v>
      </c>
      <c r="AV218" s="145">
        <f t="shared" si="56"/>
        <v>1</v>
      </c>
      <c r="AW218" s="145">
        <f t="shared" si="57"/>
        <v>1</v>
      </c>
      <c r="AX218" s="145">
        <f t="shared" si="73"/>
        <v>1</v>
      </c>
      <c r="AY218" s="145">
        <f t="shared" si="58"/>
        <v>1</v>
      </c>
      <c r="AZ218" s="145">
        <f t="shared" si="59"/>
        <v>1</v>
      </c>
      <c r="BA218" s="146">
        <f t="shared" si="60"/>
        <v>1</v>
      </c>
      <c r="BB218" s="149">
        <f t="shared" si="63"/>
        <v>17</v>
      </c>
      <c r="BC218" s="150">
        <f t="shared" si="64"/>
        <v>16</v>
      </c>
      <c r="BD218" s="150">
        <f t="shared" si="65"/>
        <v>17</v>
      </c>
      <c r="BE218" s="211" t="str">
        <f t="shared" si="66"/>
        <v/>
      </c>
      <c r="BH218" s="184">
        <f>IF(AND(Input_Product=Elig!$C218,Elig_MatchAll_Ct&lt;22,$BC218=(Elig_MatchAll_Ct-1),AF218=0),C218,0)</f>
        <v>0</v>
      </c>
      <c r="BI218" s="184">
        <f>IF(AND(Input_Product=Elig!$C218,Elig_MatchAll_Ct&lt;22,$BC218=(Elig_MatchAll_Ct-1),AG218=0),D218,0)</f>
        <v>0</v>
      </c>
      <c r="BJ218" s="184">
        <f>IF(AND(Input_Product=Elig!$C218,Elig_MatchAll_Ct&lt;22,$BC218=(Elig_MatchAll_Ct-1),AH218=0),E218,0)</f>
        <v>0</v>
      </c>
      <c r="BK218" s="184">
        <f>IF(AND(Input_Product=Elig!$C218,Elig_MatchAll_Ct&lt;22,$BC218=(Elig_MatchAll_Ct-1),AI218=0),F218,0)</f>
        <v>0</v>
      </c>
      <c r="BL218" s="184">
        <f>IF(AND(Input_Product=Elig!$C218,Elig_MatchAll_Ct&lt;22,$BC218=(Elig_MatchAll_Ct-1),AJ218=0),G218,0)</f>
        <v>0</v>
      </c>
      <c r="BM218" s="184">
        <f>IF(AND(Input_Product=Elig!$C218,Elig_MatchAll_Ct&lt;22,$BC218=(Elig_MatchAll_Ct-1),AK218=0),H218,0)</f>
        <v>0</v>
      </c>
      <c r="BN218" s="184">
        <f>IF(AND(Input_Product=Elig!$C218,Elig_MatchAll_Ct&lt;22,$BC218=(Elig_MatchAll_Ct-1),AL218=0),I218,0)</f>
        <v>0</v>
      </c>
      <c r="BO218" s="184">
        <f>IF(AND(Input_Product=Elig!$C218,Elig_MatchAll_Ct&lt;22,$BC218=(Elig_MatchAll_Ct-1),AM218=0),J218,0)</f>
        <v>0</v>
      </c>
      <c r="BP218" s="184">
        <f>IF(AND(Input_Product=Elig!$C218,Elig_MatchAll_Ct&lt;22,$BC218=(Elig_MatchAll_Ct-1),AN218=0),K218,0)</f>
        <v>0</v>
      </c>
      <c r="BQ218" s="184">
        <f>IF(AND(Input_Product=Elig!$C218,Elig_MatchAll_Ct&lt;22,$BC218=(Elig_MatchAll_Ct-1),AP218=0),L218,0)</f>
        <v>0</v>
      </c>
      <c r="BR218" s="184">
        <f>IF(AND(Input_Product=Elig!$C218,Elig_MatchAll_Ct&lt;22,$BC218=(Elig_MatchAll_Ct-1),AO218=0),M218,0)</f>
        <v>0</v>
      </c>
      <c r="BS218" s="184">
        <f>IF(AND(Input_Product=Elig!$C218,Elig_MatchAll_Ct&lt;22,$BC218=(Elig_MatchAll_Ct-1),AQ218=0),N218,0)</f>
        <v>0</v>
      </c>
      <c r="BT218" s="184">
        <f>IF(AND(Input_Product=Elig!$C218,Elig_MatchAll_Ct&lt;22,$BC218=(Elig_MatchAll_Ct-1),AR218=0),O218,0)</f>
        <v>0</v>
      </c>
      <c r="BU218" s="184">
        <f>IF(AND(Input_Product=Elig!$C218,Elig_MatchAll_Ct&lt;22,$BC218=(Elig_MatchAll_Ct-1),AS218=0),P218,0)</f>
        <v>0</v>
      </c>
      <c r="BV218" s="185">
        <f>IF(AND(Input_Product=Elig!$C218,Elig_MatchAll_Ct&lt;22,$BC218=(Elig_MatchAll_Ct-1),AT218=0),Q218,0)</f>
        <v>0</v>
      </c>
      <c r="BW218" s="186">
        <f>IF(AND(Input_Product=Elig!$C218,Elig_MatchAll_Ct&lt;22,$BC218=(Elig_MatchAll_Ct-1),AU218=0),R218,0)</f>
        <v>0</v>
      </c>
      <c r="BX218" s="187">
        <f>IF(AND(Input_Product=Elig!$C218,Elig_MatchAll_Ct&lt;22,$BC218=(Elig_MatchAll_Ct-1),AU218=0),S218,0)</f>
        <v>0</v>
      </c>
      <c r="BY218" s="186">
        <f>IF(AND(Input_Product=Elig!$C218,Elig_MatchAll_Ct&lt;22,$BC218=(Elig_MatchAll_Ct-1),AV218=0),T218,0)</f>
        <v>0</v>
      </c>
      <c r="BZ218" s="187">
        <f>IF(AND(Input_Product=Elig!$C218,Elig_MatchAll_Ct&lt;22,$BC218=(Elig_MatchAll_Ct-1),AV218=0),U218,0)</f>
        <v>0</v>
      </c>
      <c r="CA218" s="186">
        <f>IF(AND(Input_Product=Elig!$C218,Elig_MatchAll_Ct&lt;22,$BC218=(Elig_MatchAll_Ct-1),AW218=0),V218,0)</f>
        <v>0</v>
      </c>
      <c r="CB218" s="187">
        <f>IF(AND(Input_Product=Elig!$C218,Elig_MatchAll_Ct&lt;22,$BC218=(Elig_MatchAll_Ct-1),AW218=0),W218,0)</f>
        <v>0</v>
      </c>
      <c r="CC218" s="186">
        <f>IF(AND(Input_Product=Elig!$C218,Elig_MatchAll_Ct&lt;22,$BC218=(Elig_MatchAll_Ct-1),AX218=0),X218,0)</f>
        <v>0</v>
      </c>
      <c r="CD218" s="187">
        <f>IF(AND(Input_Product=Elig!$C218,Elig_MatchAll_Ct&lt;22,$BC218=(Elig_MatchAll_Ct-1),AX218=0),Y218,0)</f>
        <v>0</v>
      </c>
      <c r="CE218" s="186">
        <f>IF(AND(Input_LTV&lt;=AE218,Input_Product=Elig!$C218,Elig_MatchAll_Ct&lt;22,$BC218=(Elig_MatchAll_Ct-1),AY218=0),Z218,0)</f>
        <v>0</v>
      </c>
      <c r="CF218" s="187">
        <f>IF(AND(Input_LTV&lt;=AE218,Input_Product=Elig!$C218,Elig_MatchAll_Ct&lt;22,$BC218=(Elig_MatchAll_Ct-1),AY218=0),AA218,0)</f>
        <v>0</v>
      </c>
      <c r="CG218" s="186">
        <f>IF(AND(Input_Product=Elig!$C218,Elig_MatchAll_Ct&lt;22,$BC218=(Elig_MatchAll_Ct-1),AZ218=0),AB218,0)</f>
        <v>0</v>
      </c>
      <c r="CH218" s="187">
        <f>IF(AND(Input_Product=Elig!$C218,Elig_MatchAll_Ct&lt;22,$BC218=(Elig_MatchAll_Ct-1),AZ218=0),AC218,0)</f>
        <v>0</v>
      </c>
      <c r="CI218" s="186">
        <f>IF(AND(Input_Product=Elig!$C218,Elig_MatchAll_Ct&lt;22,$BC218=(Elig_MatchAll_Ct-1),BA218=0),AD218,0)</f>
        <v>0</v>
      </c>
      <c r="CJ218" s="187">
        <f>IF(AND(Input_Product=Elig!$C218,Elig_MatchAll_Ct&lt;22,$BC218=(Elig_MatchAll_Ct-1),BA218=0),AE218,0)</f>
        <v>0</v>
      </c>
    </row>
    <row r="219" spans="1:89" ht="10.15" customHeight="1" x14ac:dyDescent="0.25">
      <c r="A219" s="1419" t="s">
        <v>76</v>
      </c>
      <c r="B219" s="1419" t="s">
        <v>2052</v>
      </c>
      <c r="C219" s="116" t="str">
        <f t="shared" si="79"/>
        <v>NonQM OO</v>
      </c>
      <c r="D219" s="117" t="s">
        <v>1995</v>
      </c>
      <c r="E219" s="117" t="s">
        <v>166</v>
      </c>
      <c r="F219" s="117" t="s">
        <v>330</v>
      </c>
      <c r="G219" s="117" t="s">
        <v>178</v>
      </c>
      <c r="H219" s="117" t="s">
        <v>135</v>
      </c>
      <c r="I219" s="118" t="s">
        <v>273</v>
      </c>
      <c r="J219" s="118" t="s">
        <v>1130</v>
      </c>
      <c r="K219" s="118" t="s">
        <v>1398</v>
      </c>
      <c r="L219" s="117" t="s">
        <v>2025</v>
      </c>
      <c r="M219" s="117" t="s">
        <v>2289</v>
      </c>
      <c r="N219" s="117" t="s">
        <v>82</v>
      </c>
      <c r="O219" s="117" t="s">
        <v>309</v>
      </c>
      <c r="P219" s="117" t="s">
        <v>2433</v>
      </c>
      <c r="Q219" s="117" t="s">
        <v>293</v>
      </c>
      <c r="R219" s="117">
        <v>2500000.0099999998</v>
      </c>
      <c r="S219" s="117">
        <v>3000000</v>
      </c>
      <c r="T219" s="117">
        <v>0</v>
      </c>
      <c r="U219" s="117">
        <v>0</v>
      </c>
      <c r="V219" s="117">
        <v>0</v>
      </c>
      <c r="W219" s="117">
        <v>55</v>
      </c>
      <c r="X219" s="117">
        <v>0</v>
      </c>
      <c r="Y219" s="117">
        <v>999</v>
      </c>
      <c r="Z219" s="119">
        <v>700</v>
      </c>
      <c r="AA219" s="119">
        <v>719</v>
      </c>
      <c r="AB219" s="1877">
        <v>0</v>
      </c>
      <c r="AC219" s="119">
        <v>999999</v>
      </c>
      <c r="AD219" s="117">
        <v>0</v>
      </c>
      <c r="AE219" s="117">
        <v>70</v>
      </c>
      <c r="AF219" s="144">
        <v>0</v>
      </c>
      <c r="AG219" s="145">
        <v>1</v>
      </c>
      <c r="AH219" s="145">
        <v>1</v>
      </c>
      <c r="AI219" s="145">
        <v>0</v>
      </c>
      <c r="AJ219" s="145">
        <v>0</v>
      </c>
      <c r="AK219" s="145">
        <v>1</v>
      </c>
      <c r="AL219" s="145">
        <v>1</v>
      </c>
      <c r="AM219" s="145">
        <v>1</v>
      </c>
      <c r="AN219" s="145">
        <v>1</v>
      </c>
      <c r="AO219" s="145">
        <v>1</v>
      </c>
      <c r="AP219" s="145">
        <v>1</v>
      </c>
      <c r="AQ219" s="145">
        <v>0</v>
      </c>
      <c r="AR219" s="145">
        <v>1</v>
      </c>
      <c r="AS219" s="145">
        <v>1</v>
      </c>
      <c r="AT219" s="145">
        <v>1</v>
      </c>
      <c r="AU219" s="145">
        <f t="shared" si="55"/>
        <v>0</v>
      </c>
      <c r="AV219" s="145">
        <f t="shared" si="56"/>
        <v>1</v>
      </c>
      <c r="AW219" s="145">
        <f t="shared" si="57"/>
        <v>1</v>
      </c>
      <c r="AX219" s="145">
        <f t="shared" si="73"/>
        <v>1</v>
      </c>
      <c r="AY219" s="145">
        <f t="shared" si="58"/>
        <v>0</v>
      </c>
      <c r="AZ219" s="145">
        <f t="shared" si="59"/>
        <v>1</v>
      </c>
      <c r="BA219" s="146">
        <f t="shared" si="60"/>
        <v>1</v>
      </c>
      <c r="BB219" s="149">
        <f t="shared" si="63"/>
        <v>16</v>
      </c>
      <c r="BC219" s="150">
        <f t="shared" si="64"/>
        <v>15</v>
      </c>
      <c r="BD219" s="150">
        <f t="shared" si="65"/>
        <v>16</v>
      </c>
      <c r="BE219" s="211" t="str">
        <f t="shared" si="66"/>
        <v/>
      </c>
      <c r="BH219" s="173">
        <f>IF(AND(Input_Product=Elig!$C219,Elig_MatchAll_Ct&lt;22,$BC219=(Elig_MatchAll_Ct-1),AF219=0),C219,0)</f>
        <v>0</v>
      </c>
      <c r="BI219" s="173">
        <f>IF(AND(Input_Product=Elig!$C219,Elig_MatchAll_Ct&lt;22,$BC219=(Elig_MatchAll_Ct-1),AG219=0),D219,0)</f>
        <v>0</v>
      </c>
      <c r="BJ219" s="173">
        <f>IF(AND(Input_Product=Elig!$C219,Elig_MatchAll_Ct&lt;22,$BC219=(Elig_MatchAll_Ct-1),AH219=0),E219,0)</f>
        <v>0</v>
      </c>
      <c r="BK219" s="173">
        <f>IF(AND(Input_Product=Elig!$C219,Elig_MatchAll_Ct&lt;22,$BC219=(Elig_MatchAll_Ct-1),AI219=0),F219,0)</f>
        <v>0</v>
      </c>
      <c r="BL219" s="173">
        <f>IF(AND(Input_Product=Elig!$C219,Elig_MatchAll_Ct&lt;22,$BC219=(Elig_MatchAll_Ct-1),AJ219=0),G219,0)</f>
        <v>0</v>
      </c>
      <c r="BM219" s="173">
        <f>IF(AND(Input_Product=Elig!$C219,Elig_MatchAll_Ct&lt;22,$BC219=(Elig_MatchAll_Ct-1),AK219=0),H219,0)</f>
        <v>0</v>
      </c>
      <c r="BN219" s="173">
        <f>IF(AND(Input_Product=Elig!$C219,Elig_MatchAll_Ct&lt;22,$BC219=(Elig_MatchAll_Ct-1),AL219=0),I219,0)</f>
        <v>0</v>
      </c>
      <c r="BO219" s="173">
        <f>IF(AND(Input_Product=Elig!$C219,Elig_MatchAll_Ct&lt;22,$BC219=(Elig_MatchAll_Ct-1),AM219=0),J219,0)</f>
        <v>0</v>
      </c>
      <c r="BP219" s="173">
        <f>IF(AND(Input_Product=Elig!$C219,Elig_MatchAll_Ct&lt;22,$BC219=(Elig_MatchAll_Ct-1),AN219=0),K219,0)</f>
        <v>0</v>
      </c>
      <c r="BQ219" s="173">
        <f>IF(AND(Input_Product=Elig!$C219,Elig_MatchAll_Ct&lt;22,$BC219=(Elig_MatchAll_Ct-1),AP219=0),L219,0)</f>
        <v>0</v>
      </c>
      <c r="BR219" s="173">
        <f>IF(AND(Input_Product=Elig!$C219,Elig_MatchAll_Ct&lt;22,$BC219=(Elig_MatchAll_Ct-1),AO219=0),M219,0)</f>
        <v>0</v>
      </c>
      <c r="BS219" s="173">
        <f>IF(AND(Input_Product=Elig!$C219,Elig_MatchAll_Ct&lt;22,$BC219=(Elig_MatchAll_Ct-1),AQ219=0),N219,0)</f>
        <v>0</v>
      </c>
      <c r="BT219" s="173">
        <f>IF(AND(Input_Product=Elig!$C219,Elig_MatchAll_Ct&lt;22,$BC219=(Elig_MatchAll_Ct-1),AR219=0),O219,0)</f>
        <v>0</v>
      </c>
      <c r="BU219" s="173">
        <f>IF(AND(Input_Product=Elig!$C219,Elig_MatchAll_Ct&lt;22,$BC219=(Elig_MatchAll_Ct-1),AS219=0),P219,0)</f>
        <v>0</v>
      </c>
      <c r="BV219" s="174">
        <f>IF(AND(Input_Product=Elig!$C219,Elig_MatchAll_Ct&lt;22,$BC219=(Elig_MatchAll_Ct-1),AT219=0),Q219,0)</f>
        <v>0</v>
      </c>
      <c r="BW219" s="175">
        <f>IF(AND(Input_Product=Elig!$C219,Elig_MatchAll_Ct&lt;22,$BC219=(Elig_MatchAll_Ct-1),AU219=0),R219,0)</f>
        <v>0</v>
      </c>
      <c r="BX219" s="176">
        <f>IF(AND(Input_Product=Elig!$C219,Elig_MatchAll_Ct&lt;22,$BC219=(Elig_MatchAll_Ct-1),AU219=0),S219,0)</f>
        <v>0</v>
      </c>
      <c r="BY219" s="175">
        <f>IF(AND(Input_Product=Elig!$C219,Elig_MatchAll_Ct&lt;22,$BC219=(Elig_MatchAll_Ct-1),AV219=0),T219,0)</f>
        <v>0</v>
      </c>
      <c r="BZ219" s="176">
        <f>IF(AND(Input_Product=Elig!$C219,Elig_MatchAll_Ct&lt;22,$BC219=(Elig_MatchAll_Ct-1),AV219=0),U219,0)</f>
        <v>0</v>
      </c>
      <c r="CA219" s="175">
        <f>IF(AND(Input_Product=Elig!$C219,Elig_MatchAll_Ct&lt;22,$BC219=(Elig_MatchAll_Ct-1),AW219=0),V219,0)</f>
        <v>0</v>
      </c>
      <c r="CB219" s="176">
        <f>IF(AND(Input_Product=Elig!$C219,Elig_MatchAll_Ct&lt;22,$BC219=(Elig_MatchAll_Ct-1),AW219=0),W219,0)</f>
        <v>0</v>
      </c>
      <c r="CC219" s="175">
        <f>IF(AND(Input_Product=Elig!$C219,Elig_MatchAll_Ct&lt;22,$BC219=(Elig_MatchAll_Ct-1),AX219=0),X219,0)</f>
        <v>0</v>
      </c>
      <c r="CD219" s="176">
        <f>IF(AND(Input_Product=Elig!$C219,Elig_MatchAll_Ct&lt;22,$BC219=(Elig_MatchAll_Ct-1),AX219=0),Y219,0)</f>
        <v>0</v>
      </c>
      <c r="CE219" s="175">
        <f>IF(AND(Input_LTV&lt;=AE219,Input_Product=Elig!$C219,Elig_MatchAll_Ct&lt;22,$BC219=(Elig_MatchAll_Ct-1),AY219=0),Z219,0)</f>
        <v>0</v>
      </c>
      <c r="CF219" s="176">
        <f>IF(AND(Input_LTV&lt;=AE219,Input_Product=Elig!$C219,Elig_MatchAll_Ct&lt;22,$BC219=(Elig_MatchAll_Ct-1),AY219=0),AA219,0)</f>
        <v>0</v>
      </c>
      <c r="CG219" s="175">
        <f>IF(AND(Input_Product=Elig!$C219,Elig_MatchAll_Ct&lt;22,$BC219=(Elig_MatchAll_Ct-1),AZ219=0),AB219,0)</f>
        <v>0</v>
      </c>
      <c r="CH219" s="176">
        <f>IF(AND(Input_Product=Elig!$C219,Elig_MatchAll_Ct&lt;22,$BC219=(Elig_MatchAll_Ct-1),AZ219=0),AC219,0)</f>
        <v>0</v>
      </c>
      <c r="CI219" s="175">
        <f>IF(AND(Input_Product=Elig!$C219,Elig_MatchAll_Ct&lt;22,$BC219=(Elig_MatchAll_Ct-1),BA219=0),AD219,0)</f>
        <v>0</v>
      </c>
      <c r="CJ219" s="176">
        <f>IF(AND(Input_Product=Elig!$C219,Elig_MatchAll_Ct&lt;22,$BC219=(Elig_MatchAll_Ct-1),BA219=0),AE219,0)</f>
        <v>0</v>
      </c>
    </row>
    <row r="220" spans="1:89" ht="10.15" customHeight="1" x14ac:dyDescent="0.25">
      <c r="A220" s="1419" t="s">
        <v>76</v>
      </c>
      <c r="B220" s="1419" t="s">
        <v>2053</v>
      </c>
      <c r="C220" s="116" t="str">
        <f t="shared" si="79"/>
        <v>NonQM OO</v>
      </c>
      <c r="D220" s="117" t="s">
        <v>1995</v>
      </c>
      <c r="E220" s="117" t="s">
        <v>166</v>
      </c>
      <c r="F220" s="117" t="s">
        <v>330</v>
      </c>
      <c r="G220" s="117" t="s">
        <v>178</v>
      </c>
      <c r="H220" s="117" t="s">
        <v>135</v>
      </c>
      <c r="I220" s="118" t="s">
        <v>273</v>
      </c>
      <c r="J220" s="118" t="s">
        <v>1130</v>
      </c>
      <c r="K220" s="118" t="s">
        <v>1398</v>
      </c>
      <c r="L220" s="117" t="s">
        <v>2025</v>
      </c>
      <c r="M220" s="117" t="s">
        <v>2289</v>
      </c>
      <c r="N220" s="117" t="s">
        <v>82</v>
      </c>
      <c r="O220" s="117" t="s">
        <v>309</v>
      </c>
      <c r="P220" s="117" t="s">
        <v>2433</v>
      </c>
      <c r="Q220" s="117" t="s">
        <v>293</v>
      </c>
      <c r="R220" s="117">
        <v>2500000.0099999998</v>
      </c>
      <c r="S220" s="117">
        <v>3000000</v>
      </c>
      <c r="T220" s="117">
        <v>0</v>
      </c>
      <c r="U220" s="117">
        <v>0</v>
      </c>
      <c r="V220" s="117">
        <v>0</v>
      </c>
      <c r="W220" s="117">
        <v>55</v>
      </c>
      <c r="X220" s="117">
        <v>0</v>
      </c>
      <c r="Y220" s="117">
        <v>999</v>
      </c>
      <c r="Z220" s="119">
        <v>680</v>
      </c>
      <c r="AA220" s="119">
        <v>699</v>
      </c>
      <c r="AB220" s="1877">
        <v>0</v>
      </c>
      <c r="AC220" s="119">
        <v>999999</v>
      </c>
      <c r="AD220" s="117">
        <v>0</v>
      </c>
      <c r="AE220" s="117">
        <v>70</v>
      </c>
      <c r="AF220" s="144">
        <v>0</v>
      </c>
      <c r="AG220" s="145">
        <v>1</v>
      </c>
      <c r="AH220" s="145">
        <v>1</v>
      </c>
      <c r="AI220" s="145">
        <v>0</v>
      </c>
      <c r="AJ220" s="145">
        <v>0</v>
      </c>
      <c r="AK220" s="145">
        <v>1</v>
      </c>
      <c r="AL220" s="145">
        <v>1</v>
      </c>
      <c r="AM220" s="145">
        <v>1</v>
      </c>
      <c r="AN220" s="145">
        <v>1</v>
      </c>
      <c r="AO220" s="145">
        <v>1</v>
      </c>
      <c r="AP220" s="145">
        <v>1</v>
      </c>
      <c r="AQ220" s="145">
        <v>0</v>
      </c>
      <c r="AR220" s="145">
        <v>1</v>
      </c>
      <c r="AS220" s="145">
        <v>1</v>
      </c>
      <c r="AT220" s="145">
        <v>1</v>
      </c>
      <c r="AU220" s="145">
        <f t="shared" si="55"/>
        <v>0</v>
      </c>
      <c r="AV220" s="145">
        <f t="shared" si="56"/>
        <v>1</v>
      </c>
      <c r="AW220" s="145">
        <f t="shared" si="57"/>
        <v>1</v>
      </c>
      <c r="AX220" s="145">
        <f t="shared" si="73"/>
        <v>1</v>
      </c>
      <c r="AY220" s="145">
        <f t="shared" si="58"/>
        <v>0</v>
      </c>
      <c r="AZ220" s="145">
        <f t="shared" si="59"/>
        <v>1</v>
      </c>
      <c r="BA220" s="146">
        <f t="shared" si="60"/>
        <v>1</v>
      </c>
      <c r="BB220" s="149">
        <f t="shared" si="63"/>
        <v>16</v>
      </c>
      <c r="BC220" s="150">
        <f t="shared" si="64"/>
        <v>15</v>
      </c>
      <c r="BD220" s="150">
        <f t="shared" si="65"/>
        <v>16</v>
      </c>
      <c r="BE220" s="211" t="str">
        <f t="shared" si="66"/>
        <v/>
      </c>
      <c r="BH220" s="188">
        <f>IF(AND(Input_Product=Elig!$C220,Elig_MatchAll_Ct&lt;22,$BC220=(Elig_MatchAll_Ct-1),AF220=0),C220,0)</f>
        <v>0</v>
      </c>
      <c r="BI220" s="188">
        <f>IF(AND(Input_Product=Elig!$C220,Elig_MatchAll_Ct&lt;22,$BC220=(Elig_MatchAll_Ct-1),AG220=0),D220,0)</f>
        <v>0</v>
      </c>
      <c r="BJ220" s="188">
        <f>IF(AND(Input_Product=Elig!$C220,Elig_MatchAll_Ct&lt;22,$BC220=(Elig_MatchAll_Ct-1),AH220=0),E220,0)</f>
        <v>0</v>
      </c>
      <c r="BK220" s="188">
        <f>IF(AND(Input_Product=Elig!$C220,Elig_MatchAll_Ct&lt;22,$BC220=(Elig_MatchAll_Ct-1),AI220=0),F220,0)</f>
        <v>0</v>
      </c>
      <c r="BL220" s="188">
        <f>IF(AND(Input_Product=Elig!$C220,Elig_MatchAll_Ct&lt;22,$BC220=(Elig_MatchAll_Ct-1),AJ220=0),G220,0)</f>
        <v>0</v>
      </c>
      <c r="BM220" s="188">
        <f>IF(AND(Input_Product=Elig!$C220,Elig_MatchAll_Ct&lt;22,$BC220=(Elig_MatchAll_Ct-1),AK220=0),H220,0)</f>
        <v>0</v>
      </c>
      <c r="BN220" s="188">
        <f>IF(AND(Input_Product=Elig!$C220,Elig_MatchAll_Ct&lt;22,$BC220=(Elig_MatchAll_Ct-1),AL220=0),I220,0)</f>
        <v>0</v>
      </c>
      <c r="BO220" s="188">
        <f>IF(AND(Input_Product=Elig!$C220,Elig_MatchAll_Ct&lt;22,$BC220=(Elig_MatchAll_Ct-1),AM220=0),J220,0)</f>
        <v>0</v>
      </c>
      <c r="BP220" s="188">
        <f>IF(AND(Input_Product=Elig!$C220,Elig_MatchAll_Ct&lt;22,$BC220=(Elig_MatchAll_Ct-1),AN220=0),K220,0)</f>
        <v>0</v>
      </c>
      <c r="BQ220" s="188">
        <f>IF(AND(Input_Product=Elig!$C220,Elig_MatchAll_Ct&lt;22,$BC220=(Elig_MatchAll_Ct-1),AP220=0),L220,0)</f>
        <v>0</v>
      </c>
      <c r="BR220" s="188">
        <f>IF(AND(Input_Product=Elig!$C220,Elig_MatchAll_Ct&lt;22,$BC220=(Elig_MatchAll_Ct-1),AO220=0),M220,0)</f>
        <v>0</v>
      </c>
      <c r="BS220" s="188">
        <f>IF(AND(Input_Product=Elig!$C220,Elig_MatchAll_Ct&lt;22,$BC220=(Elig_MatchAll_Ct-1),AQ220=0),N220,0)</f>
        <v>0</v>
      </c>
      <c r="BT220" s="188">
        <f>IF(AND(Input_Product=Elig!$C220,Elig_MatchAll_Ct&lt;22,$BC220=(Elig_MatchAll_Ct-1),AR220=0),O220,0)</f>
        <v>0</v>
      </c>
      <c r="BU220" s="188">
        <f>IF(AND(Input_Product=Elig!$C220,Elig_MatchAll_Ct&lt;22,$BC220=(Elig_MatchAll_Ct-1),AS220=0),P220,0)</f>
        <v>0</v>
      </c>
      <c r="BV220" s="189">
        <f>IF(AND(Input_Product=Elig!$C220,Elig_MatchAll_Ct&lt;22,$BC220=(Elig_MatchAll_Ct-1),AT220=0),Q220,0)</f>
        <v>0</v>
      </c>
      <c r="BW220" s="271">
        <f>IF(AND(Input_Product=Elig!$C220,Elig_MatchAll_Ct&lt;22,$BC220=(Elig_MatchAll_Ct-1),AU220=0),R220,0)</f>
        <v>0</v>
      </c>
      <c r="BX220" s="272">
        <f>IF(AND(Input_Product=Elig!$C220,Elig_MatchAll_Ct&lt;22,$BC220=(Elig_MatchAll_Ct-1),AU220=0),S220,0)</f>
        <v>0</v>
      </c>
      <c r="BY220" s="271">
        <f>IF(AND(Input_Product=Elig!$C220,Elig_MatchAll_Ct&lt;22,$BC220=(Elig_MatchAll_Ct-1),AV220=0),T220,0)</f>
        <v>0</v>
      </c>
      <c r="BZ220" s="272">
        <f>IF(AND(Input_Product=Elig!$C220,Elig_MatchAll_Ct&lt;22,$BC220=(Elig_MatchAll_Ct-1),AV220=0),U220,0)</f>
        <v>0</v>
      </c>
      <c r="CA220" s="271">
        <f>IF(AND(Input_Product=Elig!$C220,Elig_MatchAll_Ct&lt;22,$BC220=(Elig_MatchAll_Ct-1),AW220=0),V220,0)</f>
        <v>0</v>
      </c>
      <c r="CB220" s="272">
        <f>IF(AND(Input_Product=Elig!$C220,Elig_MatchAll_Ct&lt;22,$BC220=(Elig_MatchAll_Ct-1),AW220=0),W220,0)</f>
        <v>0</v>
      </c>
      <c r="CC220" s="271">
        <f>IF(AND(Input_Product=Elig!$C220,Elig_MatchAll_Ct&lt;22,$BC220=(Elig_MatchAll_Ct-1),AX220=0),X220,0)</f>
        <v>0</v>
      </c>
      <c r="CD220" s="272">
        <f>IF(AND(Input_Product=Elig!$C220,Elig_MatchAll_Ct&lt;22,$BC220=(Elig_MatchAll_Ct-1),AX220=0),Y220,0)</f>
        <v>0</v>
      </c>
      <c r="CE220" s="271">
        <f>IF(AND(Input_LTV&lt;=AE220,Input_Product=Elig!$C220,Elig_MatchAll_Ct&lt;22,$BC220=(Elig_MatchAll_Ct-1),AY220=0),Z220,0)</f>
        <v>0</v>
      </c>
      <c r="CF220" s="272">
        <f>IF(AND(Input_LTV&lt;=AE220,Input_Product=Elig!$C220,Elig_MatchAll_Ct&lt;22,$BC220=(Elig_MatchAll_Ct-1),AY220=0),AA220,0)</f>
        <v>0</v>
      </c>
      <c r="CG220" s="271">
        <f>IF(AND(Input_Product=Elig!$C220,Elig_MatchAll_Ct&lt;22,$BC220=(Elig_MatchAll_Ct-1),AZ220=0),AB220,0)</f>
        <v>0</v>
      </c>
      <c r="CH220" s="272">
        <f>IF(AND(Input_Product=Elig!$C220,Elig_MatchAll_Ct&lt;22,$BC220=(Elig_MatchAll_Ct-1),AZ220=0),AC220,0)</f>
        <v>0</v>
      </c>
      <c r="CI220" s="271">
        <f>IF(AND(Input_Product=Elig!$C220,Elig_MatchAll_Ct&lt;22,$BC220=(Elig_MatchAll_Ct-1),BA220=0),AD220,0)</f>
        <v>0</v>
      </c>
      <c r="CJ220" s="272">
        <f>IF(AND(Input_Product=Elig!$C220,Elig_MatchAll_Ct&lt;22,$BC220=(Elig_MatchAll_Ct-1),BA220=0),AE220,0)</f>
        <v>0</v>
      </c>
    </row>
    <row r="221" spans="1:89" ht="10.15" customHeight="1" x14ac:dyDescent="0.25">
      <c r="A221" s="1419" t="s">
        <v>76</v>
      </c>
      <c r="B221" s="1419" t="s">
        <v>2054</v>
      </c>
      <c r="C221" s="123" t="str">
        <f t="shared" si="79"/>
        <v>NonQM OO</v>
      </c>
      <c r="D221" s="124" t="s">
        <v>1995</v>
      </c>
      <c r="E221" s="125" t="s">
        <v>166</v>
      </c>
      <c r="F221" s="125" t="s">
        <v>330</v>
      </c>
      <c r="G221" s="125" t="s">
        <v>178</v>
      </c>
      <c r="H221" s="125" t="s">
        <v>135</v>
      </c>
      <c r="I221" s="124" t="s">
        <v>16</v>
      </c>
      <c r="J221" s="124" t="s">
        <v>1130</v>
      </c>
      <c r="K221" s="124" t="s">
        <v>1398</v>
      </c>
      <c r="L221" s="125" t="s">
        <v>2025</v>
      </c>
      <c r="M221" s="125" t="s">
        <v>2289</v>
      </c>
      <c r="N221" s="125" t="s">
        <v>82</v>
      </c>
      <c r="O221" s="125" t="s">
        <v>309</v>
      </c>
      <c r="P221" s="125" t="s">
        <v>2433</v>
      </c>
      <c r="Q221" s="125" t="s">
        <v>293</v>
      </c>
      <c r="R221" s="124">
        <v>2500000.0099999998</v>
      </c>
      <c r="S221" s="124">
        <v>3000000</v>
      </c>
      <c r="T221" s="124">
        <v>0</v>
      </c>
      <c r="U221" s="124">
        <f t="shared" ref="U221:U223" si="80">S221</f>
        <v>3000000</v>
      </c>
      <c r="V221" s="124">
        <v>0</v>
      </c>
      <c r="W221" s="124">
        <v>55</v>
      </c>
      <c r="X221" s="124">
        <v>0</v>
      </c>
      <c r="Y221" s="124">
        <v>999</v>
      </c>
      <c r="Z221" s="126">
        <v>720</v>
      </c>
      <c r="AA221" s="126">
        <v>999</v>
      </c>
      <c r="AB221" s="1879">
        <v>0</v>
      </c>
      <c r="AC221" s="126">
        <v>999999</v>
      </c>
      <c r="AD221" s="124">
        <v>0</v>
      </c>
      <c r="AE221" s="124">
        <v>65</v>
      </c>
      <c r="AF221" s="144">
        <v>0</v>
      </c>
      <c r="AG221" s="145">
        <v>1</v>
      </c>
      <c r="AH221" s="145">
        <v>1</v>
      </c>
      <c r="AI221" s="145">
        <v>0</v>
      </c>
      <c r="AJ221" s="145">
        <v>0</v>
      </c>
      <c r="AK221" s="145">
        <v>1</v>
      </c>
      <c r="AL221" s="145">
        <v>0</v>
      </c>
      <c r="AM221" s="145">
        <v>1</v>
      </c>
      <c r="AN221" s="145">
        <v>1</v>
      </c>
      <c r="AO221" s="145">
        <v>1</v>
      </c>
      <c r="AP221" s="145">
        <v>1</v>
      </c>
      <c r="AQ221" s="145">
        <v>0</v>
      </c>
      <c r="AR221" s="145">
        <v>1</v>
      </c>
      <c r="AS221" s="145">
        <v>1</v>
      </c>
      <c r="AT221" s="145">
        <v>1</v>
      </c>
      <c r="AU221" s="145">
        <f t="shared" si="55"/>
        <v>0</v>
      </c>
      <c r="AV221" s="145">
        <f t="shared" si="56"/>
        <v>1</v>
      </c>
      <c r="AW221" s="145">
        <f t="shared" si="57"/>
        <v>1</v>
      </c>
      <c r="AX221" s="145">
        <f t="shared" si="73"/>
        <v>1</v>
      </c>
      <c r="AY221" s="145">
        <f t="shared" si="58"/>
        <v>1</v>
      </c>
      <c r="AZ221" s="145">
        <f t="shared" si="59"/>
        <v>1</v>
      </c>
      <c r="BA221" s="146">
        <f t="shared" si="60"/>
        <v>0</v>
      </c>
      <c r="BB221" s="149">
        <f t="shared" si="63"/>
        <v>15</v>
      </c>
      <c r="BC221" s="150">
        <f t="shared" si="64"/>
        <v>15</v>
      </c>
      <c r="BD221" s="150">
        <f t="shared" si="65"/>
        <v>15</v>
      </c>
      <c r="BE221" s="211" t="str">
        <f t="shared" si="66"/>
        <v/>
      </c>
      <c r="BH221" s="184">
        <f>IF(AND(Input_Product=Elig!$C221,Elig_MatchAll_Ct&lt;22,$BC221=(Elig_MatchAll_Ct-1),AF221=0),C221,0)</f>
        <v>0</v>
      </c>
      <c r="BI221" s="184">
        <f>IF(AND(Input_Product=Elig!$C221,Elig_MatchAll_Ct&lt;22,$BC221=(Elig_MatchAll_Ct-1),AG221=0),D221,0)</f>
        <v>0</v>
      </c>
      <c r="BJ221" s="184">
        <f>IF(AND(Input_Product=Elig!$C221,Elig_MatchAll_Ct&lt;22,$BC221=(Elig_MatchAll_Ct-1),AH221=0),E221,0)</f>
        <v>0</v>
      </c>
      <c r="BK221" s="184">
        <f>IF(AND(Input_Product=Elig!$C221,Elig_MatchAll_Ct&lt;22,$BC221=(Elig_MatchAll_Ct-1),AI221=0),F221,0)</f>
        <v>0</v>
      </c>
      <c r="BL221" s="184">
        <f>IF(AND(Input_Product=Elig!$C221,Elig_MatchAll_Ct&lt;22,$BC221=(Elig_MatchAll_Ct-1),AJ221=0),G221,0)</f>
        <v>0</v>
      </c>
      <c r="BM221" s="184">
        <f>IF(AND(Input_Product=Elig!$C221,Elig_MatchAll_Ct&lt;22,$BC221=(Elig_MatchAll_Ct-1),AK221=0),H221,0)</f>
        <v>0</v>
      </c>
      <c r="BN221" s="184">
        <f>IF(AND(Input_Product=Elig!$C221,Elig_MatchAll_Ct&lt;22,$BC221=(Elig_MatchAll_Ct-1),AL221=0),I221,0)</f>
        <v>0</v>
      </c>
      <c r="BO221" s="184">
        <f>IF(AND(Input_Product=Elig!$C221,Elig_MatchAll_Ct&lt;22,$BC221=(Elig_MatchAll_Ct-1),AM221=0),J221,0)</f>
        <v>0</v>
      </c>
      <c r="BP221" s="184">
        <f>IF(AND(Input_Product=Elig!$C221,Elig_MatchAll_Ct&lt;22,$BC221=(Elig_MatchAll_Ct-1),AN221=0),K221,0)</f>
        <v>0</v>
      </c>
      <c r="BQ221" s="184">
        <f>IF(AND(Input_Product=Elig!$C221,Elig_MatchAll_Ct&lt;22,$BC221=(Elig_MatchAll_Ct-1),AP221=0),L221,0)</f>
        <v>0</v>
      </c>
      <c r="BR221" s="184">
        <f>IF(AND(Input_Product=Elig!$C221,Elig_MatchAll_Ct&lt;22,$BC221=(Elig_MatchAll_Ct-1),AO221=0),M221,0)</f>
        <v>0</v>
      </c>
      <c r="BS221" s="184">
        <f>IF(AND(Input_Product=Elig!$C221,Elig_MatchAll_Ct&lt;22,$BC221=(Elig_MatchAll_Ct-1),AQ221=0),N221,0)</f>
        <v>0</v>
      </c>
      <c r="BT221" s="184">
        <f>IF(AND(Input_Product=Elig!$C221,Elig_MatchAll_Ct&lt;22,$BC221=(Elig_MatchAll_Ct-1),AR221=0),O221,0)</f>
        <v>0</v>
      </c>
      <c r="BU221" s="184">
        <f>IF(AND(Input_Product=Elig!$C221,Elig_MatchAll_Ct&lt;22,$BC221=(Elig_MatchAll_Ct-1),AS221=0),P221,0)</f>
        <v>0</v>
      </c>
      <c r="BV221" s="185">
        <f>IF(AND(Input_Product=Elig!$C221,Elig_MatchAll_Ct&lt;22,$BC221=(Elig_MatchAll_Ct-1),AT221=0),Q221,0)</f>
        <v>0</v>
      </c>
      <c r="BW221" s="186">
        <f>IF(AND(Input_Product=Elig!$C221,Elig_MatchAll_Ct&lt;22,$BC221=(Elig_MatchAll_Ct-1),AU221=0),R221,0)</f>
        <v>0</v>
      </c>
      <c r="BX221" s="187">
        <f>IF(AND(Input_Product=Elig!$C221,Elig_MatchAll_Ct&lt;22,$BC221=(Elig_MatchAll_Ct-1),AU221=0),S221,0)</f>
        <v>0</v>
      </c>
      <c r="BY221" s="186">
        <f>IF(AND(Input_Product=Elig!$C221,Elig_MatchAll_Ct&lt;22,$BC221=(Elig_MatchAll_Ct-1),AV221=0),T221,0)</f>
        <v>0</v>
      </c>
      <c r="BZ221" s="187">
        <f>IF(AND(Input_Product=Elig!$C221,Elig_MatchAll_Ct&lt;22,$BC221=(Elig_MatchAll_Ct-1),AV221=0),U221,0)</f>
        <v>0</v>
      </c>
      <c r="CA221" s="186">
        <f>IF(AND(Input_Product=Elig!$C221,Elig_MatchAll_Ct&lt;22,$BC221=(Elig_MatchAll_Ct-1),AW221=0),V221,0)</f>
        <v>0</v>
      </c>
      <c r="CB221" s="187">
        <f>IF(AND(Input_Product=Elig!$C221,Elig_MatchAll_Ct&lt;22,$BC221=(Elig_MatchAll_Ct-1),AW221=0),W221,0)</f>
        <v>0</v>
      </c>
      <c r="CC221" s="186">
        <f>IF(AND(Input_Product=Elig!$C221,Elig_MatchAll_Ct&lt;22,$BC221=(Elig_MatchAll_Ct-1),AX221=0),X221,0)</f>
        <v>0</v>
      </c>
      <c r="CD221" s="187">
        <f>IF(AND(Input_Product=Elig!$C221,Elig_MatchAll_Ct&lt;22,$BC221=(Elig_MatchAll_Ct-1),AX221=0),Y221,0)</f>
        <v>0</v>
      </c>
      <c r="CE221" s="186">
        <f>IF(AND(Input_LTV&lt;=AE221,Input_Product=Elig!$C221,Elig_MatchAll_Ct&lt;22,$BC221=(Elig_MatchAll_Ct-1),AY221=0),Z221,0)</f>
        <v>0</v>
      </c>
      <c r="CF221" s="187">
        <f>IF(AND(Input_LTV&lt;=AE221,Input_Product=Elig!$C221,Elig_MatchAll_Ct&lt;22,$BC221=(Elig_MatchAll_Ct-1),AY221=0),AA221,0)</f>
        <v>0</v>
      </c>
      <c r="CG221" s="186">
        <f>IF(AND(Input_Product=Elig!$C221,Elig_MatchAll_Ct&lt;22,$BC221=(Elig_MatchAll_Ct-1),AZ221=0),AB221,0)</f>
        <v>0</v>
      </c>
      <c r="CH221" s="187">
        <f>IF(AND(Input_Product=Elig!$C221,Elig_MatchAll_Ct&lt;22,$BC221=(Elig_MatchAll_Ct-1),AZ221=0),AC221,0)</f>
        <v>0</v>
      </c>
      <c r="CI221" s="186">
        <f>IF(AND(Input_Product=Elig!$C221,Elig_MatchAll_Ct&lt;22,$BC221=(Elig_MatchAll_Ct-1),BA221=0),AD221,0)</f>
        <v>0</v>
      </c>
      <c r="CJ221" s="187">
        <f>IF(AND(Input_Product=Elig!$C221,Elig_MatchAll_Ct&lt;22,$BC221=(Elig_MatchAll_Ct-1),BA221=0),AE221,0)</f>
        <v>0</v>
      </c>
    </row>
    <row r="222" spans="1:89" ht="10.15" customHeight="1" x14ac:dyDescent="0.25">
      <c r="A222" s="1419" t="s">
        <v>76</v>
      </c>
      <c r="B222" s="1419" t="s">
        <v>2055</v>
      </c>
      <c r="C222" s="116" t="str">
        <f t="shared" si="79"/>
        <v>NonQM OO</v>
      </c>
      <c r="D222" s="117" t="s">
        <v>1995</v>
      </c>
      <c r="E222" s="117" t="s">
        <v>166</v>
      </c>
      <c r="F222" s="117" t="s">
        <v>330</v>
      </c>
      <c r="G222" s="117" t="s">
        <v>178</v>
      </c>
      <c r="H222" s="117" t="s">
        <v>135</v>
      </c>
      <c r="I222" s="118" t="s">
        <v>16</v>
      </c>
      <c r="J222" s="118" t="s">
        <v>1130</v>
      </c>
      <c r="K222" s="118" t="s">
        <v>1398</v>
      </c>
      <c r="L222" s="117" t="s">
        <v>2025</v>
      </c>
      <c r="M222" s="117" t="s">
        <v>2289</v>
      </c>
      <c r="N222" s="117" t="s">
        <v>82</v>
      </c>
      <c r="O222" s="117" t="s">
        <v>309</v>
      </c>
      <c r="P222" s="117" t="s">
        <v>2433</v>
      </c>
      <c r="Q222" s="117" t="s">
        <v>293</v>
      </c>
      <c r="R222" s="117">
        <v>2500000.0099999998</v>
      </c>
      <c r="S222" s="117">
        <v>3000000</v>
      </c>
      <c r="T222" s="117">
        <v>0</v>
      </c>
      <c r="U222" s="117">
        <f t="shared" si="80"/>
        <v>3000000</v>
      </c>
      <c r="V222" s="117">
        <v>0</v>
      </c>
      <c r="W222" s="117">
        <v>55</v>
      </c>
      <c r="X222" s="117">
        <v>0</v>
      </c>
      <c r="Y222" s="117">
        <v>999</v>
      </c>
      <c r="Z222" s="119">
        <v>700</v>
      </c>
      <c r="AA222" s="119">
        <v>719</v>
      </c>
      <c r="AB222" s="1877">
        <v>0</v>
      </c>
      <c r="AC222" s="119">
        <v>999999</v>
      </c>
      <c r="AD222" s="117">
        <v>0</v>
      </c>
      <c r="AE222" s="117">
        <v>65</v>
      </c>
      <c r="AF222" s="144">
        <v>0</v>
      </c>
      <c r="AG222" s="145">
        <v>1</v>
      </c>
      <c r="AH222" s="145">
        <v>1</v>
      </c>
      <c r="AI222" s="145">
        <v>0</v>
      </c>
      <c r="AJ222" s="145">
        <v>0</v>
      </c>
      <c r="AK222" s="145">
        <v>1</v>
      </c>
      <c r="AL222" s="145">
        <v>0</v>
      </c>
      <c r="AM222" s="145">
        <v>1</v>
      </c>
      <c r="AN222" s="145">
        <v>1</v>
      </c>
      <c r="AO222" s="145">
        <v>1</v>
      </c>
      <c r="AP222" s="145">
        <v>1</v>
      </c>
      <c r="AQ222" s="145">
        <v>0</v>
      </c>
      <c r="AR222" s="145">
        <v>1</v>
      </c>
      <c r="AS222" s="145">
        <v>1</v>
      </c>
      <c r="AT222" s="145">
        <v>1</v>
      </c>
      <c r="AU222" s="145">
        <f t="shared" si="55"/>
        <v>0</v>
      </c>
      <c r="AV222" s="145">
        <f t="shared" si="56"/>
        <v>1</v>
      </c>
      <c r="AW222" s="145">
        <f t="shared" si="57"/>
        <v>1</v>
      </c>
      <c r="AX222" s="145">
        <f t="shared" si="73"/>
        <v>1</v>
      </c>
      <c r="AY222" s="145">
        <f t="shared" si="58"/>
        <v>0</v>
      </c>
      <c r="AZ222" s="145">
        <f t="shared" si="59"/>
        <v>1</v>
      </c>
      <c r="BA222" s="146">
        <f t="shared" si="60"/>
        <v>0</v>
      </c>
      <c r="BB222" s="149">
        <f t="shared" si="63"/>
        <v>14</v>
      </c>
      <c r="BC222" s="150">
        <f t="shared" si="64"/>
        <v>14</v>
      </c>
      <c r="BD222" s="150">
        <f t="shared" si="65"/>
        <v>14</v>
      </c>
      <c r="BE222" s="211" t="str">
        <f t="shared" si="66"/>
        <v/>
      </c>
      <c r="BH222" s="173">
        <f>IF(AND(Input_Product=Elig!$C222,Elig_MatchAll_Ct&lt;22,$BC222=(Elig_MatchAll_Ct-1),AF222=0),C222,0)</f>
        <v>0</v>
      </c>
      <c r="BI222" s="173">
        <f>IF(AND(Input_Product=Elig!$C222,Elig_MatchAll_Ct&lt;22,$BC222=(Elig_MatchAll_Ct-1),AG222=0),D222,0)</f>
        <v>0</v>
      </c>
      <c r="BJ222" s="173">
        <f>IF(AND(Input_Product=Elig!$C222,Elig_MatchAll_Ct&lt;22,$BC222=(Elig_MatchAll_Ct-1),AH222=0),E222,0)</f>
        <v>0</v>
      </c>
      <c r="BK222" s="173">
        <f>IF(AND(Input_Product=Elig!$C222,Elig_MatchAll_Ct&lt;22,$BC222=(Elig_MatchAll_Ct-1),AI222=0),F222,0)</f>
        <v>0</v>
      </c>
      <c r="BL222" s="173">
        <f>IF(AND(Input_Product=Elig!$C222,Elig_MatchAll_Ct&lt;22,$BC222=(Elig_MatchAll_Ct-1),AJ222=0),G222,0)</f>
        <v>0</v>
      </c>
      <c r="BM222" s="173">
        <f>IF(AND(Input_Product=Elig!$C222,Elig_MatchAll_Ct&lt;22,$BC222=(Elig_MatchAll_Ct-1),AK222=0),H222,0)</f>
        <v>0</v>
      </c>
      <c r="BN222" s="173">
        <f>IF(AND(Input_Product=Elig!$C222,Elig_MatchAll_Ct&lt;22,$BC222=(Elig_MatchAll_Ct-1),AL222=0),I222,0)</f>
        <v>0</v>
      </c>
      <c r="BO222" s="173">
        <f>IF(AND(Input_Product=Elig!$C222,Elig_MatchAll_Ct&lt;22,$BC222=(Elig_MatchAll_Ct-1),AM222=0),J222,0)</f>
        <v>0</v>
      </c>
      <c r="BP222" s="173">
        <f>IF(AND(Input_Product=Elig!$C222,Elig_MatchAll_Ct&lt;22,$BC222=(Elig_MatchAll_Ct-1),AN222=0),K222,0)</f>
        <v>0</v>
      </c>
      <c r="BQ222" s="173">
        <f>IF(AND(Input_Product=Elig!$C222,Elig_MatchAll_Ct&lt;22,$BC222=(Elig_MatchAll_Ct-1),AP222=0),L222,0)</f>
        <v>0</v>
      </c>
      <c r="BR222" s="173">
        <f>IF(AND(Input_Product=Elig!$C222,Elig_MatchAll_Ct&lt;22,$BC222=(Elig_MatchAll_Ct-1),AO222=0),M222,0)</f>
        <v>0</v>
      </c>
      <c r="BS222" s="173">
        <f>IF(AND(Input_Product=Elig!$C222,Elig_MatchAll_Ct&lt;22,$BC222=(Elig_MatchAll_Ct-1),AQ222=0),N222,0)</f>
        <v>0</v>
      </c>
      <c r="BT222" s="173">
        <f>IF(AND(Input_Product=Elig!$C222,Elig_MatchAll_Ct&lt;22,$BC222=(Elig_MatchAll_Ct-1),AR222=0),O222,0)</f>
        <v>0</v>
      </c>
      <c r="BU222" s="173">
        <f>IF(AND(Input_Product=Elig!$C222,Elig_MatchAll_Ct&lt;22,$BC222=(Elig_MatchAll_Ct-1),AS222=0),P222,0)</f>
        <v>0</v>
      </c>
      <c r="BV222" s="174">
        <f>IF(AND(Input_Product=Elig!$C222,Elig_MatchAll_Ct&lt;22,$BC222=(Elig_MatchAll_Ct-1),AT222=0),Q222,0)</f>
        <v>0</v>
      </c>
      <c r="BW222" s="175">
        <f>IF(AND(Input_Product=Elig!$C222,Elig_MatchAll_Ct&lt;22,$BC222=(Elig_MatchAll_Ct-1),AU222=0),R222,0)</f>
        <v>0</v>
      </c>
      <c r="BX222" s="176">
        <f>IF(AND(Input_Product=Elig!$C222,Elig_MatchAll_Ct&lt;22,$BC222=(Elig_MatchAll_Ct-1),AU222=0),S222,0)</f>
        <v>0</v>
      </c>
      <c r="BY222" s="175">
        <f>IF(AND(Input_Product=Elig!$C222,Elig_MatchAll_Ct&lt;22,$BC222=(Elig_MatchAll_Ct-1),AV222=0),T222,0)</f>
        <v>0</v>
      </c>
      <c r="BZ222" s="176">
        <f>IF(AND(Input_Product=Elig!$C222,Elig_MatchAll_Ct&lt;22,$BC222=(Elig_MatchAll_Ct-1),AV222=0),U222,0)</f>
        <v>0</v>
      </c>
      <c r="CA222" s="175">
        <f>IF(AND(Input_Product=Elig!$C222,Elig_MatchAll_Ct&lt;22,$BC222=(Elig_MatchAll_Ct-1),AW222=0),V222,0)</f>
        <v>0</v>
      </c>
      <c r="CB222" s="176">
        <f>IF(AND(Input_Product=Elig!$C222,Elig_MatchAll_Ct&lt;22,$BC222=(Elig_MatchAll_Ct-1),AW222=0),W222,0)</f>
        <v>0</v>
      </c>
      <c r="CC222" s="175">
        <f>IF(AND(Input_Product=Elig!$C222,Elig_MatchAll_Ct&lt;22,$BC222=(Elig_MatchAll_Ct-1),AX222=0),X222,0)</f>
        <v>0</v>
      </c>
      <c r="CD222" s="176">
        <f>IF(AND(Input_Product=Elig!$C222,Elig_MatchAll_Ct&lt;22,$BC222=(Elig_MatchAll_Ct-1),AX222=0),Y222,0)</f>
        <v>0</v>
      </c>
      <c r="CE222" s="175">
        <f>IF(AND(Input_LTV&lt;=AE222,Input_Product=Elig!$C222,Elig_MatchAll_Ct&lt;22,$BC222=(Elig_MatchAll_Ct-1),AY222=0),Z222,0)</f>
        <v>0</v>
      </c>
      <c r="CF222" s="176">
        <f>IF(AND(Input_LTV&lt;=AE222,Input_Product=Elig!$C222,Elig_MatchAll_Ct&lt;22,$BC222=(Elig_MatchAll_Ct-1),AY222=0),AA222,0)</f>
        <v>0</v>
      </c>
      <c r="CG222" s="175">
        <f>IF(AND(Input_Product=Elig!$C222,Elig_MatchAll_Ct&lt;22,$BC222=(Elig_MatchAll_Ct-1),AZ222=0),AB222,0)</f>
        <v>0</v>
      </c>
      <c r="CH222" s="176">
        <f>IF(AND(Input_Product=Elig!$C222,Elig_MatchAll_Ct&lt;22,$BC222=(Elig_MatchAll_Ct-1),AZ222=0),AC222,0)</f>
        <v>0</v>
      </c>
      <c r="CI222" s="175">
        <f>IF(AND(Input_Product=Elig!$C222,Elig_MatchAll_Ct&lt;22,$BC222=(Elig_MatchAll_Ct-1),BA222=0),AD222,0)</f>
        <v>0</v>
      </c>
      <c r="CJ222" s="176">
        <f>IF(AND(Input_Product=Elig!$C222,Elig_MatchAll_Ct&lt;22,$BC222=(Elig_MatchAll_Ct-1),BA222=0),AE222,0)</f>
        <v>0</v>
      </c>
    </row>
    <row r="223" spans="1:89" ht="10.15" customHeight="1" x14ac:dyDescent="0.25">
      <c r="A223" s="1419" t="s">
        <v>76</v>
      </c>
      <c r="B223" s="1419" t="s">
        <v>2056</v>
      </c>
      <c r="C223" s="116" t="str">
        <f t="shared" si="79"/>
        <v>NonQM OO</v>
      </c>
      <c r="D223" s="117" t="s">
        <v>1995</v>
      </c>
      <c r="E223" s="117" t="s">
        <v>166</v>
      </c>
      <c r="F223" s="117" t="s">
        <v>330</v>
      </c>
      <c r="G223" s="117" t="s">
        <v>178</v>
      </c>
      <c r="H223" s="117" t="s">
        <v>135</v>
      </c>
      <c r="I223" s="118" t="s">
        <v>16</v>
      </c>
      <c r="J223" s="118" t="s">
        <v>1130</v>
      </c>
      <c r="K223" s="118" t="s">
        <v>1398</v>
      </c>
      <c r="L223" s="117" t="s">
        <v>2025</v>
      </c>
      <c r="M223" s="117" t="s">
        <v>2289</v>
      </c>
      <c r="N223" s="117" t="s">
        <v>82</v>
      </c>
      <c r="O223" s="117" t="s">
        <v>309</v>
      </c>
      <c r="P223" s="117" t="s">
        <v>2433</v>
      </c>
      <c r="Q223" s="117" t="s">
        <v>293</v>
      </c>
      <c r="R223" s="117">
        <v>2500000.0099999998</v>
      </c>
      <c r="S223" s="117">
        <v>3000000</v>
      </c>
      <c r="T223" s="117">
        <v>0</v>
      </c>
      <c r="U223" s="117">
        <f t="shared" si="80"/>
        <v>3000000</v>
      </c>
      <c r="V223" s="117">
        <v>0</v>
      </c>
      <c r="W223" s="117">
        <v>55</v>
      </c>
      <c r="X223" s="117">
        <v>0</v>
      </c>
      <c r="Y223" s="117">
        <v>999</v>
      </c>
      <c r="Z223" s="119">
        <v>680</v>
      </c>
      <c r="AA223" s="119">
        <v>699</v>
      </c>
      <c r="AB223" s="1877">
        <v>0</v>
      </c>
      <c r="AC223" s="119">
        <v>999999</v>
      </c>
      <c r="AD223" s="117">
        <v>0</v>
      </c>
      <c r="AE223" s="117">
        <v>65</v>
      </c>
      <c r="AF223" s="144">
        <v>0</v>
      </c>
      <c r="AG223" s="145">
        <v>1</v>
      </c>
      <c r="AH223" s="145">
        <v>1</v>
      </c>
      <c r="AI223" s="145">
        <v>0</v>
      </c>
      <c r="AJ223" s="145">
        <v>0</v>
      </c>
      <c r="AK223" s="145">
        <v>1</v>
      </c>
      <c r="AL223" s="145">
        <v>0</v>
      </c>
      <c r="AM223" s="145">
        <v>1</v>
      </c>
      <c r="AN223" s="145">
        <v>1</v>
      </c>
      <c r="AO223" s="145">
        <v>1</v>
      </c>
      <c r="AP223" s="145">
        <v>1</v>
      </c>
      <c r="AQ223" s="145">
        <v>0</v>
      </c>
      <c r="AR223" s="145">
        <v>1</v>
      </c>
      <c r="AS223" s="145">
        <v>1</v>
      </c>
      <c r="AT223" s="145">
        <v>1</v>
      </c>
      <c r="AU223" s="145">
        <f t="shared" si="55"/>
        <v>0</v>
      </c>
      <c r="AV223" s="145">
        <f t="shared" si="56"/>
        <v>1</v>
      </c>
      <c r="AW223" s="145">
        <f t="shared" si="57"/>
        <v>1</v>
      </c>
      <c r="AX223" s="145">
        <f t="shared" si="73"/>
        <v>1</v>
      </c>
      <c r="AY223" s="145">
        <f t="shared" si="58"/>
        <v>0</v>
      </c>
      <c r="AZ223" s="145">
        <f t="shared" si="59"/>
        <v>1</v>
      </c>
      <c r="BA223" s="146">
        <f t="shared" si="60"/>
        <v>0</v>
      </c>
      <c r="BB223" s="149">
        <f t="shared" si="63"/>
        <v>14</v>
      </c>
      <c r="BC223" s="150">
        <f t="shared" si="64"/>
        <v>14</v>
      </c>
      <c r="BD223" s="150">
        <f t="shared" si="65"/>
        <v>14</v>
      </c>
      <c r="BE223" s="211" t="str">
        <f t="shared" si="66"/>
        <v/>
      </c>
      <c r="BH223" s="188">
        <f>IF(AND(Input_Product=Elig!$C223,Elig_MatchAll_Ct&lt;22,$BC223=(Elig_MatchAll_Ct-1),AF223=0),C223,0)</f>
        <v>0</v>
      </c>
      <c r="BI223" s="188">
        <f>IF(AND(Input_Product=Elig!$C223,Elig_MatchAll_Ct&lt;22,$BC223=(Elig_MatchAll_Ct-1),AG223=0),D223,0)</f>
        <v>0</v>
      </c>
      <c r="BJ223" s="188">
        <f>IF(AND(Input_Product=Elig!$C223,Elig_MatchAll_Ct&lt;22,$BC223=(Elig_MatchAll_Ct-1),AH223=0),E223,0)</f>
        <v>0</v>
      </c>
      <c r="BK223" s="188">
        <f>IF(AND(Input_Product=Elig!$C223,Elig_MatchAll_Ct&lt;22,$BC223=(Elig_MatchAll_Ct-1),AI223=0),F223,0)</f>
        <v>0</v>
      </c>
      <c r="BL223" s="188">
        <f>IF(AND(Input_Product=Elig!$C223,Elig_MatchAll_Ct&lt;22,$BC223=(Elig_MatchAll_Ct-1),AJ223=0),G223,0)</f>
        <v>0</v>
      </c>
      <c r="BM223" s="188">
        <f>IF(AND(Input_Product=Elig!$C223,Elig_MatchAll_Ct&lt;22,$BC223=(Elig_MatchAll_Ct-1),AK223=0),H223,0)</f>
        <v>0</v>
      </c>
      <c r="BN223" s="188">
        <f>IF(AND(Input_Product=Elig!$C223,Elig_MatchAll_Ct&lt;22,$BC223=(Elig_MatchAll_Ct-1),AL223=0),I223,0)</f>
        <v>0</v>
      </c>
      <c r="BO223" s="188">
        <f>IF(AND(Input_Product=Elig!$C223,Elig_MatchAll_Ct&lt;22,$BC223=(Elig_MatchAll_Ct-1),AM223=0),J223,0)</f>
        <v>0</v>
      </c>
      <c r="BP223" s="188">
        <f>IF(AND(Input_Product=Elig!$C223,Elig_MatchAll_Ct&lt;22,$BC223=(Elig_MatchAll_Ct-1),AN223=0),K223,0)</f>
        <v>0</v>
      </c>
      <c r="BQ223" s="188">
        <f>IF(AND(Input_Product=Elig!$C223,Elig_MatchAll_Ct&lt;22,$BC223=(Elig_MatchAll_Ct-1),AP223=0),L223,0)</f>
        <v>0</v>
      </c>
      <c r="BR223" s="188">
        <f>IF(AND(Input_Product=Elig!$C223,Elig_MatchAll_Ct&lt;22,$BC223=(Elig_MatchAll_Ct-1),AO223=0),M223,0)</f>
        <v>0</v>
      </c>
      <c r="BS223" s="188">
        <f>IF(AND(Input_Product=Elig!$C223,Elig_MatchAll_Ct&lt;22,$BC223=(Elig_MatchAll_Ct-1),AQ223=0),N223,0)</f>
        <v>0</v>
      </c>
      <c r="BT223" s="188">
        <f>IF(AND(Input_Product=Elig!$C223,Elig_MatchAll_Ct&lt;22,$BC223=(Elig_MatchAll_Ct-1),AR223=0),O223,0)</f>
        <v>0</v>
      </c>
      <c r="BU223" s="188">
        <f>IF(AND(Input_Product=Elig!$C223,Elig_MatchAll_Ct&lt;22,$BC223=(Elig_MatchAll_Ct-1),AS223=0),P223,0)</f>
        <v>0</v>
      </c>
      <c r="BV223" s="189">
        <f>IF(AND(Input_Product=Elig!$C223,Elig_MatchAll_Ct&lt;22,$BC223=(Elig_MatchAll_Ct-1),AT223=0),Q223,0)</f>
        <v>0</v>
      </c>
      <c r="BW223" s="271">
        <f>IF(AND(Input_Product=Elig!$C223,Elig_MatchAll_Ct&lt;22,$BC223=(Elig_MatchAll_Ct-1),AU223=0),R223,0)</f>
        <v>0</v>
      </c>
      <c r="BX223" s="272">
        <f>IF(AND(Input_Product=Elig!$C223,Elig_MatchAll_Ct&lt;22,$BC223=(Elig_MatchAll_Ct-1),AU223=0),S223,0)</f>
        <v>0</v>
      </c>
      <c r="BY223" s="271">
        <f>IF(AND(Input_Product=Elig!$C223,Elig_MatchAll_Ct&lt;22,$BC223=(Elig_MatchAll_Ct-1),AV223=0),T223,0)</f>
        <v>0</v>
      </c>
      <c r="BZ223" s="272">
        <f>IF(AND(Input_Product=Elig!$C223,Elig_MatchAll_Ct&lt;22,$BC223=(Elig_MatchAll_Ct-1),AV223=0),U223,0)</f>
        <v>0</v>
      </c>
      <c r="CA223" s="271">
        <f>IF(AND(Input_Product=Elig!$C223,Elig_MatchAll_Ct&lt;22,$BC223=(Elig_MatchAll_Ct-1),AW223=0),V223,0)</f>
        <v>0</v>
      </c>
      <c r="CB223" s="272">
        <f>IF(AND(Input_Product=Elig!$C223,Elig_MatchAll_Ct&lt;22,$BC223=(Elig_MatchAll_Ct-1),AW223=0),W223,0)</f>
        <v>0</v>
      </c>
      <c r="CC223" s="271">
        <f>IF(AND(Input_Product=Elig!$C223,Elig_MatchAll_Ct&lt;22,$BC223=(Elig_MatchAll_Ct-1),AX223=0),X223,0)</f>
        <v>0</v>
      </c>
      <c r="CD223" s="272">
        <f>IF(AND(Input_Product=Elig!$C223,Elig_MatchAll_Ct&lt;22,$BC223=(Elig_MatchAll_Ct-1),AX223=0),Y223,0)</f>
        <v>0</v>
      </c>
      <c r="CE223" s="271">
        <f>IF(AND(Input_LTV&lt;=AE223,Input_Product=Elig!$C223,Elig_MatchAll_Ct&lt;22,$BC223=(Elig_MatchAll_Ct-1),AY223=0),Z223,0)</f>
        <v>0</v>
      </c>
      <c r="CF223" s="272">
        <f>IF(AND(Input_LTV&lt;=AE223,Input_Product=Elig!$C223,Elig_MatchAll_Ct&lt;22,$BC223=(Elig_MatchAll_Ct-1),AY223=0),AA223,0)</f>
        <v>0</v>
      </c>
      <c r="CG223" s="271">
        <f>IF(AND(Input_Product=Elig!$C223,Elig_MatchAll_Ct&lt;22,$BC223=(Elig_MatchAll_Ct-1),AZ223=0),AB223,0)</f>
        <v>0</v>
      </c>
      <c r="CH223" s="272">
        <f>IF(AND(Input_Product=Elig!$C223,Elig_MatchAll_Ct&lt;22,$BC223=(Elig_MatchAll_Ct-1),AZ223=0),AC223,0)</f>
        <v>0</v>
      </c>
      <c r="CI223" s="271">
        <f>IF(AND(Input_Product=Elig!$C223,Elig_MatchAll_Ct&lt;22,$BC223=(Elig_MatchAll_Ct-1),BA223=0),AD223,0)</f>
        <v>0</v>
      </c>
      <c r="CJ223" s="272">
        <f>IF(AND(Input_Product=Elig!$C223,Elig_MatchAll_Ct&lt;22,$BC223=(Elig_MatchAll_Ct-1),BA223=0),AE223,0)</f>
        <v>0</v>
      </c>
    </row>
    <row r="224" spans="1:89" ht="10.15" customHeight="1" x14ac:dyDescent="0.25">
      <c r="A224" s="1419" t="s">
        <v>76</v>
      </c>
      <c r="B224" s="1419" t="s">
        <v>2057</v>
      </c>
      <c r="C224" s="123" t="str">
        <f t="shared" si="79"/>
        <v>NonQM OO</v>
      </c>
      <c r="D224" s="124" t="s">
        <v>1995</v>
      </c>
      <c r="E224" s="125" t="s">
        <v>166</v>
      </c>
      <c r="F224" s="125" t="s">
        <v>330</v>
      </c>
      <c r="G224" s="125" t="s">
        <v>470</v>
      </c>
      <c r="H224" s="125" t="s">
        <v>135</v>
      </c>
      <c r="I224" s="124" t="s">
        <v>273</v>
      </c>
      <c r="J224" s="124" t="s">
        <v>1130</v>
      </c>
      <c r="K224" s="124" t="s">
        <v>1398</v>
      </c>
      <c r="L224" s="125" t="s">
        <v>2025</v>
      </c>
      <c r="M224" s="125" t="s">
        <v>2289</v>
      </c>
      <c r="N224" s="125" t="s">
        <v>82</v>
      </c>
      <c r="O224" s="125" t="s">
        <v>309</v>
      </c>
      <c r="P224" s="125" t="s">
        <v>2433</v>
      </c>
      <c r="Q224" s="125" t="s">
        <v>293</v>
      </c>
      <c r="R224" s="124">
        <v>2500000.0099999998</v>
      </c>
      <c r="S224" s="124">
        <v>3000000</v>
      </c>
      <c r="T224" s="124">
        <v>0</v>
      </c>
      <c r="U224" s="124">
        <v>0</v>
      </c>
      <c r="V224" s="124">
        <v>0</v>
      </c>
      <c r="W224" s="124">
        <v>55</v>
      </c>
      <c r="X224" s="124">
        <v>0</v>
      </c>
      <c r="Y224" s="124">
        <v>999</v>
      </c>
      <c r="Z224" s="126">
        <v>720</v>
      </c>
      <c r="AA224" s="126">
        <v>999</v>
      </c>
      <c r="AB224" s="1879">
        <v>0</v>
      </c>
      <c r="AC224" s="126">
        <v>999999</v>
      </c>
      <c r="AD224" s="124">
        <v>0</v>
      </c>
      <c r="AE224" s="124">
        <v>70</v>
      </c>
      <c r="AF224" s="144">
        <v>0</v>
      </c>
      <c r="AG224" s="145">
        <v>1</v>
      </c>
      <c r="AH224" s="145">
        <v>1</v>
      </c>
      <c r="AI224" s="145">
        <v>0</v>
      </c>
      <c r="AJ224" s="145">
        <v>0</v>
      </c>
      <c r="AK224" s="145">
        <v>1</v>
      </c>
      <c r="AL224" s="145">
        <v>1</v>
      </c>
      <c r="AM224" s="145">
        <v>1</v>
      </c>
      <c r="AN224" s="145">
        <v>1</v>
      </c>
      <c r="AO224" s="145">
        <v>1</v>
      </c>
      <c r="AP224" s="145">
        <v>1</v>
      </c>
      <c r="AQ224" s="145">
        <v>0</v>
      </c>
      <c r="AR224" s="145">
        <v>1</v>
      </c>
      <c r="AS224" s="145">
        <v>1</v>
      </c>
      <c r="AT224" s="145">
        <v>1</v>
      </c>
      <c r="AU224" s="145">
        <f t="shared" si="55"/>
        <v>0</v>
      </c>
      <c r="AV224" s="145">
        <f t="shared" si="56"/>
        <v>1</v>
      </c>
      <c r="AW224" s="145">
        <f t="shared" si="57"/>
        <v>1</v>
      </c>
      <c r="AX224" s="145">
        <f t="shared" si="73"/>
        <v>1</v>
      </c>
      <c r="AY224" s="145">
        <f t="shared" si="58"/>
        <v>1</v>
      </c>
      <c r="AZ224" s="145">
        <f t="shared" si="59"/>
        <v>1</v>
      </c>
      <c r="BA224" s="146">
        <f t="shared" si="60"/>
        <v>1</v>
      </c>
      <c r="BB224" s="149">
        <f t="shared" si="63"/>
        <v>17</v>
      </c>
      <c r="BC224" s="150">
        <f t="shared" si="64"/>
        <v>16</v>
      </c>
      <c r="BD224" s="150">
        <f t="shared" si="65"/>
        <v>17</v>
      </c>
      <c r="BE224" s="211" t="str">
        <f t="shared" si="66"/>
        <v/>
      </c>
      <c r="BH224" s="184">
        <f>IF(AND(Input_Product=Elig!$C224,Elig_MatchAll_Ct&lt;22,$BC224=(Elig_MatchAll_Ct-1),AF224=0),C224,0)</f>
        <v>0</v>
      </c>
      <c r="BI224" s="184">
        <f>IF(AND(Input_Product=Elig!$C224,Elig_MatchAll_Ct&lt;22,$BC224=(Elig_MatchAll_Ct-1),AG224=0),D224,0)</f>
        <v>0</v>
      </c>
      <c r="BJ224" s="184">
        <f>IF(AND(Input_Product=Elig!$C224,Elig_MatchAll_Ct&lt;22,$BC224=(Elig_MatchAll_Ct-1),AH224=0),E224,0)</f>
        <v>0</v>
      </c>
      <c r="BK224" s="184">
        <f>IF(AND(Input_Product=Elig!$C224,Elig_MatchAll_Ct&lt;22,$BC224=(Elig_MatchAll_Ct-1),AI224=0),F224,0)</f>
        <v>0</v>
      </c>
      <c r="BL224" s="184">
        <f>IF(AND(Input_Product=Elig!$C224,Elig_MatchAll_Ct&lt;22,$BC224=(Elig_MatchAll_Ct-1),AJ224=0),G224,0)</f>
        <v>0</v>
      </c>
      <c r="BM224" s="184">
        <f>IF(AND(Input_Product=Elig!$C224,Elig_MatchAll_Ct&lt;22,$BC224=(Elig_MatchAll_Ct-1),AK224=0),H224,0)</f>
        <v>0</v>
      </c>
      <c r="BN224" s="184">
        <f>IF(AND(Input_Product=Elig!$C224,Elig_MatchAll_Ct&lt;22,$BC224=(Elig_MatchAll_Ct-1),AL224=0),I224,0)</f>
        <v>0</v>
      </c>
      <c r="BO224" s="184">
        <f>IF(AND(Input_Product=Elig!$C224,Elig_MatchAll_Ct&lt;22,$BC224=(Elig_MatchAll_Ct-1),AM224=0),J224,0)</f>
        <v>0</v>
      </c>
      <c r="BP224" s="184">
        <f>IF(AND(Input_Product=Elig!$C224,Elig_MatchAll_Ct&lt;22,$BC224=(Elig_MatchAll_Ct-1),AN224=0),K224,0)</f>
        <v>0</v>
      </c>
      <c r="BQ224" s="184">
        <f>IF(AND(Input_Product=Elig!$C224,Elig_MatchAll_Ct&lt;22,$BC224=(Elig_MatchAll_Ct-1),AP224=0),L224,0)</f>
        <v>0</v>
      </c>
      <c r="BR224" s="184">
        <f>IF(AND(Input_Product=Elig!$C224,Elig_MatchAll_Ct&lt;22,$BC224=(Elig_MatchAll_Ct-1),AO224=0),M224,0)</f>
        <v>0</v>
      </c>
      <c r="BS224" s="184">
        <f>IF(AND(Input_Product=Elig!$C224,Elig_MatchAll_Ct&lt;22,$BC224=(Elig_MatchAll_Ct-1),AQ224=0),N224,0)</f>
        <v>0</v>
      </c>
      <c r="BT224" s="184">
        <f>IF(AND(Input_Product=Elig!$C224,Elig_MatchAll_Ct&lt;22,$BC224=(Elig_MatchAll_Ct-1),AR224=0),O224,0)</f>
        <v>0</v>
      </c>
      <c r="BU224" s="184">
        <f>IF(AND(Input_Product=Elig!$C224,Elig_MatchAll_Ct&lt;22,$BC224=(Elig_MatchAll_Ct-1),AS224=0),P224,0)</f>
        <v>0</v>
      </c>
      <c r="BV224" s="185">
        <f>IF(AND(Input_Product=Elig!$C224,Elig_MatchAll_Ct&lt;22,$BC224=(Elig_MatchAll_Ct-1),AT224=0),Q224,0)</f>
        <v>0</v>
      </c>
      <c r="BW224" s="186">
        <f>IF(AND(Input_Product=Elig!$C224,Elig_MatchAll_Ct&lt;22,$BC224=(Elig_MatchAll_Ct-1),AU224=0),R224,0)</f>
        <v>0</v>
      </c>
      <c r="BX224" s="187">
        <f>IF(AND(Input_Product=Elig!$C224,Elig_MatchAll_Ct&lt;22,$BC224=(Elig_MatchAll_Ct-1),AU224=0),S224,0)</f>
        <v>0</v>
      </c>
      <c r="BY224" s="186">
        <f>IF(AND(Input_Product=Elig!$C224,Elig_MatchAll_Ct&lt;22,$BC224=(Elig_MatchAll_Ct-1),AV224=0),T224,0)</f>
        <v>0</v>
      </c>
      <c r="BZ224" s="187">
        <f>IF(AND(Input_Product=Elig!$C224,Elig_MatchAll_Ct&lt;22,$BC224=(Elig_MatchAll_Ct-1),AV224=0),U224,0)</f>
        <v>0</v>
      </c>
      <c r="CA224" s="186">
        <f>IF(AND(Input_Product=Elig!$C224,Elig_MatchAll_Ct&lt;22,$BC224=(Elig_MatchAll_Ct-1),AW224=0),V224,0)</f>
        <v>0</v>
      </c>
      <c r="CB224" s="187">
        <f>IF(AND(Input_Product=Elig!$C224,Elig_MatchAll_Ct&lt;22,$BC224=(Elig_MatchAll_Ct-1),AW224=0),W224,0)</f>
        <v>0</v>
      </c>
      <c r="CC224" s="186">
        <f>IF(AND(Input_Product=Elig!$C224,Elig_MatchAll_Ct&lt;22,$BC224=(Elig_MatchAll_Ct-1),AX224=0),X224,0)</f>
        <v>0</v>
      </c>
      <c r="CD224" s="187">
        <f>IF(AND(Input_Product=Elig!$C224,Elig_MatchAll_Ct&lt;22,$BC224=(Elig_MatchAll_Ct-1),AX224=0),Y224,0)</f>
        <v>0</v>
      </c>
      <c r="CE224" s="186">
        <f>IF(AND(Input_LTV&lt;=AE224,Input_Product=Elig!$C224,Elig_MatchAll_Ct&lt;22,$BC224=(Elig_MatchAll_Ct-1),AY224=0),Z224,0)</f>
        <v>0</v>
      </c>
      <c r="CF224" s="187">
        <f>IF(AND(Input_LTV&lt;=AE224,Input_Product=Elig!$C224,Elig_MatchAll_Ct&lt;22,$BC224=(Elig_MatchAll_Ct-1),AY224=0),AA224,0)</f>
        <v>0</v>
      </c>
      <c r="CG224" s="186">
        <f>IF(AND(Input_Product=Elig!$C224,Elig_MatchAll_Ct&lt;22,$BC224=(Elig_MatchAll_Ct-1),AZ224=0),AB224,0)</f>
        <v>0</v>
      </c>
      <c r="CH224" s="187">
        <f>IF(AND(Input_Product=Elig!$C224,Elig_MatchAll_Ct&lt;22,$BC224=(Elig_MatchAll_Ct-1),AZ224=0),AC224,0)</f>
        <v>0</v>
      </c>
      <c r="CI224" s="186">
        <f>IF(AND(Input_Product=Elig!$C224,Elig_MatchAll_Ct&lt;22,$BC224=(Elig_MatchAll_Ct-1),BA224=0),AD224,0)</f>
        <v>0</v>
      </c>
      <c r="CJ224" s="187">
        <f>IF(AND(Input_Product=Elig!$C224,Elig_MatchAll_Ct&lt;22,$BC224=(Elig_MatchAll_Ct-1),BA224=0),AE224,0)</f>
        <v>0</v>
      </c>
    </row>
    <row r="225" spans="1:88" ht="10.15" customHeight="1" x14ac:dyDescent="0.25">
      <c r="A225" s="1419" t="s">
        <v>76</v>
      </c>
      <c r="B225" s="1419" t="s">
        <v>2058</v>
      </c>
      <c r="C225" s="116" t="str">
        <f t="shared" si="79"/>
        <v>NonQM OO</v>
      </c>
      <c r="D225" s="117" t="s">
        <v>1995</v>
      </c>
      <c r="E225" s="117" t="s">
        <v>166</v>
      </c>
      <c r="F225" s="117" t="s">
        <v>330</v>
      </c>
      <c r="G225" s="117" t="s">
        <v>470</v>
      </c>
      <c r="H225" s="117" t="s">
        <v>135</v>
      </c>
      <c r="I225" s="118" t="s">
        <v>273</v>
      </c>
      <c r="J225" s="118" t="s">
        <v>1130</v>
      </c>
      <c r="K225" s="118" t="s">
        <v>1398</v>
      </c>
      <c r="L225" s="117" t="s">
        <v>2025</v>
      </c>
      <c r="M225" s="117" t="s">
        <v>2289</v>
      </c>
      <c r="N225" s="117" t="s">
        <v>82</v>
      </c>
      <c r="O225" s="117" t="s">
        <v>309</v>
      </c>
      <c r="P225" s="117" t="s">
        <v>2433</v>
      </c>
      <c r="Q225" s="117" t="s">
        <v>293</v>
      </c>
      <c r="R225" s="117">
        <v>2500000.0099999998</v>
      </c>
      <c r="S225" s="117">
        <v>3000000</v>
      </c>
      <c r="T225" s="117">
        <v>0</v>
      </c>
      <c r="U225" s="117">
        <v>0</v>
      </c>
      <c r="V225" s="117">
        <v>0</v>
      </c>
      <c r="W225" s="117">
        <v>55</v>
      </c>
      <c r="X225" s="117">
        <v>0</v>
      </c>
      <c r="Y225" s="117">
        <v>999</v>
      </c>
      <c r="Z225" s="119">
        <v>700</v>
      </c>
      <c r="AA225" s="119">
        <v>719</v>
      </c>
      <c r="AB225" s="1877">
        <v>0</v>
      </c>
      <c r="AC225" s="119">
        <v>999999</v>
      </c>
      <c r="AD225" s="117">
        <v>0</v>
      </c>
      <c r="AE225" s="117">
        <v>70</v>
      </c>
      <c r="AF225" s="144">
        <v>0</v>
      </c>
      <c r="AG225" s="145">
        <v>1</v>
      </c>
      <c r="AH225" s="145">
        <v>1</v>
      </c>
      <c r="AI225" s="145">
        <v>0</v>
      </c>
      <c r="AJ225" s="145">
        <v>0</v>
      </c>
      <c r="AK225" s="145">
        <v>1</v>
      </c>
      <c r="AL225" s="145">
        <v>1</v>
      </c>
      <c r="AM225" s="145">
        <v>1</v>
      </c>
      <c r="AN225" s="145">
        <v>1</v>
      </c>
      <c r="AO225" s="145">
        <v>1</v>
      </c>
      <c r="AP225" s="145">
        <v>1</v>
      </c>
      <c r="AQ225" s="145">
        <v>0</v>
      </c>
      <c r="AR225" s="145">
        <v>1</v>
      </c>
      <c r="AS225" s="145">
        <v>1</v>
      </c>
      <c r="AT225" s="145">
        <v>1</v>
      </c>
      <c r="AU225" s="145">
        <f t="shared" si="55"/>
        <v>0</v>
      </c>
      <c r="AV225" s="145">
        <f t="shared" si="56"/>
        <v>1</v>
      </c>
      <c r="AW225" s="145">
        <f t="shared" si="57"/>
        <v>1</v>
      </c>
      <c r="AX225" s="145">
        <f t="shared" si="73"/>
        <v>1</v>
      </c>
      <c r="AY225" s="145">
        <f t="shared" si="58"/>
        <v>0</v>
      </c>
      <c r="AZ225" s="145">
        <f t="shared" si="59"/>
        <v>1</v>
      </c>
      <c r="BA225" s="146">
        <f t="shared" si="60"/>
        <v>1</v>
      </c>
      <c r="BB225" s="149">
        <f t="shared" si="63"/>
        <v>16</v>
      </c>
      <c r="BC225" s="150">
        <f t="shared" si="64"/>
        <v>15</v>
      </c>
      <c r="BD225" s="150">
        <f t="shared" si="65"/>
        <v>16</v>
      </c>
      <c r="BE225" s="211" t="str">
        <f t="shared" si="66"/>
        <v/>
      </c>
      <c r="BH225" s="173">
        <f>IF(AND(Input_Product=Elig!$C225,Elig_MatchAll_Ct&lt;22,$BC225=(Elig_MatchAll_Ct-1),AF225=0),C225,0)</f>
        <v>0</v>
      </c>
      <c r="BI225" s="173">
        <f>IF(AND(Input_Product=Elig!$C225,Elig_MatchAll_Ct&lt;22,$BC225=(Elig_MatchAll_Ct-1),AG225=0),D225,0)</f>
        <v>0</v>
      </c>
      <c r="BJ225" s="173">
        <f>IF(AND(Input_Product=Elig!$C225,Elig_MatchAll_Ct&lt;22,$BC225=(Elig_MatchAll_Ct-1),AH225=0),E225,0)</f>
        <v>0</v>
      </c>
      <c r="BK225" s="173">
        <f>IF(AND(Input_Product=Elig!$C225,Elig_MatchAll_Ct&lt;22,$BC225=(Elig_MatchAll_Ct-1),AI225=0),F225,0)</f>
        <v>0</v>
      </c>
      <c r="BL225" s="173">
        <f>IF(AND(Input_Product=Elig!$C225,Elig_MatchAll_Ct&lt;22,$BC225=(Elig_MatchAll_Ct-1),AJ225=0),G225,0)</f>
        <v>0</v>
      </c>
      <c r="BM225" s="173">
        <f>IF(AND(Input_Product=Elig!$C225,Elig_MatchAll_Ct&lt;22,$BC225=(Elig_MatchAll_Ct-1),AK225=0),H225,0)</f>
        <v>0</v>
      </c>
      <c r="BN225" s="173">
        <f>IF(AND(Input_Product=Elig!$C225,Elig_MatchAll_Ct&lt;22,$BC225=(Elig_MatchAll_Ct-1),AL225=0),I225,0)</f>
        <v>0</v>
      </c>
      <c r="BO225" s="173">
        <f>IF(AND(Input_Product=Elig!$C225,Elig_MatchAll_Ct&lt;22,$BC225=(Elig_MatchAll_Ct-1),AM225=0),J225,0)</f>
        <v>0</v>
      </c>
      <c r="BP225" s="173">
        <f>IF(AND(Input_Product=Elig!$C225,Elig_MatchAll_Ct&lt;22,$BC225=(Elig_MatchAll_Ct-1),AN225=0),K225,0)</f>
        <v>0</v>
      </c>
      <c r="BQ225" s="173">
        <f>IF(AND(Input_Product=Elig!$C225,Elig_MatchAll_Ct&lt;22,$BC225=(Elig_MatchAll_Ct-1),AP225=0),L225,0)</f>
        <v>0</v>
      </c>
      <c r="BR225" s="173">
        <f>IF(AND(Input_Product=Elig!$C225,Elig_MatchAll_Ct&lt;22,$BC225=(Elig_MatchAll_Ct-1),AO225=0),M225,0)</f>
        <v>0</v>
      </c>
      <c r="BS225" s="173">
        <f>IF(AND(Input_Product=Elig!$C225,Elig_MatchAll_Ct&lt;22,$BC225=(Elig_MatchAll_Ct-1),AQ225=0),N225,0)</f>
        <v>0</v>
      </c>
      <c r="BT225" s="173">
        <f>IF(AND(Input_Product=Elig!$C225,Elig_MatchAll_Ct&lt;22,$BC225=(Elig_MatchAll_Ct-1),AR225=0),O225,0)</f>
        <v>0</v>
      </c>
      <c r="BU225" s="173">
        <f>IF(AND(Input_Product=Elig!$C225,Elig_MatchAll_Ct&lt;22,$BC225=(Elig_MatchAll_Ct-1),AS225=0),P225,0)</f>
        <v>0</v>
      </c>
      <c r="BV225" s="174">
        <f>IF(AND(Input_Product=Elig!$C225,Elig_MatchAll_Ct&lt;22,$BC225=(Elig_MatchAll_Ct-1),AT225=0),Q225,0)</f>
        <v>0</v>
      </c>
      <c r="BW225" s="175">
        <f>IF(AND(Input_Product=Elig!$C225,Elig_MatchAll_Ct&lt;22,$BC225=(Elig_MatchAll_Ct-1),AU225=0),R225,0)</f>
        <v>0</v>
      </c>
      <c r="BX225" s="176">
        <f>IF(AND(Input_Product=Elig!$C225,Elig_MatchAll_Ct&lt;22,$BC225=(Elig_MatchAll_Ct-1),AU225=0),S225,0)</f>
        <v>0</v>
      </c>
      <c r="BY225" s="175">
        <f>IF(AND(Input_Product=Elig!$C225,Elig_MatchAll_Ct&lt;22,$BC225=(Elig_MatchAll_Ct-1),AV225=0),T225,0)</f>
        <v>0</v>
      </c>
      <c r="BZ225" s="176">
        <f>IF(AND(Input_Product=Elig!$C225,Elig_MatchAll_Ct&lt;22,$BC225=(Elig_MatchAll_Ct-1),AV225=0),U225,0)</f>
        <v>0</v>
      </c>
      <c r="CA225" s="175">
        <f>IF(AND(Input_Product=Elig!$C225,Elig_MatchAll_Ct&lt;22,$BC225=(Elig_MatchAll_Ct-1),AW225=0),V225,0)</f>
        <v>0</v>
      </c>
      <c r="CB225" s="176">
        <f>IF(AND(Input_Product=Elig!$C225,Elig_MatchAll_Ct&lt;22,$BC225=(Elig_MatchAll_Ct-1),AW225=0),W225,0)</f>
        <v>0</v>
      </c>
      <c r="CC225" s="175">
        <f>IF(AND(Input_Product=Elig!$C225,Elig_MatchAll_Ct&lt;22,$BC225=(Elig_MatchAll_Ct-1),AX225=0),X225,0)</f>
        <v>0</v>
      </c>
      <c r="CD225" s="176">
        <f>IF(AND(Input_Product=Elig!$C225,Elig_MatchAll_Ct&lt;22,$BC225=(Elig_MatchAll_Ct-1),AX225=0),Y225,0)</f>
        <v>0</v>
      </c>
      <c r="CE225" s="175">
        <f>IF(AND(Input_LTV&lt;=AE225,Input_Product=Elig!$C225,Elig_MatchAll_Ct&lt;22,$BC225=(Elig_MatchAll_Ct-1),AY225=0),Z225,0)</f>
        <v>0</v>
      </c>
      <c r="CF225" s="176">
        <f>IF(AND(Input_LTV&lt;=AE225,Input_Product=Elig!$C225,Elig_MatchAll_Ct&lt;22,$BC225=(Elig_MatchAll_Ct-1),AY225=0),AA225,0)</f>
        <v>0</v>
      </c>
      <c r="CG225" s="175">
        <f>IF(AND(Input_Product=Elig!$C225,Elig_MatchAll_Ct&lt;22,$BC225=(Elig_MatchAll_Ct-1),AZ225=0),AB225,0)</f>
        <v>0</v>
      </c>
      <c r="CH225" s="176">
        <f>IF(AND(Input_Product=Elig!$C225,Elig_MatchAll_Ct&lt;22,$BC225=(Elig_MatchAll_Ct-1),AZ225=0),AC225,0)</f>
        <v>0</v>
      </c>
      <c r="CI225" s="175">
        <f>IF(AND(Input_Product=Elig!$C225,Elig_MatchAll_Ct&lt;22,$BC225=(Elig_MatchAll_Ct-1),BA225=0),AD225,0)</f>
        <v>0</v>
      </c>
      <c r="CJ225" s="176">
        <f>IF(AND(Input_Product=Elig!$C225,Elig_MatchAll_Ct&lt;22,$BC225=(Elig_MatchAll_Ct-1),BA225=0),AE225,0)</f>
        <v>0</v>
      </c>
    </row>
    <row r="226" spans="1:88" ht="10.15" customHeight="1" x14ac:dyDescent="0.25">
      <c r="A226" s="1419" t="s">
        <v>76</v>
      </c>
      <c r="B226" s="1419" t="s">
        <v>2059</v>
      </c>
      <c r="C226" s="116" t="str">
        <f t="shared" si="79"/>
        <v>NonQM OO</v>
      </c>
      <c r="D226" s="117" t="s">
        <v>1995</v>
      </c>
      <c r="E226" s="117" t="s">
        <v>166</v>
      </c>
      <c r="F226" s="117" t="s">
        <v>330</v>
      </c>
      <c r="G226" s="117" t="s">
        <v>470</v>
      </c>
      <c r="H226" s="117" t="s">
        <v>135</v>
      </c>
      <c r="I226" s="118" t="s">
        <v>273</v>
      </c>
      <c r="J226" s="118" t="s">
        <v>1130</v>
      </c>
      <c r="K226" s="118" t="s">
        <v>1398</v>
      </c>
      <c r="L226" s="117" t="s">
        <v>2025</v>
      </c>
      <c r="M226" s="117" t="s">
        <v>2289</v>
      </c>
      <c r="N226" s="117" t="s">
        <v>82</v>
      </c>
      <c r="O226" s="117" t="s">
        <v>309</v>
      </c>
      <c r="P226" s="117" t="s">
        <v>2433</v>
      </c>
      <c r="Q226" s="117" t="s">
        <v>293</v>
      </c>
      <c r="R226" s="117">
        <v>2500000.0099999998</v>
      </c>
      <c r="S226" s="117">
        <v>3000000</v>
      </c>
      <c r="T226" s="117">
        <v>0</v>
      </c>
      <c r="U226" s="117">
        <v>0</v>
      </c>
      <c r="V226" s="117">
        <v>0</v>
      </c>
      <c r="W226" s="117">
        <v>55</v>
      </c>
      <c r="X226" s="117">
        <v>0</v>
      </c>
      <c r="Y226" s="117">
        <v>999</v>
      </c>
      <c r="Z226" s="119">
        <v>680</v>
      </c>
      <c r="AA226" s="119">
        <v>699</v>
      </c>
      <c r="AB226" s="1877">
        <v>0</v>
      </c>
      <c r="AC226" s="119">
        <v>999999</v>
      </c>
      <c r="AD226" s="117">
        <v>0</v>
      </c>
      <c r="AE226" s="117">
        <v>70</v>
      </c>
      <c r="AF226" s="144">
        <v>0</v>
      </c>
      <c r="AG226" s="145">
        <v>1</v>
      </c>
      <c r="AH226" s="145">
        <v>1</v>
      </c>
      <c r="AI226" s="145">
        <v>0</v>
      </c>
      <c r="AJ226" s="145">
        <v>0</v>
      </c>
      <c r="AK226" s="145">
        <v>1</v>
      </c>
      <c r="AL226" s="145">
        <v>1</v>
      </c>
      <c r="AM226" s="145">
        <v>1</v>
      </c>
      <c r="AN226" s="145">
        <v>1</v>
      </c>
      <c r="AO226" s="145">
        <v>1</v>
      </c>
      <c r="AP226" s="145">
        <v>1</v>
      </c>
      <c r="AQ226" s="145">
        <v>0</v>
      </c>
      <c r="AR226" s="145">
        <v>1</v>
      </c>
      <c r="AS226" s="145">
        <v>1</v>
      </c>
      <c r="AT226" s="145">
        <v>1</v>
      </c>
      <c r="AU226" s="145">
        <f t="shared" si="55"/>
        <v>0</v>
      </c>
      <c r="AV226" s="145">
        <f t="shared" si="56"/>
        <v>1</v>
      </c>
      <c r="AW226" s="145">
        <f t="shared" si="57"/>
        <v>1</v>
      </c>
      <c r="AX226" s="145">
        <f t="shared" si="73"/>
        <v>1</v>
      </c>
      <c r="AY226" s="145">
        <f t="shared" si="58"/>
        <v>0</v>
      </c>
      <c r="AZ226" s="145">
        <f t="shared" si="59"/>
        <v>1</v>
      </c>
      <c r="BA226" s="146">
        <f t="shared" si="60"/>
        <v>1</v>
      </c>
      <c r="BB226" s="149">
        <f t="shared" si="63"/>
        <v>16</v>
      </c>
      <c r="BC226" s="150">
        <f t="shared" si="64"/>
        <v>15</v>
      </c>
      <c r="BD226" s="150">
        <f t="shared" si="65"/>
        <v>16</v>
      </c>
      <c r="BE226" s="211" t="str">
        <f t="shared" si="66"/>
        <v/>
      </c>
      <c r="BH226" s="188">
        <f>IF(AND(Input_Product=Elig!$C226,Elig_MatchAll_Ct&lt;22,$BC226=(Elig_MatchAll_Ct-1),AF226=0),C226,0)</f>
        <v>0</v>
      </c>
      <c r="BI226" s="188">
        <f>IF(AND(Input_Product=Elig!$C226,Elig_MatchAll_Ct&lt;22,$BC226=(Elig_MatchAll_Ct-1),AG226=0),D226,0)</f>
        <v>0</v>
      </c>
      <c r="BJ226" s="188">
        <f>IF(AND(Input_Product=Elig!$C226,Elig_MatchAll_Ct&lt;22,$BC226=(Elig_MatchAll_Ct-1),AH226=0),E226,0)</f>
        <v>0</v>
      </c>
      <c r="BK226" s="188">
        <f>IF(AND(Input_Product=Elig!$C226,Elig_MatchAll_Ct&lt;22,$BC226=(Elig_MatchAll_Ct-1),AI226=0),F226,0)</f>
        <v>0</v>
      </c>
      <c r="BL226" s="188">
        <f>IF(AND(Input_Product=Elig!$C226,Elig_MatchAll_Ct&lt;22,$BC226=(Elig_MatchAll_Ct-1),AJ226=0),G226,0)</f>
        <v>0</v>
      </c>
      <c r="BM226" s="188">
        <f>IF(AND(Input_Product=Elig!$C226,Elig_MatchAll_Ct&lt;22,$BC226=(Elig_MatchAll_Ct-1),AK226=0),H226,0)</f>
        <v>0</v>
      </c>
      <c r="BN226" s="188">
        <f>IF(AND(Input_Product=Elig!$C226,Elig_MatchAll_Ct&lt;22,$BC226=(Elig_MatchAll_Ct-1),AL226=0),I226,0)</f>
        <v>0</v>
      </c>
      <c r="BO226" s="188">
        <f>IF(AND(Input_Product=Elig!$C226,Elig_MatchAll_Ct&lt;22,$BC226=(Elig_MatchAll_Ct-1),AM226=0),J226,0)</f>
        <v>0</v>
      </c>
      <c r="BP226" s="188">
        <f>IF(AND(Input_Product=Elig!$C226,Elig_MatchAll_Ct&lt;22,$BC226=(Elig_MatchAll_Ct-1),AN226=0),K226,0)</f>
        <v>0</v>
      </c>
      <c r="BQ226" s="188">
        <f>IF(AND(Input_Product=Elig!$C226,Elig_MatchAll_Ct&lt;22,$BC226=(Elig_MatchAll_Ct-1),AP226=0),L226,0)</f>
        <v>0</v>
      </c>
      <c r="BR226" s="188">
        <f>IF(AND(Input_Product=Elig!$C226,Elig_MatchAll_Ct&lt;22,$BC226=(Elig_MatchAll_Ct-1),AO226=0),M226,0)</f>
        <v>0</v>
      </c>
      <c r="BS226" s="188">
        <f>IF(AND(Input_Product=Elig!$C226,Elig_MatchAll_Ct&lt;22,$BC226=(Elig_MatchAll_Ct-1),AQ226=0),N226,0)</f>
        <v>0</v>
      </c>
      <c r="BT226" s="188">
        <f>IF(AND(Input_Product=Elig!$C226,Elig_MatchAll_Ct&lt;22,$BC226=(Elig_MatchAll_Ct-1),AR226=0),O226,0)</f>
        <v>0</v>
      </c>
      <c r="BU226" s="188">
        <f>IF(AND(Input_Product=Elig!$C226,Elig_MatchAll_Ct&lt;22,$BC226=(Elig_MatchAll_Ct-1),AS226=0),P226,0)</f>
        <v>0</v>
      </c>
      <c r="BV226" s="189">
        <f>IF(AND(Input_Product=Elig!$C226,Elig_MatchAll_Ct&lt;22,$BC226=(Elig_MatchAll_Ct-1),AT226=0),Q226,0)</f>
        <v>0</v>
      </c>
      <c r="BW226" s="271">
        <f>IF(AND(Input_Product=Elig!$C226,Elig_MatchAll_Ct&lt;22,$BC226=(Elig_MatchAll_Ct-1),AU226=0),R226,0)</f>
        <v>0</v>
      </c>
      <c r="BX226" s="272">
        <f>IF(AND(Input_Product=Elig!$C226,Elig_MatchAll_Ct&lt;22,$BC226=(Elig_MatchAll_Ct-1),AU226=0),S226,0)</f>
        <v>0</v>
      </c>
      <c r="BY226" s="271">
        <f>IF(AND(Input_Product=Elig!$C226,Elig_MatchAll_Ct&lt;22,$BC226=(Elig_MatchAll_Ct-1),AV226=0),T226,0)</f>
        <v>0</v>
      </c>
      <c r="BZ226" s="272">
        <f>IF(AND(Input_Product=Elig!$C226,Elig_MatchAll_Ct&lt;22,$BC226=(Elig_MatchAll_Ct-1),AV226=0),U226,0)</f>
        <v>0</v>
      </c>
      <c r="CA226" s="271">
        <f>IF(AND(Input_Product=Elig!$C226,Elig_MatchAll_Ct&lt;22,$BC226=(Elig_MatchAll_Ct-1),AW226=0),V226,0)</f>
        <v>0</v>
      </c>
      <c r="CB226" s="272">
        <f>IF(AND(Input_Product=Elig!$C226,Elig_MatchAll_Ct&lt;22,$BC226=(Elig_MatchAll_Ct-1),AW226=0),W226,0)</f>
        <v>0</v>
      </c>
      <c r="CC226" s="271">
        <f>IF(AND(Input_Product=Elig!$C226,Elig_MatchAll_Ct&lt;22,$BC226=(Elig_MatchAll_Ct-1),AX226=0),X226,0)</f>
        <v>0</v>
      </c>
      <c r="CD226" s="272">
        <f>IF(AND(Input_Product=Elig!$C226,Elig_MatchAll_Ct&lt;22,$BC226=(Elig_MatchAll_Ct-1),AX226=0),Y226,0)</f>
        <v>0</v>
      </c>
      <c r="CE226" s="271">
        <f>IF(AND(Input_LTV&lt;=AE226,Input_Product=Elig!$C226,Elig_MatchAll_Ct&lt;22,$BC226=(Elig_MatchAll_Ct-1),AY226=0),Z226,0)</f>
        <v>0</v>
      </c>
      <c r="CF226" s="272">
        <f>IF(AND(Input_LTV&lt;=AE226,Input_Product=Elig!$C226,Elig_MatchAll_Ct&lt;22,$BC226=(Elig_MatchAll_Ct-1),AY226=0),AA226,0)</f>
        <v>0</v>
      </c>
      <c r="CG226" s="271">
        <f>IF(AND(Input_Product=Elig!$C226,Elig_MatchAll_Ct&lt;22,$BC226=(Elig_MatchAll_Ct-1),AZ226=0),AB226,0)</f>
        <v>0</v>
      </c>
      <c r="CH226" s="272">
        <f>IF(AND(Input_Product=Elig!$C226,Elig_MatchAll_Ct&lt;22,$BC226=(Elig_MatchAll_Ct-1),AZ226=0),AC226,0)</f>
        <v>0</v>
      </c>
      <c r="CI226" s="271">
        <f>IF(AND(Input_Product=Elig!$C226,Elig_MatchAll_Ct&lt;22,$BC226=(Elig_MatchAll_Ct-1),BA226=0),AD226,0)</f>
        <v>0</v>
      </c>
      <c r="CJ226" s="272">
        <f>IF(AND(Input_Product=Elig!$C226,Elig_MatchAll_Ct&lt;22,$BC226=(Elig_MatchAll_Ct-1),BA226=0),AE226,0)</f>
        <v>0</v>
      </c>
    </row>
    <row r="227" spans="1:88" ht="10.15" customHeight="1" x14ac:dyDescent="0.25">
      <c r="A227" s="1419" t="s">
        <v>76</v>
      </c>
      <c r="B227" s="1419" t="s">
        <v>2060</v>
      </c>
      <c r="C227" s="123" t="str">
        <f t="shared" si="79"/>
        <v>NonQM OO</v>
      </c>
      <c r="D227" s="124" t="s">
        <v>1995</v>
      </c>
      <c r="E227" s="125" t="s">
        <v>166</v>
      </c>
      <c r="F227" s="125" t="s">
        <v>330</v>
      </c>
      <c r="G227" s="125" t="s">
        <v>470</v>
      </c>
      <c r="H227" s="125" t="s">
        <v>135</v>
      </c>
      <c r="I227" s="124" t="s">
        <v>16</v>
      </c>
      <c r="J227" s="124" t="s">
        <v>1130</v>
      </c>
      <c r="K227" s="124" t="s">
        <v>1398</v>
      </c>
      <c r="L227" s="125" t="s">
        <v>2025</v>
      </c>
      <c r="M227" s="125" t="s">
        <v>2289</v>
      </c>
      <c r="N227" s="125" t="s">
        <v>82</v>
      </c>
      <c r="O227" s="125" t="s">
        <v>309</v>
      </c>
      <c r="P227" s="125" t="s">
        <v>2433</v>
      </c>
      <c r="Q227" s="125" t="s">
        <v>293</v>
      </c>
      <c r="R227" s="124">
        <v>2500000.0099999998</v>
      </c>
      <c r="S227" s="124">
        <v>3000000</v>
      </c>
      <c r="T227" s="124">
        <v>0</v>
      </c>
      <c r="U227" s="124">
        <f t="shared" ref="U227:U229" si="81">S227</f>
        <v>3000000</v>
      </c>
      <c r="V227" s="124">
        <v>0</v>
      </c>
      <c r="W227" s="124">
        <v>55</v>
      </c>
      <c r="X227" s="124">
        <v>0</v>
      </c>
      <c r="Y227" s="124">
        <v>999</v>
      </c>
      <c r="Z227" s="126">
        <v>720</v>
      </c>
      <c r="AA227" s="126">
        <v>999</v>
      </c>
      <c r="AB227" s="1879">
        <v>0</v>
      </c>
      <c r="AC227" s="126">
        <v>999999</v>
      </c>
      <c r="AD227" s="124">
        <v>0</v>
      </c>
      <c r="AE227" s="124">
        <v>65</v>
      </c>
      <c r="AF227" s="144">
        <v>0</v>
      </c>
      <c r="AG227" s="145">
        <v>1</v>
      </c>
      <c r="AH227" s="145">
        <v>1</v>
      </c>
      <c r="AI227" s="145">
        <v>0</v>
      </c>
      <c r="AJ227" s="145">
        <v>0</v>
      </c>
      <c r="AK227" s="145">
        <v>1</v>
      </c>
      <c r="AL227" s="145">
        <v>0</v>
      </c>
      <c r="AM227" s="145">
        <v>1</v>
      </c>
      <c r="AN227" s="145">
        <v>1</v>
      </c>
      <c r="AO227" s="145">
        <v>1</v>
      </c>
      <c r="AP227" s="145">
        <v>1</v>
      </c>
      <c r="AQ227" s="145">
        <v>0</v>
      </c>
      <c r="AR227" s="145">
        <v>1</v>
      </c>
      <c r="AS227" s="145">
        <v>1</v>
      </c>
      <c r="AT227" s="145">
        <v>1</v>
      </c>
      <c r="AU227" s="145">
        <f t="shared" si="55"/>
        <v>0</v>
      </c>
      <c r="AV227" s="145">
        <f t="shared" si="56"/>
        <v>1</v>
      </c>
      <c r="AW227" s="145">
        <f t="shared" si="57"/>
        <v>1</v>
      </c>
      <c r="AX227" s="145">
        <f t="shared" si="73"/>
        <v>1</v>
      </c>
      <c r="AY227" s="145">
        <f t="shared" si="58"/>
        <v>1</v>
      </c>
      <c r="AZ227" s="145">
        <f t="shared" si="59"/>
        <v>1</v>
      </c>
      <c r="BA227" s="146">
        <f t="shared" si="60"/>
        <v>0</v>
      </c>
      <c r="BB227" s="149">
        <f t="shared" si="63"/>
        <v>15</v>
      </c>
      <c r="BC227" s="150">
        <f t="shared" si="64"/>
        <v>15</v>
      </c>
      <c r="BD227" s="150">
        <f t="shared" si="65"/>
        <v>15</v>
      </c>
      <c r="BE227" s="211" t="str">
        <f t="shared" si="66"/>
        <v/>
      </c>
      <c r="BH227" s="184">
        <f>IF(AND(Input_Product=Elig!$C227,Elig_MatchAll_Ct&lt;22,$BC227=(Elig_MatchAll_Ct-1),AF227=0),C227,0)</f>
        <v>0</v>
      </c>
      <c r="BI227" s="184">
        <f>IF(AND(Input_Product=Elig!$C227,Elig_MatchAll_Ct&lt;22,$BC227=(Elig_MatchAll_Ct-1),AG227=0),D227,0)</f>
        <v>0</v>
      </c>
      <c r="BJ227" s="184">
        <f>IF(AND(Input_Product=Elig!$C227,Elig_MatchAll_Ct&lt;22,$BC227=(Elig_MatchAll_Ct-1),AH227=0),E227,0)</f>
        <v>0</v>
      </c>
      <c r="BK227" s="184">
        <f>IF(AND(Input_Product=Elig!$C227,Elig_MatchAll_Ct&lt;22,$BC227=(Elig_MatchAll_Ct-1),AI227=0),F227,0)</f>
        <v>0</v>
      </c>
      <c r="BL227" s="184">
        <f>IF(AND(Input_Product=Elig!$C227,Elig_MatchAll_Ct&lt;22,$BC227=(Elig_MatchAll_Ct-1),AJ227=0),G227,0)</f>
        <v>0</v>
      </c>
      <c r="BM227" s="184">
        <f>IF(AND(Input_Product=Elig!$C227,Elig_MatchAll_Ct&lt;22,$BC227=(Elig_MatchAll_Ct-1),AK227=0),H227,0)</f>
        <v>0</v>
      </c>
      <c r="BN227" s="184">
        <f>IF(AND(Input_Product=Elig!$C227,Elig_MatchAll_Ct&lt;22,$BC227=(Elig_MatchAll_Ct-1),AL227=0),I227,0)</f>
        <v>0</v>
      </c>
      <c r="BO227" s="184">
        <f>IF(AND(Input_Product=Elig!$C227,Elig_MatchAll_Ct&lt;22,$BC227=(Elig_MatchAll_Ct-1),AM227=0),J227,0)</f>
        <v>0</v>
      </c>
      <c r="BP227" s="184">
        <f>IF(AND(Input_Product=Elig!$C227,Elig_MatchAll_Ct&lt;22,$BC227=(Elig_MatchAll_Ct-1),AN227=0),K227,0)</f>
        <v>0</v>
      </c>
      <c r="BQ227" s="184">
        <f>IF(AND(Input_Product=Elig!$C227,Elig_MatchAll_Ct&lt;22,$BC227=(Elig_MatchAll_Ct-1),AP227=0),L227,0)</f>
        <v>0</v>
      </c>
      <c r="BR227" s="184">
        <f>IF(AND(Input_Product=Elig!$C227,Elig_MatchAll_Ct&lt;22,$BC227=(Elig_MatchAll_Ct-1),AO227=0),M227,0)</f>
        <v>0</v>
      </c>
      <c r="BS227" s="184">
        <f>IF(AND(Input_Product=Elig!$C227,Elig_MatchAll_Ct&lt;22,$BC227=(Elig_MatchAll_Ct-1),AQ227=0),N227,0)</f>
        <v>0</v>
      </c>
      <c r="BT227" s="184">
        <f>IF(AND(Input_Product=Elig!$C227,Elig_MatchAll_Ct&lt;22,$BC227=(Elig_MatchAll_Ct-1),AR227=0),O227,0)</f>
        <v>0</v>
      </c>
      <c r="BU227" s="184">
        <f>IF(AND(Input_Product=Elig!$C227,Elig_MatchAll_Ct&lt;22,$BC227=(Elig_MatchAll_Ct-1),AS227=0),P227,0)</f>
        <v>0</v>
      </c>
      <c r="BV227" s="185">
        <f>IF(AND(Input_Product=Elig!$C227,Elig_MatchAll_Ct&lt;22,$BC227=(Elig_MatchAll_Ct-1),AT227=0),Q227,0)</f>
        <v>0</v>
      </c>
      <c r="BW227" s="186">
        <f>IF(AND(Input_Product=Elig!$C227,Elig_MatchAll_Ct&lt;22,$BC227=(Elig_MatchAll_Ct-1),AU227=0),R227,0)</f>
        <v>0</v>
      </c>
      <c r="BX227" s="187">
        <f>IF(AND(Input_Product=Elig!$C227,Elig_MatchAll_Ct&lt;22,$BC227=(Elig_MatchAll_Ct-1),AU227=0),S227,0)</f>
        <v>0</v>
      </c>
      <c r="BY227" s="186">
        <f>IF(AND(Input_Product=Elig!$C227,Elig_MatchAll_Ct&lt;22,$BC227=(Elig_MatchAll_Ct-1),AV227=0),T227,0)</f>
        <v>0</v>
      </c>
      <c r="BZ227" s="187">
        <f>IF(AND(Input_Product=Elig!$C227,Elig_MatchAll_Ct&lt;22,$BC227=(Elig_MatchAll_Ct-1),AV227=0),U227,0)</f>
        <v>0</v>
      </c>
      <c r="CA227" s="186">
        <f>IF(AND(Input_Product=Elig!$C227,Elig_MatchAll_Ct&lt;22,$BC227=(Elig_MatchAll_Ct-1),AW227=0),V227,0)</f>
        <v>0</v>
      </c>
      <c r="CB227" s="187">
        <f>IF(AND(Input_Product=Elig!$C227,Elig_MatchAll_Ct&lt;22,$BC227=(Elig_MatchAll_Ct-1),AW227=0),W227,0)</f>
        <v>0</v>
      </c>
      <c r="CC227" s="186">
        <f>IF(AND(Input_Product=Elig!$C227,Elig_MatchAll_Ct&lt;22,$BC227=(Elig_MatchAll_Ct-1),AX227=0),X227,0)</f>
        <v>0</v>
      </c>
      <c r="CD227" s="187">
        <f>IF(AND(Input_Product=Elig!$C227,Elig_MatchAll_Ct&lt;22,$BC227=(Elig_MatchAll_Ct-1),AX227=0),Y227,0)</f>
        <v>0</v>
      </c>
      <c r="CE227" s="186">
        <f>IF(AND(Input_LTV&lt;=AE227,Input_Product=Elig!$C227,Elig_MatchAll_Ct&lt;22,$BC227=(Elig_MatchAll_Ct-1),AY227=0),Z227,0)</f>
        <v>0</v>
      </c>
      <c r="CF227" s="187">
        <f>IF(AND(Input_LTV&lt;=AE227,Input_Product=Elig!$C227,Elig_MatchAll_Ct&lt;22,$BC227=(Elig_MatchAll_Ct-1),AY227=0),AA227,0)</f>
        <v>0</v>
      </c>
      <c r="CG227" s="186">
        <f>IF(AND(Input_Product=Elig!$C227,Elig_MatchAll_Ct&lt;22,$BC227=(Elig_MatchAll_Ct-1),AZ227=0),AB227,0)</f>
        <v>0</v>
      </c>
      <c r="CH227" s="187">
        <f>IF(AND(Input_Product=Elig!$C227,Elig_MatchAll_Ct&lt;22,$BC227=(Elig_MatchAll_Ct-1),AZ227=0),AC227,0)</f>
        <v>0</v>
      </c>
      <c r="CI227" s="186">
        <f>IF(AND(Input_Product=Elig!$C227,Elig_MatchAll_Ct&lt;22,$BC227=(Elig_MatchAll_Ct-1),BA227=0),AD227,0)</f>
        <v>0</v>
      </c>
      <c r="CJ227" s="187">
        <f>IF(AND(Input_Product=Elig!$C227,Elig_MatchAll_Ct&lt;22,$BC227=(Elig_MatchAll_Ct-1),BA227=0),AE227,0)</f>
        <v>0</v>
      </c>
    </row>
    <row r="228" spans="1:88" ht="10.15" customHeight="1" x14ac:dyDescent="0.25">
      <c r="A228" s="1419" t="s">
        <v>76</v>
      </c>
      <c r="B228" s="1419" t="s">
        <v>2061</v>
      </c>
      <c r="C228" s="116" t="str">
        <f t="shared" si="79"/>
        <v>NonQM OO</v>
      </c>
      <c r="D228" s="117" t="s">
        <v>1995</v>
      </c>
      <c r="E228" s="117" t="s">
        <v>166</v>
      </c>
      <c r="F228" s="117" t="s">
        <v>330</v>
      </c>
      <c r="G228" s="117" t="s">
        <v>470</v>
      </c>
      <c r="H228" s="117" t="s">
        <v>135</v>
      </c>
      <c r="I228" s="118" t="s">
        <v>16</v>
      </c>
      <c r="J228" s="118" t="s">
        <v>1130</v>
      </c>
      <c r="K228" s="118" t="s">
        <v>1398</v>
      </c>
      <c r="L228" s="117" t="s">
        <v>2025</v>
      </c>
      <c r="M228" s="117" t="s">
        <v>2289</v>
      </c>
      <c r="N228" s="117" t="s">
        <v>82</v>
      </c>
      <c r="O228" s="117" t="s">
        <v>309</v>
      </c>
      <c r="P228" s="117" t="s">
        <v>2433</v>
      </c>
      <c r="Q228" s="117" t="s">
        <v>293</v>
      </c>
      <c r="R228" s="117">
        <v>2500000.0099999998</v>
      </c>
      <c r="S228" s="117">
        <v>3000000</v>
      </c>
      <c r="T228" s="117">
        <v>0</v>
      </c>
      <c r="U228" s="117">
        <f t="shared" si="81"/>
        <v>3000000</v>
      </c>
      <c r="V228" s="117">
        <v>0</v>
      </c>
      <c r="W228" s="117">
        <v>55</v>
      </c>
      <c r="X228" s="117">
        <v>0</v>
      </c>
      <c r="Y228" s="117">
        <v>999</v>
      </c>
      <c r="Z228" s="119">
        <v>700</v>
      </c>
      <c r="AA228" s="119">
        <v>719</v>
      </c>
      <c r="AB228" s="1877">
        <v>0</v>
      </c>
      <c r="AC228" s="119">
        <v>999999</v>
      </c>
      <c r="AD228" s="117">
        <v>0</v>
      </c>
      <c r="AE228" s="117">
        <v>65</v>
      </c>
      <c r="AF228" s="144">
        <v>0</v>
      </c>
      <c r="AG228" s="145">
        <v>1</v>
      </c>
      <c r="AH228" s="145">
        <v>1</v>
      </c>
      <c r="AI228" s="145">
        <v>0</v>
      </c>
      <c r="AJ228" s="145">
        <v>0</v>
      </c>
      <c r="AK228" s="145">
        <v>1</v>
      </c>
      <c r="AL228" s="145">
        <v>0</v>
      </c>
      <c r="AM228" s="145">
        <v>1</v>
      </c>
      <c r="AN228" s="145">
        <v>1</v>
      </c>
      <c r="AO228" s="145">
        <v>1</v>
      </c>
      <c r="AP228" s="145">
        <v>1</v>
      </c>
      <c r="AQ228" s="145">
        <v>0</v>
      </c>
      <c r="AR228" s="145">
        <v>1</v>
      </c>
      <c r="AS228" s="145">
        <v>1</v>
      </c>
      <c r="AT228" s="145">
        <v>1</v>
      </c>
      <c r="AU228" s="145">
        <f t="shared" si="55"/>
        <v>0</v>
      </c>
      <c r="AV228" s="145">
        <f t="shared" si="56"/>
        <v>1</v>
      </c>
      <c r="AW228" s="145">
        <f t="shared" si="57"/>
        <v>1</v>
      </c>
      <c r="AX228" s="145">
        <f t="shared" si="73"/>
        <v>1</v>
      </c>
      <c r="AY228" s="145">
        <f t="shared" si="58"/>
        <v>0</v>
      </c>
      <c r="AZ228" s="145">
        <f t="shared" si="59"/>
        <v>1</v>
      </c>
      <c r="BA228" s="146">
        <f t="shared" si="60"/>
        <v>0</v>
      </c>
      <c r="BB228" s="149">
        <f t="shared" si="63"/>
        <v>14</v>
      </c>
      <c r="BC228" s="150">
        <f t="shared" si="64"/>
        <v>14</v>
      </c>
      <c r="BD228" s="150">
        <f t="shared" si="65"/>
        <v>14</v>
      </c>
      <c r="BE228" s="211" t="str">
        <f t="shared" si="66"/>
        <v/>
      </c>
      <c r="BH228" s="173">
        <f>IF(AND(Input_Product=Elig!$C228,Elig_MatchAll_Ct&lt;22,$BC228=(Elig_MatchAll_Ct-1),AF228=0),C228,0)</f>
        <v>0</v>
      </c>
      <c r="BI228" s="173">
        <f>IF(AND(Input_Product=Elig!$C228,Elig_MatchAll_Ct&lt;22,$BC228=(Elig_MatchAll_Ct-1),AG228=0),D228,0)</f>
        <v>0</v>
      </c>
      <c r="BJ228" s="173">
        <f>IF(AND(Input_Product=Elig!$C228,Elig_MatchAll_Ct&lt;22,$BC228=(Elig_MatchAll_Ct-1),AH228=0),E228,0)</f>
        <v>0</v>
      </c>
      <c r="BK228" s="173">
        <f>IF(AND(Input_Product=Elig!$C228,Elig_MatchAll_Ct&lt;22,$BC228=(Elig_MatchAll_Ct-1),AI228=0),F228,0)</f>
        <v>0</v>
      </c>
      <c r="BL228" s="173">
        <f>IF(AND(Input_Product=Elig!$C228,Elig_MatchAll_Ct&lt;22,$BC228=(Elig_MatchAll_Ct-1),AJ228=0),G228,0)</f>
        <v>0</v>
      </c>
      <c r="BM228" s="173">
        <f>IF(AND(Input_Product=Elig!$C228,Elig_MatchAll_Ct&lt;22,$BC228=(Elig_MatchAll_Ct-1),AK228=0),H228,0)</f>
        <v>0</v>
      </c>
      <c r="BN228" s="173">
        <f>IF(AND(Input_Product=Elig!$C228,Elig_MatchAll_Ct&lt;22,$BC228=(Elig_MatchAll_Ct-1),AL228=0),I228,0)</f>
        <v>0</v>
      </c>
      <c r="BO228" s="173">
        <f>IF(AND(Input_Product=Elig!$C228,Elig_MatchAll_Ct&lt;22,$BC228=(Elig_MatchAll_Ct-1),AM228=0),J228,0)</f>
        <v>0</v>
      </c>
      <c r="BP228" s="173">
        <f>IF(AND(Input_Product=Elig!$C228,Elig_MatchAll_Ct&lt;22,$BC228=(Elig_MatchAll_Ct-1),AN228=0),K228,0)</f>
        <v>0</v>
      </c>
      <c r="BQ228" s="173">
        <f>IF(AND(Input_Product=Elig!$C228,Elig_MatchAll_Ct&lt;22,$BC228=(Elig_MatchAll_Ct-1),AP228=0),L228,0)</f>
        <v>0</v>
      </c>
      <c r="BR228" s="173">
        <f>IF(AND(Input_Product=Elig!$C228,Elig_MatchAll_Ct&lt;22,$BC228=(Elig_MatchAll_Ct-1),AO228=0),M228,0)</f>
        <v>0</v>
      </c>
      <c r="BS228" s="173">
        <f>IF(AND(Input_Product=Elig!$C228,Elig_MatchAll_Ct&lt;22,$BC228=(Elig_MatchAll_Ct-1),AQ228=0),N228,0)</f>
        <v>0</v>
      </c>
      <c r="BT228" s="173">
        <f>IF(AND(Input_Product=Elig!$C228,Elig_MatchAll_Ct&lt;22,$BC228=(Elig_MatchAll_Ct-1),AR228=0),O228,0)</f>
        <v>0</v>
      </c>
      <c r="BU228" s="173">
        <f>IF(AND(Input_Product=Elig!$C228,Elig_MatchAll_Ct&lt;22,$BC228=(Elig_MatchAll_Ct-1),AS228=0),P228,0)</f>
        <v>0</v>
      </c>
      <c r="BV228" s="174">
        <f>IF(AND(Input_Product=Elig!$C228,Elig_MatchAll_Ct&lt;22,$BC228=(Elig_MatchAll_Ct-1),AT228=0),Q228,0)</f>
        <v>0</v>
      </c>
      <c r="BW228" s="175">
        <f>IF(AND(Input_Product=Elig!$C228,Elig_MatchAll_Ct&lt;22,$BC228=(Elig_MatchAll_Ct-1),AU228=0),R228,0)</f>
        <v>0</v>
      </c>
      <c r="BX228" s="176">
        <f>IF(AND(Input_Product=Elig!$C228,Elig_MatchAll_Ct&lt;22,$BC228=(Elig_MatchAll_Ct-1),AU228=0),S228,0)</f>
        <v>0</v>
      </c>
      <c r="BY228" s="175">
        <f>IF(AND(Input_Product=Elig!$C228,Elig_MatchAll_Ct&lt;22,$BC228=(Elig_MatchAll_Ct-1),AV228=0),T228,0)</f>
        <v>0</v>
      </c>
      <c r="BZ228" s="176">
        <f>IF(AND(Input_Product=Elig!$C228,Elig_MatchAll_Ct&lt;22,$BC228=(Elig_MatchAll_Ct-1),AV228=0),U228,0)</f>
        <v>0</v>
      </c>
      <c r="CA228" s="175">
        <f>IF(AND(Input_Product=Elig!$C228,Elig_MatchAll_Ct&lt;22,$BC228=(Elig_MatchAll_Ct-1),AW228=0),V228,0)</f>
        <v>0</v>
      </c>
      <c r="CB228" s="176">
        <f>IF(AND(Input_Product=Elig!$C228,Elig_MatchAll_Ct&lt;22,$BC228=(Elig_MatchAll_Ct-1),AW228=0),W228,0)</f>
        <v>0</v>
      </c>
      <c r="CC228" s="175">
        <f>IF(AND(Input_Product=Elig!$C228,Elig_MatchAll_Ct&lt;22,$BC228=(Elig_MatchAll_Ct-1),AX228=0),X228,0)</f>
        <v>0</v>
      </c>
      <c r="CD228" s="176">
        <f>IF(AND(Input_Product=Elig!$C228,Elig_MatchAll_Ct&lt;22,$BC228=(Elig_MatchAll_Ct-1),AX228=0),Y228,0)</f>
        <v>0</v>
      </c>
      <c r="CE228" s="175">
        <f>IF(AND(Input_LTV&lt;=AE228,Input_Product=Elig!$C228,Elig_MatchAll_Ct&lt;22,$BC228=(Elig_MatchAll_Ct-1),AY228=0),Z228,0)</f>
        <v>0</v>
      </c>
      <c r="CF228" s="176">
        <f>IF(AND(Input_LTV&lt;=AE228,Input_Product=Elig!$C228,Elig_MatchAll_Ct&lt;22,$BC228=(Elig_MatchAll_Ct-1),AY228=0),AA228,0)</f>
        <v>0</v>
      </c>
      <c r="CG228" s="175">
        <f>IF(AND(Input_Product=Elig!$C228,Elig_MatchAll_Ct&lt;22,$BC228=(Elig_MatchAll_Ct-1),AZ228=0),AB228,0)</f>
        <v>0</v>
      </c>
      <c r="CH228" s="176">
        <f>IF(AND(Input_Product=Elig!$C228,Elig_MatchAll_Ct&lt;22,$BC228=(Elig_MatchAll_Ct-1),AZ228=0),AC228,0)</f>
        <v>0</v>
      </c>
      <c r="CI228" s="175">
        <f>IF(AND(Input_Product=Elig!$C228,Elig_MatchAll_Ct&lt;22,$BC228=(Elig_MatchAll_Ct-1),BA228=0),AD228,0)</f>
        <v>0</v>
      </c>
      <c r="CJ228" s="176">
        <f>IF(AND(Input_Product=Elig!$C228,Elig_MatchAll_Ct&lt;22,$BC228=(Elig_MatchAll_Ct-1),BA228=0),AE228,0)</f>
        <v>0</v>
      </c>
    </row>
    <row r="229" spans="1:88" ht="10.15" customHeight="1" x14ac:dyDescent="0.25">
      <c r="A229" s="1419" t="s">
        <v>76</v>
      </c>
      <c r="B229" s="1419" t="s">
        <v>2062</v>
      </c>
      <c r="C229" s="201" t="str">
        <f t="shared" si="79"/>
        <v>NonQM OO</v>
      </c>
      <c r="D229" s="24" t="s">
        <v>1995</v>
      </c>
      <c r="E229" s="24" t="s">
        <v>166</v>
      </c>
      <c r="F229" s="24" t="s">
        <v>330</v>
      </c>
      <c r="G229" s="24" t="s">
        <v>470</v>
      </c>
      <c r="H229" s="24" t="s">
        <v>135</v>
      </c>
      <c r="I229" s="127" t="s">
        <v>16</v>
      </c>
      <c r="J229" s="127" t="s">
        <v>1130</v>
      </c>
      <c r="K229" s="127" t="s">
        <v>1398</v>
      </c>
      <c r="L229" s="24" t="s">
        <v>2025</v>
      </c>
      <c r="M229" s="24" t="s">
        <v>2289</v>
      </c>
      <c r="N229" s="24" t="s">
        <v>82</v>
      </c>
      <c r="O229" s="24" t="s">
        <v>309</v>
      </c>
      <c r="P229" s="24" t="s">
        <v>2433</v>
      </c>
      <c r="Q229" s="24" t="s">
        <v>293</v>
      </c>
      <c r="R229" s="24">
        <v>2500000.0099999998</v>
      </c>
      <c r="S229" s="24">
        <v>3000000</v>
      </c>
      <c r="T229" s="24">
        <v>0</v>
      </c>
      <c r="U229" s="24">
        <f t="shared" si="81"/>
        <v>3000000</v>
      </c>
      <c r="V229" s="24">
        <v>0</v>
      </c>
      <c r="W229" s="24">
        <v>55</v>
      </c>
      <c r="X229" s="24">
        <v>0</v>
      </c>
      <c r="Y229" s="24">
        <v>999</v>
      </c>
      <c r="Z229" s="25">
        <v>680</v>
      </c>
      <c r="AA229" s="25">
        <v>699</v>
      </c>
      <c r="AB229" s="1881">
        <v>0</v>
      </c>
      <c r="AC229" s="25">
        <v>999999</v>
      </c>
      <c r="AD229" s="24">
        <v>0</v>
      </c>
      <c r="AE229" s="24">
        <v>65</v>
      </c>
      <c r="AF229" s="144">
        <v>0</v>
      </c>
      <c r="AG229" s="145">
        <v>1</v>
      </c>
      <c r="AH229" s="145">
        <v>1</v>
      </c>
      <c r="AI229" s="145">
        <v>0</v>
      </c>
      <c r="AJ229" s="145">
        <v>0</v>
      </c>
      <c r="AK229" s="145">
        <v>1</v>
      </c>
      <c r="AL229" s="145">
        <v>0</v>
      </c>
      <c r="AM229" s="145">
        <v>1</v>
      </c>
      <c r="AN229" s="145">
        <v>1</v>
      </c>
      <c r="AO229" s="145">
        <v>1</v>
      </c>
      <c r="AP229" s="145">
        <v>1</v>
      </c>
      <c r="AQ229" s="145">
        <v>0</v>
      </c>
      <c r="AR229" s="145">
        <v>1</v>
      </c>
      <c r="AS229" s="145">
        <v>1</v>
      </c>
      <c r="AT229" s="145">
        <v>1</v>
      </c>
      <c r="AU229" s="145">
        <f t="shared" si="55"/>
        <v>0</v>
      </c>
      <c r="AV229" s="145">
        <f t="shared" si="56"/>
        <v>1</v>
      </c>
      <c r="AW229" s="145">
        <f t="shared" si="57"/>
        <v>1</v>
      </c>
      <c r="AX229" s="145">
        <f t="shared" si="73"/>
        <v>1</v>
      </c>
      <c r="AY229" s="145">
        <f t="shared" si="58"/>
        <v>0</v>
      </c>
      <c r="AZ229" s="145">
        <f t="shared" si="59"/>
        <v>1</v>
      </c>
      <c r="BA229" s="146">
        <f t="shared" si="60"/>
        <v>0</v>
      </c>
      <c r="BB229" s="149">
        <f t="shared" si="63"/>
        <v>14</v>
      </c>
      <c r="BC229" s="150">
        <f t="shared" si="64"/>
        <v>14</v>
      </c>
      <c r="BD229" s="150">
        <f t="shared" si="65"/>
        <v>14</v>
      </c>
      <c r="BE229" s="211" t="str">
        <f t="shared" si="66"/>
        <v/>
      </c>
      <c r="BH229" s="188">
        <f>IF(AND(Input_Product=Elig!$C229,Elig_MatchAll_Ct&lt;22,$BC229=(Elig_MatchAll_Ct-1),AF229=0),C229,0)</f>
        <v>0</v>
      </c>
      <c r="BI229" s="188">
        <f>IF(AND(Input_Product=Elig!$C229,Elig_MatchAll_Ct&lt;22,$BC229=(Elig_MatchAll_Ct-1),AG229=0),D229,0)</f>
        <v>0</v>
      </c>
      <c r="BJ229" s="188">
        <f>IF(AND(Input_Product=Elig!$C229,Elig_MatchAll_Ct&lt;22,$BC229=(Elig_MatchAll_Ct-1),AH229=0),E229,0)</f>
        <v>0</v>
      </c>
      <c r="BK229" s="188">
        <f>IF(AND(Input_Product=Elig!$C229,Elig_MatchAll_Ct&lt;22,$BC229=(Elig_MatchAll_Ct-1),AI229=0),F229,0)</f>
        <v>0</v>
      </c>
      <c r="BL229" s="188">
        <f>IF(AND(Input_Product=Elig!$C229,Elig_MatchAll_Ct&lt;22,$BC229=(Elig_MatchAll_Ct-1),AJ229=0),G229,0)</f>
        <v>0</v>
      </c>
      <c r="BM229" s="188">
        <f>IF(AND(Input_Product=Elig!$C229,Elig_MatchAll_Ct&lt;22,$BC229=(Elig_MatchAll_Ct-1),AK229=0),H229,0)</f>
        <v>0</v>
      </c>
      <c r="BN229" s="188">
        <f>IF(AND(Input_Product=Elig!$C229,Elig_MatchAll_Ct&lt;22,$BC229=(Elig_MatchAll_Ct-1),AL229=0),I229,0)</f>
        <v>0</v>
      </c>
      <c r="BO229" s="188">
        <f>IF(AND(Input_Product=Elig!$C229,Elig_MatchAll_Ct&lt;22,$BC229=(Elig_MatchAll_Ct-1),AM229=0),J229,0)</f>
        <v>0</v>
      </c>
      <c r="BP229" s="188">
        <f>IF(AND(Input_Product=Elig!$C229,Elig_MatchAll_Ct&lt;22,$BC229=(Elig_MatchAll_Ct-1),AN229=0),K229,0)</f>
        <v>0</v>
      </c>
      <c r="BQ229" s="188">
        <f>IF(AND(Input_Product=Elig!$C229,Elig_MatchAll_Ct&lt;22,$BC229=(Elig_MatchAll_Ct-1),AP229=0),L229,0)</f>
        <v>0</v>
      </c>
      <c r="BR229" s="188">
        <f>IF(AND(Input_Product=Elig!$C229,Elig_MatchAll_Ct&lt;22,$BC229=(Elig_MatchAll_Ct-1),AO229=0),M229,0)</f>
        <v>0</v>
      </c>
      <c r="BS229" s="188">
        <f>IF(AND(Input_Product=Elig!$C229,Elig_MatchAll_Ct&lt;22,$BC229=(Elig_MatchAll_Ct-1),AQ229=0),N229,0)</f>
        <v>0</v>
      </c>
      <c r="BT229" s="188">
        <f>IF(AND(Input_Product=Elig!$C229,Elig_MatchAll_Ct&lt;22,$BC229=(Elig_MatchAll_Ct-1),AR229=0),O229,0)</f>
        <v>0</v>
      </c>
      <c r="BU229" s="188">
        <f>IF(AND(Input_Product=Elig!$C229,Elig_MatchAll_Ct&lt;22,$BC229=(Elig_MatchAll_Ct-1),AS229=0),P229,0)</f>
        <v>0</v>
      </c>
      <c r="BV229" s="189">
        <f>IF(AND(Input_Product=Elig!$C229,Elig_MatchAll_Ct&lt;22,$BC229=(Elig_MatchAll_Ct-1),AT229=0),Q229,0)</f>
        <v>0</v>
      </c>
      <c r="BW229" s="271">
        <f>IF(AND(Input_Product=Elig!$C229,Elig_MatchAll_Ct&lt;22,$BC229=(Elig_MatchAll_Ct-1),AU229=0),R229,0)</f>
        <v>0</v>
      </c>
      <c r="BX229" s="272">
        <f>IF(AND(Input_Product=Elig!$C229,Elig_MatchAll_Ct&lt;22,$BC229=(Elig_MatchAll_Ct-1),AU229=0),S229,0)</f>
        <v>0</v>
      </c>
      <c r="BY229" s="271">
        <f>IF(AND(Input_Product=Elig!$C229,Elig_MatchAll_Ct&lt;22,$BC229=(Elig_MatchAll_Ct-1),AV229=0),T229,0)</f>
        <v>0</v>
      </c>
      <c r="BZ229" s="272">
        <f>IF(AND(Input_Product=Elig!$C229,Elig_MatchAll_Ct&lt;22,$BC229=(Elig_MatchAll_Ct-1),AV229=0),U229,0)</f>
        <v>0</v>
      </c>
      <c r="CA229" s="271">
        <f>IF(AND(Input_Product=Elig!$C229,Elig_MatchAll_Ct&lt;22,$BC229=(Elig_MatchAll_Ct-1),AW229=0),V229,0)</f>
        <v>0</v>
      </c>
      <c r="CB229" s="272">
        <f>IF(AND(Input_Product=Elig!$C229,Elig_MatchAll_Ct&lt;22,$BC229=(Elig_MatchAll_Ct-1),AW229=0),W229,0)</f>
        <v>0</v>
      </c>
      <c r="CC229" s="271">
        <f>IF(AND(Input_Product=Elig!$C229,Elig_MatchAll_Ct&lt;22,$BC229=(Elig_MatchAll_Ct-1),AX229=0),X229,0)</f>
        <v>0</v>
      </c>
      <c r="CD229" s="272">
        <f>IF(AND(Input_Product=Elig!$C229,Elig_MatchAll_Ct&lt;22,$BC229=(Elig_MatchAll_Ct-1),AX229=0),Y229,0)</f>
        <v>0</v>
      </c>
      <c r="CE229" s="271">
        <f>IF(AND(Input_LTV&lt;=AE229,Input_Product=Elig!$C229,Elig_MatchAll_Ct&lt;22,$BC229=(Elig_MatchAll_Ct-1),AY229=0),Z229,0)</f>
        <v>0</v>
      </c>
      <c r="CF229" s="272">
        <f>IF(AND(Input_LTV&lt;=AE229,Input_Product=Elig!$C229,Elig_MatchAll_Ct&lt;22,$BC229=(Elig_MatchAll_Ct-1),AY229=0),AA229,0)</f>
        <v>0</v>
      </c>
      <c r="CG229" s="271">
        <f>IF(AND(Input_Product=Elig!$C229,Elig_MatchAll_Ct&lt;22,$BC229=(Elig_MatchAll_Ct-1),AZ229=0),AB229,0)</f>
        <v>0</v>
      </c>
      <c r="CH229" s="272">
        <f>IF(AND(Input_Product=Elig!$C229,Elig_MatchAll_Ct&lt;22,$BC229=(Elig_MatchAll_Ct-1),AZ229=0),AC229,0)</f>
        <v>0</v>
      </c>
      <c r="CI229" s="271">
        <f>IF(AND(Input_Product=Elig!$C229,Elig_MatchAll_Ct&lt;22,$BC229=(Elig_MatchAll_Ct-1),BA229=0),AD229,0)</f>
        <v>0</v>
      </c>
      <c r="CJ229" s="272">
        <f>IF(AND(Input_Product=Elig!$C229,Elig_MatchAll_Ct&lt;22,$BC229=(Elig_MatchAll_Ct-1),BA229=0),AE229,0)</f>
        <v>0</v>
      </c>
    </row>
    <row r="230" spans="1:88" ht="10.15" customHeight="1" x14ac:dyDescent="0.25">
      <c r="A230" s="1419" t="s">
        <v>76</v>
      </c>
      <c r="B230" s="1419" t="s">
        <v>2063</v>
      </c>
      <c r="C230" s="123" t="str">
        <f t="shared" ref="C230:C247" si="82">Input_Name_Product1</f>
        <v>NonQM OO</v>
      </c>
      <c r="D230" s="124" t="s">
        <v>1995</v>
      </c>
      <c r="E230" s="125" t="s">
        <v>166</v>
      </c>
      <c r="F230" s="125" t="s">
        <v>330</v>
      </c>
      <c r="G230" s="125" t="s">
        <v>302</v>
      </c>
      <c r="H230" s="125" t="s">
        <v>135</v>
      </c>
      <c r="I230" s="124" t="s">
        <v>273</v>
      </c>
      <c r="J230" s="124" t="s">
        <v>1130</v>
      </c>
      <c r="K230" s="124" t="s">
        <v>1398</v>
      </c>
      <c r="L230" s="125" t="s">
        <v>2025</v>
      </c>
      <c r="M230" s="125" t="s">
        <v>2289</v>
      </c>
      <c r="N230" s="125" t="s">
        <v>82</v>
      </c>
      <c r="O230" s="125" t="s">
        <v>309</v>
      </c>
      <c r="P230" s="125" t="s">
        <v>2433</v>
      </c>
      <c r="Q230" s="125" t="s">
        <v>293</v>
      </c>
      <c r="R230" s="124">
        <v>3000000.01</v>
      </c>
      <c r="S230" s="124">
        <v>3500000</v>
      </c>
      <c r="T230" s="124">
        <v>0</v>
      </c>
      <c r="U230" s="124">
        <v>0</v>
      </c>
      <c r="V230" s="124">
        <v>0</v>
      </c>
      <c r="W230" s="124">
        <v>55</v>
      </c>
      <c r="X230" s="124">
        <v>0</v>
      </c>
      <c r="Y230" s="124">
        <v>999</v>
      </c>
      <c r="Z230" s="126">
        <v>720</v>
      </c>
      <c r="AA230" s="126">
        <v>999</v>
      </c>
      <c r="AB230" s="1879">
        <v>0</v>
      </c>
      <c r="AC230" s="126">
        <v>999999</v>
      </c>
      <c r="AD230" s="124">
        <v>0</v>
      </c>
      <c r="AE230" s="124">
        <v>70</v>
      </c>
      <c r="AF230" s="144">
        <v>0</v>
      </c>
      <c r="AG230" s="145">
        <v>1</v>
      </c>
      <c r="AH230" s="145">
        <v>1</v>
      </c>
      <c r="AI230" s="145">
        <v>0</v>
      </c>
      <c r="AJ230" s="145">
        <v>0</v>
      </c>
      <c r="AK230" s="145">
        <v>1</v>
      </c>
      <c r="AL230" s="145">
        <v>1</v>
      </c>
      <c r="AM230" s="145">
        <v>1</v>
      </c>
      <c r="AN230" s="145">
        <v>1</v>
      </c>
      <c r="AO230" s="145">
        <v>1</v>
      </c>
      <c r="AP230" s="145">
        <v>1</v>
      </c>
      <c r="AQ230" s="145">
        <v>0</v>
      </c>
      <c r="AR230" s="145">
        <v>1</v>
      </c>
      <c r="AS230" s="145">
        <v>1</v>
      </c>
      <c r="AT230" s="145">
        <v>1</v>
      </c>
      <c r="AU230" s="145">
        <f t="shared" si="55"/>
        <v>0</v>
      </c>
      <c r="AV230" s="145">
        <f t="shared" si="56"/>
        <v>1</v>
      </c>
      <c r="AW230" s="145">
        <f t="shared" si="57"/>
        <v>1</v>
      </c>
      <c r="AX230" s="145">
        <f t="shared" si="73"/>
        <v>1</v>
      </c>
      <c r="AY230" s="145">
        <f t="shared" si="58"/>
        <v>1</v>
      </c>
      <c r="AZ230" s="145">
        <f t="shared" si="59"/>
        <v>1</v>
      </c>
      <c r="BA230" s="146">
        <f t="shared" si="60"/>
        <v>1</v>
      </c>
      <c r="BB230" s="149">
        <f t="shared" ref="BB230:BB279" si="83">SUM(AF230:BA230)</f>
        <v>17</v>
      </c>
      <c r="BC230" s="150">
        <f t="shared" ref="BC230:BC279" si="84">SUM(AF230:AZ230)</f>
        <v>16</v>
      </c>
      <c r="BD230" s="150">
        <f t="shared" ref="BD230:BD279" si="85">SUM(AG230:BA230)</f>
        <v>17</v>
      </c>
      <c r="BE230" s="211" t="str">
        <f t="shared" ref="BE230:BE279" si="86">IF(BD230=21,C230,"")</f>
        <v/>
      </c>
      <c r="BH230" s="184">
        <f>IF(AND(Input_Product=Elig!$C230,Elig_MatchAll_Ct&lt;22,$BC230=(Elig_MatchAll_Ct-1),AF230=0),C230,0)</f>
        <v>0</v>
      </c>
      <c r="BI230" s="184">
        <f>IF(AND(Input_Product=Elig!$C230,Elig_MatchAll_Ct&lt;22,$BC230=(Elig_MatchAll_Ct-1),AG230=0),D230,0)</f>
        <v>0</v>
      </c>
      <c r="BJ230" s="184">
        <f>IF(AND(Input_Product=Elig!$C230,Elig_MatchAll_Ct&lt;22,$BC230=(Elig_MatchAll_Ct-1),AH230=0),E230,0)</f>
        <v>0</v>
      </c>
      <c r="BK230" s="184">
        <f>IF(AND(Input_Product=Elig!$C230,Elig_MatchAll_Ct&lt;22,$BC230=(Elig_MatchAll_Ct-1),AI230=0),F230,0)</f>
        <v>0</v>
      </c>
      <c r="BL230" s="184">
        <f>IF(AND(Input_Product=Elig!$C230,Elig_MatchAll_Ct&lt;22,$BC230=(Elig_MatchAll_Ct-1),AJ230=0),G230,0)</f>
        <v>0</v>
      </c>
      <c r="BM230" s="184">
        <f>IF(AND(Input_Product=Elig!$C230,Elig_MatchAll_Ct&lt;22,$BC230=(Elig_MatchAll_Ct-1),AK230=0),H230,0)</f>
        <v>0</v>
      </c>
      <c r="BN230" s="184">
        <f>IF(AND(Input_Product=Elig!$C230,Elig_MatchAll_Ct&lt;22,$BC230=(Elig_MatchAll_Ct-1),AL230=0),I230,0)</f>
        <v>0</v>
      </c>
      <c r="BO230" s="184">
        <f>IF(AND(Input_Product=Elig!$C230,Elig_MatchAll_Ct&lt;22,$BC230=(Elig_MatchAll_Ct-1),AM230=0),J230,0)</f>
        <v>0</v>
      </c>
      <c r="BP230" s="184">
        <f>IF(AND(Input_Product=Elig!$C230,Elig_MatchAll_Ct&lt;22,$BC230=(Elig_MatchAll_Ct-1),AN230=0),K230,0)</f>
        <v>0</v>
      </c>
      <c r="BQ230" s="184">
        <f>IF(AND(Input_Product=Elig!$C230,Elig_MatchAll_Ct&lt;22,$BC230=(Elig_MatchAll_Ct-1),AP230=0),L230,0)</f>
        <v>0</v>
      </c>
      <c r="BR230" s="184">
        <f>IF(AND(Input_Product=Elig!$C230,Elig_MatchAll_Ct&lt;22,$BC230=(Elig_MatchAll_Ct-1),AO230=0),M230,0)</f>
        <v>0</v>
      </c>
      <c r="BS230" s="184">
        <f>IF(AND(Input_Product=Elig!$C230,Elig_MatchAll_Ct&lt;22,$BC230=(Elig_MatchAll_Ct-1),AQ230=0),N230,0)</f>
        <v>0</v>
      </c>
      <c r="BT230" s="184">
        <f>IF(AND(Input_Product=Elig!$C230,Elig_MatchAll_Ct&lt;22,$BC230=(Elig_MatchAll_Ct-1),AR230=0),O230,0)</f>
        <v>0</v>
      </c>
      <c r="BU230" s="184">
        <f>IF(AND(Input_Product=Elig!$C230,Elig_MatchAll_Ct&lt;22,$BC230=(Elig_MatchAll_Ct-1),AS230=0),P230,0)</f>
        <v>0</v>
      </c>
      <c r="BV230" s="185">
        <f>IF(AND(Input_Product=Elig!$C230,Elig_MatchAll_Ct&lt;22,$BC230=(Elig_MatchAll_Ct-1),AT230=0),Q230,0)</f>
        <v>0</v>
      </c>
      <c r="BW230" s="186">
        <f>IF(AND(Input_Product=Elig!$C230,Elig_MatchAll_Ct&lt;22,$BC230=(Elig_MatchAll_Ct-1),AU230=0),R230,0)</f>
        <v>0</v>
      </c>
      <c r="BX230" s="187">
        <f>IF(AND(Input_Product=Elig!$C230,Elig_MatchAll_Ct&lt;22,$BC230=(Elig_MatchAll_Ct-1),AU230=0),S230,0)</f>
        <v>0</v>
      </c>
      <c r="BY230" s="186">
        <f>IF(AND(Input_Product=Elig!$C230,Elig_MatchAll_Ct&lt;22,$BC230=(Elig_MatchAll_Ct-1),AV230=0),T230,0)</f>
        <v>0</v>
      </c>
      <c r="BZ230" s="187">
        <f>IF(AND(Input_Product=Elig!$C230,Elig_MatchAll_Ct&lt;22,$BC230=(Elig_MatchAll_Ct-1),AV230=0),U230,0)</f>
        <v>0</v>
      </c>
      <c r="CA230" s="186">
        <f>IF(AND(Input_Product=Elig!$C230,Elig_MatchAll_Ct&lt;22,$BC230=(Elig_MatchAll_Ct-1),AW230=0),V230,0)</f>
        <v>0</v>
      </c>
      <c r="CB230" s="187">
        <f>IF(AND(Input_Product=Elig!$C230,Elig_MatchAll_Ct&lt;22,$BC230=(Elig_MatchAll_Ct-1),AW230=0),W230,0)</f>
        <v>0</v>
      </c>
      <c r="CC230" s="186">
        <f>IF(AND(Input_Product=Elig!$C230,Elig_MatchAll_Ct&lt;22,$BC230=(Elig_MatchAll_Ct-1),AX230=0),X230,0)</f>
        <v>0</v>
      </c>
      <c r="CD230" s="187">
        <f>IF(AND(Input_Product=Elig!$C230,Elig_MatchAll_Ct&lt;22,$BC230=(Elig_MatchAll_Ct-1),AX230=0),Y230,0)</f>
        <v>0</v>
      </c>
      <c r="CE230" s="186">
        <f>IF(AND(Input_LTV&lt;=AE230,Input_Product=Elig!$C230,Elig_MatchAll_Ct&lt;22,$BC230=(Elig_MatchAll_Ct-1),AY230=0),Z230,0)</f>
        <v>0</v>
      </c>
      <c r="CF230" s="187">
        <f>IF(AND(Input_LTV&lt;=AE230,Input_Product=Elig!$C230,Elig_MatchAll_Ct&lt;22,$BC230=(Elig_MatchAll_Ct-1),AY230=0),AA230,0)</f>
        <v>0</v>
      </c>
      <c r="CG230" s="186">
        <f>IF(AND(Input_Product=Elig!$C230,Elig_MatchAll_Ct&lt;22,$BC230=(Elig_MatchAll_Ct-1),AZ230=0),AB230,0)</f>
        <v>0</v>
      </c>
      <c r="CH230" s="187">
        <f>IF(AND(Input_Product=Elig!$C230,Elig_MatchAll_Ct&lt;22,$BC230=(Elig_MatchAll_Ct-1),AZ230=0),AC230,0)</f>
        <v>0</v>
      </c>
      <c r="CI230" s="186">
        <f>IF(AND(Input_Product=Elig!$C230,Elig_MatchAll_Ct&lt;22,$BC230=(Elig_MatchAll_Ct-1),BA230=0),AD230,0)</f>
        <v>0</v>
      </c>
      <c r="CJ230" s="187">
        <f>IF(AND(Input_Product=Elig!$C230,Elig_MatchAll_Ct&lt;22,$BC230=(Elig_MatchAll_Ct-1),BA230=0),AE230,0)</f>
        <v>0</v>
      </c>
    </row>
    <row r="231" spans="1:88" ht="10.15" customHeight="1" x14ac:dyDescent="0.25">
      <c r="A231" s="1419" t="s">
        <v>76</v>
      </c>
      <c r="B231" s="1419" t="s">
        <v>2064</v>
      </c>
      <c r="C231" s="116" t="str">
        <f t="shared" si="82"/>
        <v>NonQM OO</v>
      </c>
      <c r="D231" s="117" t="s">
        <v>1995</v>
      </c>
      <c r="E231" s="117" t="s">
        <v>166</v>
      </c>
      <c r="F231" s="117" t="s">
        <v>330</v>
      </c>
      <c r="G231" s="117" t="s">
        <v>302</v>
      </c>
      <c r="H231" s="117" t="s">
        <v>135</v>
      </c>
      <c r="I231" s="118" t="s">
        <v>273</v>
      </c>
      <c r="J231" s="118" t="s">
        <v>1130</v>
      </c>
      <c r="K231" s="118" t="s">
        <v>1398</v>
      </c>
      <c r="L231" s="117" t="s">
        <v>2025</v>
      </c>
      <c r="M231" s="117" t="s">
        <v>2289</v>
      </c>
      <c r="N231" s="117" t="s">
        <v>82</v>
      </c>
      <c r="O231" s="117" t="s">
        <v>309</v>
      </c>
      <c r="P231" s="117" t="s">
        <v>2433</v>
      </c>
      <c r="Q231" s="117" t="s">
        <v>293</v>
      </c>
      <c r="R231" s="117">
        <v>3000000.01</v>
      </c>
      <c r="S231" s="117">
        <v>3500000</v>
      </c>
      <c r="T231" s="117">
        <v>0</v>
      </c>
      <c r="U231" s="117">
        <v>0</v>
      </c>
      <c r="V231" s="117">
        <v>0</v>
      </c>
      <c r="W231" s="117">
        <v>55</v>
      </c>
      <c r="X231" s="117">
        <v>0</v>
      </c>
      <c r="Y231" s="117">
        <v>999</v>
      </c>
      <c r="Z231" s="119">
        <v>700</v>
      </c>
      <c r="AA231" s="119">
        <v>719</v>
      </c>
      <c r="AB231" s="1877">
        <v>0</v>
      </c>
      <c r="AC231" s="119">
        <v>999999</v>
      </c>
      <c r="AD231" s="117">
        <v>0</v>
      </c>
      <c r="AE231" s="117">
        <v>70</v>
      </c>
      <c r="AF231" s="144">
        <v>0</v>
      </c>
      <c r="AG231" s="145">
        <v>1</v>
      </c>
      <c r="AH231" s="145">
        <v>1</v>
      </c>
      <c r="AI231" s="145">
        <v>0</v>
      </c>
      <c r="AJ231" s="145">
        <v>0</v>
      </c>
      <c r="AK231" s="145">
        <v>1</v>
      </c>
      <c r="AL231" s="145">
        <v>1</v>
      </c>
      <c r="AM231" s="145">
        <v>1</v>
      </c>
      <c r="AN231" s="145">
        <v>1</v>
      </c>
      <c r="AO231" s="145">
        <v>1</v>
      </c>
      <c r="AP231" s="145">
        <v>1</v>
      </c>
      <c r="AQ231" s="145">
        <v>0</v>
      </c>
      <c r="AR231" s="145">
        <v>1</v>
      </c>
      <c r="AS231" s="145">
        <v>1</v>
      </c>
      <c r="AT231" s="145">
        <v>1</v>
      </c>
      <c r="AU231" s="145">
        <f t="shared" si="55"/>
        <v>0</v>
      </c>
      <c r="AV231" s="145">
        <f t="shared" si="56"/>
        <v>1</v>
      </c>
      <c r="AW231" s="145">
        <f t="shared" si="57"/>
        <v>1</v>
      </c>
      <c r="AX231" s="145">
        <f t="shared" si="73"/>
        <v>1</v>
      </c>
      <c r="AY231" s="145">
        <f t="shared" si="58"/>
        <v>0</v>
      </c>
      <c r="AZ231" s="145">
        <f t="shared" si="59"/>
        <v>1</v>
      </c>
      <c r="BA231" s="146">
        <f t="shared" si="60"/>
        <v>1</v>
      </c>
      <c r="BB231" s="149">
        <f t="shared" si="83"/>
        <v>16</v>
      </c>
      <c r="BC231" s="150">
        <f t="shared" si="84"/>
        <v>15</v>
      </c>
      <c r="BD231" s="150">
        <f t="shared" si="85"/>
        <v>16</v>
      </c>
      <c r="BE231" s="211" t="str">
        <f t="shared" si="86"/>
        <v/>
      </c>
      <c r="BH231" s="173">
        <f>IF(AND(Input_Product=Elig!$C231,Elig_MatchAll_Ct&lt;22,$BC231=(Elig_MatchAll_Ct-1),AF231=0),C231,0)</f>
        <v>0</v>
      </c>
      <c r="BI231" s="173">
        <f>IF(AND(Input_Product=Elig!$C231,Elig_MatchAll_Ct&lt;22,$BC231=(Elig_MatchAll_Ct-1),AG231=0),D231,0)</f>
        <v>0</v>
      </c>
      <c r="BJ231" s="173">
        <f>IF(AND(Input_Product=Elig!$C231,Elig_MatchAll_Ct&lt;22,$BC231=(Elig_MatchAll_Ct-1),AH231=0),E231,0)</f>
        <v>0</v>
      </c>
      <c r="BK231" s="173">
        <f>IF(AND(Input_Product=Elig!$C231,Elig_MatchAll_Ct&lt;22,$BC231=(Elig_MatchAll_Ct-1),AI231=0),F231,0)</f>
        <v>0</v>
      </c>
      <c r="BL231" s="173">
        <f>IF(AND(Input_Product=Elig!$C231,Elig_MatchAll_Ct&lt;22,$BC231=(Elig_MatchAll_Ct-1),AJ231=0),G231,0)</f>
        <v>0</v>
      </c>
      <c r="BM231" s="173">
        <f>IF(AND(Input_Product=Elig!$C231,Elig_MatchAll_Ct&lt;22,$BC231=(Elig_MatchAll_Ct-1),AK231=0),H231,0)</f>
        <v>0</v>
      </c>
      <c r="BN231" s="173">
        <f>IF(AND(Input_Product=Elig!$C231,Elig_MatchAll_Ct&lt;22,$BC231=(Elig_MatchAll_Ct-1),AL231=0),I231,0)</f>
        <v>0</v>
      </c>
      <c r="BO231" s="173">
        <f>IF(AND(Input_Product=Elig!$C231,Elig_MatchAll_Ct&lt;22,$BC231=(Elig_MatchAll_Ct-1),AM231=0),J231,0)</f>
        <v>0</v>
      </c>
      <c r="BP231" s="173">
        <f>IF(AND(Input_Product=Elig!$C231,Elig_MatchAll_Ct&lt;22,$BC231=(Elig_MatchAll_Ct-1),AN231=0),K231,0)</f>
        <v>0</v>
      </c>
      <c r="BQ231" s="173">
        <f>IF(AND(Input_Product=Elig!$C231,Elig_MatchAll_Ct&lt;22,$BC231=(Elig_MatchAll_Ct-1),AP231=0),L231,0)</f>
        <v>0</v>
      </c>
      <c r="BR231" s="173">
        <f>IF(AND(Input_Product=Elig!$C231,Elig_MatchAll_Ct&lt;22,$BC231=(Elig_MatchAll_Ct-1),AO231=0),M231,0)</f>
        <v>0</v>
      </c>
      <c r="BS231" s="173">
        <f>IF(AND(Input_Product=Elig!$C231,Elig_MatchAll_Ct&lt;22,$BC231=(Elig_MatchAll_Ct-1),AQ231=0),N231,0)</f>
        <v>0</v>
      </c>
      <c r="BT231" s="173">
        <f>IF(AND(Input_Product=Elig!$C231,Elig_MatchAll_Ct&lt;22,$BC231=(Elig_MatchAll_Ct-1),AR231=0),O231,0)</f>
        <v>0</v>
      </c>
      <c r="BU231" s="173">
        <f>IF(AND(Input_Product=Elig!$C231,Elig_MatchAll_Ct&lt;22,$BC231=(Elig_MatchAll_Ct-1),AS231=0),P231,0)</f>
        <v>0</v>
      </c>
      <c r="BV231" s="174">
        <f>IF(AND(Input_Product=Elig!$C231,Elig_MatchAll_Ct&lt;22,$BC231=(Elig_MatchAll_Ct-1),AT231=0),Q231,0)</f>
        <v>0</v>
      </c>
      <c r="BW231" s="175">
        <f>IF(AND(Input_Product=Elig!$C231,Elig_MatchAll_Ct&lt;22,$BC231=(Elig_MatchAll_Ct-1),AU231=0),R231,0)</f>
        <v>0</v>
      </c>
      <c r="BX231" s="176">
        <f>IF(AND(Input_Product=Elig!$C231,Elig_MatchAll_Ct&lt;22,$BC231=(Elig_MatchAll_Ct-1),AU231=0),S231,0)</f>
        <v>0</v>
      </c>
      <c r="BY231" s="175">
        <f>IF(AND(Input_Product=Elig!$C231,Elig_MatchAll_Ct&lt;22,$BC231=(Elig_MatchAll_Ct-1),AV231=0),T231,0)</f>
        <v>0</v>
      </c>
      <c r="BZ231" s="176">
        <f>IF(AND(Input_Product=Elig!$C231,Elig_MatchAll_Ct&lt;22,$BC231=(Elig_MatchAll_Ct-1),AV231=0),U231,0)</f>
        <v>0</v>
      </c>
      <c r="CA231" s="175">
        <f>IF(AND(Input_Product=Elig!$C231,Elig_MatchAll_Ct&lt;22,$BC231=(Elig_MatchAll_Ct-1),AW231=0),V231,0)</f>
        <v>0</v>
      </c>
      <c r="CB231" s="176">
        <f>IF(AND(Input_Product=Elig!$C231,Elig_MatchAll_Ct&lt;22,$BC231=(Elig_MatchAll_Ct-1),AW231=0),W231,0)</f>
        <v>0</v>
      </c>
      <c r="CC231" s="175">
        <f>IF(AND(Input_Product=Elig!$C231,Elig_MatchAll_Ct&lt;22,$BC231=(Elig_MatchAll_Ct-1),AX231=0),X231,0)</f>
        <v>0</v>
      </c>
      <c r="CD231" s="176">
        <f>IF(AND(Input_Product=Elig!$C231,Elig_MatchAll_Ct&lt;22,$BC231=(Elig_MatchAll_Ct-1),AX231=0),Y231,0)</f>
        <v>0</v>
      </c>
      <c r="CE231" s="175">
        <f>IF(AND(Input_LTV&lt;=AE231,Input_Product=Elig!$C231,Elig_MatchAll_Ct&lt;22,$BC231=(Elig_MatchAll_Ct-1),AY231=0),Z231,0)</f>
        <v>0</v>
      </c>
      <c r="CF231" s="176">
        <f>IF(AND(Input_LTV&lt;=AE231,Input_Product=Elig!$C231,Elig_MatchAll_Ct&lt;22,$BC231=(Elig_MatchAll_Ct-1),AY231=0),AA231,0)</f>
        <v>0</v>
      </c>
      <c r="CG231" s="175">
        <f>IF(AND(Input_Product=Elig!$C231,Elig_MatchAll_Ct&lt;22,$BC231=(Elig_MatchAll_Ct-1),AZ231=0),AB231,0)</f>
        <v>0</v>
      </c>
      <c r="CH231" s="176">
        <f>IF(AND(Input_Product=Elig!$C231,Elig_MatchAll_Ct&lt;22,$BC231=(Elig_MatchAll_Ct-1),AZ231=0),AC231,0)</f>
        <v>0</v>
      </c>
      <c r="CI231" s="175">
        <f>IF(AND(Input_Product=Elig!$C231,Elig_MatchAll_Ct&lt;22,$BC231=(Elig_MatchAll_Ct-1),BA231=0),AD231,0)</f>
        <v>0</v>
      </c>
      <c r="CJ231" s="176">
        <f>IF(AND(Input_Product=Elig!$C231,Elig_MatchAll_Ct&lt;22,$BC231=(Elig_MatchAll_Ct-1),BA231=0),AE231,0)</f>
        <v>0</v>
      </c>
    </row>
    <row r="232" spans="1:88" ht="10.15" customHeight="1" x14ac:dyDescent="0.25">
      <c r="A232" s="1419" t="s">
        <v>76</v>
      </c>
      <c r="B232" s="1419" t="s">
        <v>2065</v>
      </c>
      <c r="C232" s="123" t="str">
        <f t="shared" si="82"/>
        <v>NonQM OO</v>
      </c>
      <c r="D232" s="124" t="s">
        <v>1995</v>
      </c>
      <c r="E232" s="125" t="s">
        <v>166</v>
      </c>
      <c r="F232" s="125" t="s">
        <v>330</v>
      </c>
      <c r="G232" s="125" t="s">
        <v>302</v>
      </c>
      <c r="H232" s="125" t="s">
        <v>135</v>
      </c>
      <c r="I232" s="124" t="s">
        <v>16</v>
      </c>
      <c r="J232" s="124" t="s">
        <v>1130</v>
      </c>
      <c r="K232" s="124" t="s">
        <v>1398</v>
      </c>
      <c r="L232" s="125" t="s">
        <v>2025</v>
      </c>
      <c r="M232" s="125" t="s">
        <v>2289</v>
      </c>
      <c r="N232" s="125" t="s">
        <v>82</v>
      </c>
      <c r="O232" s="125" t="s">
        <v>309</v>
      </c>
      <c r="P232" s="125" t="s">
        <v>2433</v>
      </c>
      <c r="Q232" s="125" t="s">
        <v>293</v>
      </c>
      <c r="R232" s="124">
        <v>3000000.01</v>
      </c>
      <c r="S232" s="124">
        <v>3500000</v>
      </c>
      <c r="T232" s="124">
        <v>0</v>
      </c>
      <c r="U232" s="124">
        <f t="shared" ref="U232:U233" si="87">S232</f>
        <v>3500000</v>
      </c>
      <c r="V232" s="124">
        <v>0</v>
      </c>
      <c r="W232" s="124">
        <v>55</v>
      </c>
      <c r="X232" s="124">
        <v>0</v>
      </c>
      <c r="Y232" s="124">
        <v>999</v>
      </c>
      <c r="Z232" s="126">
        <v>720</v>
      </c>
      <c r="AA232" s="126">
        <v>999</v>
      </c>
      <c r="AB232" s="1879">
        <v>0</v>
      </c>
      <c r="AC232" s="126">
        <v>999999</v>
      </c>
      <c r="AD232" s="124">
        <v>0</v>
      </c>
      <c r="AE232" s="124">
        <v>55</v>
      </c>
      <c r="AF232" s="144">
        <v>0</v>
      </c>
      <c r="AG232" s="145">
        <v>1</v>
      </c>
      <c r="AH232" s="145">
        <v>1</v>
      </c>
      <c r="AI232" s="145">
        <v>0</v>
      </c>
      <c r="AJ232" s="145">
        <v>0</v>
      </c>
      <c r="AK232" s="145">
        <v>1</v>
      </c>
      <c r="AL232" s="145">
        <v>0</v>
      </c>
      <c r="AM232" s="145">
        <v>1</v>
      </c>
      <c r="AN232" s="145">
        <v>1</v>
      </c>
      <c r="AO232" s="145">
        <v>1</v>
      </c>
      <c r="AP232" s="145">
        <v>1</v>
      </c>
      <c r="AQ232" s="145">
        <v>0</v>
      </c>
      <c r="AR232" s="145">
        <v>1</v>
      </c>
      <c r="AS232" s="145">
        <v>1</v>
      </c>
      <c r="AT232" s="145">
        <v>1</v>
      </c>
      <c r="AU232" s="145">
        <f t="shared" si="55"/>
        <v>0</v>
      </c>
      <c r="AV232" s="145">
        <f t="shared" si="56"/>
        <v>1</v>
      </c>
      <c r="AW232" s="145">
        <f t="shared" si="57"/>
        <v>1</v>
      </c>
      <c r="AX232" s="145">
        <f t="shared" si="73"/>
        <v>1</v>
      </c>
      <c r="AY232" s="145">
        <f t="shared" si="58"/>
        <v>1</v>
      </c>
      <c r="AZ232" s="145">
        <f t="shared" si="59"/>
        <v>1</v>
      </c>
      <c r="BA232" s="146">
        <f t="shared" si="60"/>
        <v>0</v>
      </c>
      <c r="BB232" s="149">
        <f t="shared" si="83"/>
        <v>15</v>
      </c>
      <c r="BC232" s="150">
        <f t="shared" si="84"/>
        <v>15</v>
      </c>
      <c r="BD232" s="150">
        <f t="shared" si="85"/>
        <v>15</v>
      </c>
      <c r="BE232" s="211" t="str">
        <f t="shared" si="86"/>
        <v/>
      </c>
      <c r="BH232" s="184">
        <f>IF(AND(Input_Product=Elig!$C232,Elig_MatchAll_Ct&lt;22,$BC232=(Elig_MatchAll_Ct-1),AF232=0),C232,0)</f>
        <v>0</v>
      </c>
      <c r="BI232" s="184">
        <f>IF(AND(Input_Product=Elig!$C232,Elig_MatchAll_Ct&lt;22,$BC232=(Elig_MatchAll_Ct-1),AG232=0),D232,0)</f>
        <v>0</v>
      </c>
      <c r="BJ232" s="184">
        <f>IF(AND(Input_Product=Elig!$C232,Elig_MatchAll_Ct&lt;22,$BC232=(Elig_MatchAll_Ct-1),AH232=0),E232,0)</f>
        <v>0</v>
      </c>
      <c r="BK232" s="184">
        <f>IF(AND(Input_Product=Elig!$C232,Elig_MatchAll_Ct&lt;22,$BC232=(Elig_MatchAll_Ct-1),AI232=0),F232,0)</f>
        <v>0</v>
      </c>
      <c r="BL232" s="184">
        <f>IF(AND(Input_Product=Elig!$C232,Elig_MatchAll_Ct&lt;22,$BC232=(Elig_MatchAll_Ct-1),AJ232=0),G232,0)</f>
        <v>0</v>
      </c>
      <c r="BM232" s="184">
        <f>IF(AND(Input_Product=Elig!$C232,Elig_MatchAll_Ct&lt;22,$BC232=(Elig_MatchAll_Ct-1),AK232=0),H232,0)</f>
        <v>0</v>
      </c>
      <c r="BN232" s="184">
        <f>IF(AND(Input_Product=Elig!$C232,Elig_MatchAll_Ct&lt;22,$BC232=(Elig_MatchAll_Ct-1),AL232=0),I232,0)</f>
        <v>0</v>
      </c>
      <c r="BO232" s="184">
        <f>IF(AND(Input_Product=Elig!$C232,Elig_MatchAll_Ct&lt;22,$BC232=(Elig_MatchAll_Ct-1),AM232=0),J232,0)</f>
        <v>0</v>
      </c>
      <c r="BP232" s="184">
        <f>IF(AND(Input_Product=Elig!$C232,Elig_MatchAll_Ct&lt;22,$BC232=(Elig_MatchAll_Ct-1),AN232=0),K232,0)</f>
        <v>0</v>
      </c>
      <c r="BQ232" s="184">
        <f>IF(AND(Input_Product=Elig!$C232,Elig_MatchAll_Ct&lt;22,$BC232=(Elig_MatchAll_Ct-1),AP232=0),L232,0)</f>
        <v>0</v>
      </c>
      <c r="BR232" s="184">
        <f>IF(AND(Input_Product=Elig!$C232,Elig_MatchAll_Ct&lt;22,$BC232=(Elig_MatchAll_Ct-1),AO232=0),M232,0)</f>
        <v>0</v>
      </c>
      <c r="BS232" s="184">
        <f>IF(AND(Input_Product=Elig!$C232,Elig_MatchAll_Ct&lt;22,$BC232=(Elig_MatchAll_Ct-1),AQ232=0),N232,0)</f>
        <v>0</v>
      </c>
      <c r="BT232" s="184">
        <f>IF(AND(Input_Product=Elig!$C232,Elig_MatchAll_Ct&lt;22,$BC232=(Elig_MatchAll_Ct-1),AR232=0),O232,0)</f>
        <v>0</v>
      </c>
      <c r="BU232" s="184">
        <f>IF(AND(Input_Product=Elig!$C232,Elig_MatchAll_Ct&lt;22,$BC232=(Elig_MatchAll_Ct-1),AS232=0),P232,0)</f>
        <v>0</v>
      </c>
      <c r="BV232" s="185">
        <f>IF(AND(Input_Product=Elig!$C232,Elig_MatchAll_Ct&lt;22,$BC232=(Elig_MatchAll_Ct-1),AT232=0),Q232,0)</f>
        <v>0</v>
      </c>
      <c r="BW232" s="186">
        <f>IF(AND(Input_Product=Elig!$C232,Elig_MatchAll_Ct&lt;22,$BC232=(Elig_MatchAll_Ct-1),AU232=0),R232,0)</f>
        <v>0</v>
      </c>
      <c r="BX232" s="187">
        <f>IF(AND(Input_Product=Elig!$C232,Elig_MatchAll_Ct&lt;22,$BC232=(Elig_MatchAll_Ct-1),AU232=0),S232,0)</f>
        <v>0</v>
      </c>
      <c r="BY232" s="186">
        <f>IF(AND(Input_Product=Elig!$C232,Elig_MatchAll_Ct&lt;22,$BC232=(Elig_MatchAll_Ct-1),AV232=0),T232,0)</f>
        <v>0</v>
      </c>
      <c r="BZ232" s="187">
        <f>IF(AND(Input_Product=Elig!$C232,Elig_MatchAll_Ct&lt;22,$BC232=(Elig_MatchAll_Ct-1),AV232=0),U232,0)</f>
        <v>0</v>
      </c>
      <c r="CA232" s="186">
        <f>IF(AND(Input_Product=Elig!$C232,Elig_MatchAll_Ct&lt;22,$BC232=(Elig_MatchAll_Ct-1),AW232=0),V232,0)</f>
        <v>0</v>
      </c>
      <c r="CB232" s="187">
        <f>IF(AND(Input_Product=Elig!$C232,Elig_MatchAll_Ct&lt;22,$BC232=(Elig_MatchAll_Ct-1),AW232=0),W232,0)</f>
        <v>0</v>
      </c>
      <c r="CC232" s="186">
        <f>IF(AND(Input_Product=Elig!$C232,Elig_MatchAll_Ct&lt;22,$BC232=(Elig_MatchAll_Ct-1),AX232=0),X232,0)</f>
        <v>0</v>
      </c>
      <c r="CD232" s="187">
        <f>IF(AND(Input_Product=Elig!$C232,Elig_MatchAll_Ct&lt;22,$BC232=(Elig_MatchAll_Ct-1),AX232=0),Y232,0)</f>
        <v>0</v>
      </c>
      <c r="CE232" s="186">
        <f>IF(AND(Input_LTV&lt;=AE232,Input_Product=Elig!$C232,Elig_MatchAll_Ct&lt;22,$BC232=(Elig_MatchAll_Ct-1),AY232=0),Z232,0)</f>
        <v>0</v>
      </c>
      <c r="CF232" s="187">
        <f>IF(AND(Input_LTV&lt;=AE232,Input_Product=Elig!$C232,Elig_MatchAll_Ct&lt;22,$BC232=(Elig_MatchAll_Ct-1),AY232=0),AA232,0)</f>
        <v>0</v>
      </c>
      <c r="CG232" s="186">
        <f>IF(AND(Input_Product=Elig!$C232,Elig_MatchAll_Ct&lt;22,$BC232=(Elig_MatchAll_Ct-1),AZ232=0),AB232,0)</f>
        <v>0</v>
      </c>
      <c r="CH232" s="187">
        <f>IF(AND(Input_Product=Elig!$C232,Elig_MatchAll_Ct&lt;22,$BC232=(Elig_MatchAll_Ct-1),AZ232=0),AC232,0)</f>
        <v>0</v>
      </c>
      <c r="CI232" s="186">
        <f>IF(AND(Input_Product=Elig!$C232,Elig_MatchAll_Ct&lt;22,$BC232=(Elig_MatchAll_Ct-1),BA232=0),AD232,0)</f>
        <v>0</v>
      </c>
      <c r="CJ232" s="187">
        <f>IF(AND(Input_Product=Elig!$C232,Elig_MatchAll_Ct&lt;22,$BC232=(Elig_MatchAll_Ct-1),BA232=0),AE232,0)</f>
        <v>0</v>
      </c>
    </row>
    <row r="233" spans="1:88" ht="10.15" customHeight="1" x14ac:dyDescent="0.25">
      <c r="A233" s="1419" t="s">
        <v>76</v>
      </c>
      <c r="B233" s="1419" t="s">
        <v>2066</v>
      </c>
      <c r="C233" s="116" t="str">
        <f t="shared" si="82"/>
        <v>NonQM OO</v>
      </c>
      <c r="D233" s="117" t="s">
        <v>1995</v>
      </c>
      <c r="E233" s="117" t="s">
        <v>166</v>
      </c>
      <c r="F233" s="117" t="s">
        <v>330</v>
      </c>
      <c r="G233" s="117" t="s">
        <v>302</v>
      </c>
      <c r="H233" s="117" t="s">
        <v>135</v>
      </c>
      <c r="I233" s="118" t="s">
        <v>16</v>
      </c>
      <c r="J233" s="118" t="s">
        <v>1130</v>
      </c>
      <c r="K233" s="118" t="s">
        <v>1398</v>
      </c>
      <c r="L233" s="117" t="s">
        <v>2025</v>
      </c>
      <c r="M233" s="117" t="s">
        <v>2289</v>
      </c>
      <c r="N233" s="117" t="s">
        <v>82</v>
      </c>
      <c r="O233" s="117" t="s">
        <v>309</v>
      </c>
      <c r="P233" s="117" t="s">
        <v>2433</v>
      </c>
      <c r="Q233" s="117" t="s">
        <v>293</v>
      </c>
      <c r="R233" s="117">
        <v>3000000.01</v>
      </c>
      <c r="S233" s="117">
        <v>3500000</v>
      </c>
      <c r="T233" s="117">
        <v>0</v>
      </c>
      <c r="U233" s="117">
        <f t="shared" si="87"/>
        <v>3500000</v>
      </c>
      <c r="V233" s="117">
        <v>0</v>
      </c>
      <c r="W233" s="117">
        <v>55</v>
      </c>
      <c r="X233" s="117">
        <v>0</v>
      </c>
      <c r="Y233" s="117">
        <v>999</v>
      </c>
      <c r="Z233" s="119">
        <v>700</v>
      </c>
      <c r="AA233" s="119">
        <v>719</v>
      </c>
      <c r="AB233" s="1877">
        <v>0</v>
      </c>
      <c r="AC233" s="119">
        <v>999999</v>
      </c>
      <c r="AD233" s="117">
        <v>0</v>
      </c>
      <c r="AE233" s="117">
        <v>55</v>
      </c>
      <c r="AF233" s="144">
        <v>0</v>
      </c>
      <c r="AG233" s="145">
        <v>1</v>
      </c>
      <c r="AH233" s="145">
        <v>1</v>
      </c>
      <c r="AI233" s="145">
        <v>0</v>
      </c>
      <c r="AJ233" s="145">
        <v>0</v>
      </c>
      <c r="AK233" s="145">
        <v>1</v>
      </c>
      <c r="AL233" s="145">
        <v>0</v>
      </c>
      <c r="AM233" s="145">
        <v>1</v>
      </c>
      <c r="AN233" s="145">
        <v>1</v>
      </c>
      <c r="AO233" s="145">
        <v>1</v>
      </c>
      <c r="AP233" s="145">
        <v>1</v>
      </c>
      <c r="AQ233" s="145">
        <v>0</v>
      </c>
      <c r="AR233" s="145">
        <v>1</v>
      </c>
      <c r="AS233" s="145">
        <v>1</v>
      </c>
      <c r="AT233" s="145">
        <v>1</v>
      </c>
      <c r="AU233" s="145">
        <f t="shared" si="55"/>
        <v>0</v>
      </c>
      <c r="AV233" s="145">
        <f t="shared" si="56"/>
        <v>1</v>
      </c>
      <c r="AW233" s="145">
        <f t="shared" si="57"/>
        <v>1</v>
      </c>
      <c r="AX233" s="145">
        <f t="shared" si="73"/>
        <v>1</v>
      </c>
      <c r="AY233" s="145">
        <f t="shared" si="58"/>
        <v>0</v>
      </c>
      <c r="AZ233" s="145">
        <f t="shared" si="59"/>
        <v>1</v>
      </c>
      <c r="BA233" s="146">
        <f t="shared" si="60"/>
        <v>0</v>
      </c>
      <c r="BB233" s="149">
        <f t="shared" si="83"/>
        <v>14</v>
      </c>
      <c r="BC233" s="150">
        <f t="shared" si="84"/>
        <v>14</v>
      </c>
      <c r="BD233" s="150">
        <f t="shared" si="85"/>
        <v>14</v>
      </c>
      <c r="BE233" s="211" t="str">
        <f t="shared" si="86"/>
        <v/>
      </c>
      <c r="BH233" s="173">
        <f>IF(AND(Input_Product=Elig!$C233,Elig_MatchAll_Ct&lt;22,$BC233=(Elig_MatchAll_Ct-1),AF233=0),C233,0)</f>
        <v>0</v>
      </c>
      <c r="BI233" s="173">
        <f>IF(AND(Input_Product=Elig!$C233,Elig_MatchAll_Ct&lt;22,$BC233=(Elig_MatchAll_Ct-1),AG233=0),D233,0)</f>
        <v>0</v>
      </c>
      <c r="BJ233" s="173">
        <f>IF(AND(Input_Product=Elig!$C233,Elig_MatchAll_Ct&lt;22,$BC233=(Elig_MatchAll_Ct-1),AH233=0),E233,0)</f>
        <v>0</v>
      </c>
      <c r="BK233" s="173">
        <f>IF(AND(Input_Product=Elig!$C233,Elig_MatchAll_Ct&lt;22,$BC233=(Elig_MatchAll_Ct-1),AI233=0),F233,0)</f>
        <v>0</v>
      </c>
      <c r="BL233" s="173">
        <f>IF(AND(Input_Product=Elig!$C233,Elig_MatchAll_Ct&lt;22,$BC233=(Elig_MatchAll_Ct-1),AJ233=0),G233,0)</f>
        <v>0</v>
      </c>
      <c r="BM233" s="173">
        <f>IF(AND(Input_Product=Elig!$C233,Elig_MatchAll_Ct&lt;22,$BC233=(Elig_MatchAll_Ct-1),AK233=0),H233,0)</f>
        <v>0</v>
      </c>
      <c r="BN233" s="173">
        <f>IF(AND(Input_Product=Elig!$C233,Elig_MatchAll_Ct&lt;22,$BC233=(Elig_MatchAll_Ct-1),AL233=0),I233,0)</f>
        <v>0</v>
      </c>
      <c r="BO233" s="173">
        <f>IF(AND(Input_Product=Elig!$C233,Elig_MatchAll_Ct&lt;22,$BC233=(Elig_MatchAll_Ct-1),AM233=0),J233,0)</f>
        <v>0</v>
      </c>
      <c r="BP233" s="173">
        <f>IF(AND(Input_Product=Elig!$C233,Elig_MatchAll_Ct&lt;22,$BC233=(Elig_MatchAll_Ct-1),AN233=0),K233,0)</f>
        <v>0</v>
      </c>
      <c r="BQ233" s="173">
        <f>IF(AND(Input_Product=Elig!$C233,Elig_MatchAll_Ct&lt;22,$BC233=(Elig_MatchAll_Ct-1),AP233=0),L233,0)</f>
        <v>0</v>
      </c>
      <c r="BR233" s="173">
        <f>IF(AND(Input_Product=Elig!$C233,Elig_MatchAll_Ct&lt;22,$BC233=(Elig_MatchAll_Ct-1),AO233=0),M233,0)</f>
        <v>0</v>
      </c>
      <c r="BS233" s="173">
        <f>IF(AND(Input_Product=Elig!$C233,Elig_MatchAll_Ct&lt;22,$BC233=(Elig_MatchAll_Ct-1),AQ233=0),N233,0)</f>
        <v>0</v>
      </c>
      <c r="BT233" s="173">
        <f>IF(AND(Input_Product=Elig!$C233,Elig_MatchAll_Ct&lt;22,$BC233=(Elig_MatchAll_Ct-1),AR233=0),O233,0)</f>
        <v>0</v>
      </c>
      <c r="BU233" s="173">
        <f>IF(AND(Input_Product=Elig!$C233,Elig_MatchAll_Ct&lt;22,$BC233=(Elig_MatchAll_Ct-1),AS233=0),P233,0)</f>
        <v>0</v>
      </c>
      <c r="BV233" s="174">
        <f>IF(AND(Input_Product=Elig!$C233,Elig_MatchAll_Ct&lt;22,$BC233=(Elig_MatchAll_Ct-1),AT233=0),Q233,0)</f>
        <v>0</v>
      </c>
      <c r="BW233" s="175">
        <f>IF(AND(Input_Product=Elig!$C233,Elig_MatchAll_Ct&lt;22,$BC233=(Elig_MatchAll_Ct-1),AU233=0),R233,0)</f>
        <v>0</v>
      </c>
      <c r="BX233" s="176">
        <f>IF(AND(Input_Product=Elig!$C233,Elig_MatchAll_Ct&lt;22,$BC233=(Elig_MatchAll_Ct-1),AU233=0),S233,0)</f>
        <v>0</v>
      </c>
      <c r="BY233" s="175">
        <f>IF(AND(Input_Product=Elig!$C233,Elig_MatchAll_Ct&lt;22,$BC233=(Elig_MatchAll_Ct-1),AV233=0),T233,0)</f>
        <v>0</v>
      </c>
      <c r="BZ233" s="176">
        <f>IF(AND(Input_Product=Elig!$C233,Elig_MatchAll_Ct&lt;22,$BC233=(Elig_MatchAll_Ct-1),AV233=0),U233,0)</f>
        <v>0</v>
      </c>
      <c r="CA233" s="175">
        <f>IF(AND(Input_Product=Elig!$C233,Elig_MatchAll_Ct&lt;22,$BC233=(Elig_MatchAll_Ct-1),AW233=0),V233,0)</f>
        <v>0</v>
      </c>
      <c r="CB233" s="176">
        <f>IF(AND(Input_Product=Elig!$C233,Elig_MatchAll_Ct&lt;22,$BC233=(Elig_MatchAll_Ct-1),AW233=0),W233,0)</f>
        <v>0</v>
      </c>
      <c r="CC233" s="175">
        <f>IF(AND(Input_Product=Elig!$C233,Elig_MatchAll_Ct&lt;22,$BC233=(Elig_MatchAll_Ct-1),AX233=0),X233,0)</f>
        <v>0</v>
      </c>
      <c r="CD233" s="176">
        <f>IF(AND(Input_Product=Elig!$C233,Elig_MatchAll_Ct&lt;22,$BC233=(Elig_MatchAll_Ct-1),AX233=0),Y233,0)</f>
        <v>0</v>
      </c>
      <c r="CE233" s="175">
        <f>IF(AND(Input_LTV&lt;=AE233,Input_Product=Elig!$C233,Elig_MatchAll_Ct&lt;22,$BC233=(Elig_MatchAll_Ct-1),AY233=0),Z233,0)</f>
        <v>0</v>
      </c>
      <c r="CF233" s="176">
        <f>IF(AND(Input_LTV&lt;=AE233,Input_Product=Elig!$C233,Elig_MatchAll_Ct&lt;22,$BC233=(Elig_MatchAll_Ct-1),AY233=0),AA233,0)</f>
        <v>0</v>
      </c>
      <c r="CG233" s="175">
        <f>IF(AND(Input_Product=Elig!$C233,Elig_MatchAll_Ct&lt;22,$BC233=(Elig_MatchAll_Ct-1),AZ233=0),AB233,0)</f>
        <v>0</v>
      </c>
      <c r="CH233" s="176">
        <f>IF(AND(Input_Product=Elig!$C233,Elig_MatchAll_Ct&lt;22,$BC233=(Elig_MatchAll_Ct-1),AZ233=0),AC233,0)</f>
        <v>0</v>
      </c>
      <c r="CI233" s="175">
        <f>IF(AND(Input_Product=Elig!$C233,Elig_MatchAll_Ct&lt;22,$BC233=(Elig_MatchAll_Ct-1),BA233=0),AD233,0)</f>
        <v>0</v>
      </c>
      <c r="CJ233" s="176">
        <f>IF(AND(Input_Product=Elig!$C233,Elig_MatchAll_Ct&lt;22,$BC233=(Elig_MatchAll_Ct-1),BA233=0),AE233,0)</f>
        <v>0</v>
      </c>
    </row>
    <row r="234" spans="1:88" ht="10.15" customHeight="1" x14ac:dyDescent="0.25">
      <c r="A234" s="1419" t="s">
        <v>76</v>
      </c>
      <c r="B234" s="1419" t="s">
        <v>2067</v>
      </c>
      <c r="C234" s="123" t="str">
        <f t="shared" si="82"/>
        <v>NonQM OO</v>
      </c>
      <c r="D234" s="124" t="s">
        <v>1995</v>
      </c>
      <c r="E234" s="125" t="s">
        <v>166</v>
      </c>
      <c r="F234" s="125" t="s">
        <v>330</v>
      </c>
      <c r="G234" s="125" t="s">
        <v>303</v>
      </c>
      <c r="H234" s="125" t="s">
        <v>444</v>
      </c>
      <c r="I234" s="124" t="s">
        <v>273</v>
      </c>
      <c r="J234" s="124" t="s">
        <v>1130</v>
      </c>
      <c r="K234" s="124" t="s">
        <v>1398</v>
      </c>
      <c r="L234" s="125" t="s">
        <v>2025</v>
      </c>
      <c r="M234" s="125" t="s">
        <v>2289</v>
      </c>
      <c r="N234" s="125" t="s">
        <v>82</v>
      </c>
      <c r="O234" s="125" t="s">
        <v>309</v>
      </c>
      <c r="P234" s="125" t="s">
        <v>2433</v>
      </c>
      <c r="Q234" s="125" t="s">
        <v>293</v>
      </c>
      <c r="R234" s="124">
        <v>3000000.01</v>
      </c>
      <c r="S234" s="124">
        <v>3500000</v>
      </c>
      <c r="T234" s="124">
        <v>0</v>
      </c>
      <c r="U234" s="124">
        <v>0</v>
      </c>
      <c r="V234" s="124">
        <v>0</v>
      </c>
      <c r="W234" s="124">
        <v>55</v>
      </c>
      <c r="X234" s="124">
        <v>0</v>
      </c>
      <c r="Y234" s="124">
        <v>999</v>
      </c>
      <c r="Z234" s="126">
        <v>720</v>
      </c>
      <c r="AA234" s="126">
        <v>999</v>
      </c>
      <c r="AB234" s="1879">
        <v>0</v>
      </c>
      <c r="AC234" s="126">
        <v>999999</v>
      </c>
      <c r="AD234" s="124">
        <v>0</v>
      </c>
      <c r="AE234" s="124">
        <v>70</v>
      </c>
      <c r="AF234" s="144">
        <v>0</v>
      </c>
      <c r="AG234" s="145">
        <v>1</v>
      </c>
      <c r="AH234" s="145">
        <v>1</v>
      </c>
      <c r="AI234" s="145">
        <v>0</v>
      </c>
      <c r="AJ234" s="145">
        <v>0</v>
      </c>
      <c r="AK234" s="145">
        <v>0</v>
      </c>
      <c r="AL234" s="145">
        <v>1</v>
      </c>
      <c r="AM234" s="145">
        <v>1</v>
      </c>
      <c r="AN234" s="145">
        <v>1</v>
      </c>
      <c r="AO234" s="145">
        <v>1</v>
      </c>
      <c r="AP234" s="145">
        <v>1</v>
      </c>
      <c r="AQ234" s="145">
        <v>0</v>
      </c>
      <c r="AR234" s="145">
        <v>1</v>
      </c>
      <c r="AS234" s="145">
        <v>1</v>
      </c>
      <c r="AT234" s="145">
        <v>1</v>
      </c>
      <c r="AU234" s="145">
        <f t="shared" si="55"/>
        <v>0</v>
      </c>
      <c r="AV234" s="145">
        <f t="shared" si="56"/>
        <v>1</v>
      </c>
      <c r="AW234" s="145">
        <f t="shared" si="57"/>
        <v>1</v>
      </c>
      <c r="AX234" s="145">
        <f t="shared" si="73"/>
        <v>1</v>
      </c>
      <c r="AY234" s="145">
        <f t="shared" si="58"/>
        <v>1</v>
      </c>
      <c r="AZ234" s="145">
        <f t="shared" si="59"/>
        <v>1</v>
      </c>
      <c r="BA234" s="146">
        <f t="shared" si="60"/>
        <v>1</v>
      </c>
      <c r="BB234" s="149">
        <f t="shared" si="83"/>
        <v>16</v>
      </c>
      <c r="BC234" s="150">
        <f t="shared" si="84"/>
        <v>15</v>
      </c>
      <c r="BD234" s="150">
        <f t="shared" si="85"/>
        <v>16</v>
      </c>
      <c r="BE234" s="211" t="str">
        <f t="shared" si="86"/>
        <v/>
      </c>
      <c r="BH234" s="184">
        <f>IF(AND(Input_Product=Elig!$C234,Elig_MatchAll_Ct&lt;22,$BC234=(Elig_MatchAll_Ct-1),AF234=0),C234,0)</f>
        <v>0</v>
      </c>
      <c r="BI234" s="184">
        <f>IF(AND(Input_Product=Elig!$C234,Elig_MatchAll_Ct&lt;22,$BC234=(Elig_MatchAll_Ct-1),AG234=0),D234,0)</f>
        <v>0</v>
      </c>
      <c r="BJ234" s="184">
        <f>IF(AND(Input_Product=Elig!$C234,Elig_MatchAll_Ct&lt;22,$BC234=(Elig_MatchAll_Ct-1),AH234=0),E234,0)</f>
        <v>0</v>
      </c>
      <c r="BK234" s="184">
        <f>IF(AND(Input_Product=Elig!$C234,Elig_MatchAll_Ct&lt;22,$BC234=(Elig_MatchAll_Ct-1),AI234=0),F234,0)</f>
        <v>0</v>
      </c>
      <c r="BL234" s="184">
        <f>IF(AND(Input_Product=Elig!$C234,Elig_MatchAll_Ct&lt;22,$BC234=(Elig_MatchAll_Ct-1),AJ234=0),G234,0)</f>
        <v>0</v>
      </c>
      <c r="BM234" s="184">
        <f>IF(AND(Input_Product=Elig!$C234,Elig_MatchAll_Ct&lt;22,$BC234=(Elig_MatchAll_Ct-1),AK234=0),H234,0)</f>
        <v>0</v>
      </c>
      <c r="BN234" s="184">
        <f>IF(AND(Input_Product=Elig!$C234,Elig_MatchAll_Ct&lt;22,$BC234=(Elig_MatchAll_Ct-1),AL234=0),I234,0)</f>
        <v>0</v>
      </c>
      <c r="BO234" s="184">
        <f>IF(AND(Input_Product=Elig!$C234,Elig_MatchAll_Ct&lt;22,$BC234=(Elig_MatchAll_Ct-1),AM234=0),J234,0)</f>
        <v>0</v>
      </c>
      <c r="BP234" s="184">
        <f>IF(AND(Input_Product=Elig!$C234,Elig_MatchAll_Ct&lt;22,$BC234=(Elig_MatchAll_Ct-1),AN234=0),K234,0)</f>
        <v>0</v>
      </c>
      <c r="BQ234" s="184">
        <f>IF(AND(Input_Product=Elig!$C234,Elig_MatchAll_Ct&lt;22,$BC234=(Elig_MatchAll_Ct-1),AP234=0),L234,0)</f>
        <v>0</v>
      </c>
      <c r="BR234" s="184">
        <f>IF(AND(Input_Product=Elig!$C234,Elig_MatchAll_Ct&lt;22,$BC234=(Elig_MatchAll_Ct-1),AO234=0),M234,0)</f>
        <v>0</v>
      </c>
      <c r="BS234" s="184">
        <f>IF(AND(Input_Product=Elig!$C234,Elig_MatchAll_Ct&lt;22,$BC234=(Elig_MatchAll_Ct-1),AQ234=0),N234,0)</f>
        <v>0</v>
      </c>
      <c r="BT234" s="184">
        <f>IF(AND(Input_Product=Elig!$C234,Elig_MatchAll_Ct&lt;22,$BC234=(Elig_MatchAll_Ct-1),AR234=0),O234,0)</f>
        <v>0</v>
      </c>
      <c r="BU234" s="184">
        <f>IF(AND(Input_Product=Elig!$C234,Elig_MatchAll_Ct&lt;22,$BC234=(Elig_MatchAll_Ct-1),AS234=0),P234,0)</f>
        <v>0</v>
      </c>
      <c r="BV234" s="185">
        <f>IF(AND(Input_Product=Elig!$C234,Elig_MatchAll_Ct&lt;22,$BC234=(Elig_MatchAll_Ct-1),AT234=0),Q234,0)</f>
        <v>0</v>
      </c>
      <c r="BW234" s="186">
        <f>IF(AND(Input_Product=Elig!$C234,Elig_MatchAll_Ct&lt;22,$BC234=(Elig_MatchAll_Ct-1),AU234=0),R234,0)</f>
        <v>0</v>
      </c>
      <c r="BX234" s="187">
        <f>IF(AND(Input_Product=Elig!$C234,Elig_MatchAll_Ct&lt;22,$BC234=(Elig_MatchAll_Ct-1),AU234=0),S234,0)</f>
        <v>0</v>
      </c>
      <c r="BY234" s="186">
        <f>IF(AND(Input_Product=Elig!$C234,Elig_MatchAll_Ct&lt;22,$BC234=(Elig_MatchAll_Ct-1),AV234=0),T234,0)</f>
        <v>0</v>
      </c>
      <c r="BZ234" s="187">
        <f>IF(AND(Input_Product=Elig!$C234,Elig_MatchAll_Ct&lt;22,$BC234=(Elig_MatchAll_Ct-1),AV234=0),U234,0)</f>
        <v>0</v>
      </c>
      <c r="CA234" s="186">
        <f>IF(AND(Input_Product=Elig!$C234,Elig_MatchAll_Ct&lt;22,$BC234=(Elig_MatchAll_Ct-1),AW234=0),V234,0)</f>
        <v>0</v>
      </c>
      <c r="CB234" s="187">
        <f>IF(AND(Input_Product=Elig!$C234,Elig_MatchAll_Ct&lt;22,$BC234=(Elig_MatchAll_Ct-1),AW234=0),W234,0)</f>
        <v>0</v>
      </c>
      <c r="CC234" s="186">
        <f>IF(AND(Input_Product=Elig!$C234,Elig_MatchAll_Ct&lt;22,$BC234=(Elig_MatchAll_Ct-1),AX234=0),X234,0)</f>
        <v>0</v>
      </c>
      <c r="CD234" s="187">
        <f>IF(AND(Input_Product=Elig!$C234,Elig_MatchAll_Ct&lt;22,$BC234=(Elig_MatchAll_Ct-1),AX234=0),Y234,0)</f>
        <v>0</v>
      </c>
      <c r="CE234" s="186">
        <f>IF(AND(Input_LTV&lt;=AE234,Input_Product=Elig!$C234,Elig_MatchAll_Ct&lt;22,$BC234=(Elig_MatchAll_Ct-1),AY234=0),Z234,0)</f>
        <v>0</v>
      </c>
      <c r="CF234" s="187">
        <f>IF(AND(Input_LTV&lt;=AE234,Input_Product=Elig!$C234,Elig_MatchAll_Ct&lt;22,$BC234=(Elig_MatchAll_Ct-1),AY234=0),AA234,0)</f>
        <v>0</v>
      </c>
      <c r="CG234" s="186">
        <f>IF(AND(Input_Product=Elig!$C234,Elig_MatchAll_Ct&lt;22,$BC234=(Elig_MatchAll_Ct-1),AZ234=0),AB234,0)</f>
        <v>0</v>
      </c>
      <c r="CH234" s="187">
        <f>IF(AND(Input_Product=Elig!$C234,Elig_MatchAll_Ct&lt;22,$BC234=(Elig_MatchAll_Ct-1),AZ234=0),AC234,0)</f>
        <v>0</v>
      </c>
      <c r="CI234" s="186">
        <f>IF(AND(Input_Product=Elig!$C234,Elig_MatchAll_Ct&lt;22,$BC234=(Elig_MatchAll_Ct-1),BA234=0),AD234,0)</f>
        <v>0</v>
      </c>
      <c r="CJ234" s="187">
        <f>IF(AND(Input_Product=Elig!$C234,Elig_MatchAll_Ct&lt;22,$BC234=(Elig_MatchAll_Ct-1),BA234=0),AE234,0)</f>
        <v>0</v>
      </c>
    </row>
    <row r="235" spans="1:88" ht="10.15" customHeight="1" x14ac:dyDescent="0.25">
      <c r="A235" s="1419" t="s">
        <v>76</v>
      </c>
      <c r="B235" s="1419" t="s">
        <v>2068</v>
      </c>
      <c r="C235" s="116" t="str">
        <f t="shared" si="82"/>
        <v>NonQM OO</v>
      </c>
      <c r="D235" s="117" t="s">
        <v>1995</v>
      </c>
      <c r="E235" s="117" t="s">
        <v>166</v>
      </c>
      <c r="F235" s="117" t="s">
        <v>330</v>
      </c>
      <c r="G235" s="117" t="s">
        <v>303</v>
      </c>
      <c r="H235" s="117" t="s">
        <v>444</v>
      </c>
      <c r="I235" s="118" t="s">
        <v>273</v>
      </c>
      <c r="J235" s="118" t="s">
        <v>1130</v>
      </c>
      <c r="K235" s="118" t="s">
        <v>1398</v>
      </c>
      <c r="L235" s="117" t="s">
        <v>2025</v>
      </c>
      <c r="M235" s="117" t="s">
        <v>2289</v>
      </c>
      <c r="N235" s="117" t="s">
        <v>82</v>
      </c>
      <c r="O235" s="117" t="s">
        <v>309</v>
      </c>
      <c r="P235" s="117" t="s">
        <v>2433</v>
      </c>
      <c r="Q235" s="117" t="s">
        <v>293</v>
      </c>
      <c r="R235" s="117">
        <v>3000000.01</v>
      </c>
      <c r="S235" s="117">
        <v>3500000</v>
      </c>
      <c r="T235" s="117">
        <v>0</v>
      </c>
      <c r="U235" s="117">
        <v>0</v>
      </c>
      <c r="V235" s="117">
        <v>0</v>
      </c>
      <c r="W235" s="117">
        <v>55</v>
      </c>
      <c r="X235" s="117">
        <v>0</v>
      </c>
      <c r="Y235" s="117">
        <v>999</v>
      </c>
      <c r="Z235" s="119">
        <v>700</v>
      </c>
      <c r="AA235" s="119">
        <v>719</v>
      </c>
      <c r="AB235" s="1877">
        <v>0</v>
      </c>
      <c r="AC235" s="119">
        <v>999999</v>
      </c>
      <c r="AD235" s="117">
        <v>0</v>
      </c>
      <c r="AE235" s="117">
        <v>70</v>
      </c>
      <c r="AF235" s="144">
        <v>0</v>
      </c>
      <c r="AG235" s="145">
        <v>1</v>
      </c>
      <c r="AH235" s="145">
        <v>1</v>
      </c>
      <c r="AI235" s="145">
        <v>0</v>
      </c>
      <c r="AJ235" s="145">
        <v>0</v>
      </c>
      <c r="AK235" s="145">
        <v>0</v>
      </c>
      <c r="AL235" s="145">
        <v>1</v>
      </c>
      <c r="AM235" s="145">
        <v>1</v>
      </c>
      <c r="AN235" s="145">
        <v>1</v>
      </c>
      <c r="AO235" s="145">
        <v>1</v>
      </c>
      <c r="AP235" s="145">
        <v>1</v>
      </c>
      <c r="AQ235" s="145">
        <v>0</v>
      </c>
      <c r="AR235" s="145">
        <v>1</v>
      </c>
      <c r="AS235" s="145">
        <v>1</v>
      </c>
      <c r="AT235" s="145">
        <v>1</v>
      </c>
      <c r="AU235" s="145">
        <f t="shared" si="55"/>
        <v>0</v>
      </c>
      <c r="AV235" s="145">
        <f t="shared" si="56"/>
        <v>1</v>
      </c>
      <c r="AW235" s="145">
        <f t="shared" si="57"/>
        <v>1</v>
      </c>
      <c r="AX235" s="145">
        <f t="shared" si="73"/>
        <v>1</v>
      </c>
      <c r="AY235" s="145">
        <f t="shared" si="58"/>
        <v>0</v>
      </c>
      <c r="AZ235" s="145">
        <f t="shared" si="59"/>
        <v>1</v>
      </c>
      <c r="BA235" s="146">
        <f t="shared" si="60"/>
        <v>1</v>
      </c>
      <c r="BB235" s="149">
        <f t="shared" si="83"/>
        <v>15</v>
      </c>
      <c r="BC235" s="150">
        <f t="shared" si="84"/>
        <v>14</v>
      </c>
      <c r="BD235" s="150">
        <f t="shared" si="85"/>
        <v>15</v>
      </c>
      <c r="BE235" s="211" t="str">
        <f t="shared" si="86"/>
        <v/>
      </c>
      <c r="BH235" s="173">
        <f>IF(AND(Input_Product=Elig!$C235,Elig_MatchAll_Ct&lt;22,$BC235=(Elig_MatchAll_Ct-1),AF235=0),C235,0)</f>
        <v>0</v>
      </c>
      <c r="BI235" s="173">
        <f>IF(AND(Input_Product=Elig!$C235,Elig_MatchAll_Ct&lt;22,$BC235=(Elig_MatchAll_Ct-1),AG235=0),D235,0)</f>
        <v>0</v>
      </c>
      <c r="BJ235" s="173">
        <f>IF(AND(Input_Product=Elig!$C235,Elig_MatchAll_Ct&lt;22,$BC235=(Elig_MatchAll_Ct-1),AH235=0),E235,0)</f>
        <v>0</v>
      </c>
      <c r="BK235" s="173">
        <f>IF(AND(Input_Product=Elig!$C235,Elig_MatchAll_Ct&lt;22,$BC235=(Elig_MatchAll_Ct-1),AI235=0),F235,0)</f>
        <v>0</v>
      </c>
      <c r="BL235" s="173">
        <f>IF(AND(Input_Product=Elig!$C235,Elig_MatchAll_Ct&lt;22,$BC235=(Elig_MatchAll_Ct-1),AJ235=0),G235,0)</f>
        <v>0</v>
      </c>
      <c r="BM235" s="173">
        <f>IF(AND(Input_Product=Elig!$C235,Elig_MatchAll_Ct&lt;22,$BC235=(Elig_MatchAll_Ct-1),AK235=0),H235,0)</f>
        <v>0</v>
      </c>
      <c r="BN235" s="173">
        <f>IF(AND(Input_Product=Elig!$C235,Elig_MatchAll_Ct&lt;22,$BC235=(Elig_MatchAll_Ct-1),AL235=0),I235,0)</f>
        <v>0</v>
      </c>
      <c r="BO235" s="173">
        <f>IF(AND(Input_Product=Elig!$C235,Elig_MatchAll_Ct&lt;22,$BC235=(Elig_MatchAll_Ct-1),AM235=0),J235,0)</f>
        <v>0</v>
      </c>
      <c r="BP235" s="173">
        <f>IF(AND(Input_Product=Elig!$C235,Elig_MatchAll_Ct&lt;22,$BC235=(Elig_MatchAll_Ct-1),AN235=0),K235,0)</f>
        <v>0</v>
      </c>
      <c r="BQ235" s="173">
        <f>IF(AND(Input_Product=Elig!$C235,Elig_MatchAll_Ct&lt;22,$BC235=(Elig_MatchAll_Ct-1),AP235=0),L235,0)</f>
        <v>0</v>
      </c>
      <c r="BR235" s="173">
        <f>IF(AND(Input_Product=Elig!$C235,Elig_MatchAll_Ct&lt;22,$BC235=(Elig_MatchAll_Ct-1),AO235=0),M235,0)</f>
        <v>0</v>
      </c>
      <c r="BS235" s="173">
        <f>IF(AND(Input_Product=Elig!$C235,Elig_MatchAll_Ct&lt;22,$BC235=(Elig_MatchAll_Ct-1),AQ235=0),N235,0)</f>
        <v>0</v>
      </c>
      <c r="BT235" s="173">
        <f>IF(AND(Input_Product=Elig!$C235,Elig_MatchAll_Ct&lt;22,$BC235=(Elig_MatchAll_Ct-1),AR235=0),O235,0)</f>
        <v>0</v>
      </c>
      <c r="BU235" s="173">
        <f>IF(AND(Input_Product=Elig!$C235,Elig_MatchAll_Ct&lt;22,$BC235=(Elig_MatchAll_Ct-1),AS235=0),P235,0)</f>
        <v>0</v>
      </c>
      <c r="BV235" s="174">
        <f>IF(AND(Input_Product=Elig!$C235,Elig_MatchAll_Ct&lt;22,$BC235=(Elig_MatchAll_Ct-1),AT235=0),Q235,0)</f>
        <v>0</v>
      </c>
      <c r="BW235" s="175">
        <f>IF(AND(Input_Product=Elig!$C235,Elig_MatchAll_Ct&lt;22,$BC235=(Elig_MatchAll_Ct-1),AU235=0),R235,0)</f>
        <v>0</v>
      </c>
      <c r="BX235" s="176">
        <f>IF(AND(Input_Product=Elig!$C235,Elig_MatchAll_Ct&lt;22,$BC235=(Elig_MatchAll_Ct-1),AU235=0),S235,0)</f>
        <v>0</v>
      </c>
      <c r="BY235" s="175">
        <f>IF(AND(Input_Product=Elig!$C235,Elig_MatchAll_Ct&lt;22,$BC235=(Elig_MatchAll_Ct-1),AV235=0),T235,0)</f>
        <v>0</v>
      </c>
      <c r="BZ235" s="176">
        <f>IF(AND(Input_Product=Elig!$C235,Elig_MatchAll_Ct&lt;22,$BC235=(Elig_MatchAll_Ct-1),AV235=0),U235,0)</f>
        <v>0</v>
      </c>
      <c r="CA235" s="175">
        <f>IF(AND(Input_Product=Elig!$C235,Elig_MatchAll_Ct&lt;22,$BC235=(Elig_MatchAll_Ct-1),AW235=0),V235,0)</f>
        <v>0</v>
      </c>
      <c r="CB235" s="176">
        <f>IF(AND(Input_Product=Elig!$C235,Elig_MatchAll_Ct&lt;22,$BC235=(Elig_MatchAll_Ct-1),AW235=0),W235,0)</f>
        <v>0</v>
      </c>
      <c r="CC235" s="175">
        <f>IF(AND(Input_Product=Elig!$C235,Elig_MatchAll_Ct&lt;22,$BC235=(Elig_MatchAll_Ct-1),AX235=0),X235,0)</f>
        <v>0</v>
      </c>
      <c r="CD235" s="176">
        <f>IF(AND(Input_Product=Elig!$C235,Elig_MatchAll_Ct&lt;22,$BC235=(Elig_MatchAll_Ct-1),AX235=0),Y235,0)</f>
        <v>0</v>
      </c>
      <c r="CE235" s="175">
        <f>IF(AND(Input_LTV&lt;=AE235,Input_Product=Elig!$C235,Elig_MatchAll_Ct&lt;22,$BC235=(Elig_MatchAll_Ct-1),AY235=0),Z235,0)</f>
        <v>0</v>
      </c>
      <c r="CF235" s="176">
        <f>IF(AND(Input_LTV&lt;=AE235,Input_Product=Elig!$C235,Elig_MatchAll_Ct&lt;22,$BC235=(Elig_MatchAll_Ct-1),AY235=0),AA235,0)</f>
        <v>0</v>
      </c>
      <c r="CG235" s="175">
        <f>IF(AND(Input_Product=Elig!$C235,Elig_MatchAll_Ct&lt;22,$BC235=(Elig_MatchAll_Ct-1),AZ235=0),AB235,0)</f>
        <v>0</v>
      </c>
      <c r="CH235" s="176">
        <f>IF(AND(Input_Product=Elig!$C235,Elig_MatchAll_Ct&lt;22,$BC235=(Elig_MatchAll_Ct-1),AZ235=0),AC235,0)</f>
        <v>0</v>
      </c>
      <c r="CI235" s="175">
        <f>IF(AND(Input_Product=Elig!$C235,Elig_MatchAll_Ct&lt;22,$BC235=(Elig_MatchAll_Ct-1),BA235=0),AD235,0)</f>
        <v>0</v>
      </c>
      <c r="CJ235" s="176">
        <f>IF(AND(Input_Product=Elig!$C235,Elig_MatchAll_Ct&lt;22,$BC235=(Elig_MatchAll_Ct-1),BA235=0),AE235,0)</f>
        <v>0</v>
      </c>
    </row>
    <row r="236" spans="1:88" ht="10.15" customHeight="1" x14ac:dyDescent="0.25">
      <c r="A236" s="1419" t="s">
        <v>76</v>
      </c>
      <c r="B236" s="1419" t="s">
        <v>2069</v>
      </c>
      <c r="C236" s="123" t="str">
        <f t="shared" si="82"/>
        <v>NonQM OO</v>
      </c>
      <c r="D236" s="124" t="s">
        <v>1995</v>
      </c>
      <c r="E236" s="125" t="s">
        <v>166</v>
      </c>
      <c r="F236" s="125" t="s">
        <v>330</v>
      </c>
      <c r="G236" s="125" t="s">
        <v>303</v>
      </c>
      <c r="H236" s="125" t="s">
        <v>444</v>
      </c>
      <c r="I236" s="124" t="s">
        <v>16</v>
      </c>
      <c r="J236" s="124" t="s">
        <v>1130</v>
      </c>
      <c r="K236" s="124" t="s">
        <v>1398</v>
      </c>
      <c r="L236" s="125" t="s">
        <v>2025</v>
      </c>
      <c r="M236" s="125" t="s">
        <v>2289</v>
      </c>
      <c r="N236" s="125" t="s">
        <v>82</v>
      </c>
      <c r="O236" s="125" t="s">
        <v>309</v>
      </c>
      <c r="P236" s="125" t="s">
        <v>2433</v>
      </c>
      <c r="Q236" s="125" t="s">
        <v>293</v>
      </c>
      <c r="R236" s="124">
        <v>3000000.01</v>
      </c>
      <c r="S236" s="124">
        <v>3500000</v>
      </c>
      <c r="T236" s="124">
        <v>0</v>
      </c>
      <c r="U236" s="124">
        <f t="shared" ref="U236:U237" si="88">S236</f>
        <v>3500000</v>
      </c>
      <c r="V236" s="124">
        <v>0</v>
      </c>
      <c r="W236" s="124">
        <v>55</v>
      </c>
      <c r="X236" s="124">
        <v>0</v>
      </c>
      <c r="Y236" s="124">
        <v>999</v>
      </c>
      <c r="Z236" s="126">
        <v>720</v>
      </c>
      <c r="AA236" s="126">
        <v>999</v>
      </c>
      <c r="AB236" s="1879">
        <v>0</v>
      </c>
      <c r="AC236" s="126">
        <v>999999</v>
      </c>
      <c r="AD236" s="124">
        <v>0</v>
      </c>
      <c r="AE236" s="124">
        <v>55</v>
      </c>
      <c r="AF236" s="144">
        <v>0</v>
      </c>
      <c r="AG236" s="145">
        <v>1</v>
      </c>
      <c r="AH236" s="145">
        <v>1</v>
      </c>
      <c r="AI236" s="145">
        <v>0</v>
      </c>
      <c r="AJ236" s="145">
        <v>0</v>
      </c>
      <c r="AK236" s="145">
        <v>0</v>
      </c>
      <c r="AL236" s="145">
        <v>0</v>
      </c>
      <c r="AM236" s="145">
        <v>1</v>
      </c>
      <c r="AN236" s="145">
        <v>1</v>
      </c>
      <c r="AO236" s="145">
        <v>1</v>
      </c>
      <c r="AP236" s="145">
        <v>1</v>
      </c>
      <c r="AQ236" s="145">
        <v>0</v>
      </c>
      <c r="AR236" s="145">
        <v>1</v>
      </c>
      <c r="AS236" s="145">
        <v>1</v>
      </c>
      <c r="AT236" s="145">
        <v>1</v>
      </c>
      <c r="AU236" s="145">
        <f t="shared" si="55"/>
        <v>0</v>
      </c>
      <c r="AV236" s="145">
        <f t="shared" si="56"/>
        <v>1</v>
      </c>
      <c r="AW236" s="145">
        <f t="shared" si="57"/>
        <v>1</v>
      </c>
      <c r="AX236" s="145">
        <f t="shared" si="73"/>
        <v>1</v>
      </c>
      <c r="AY236" s="145">
        <f t="shared" si="58"/>
        <v>1</v>
      </c>
      <c r="AZ236" s="145">
        <f t="shared" si="59"/>
        <v>1</v>
      </c>
      <c r="BA236" s="146">
        <f t="shared" si="60"/>
        <v>0</v>
      </c>
      <c r="BB236" s="149">
        <f t="shared" si="83"/>
        <v>14</v>
      </c>
      <c r="BC236" s="150">
        <f t="shared" si="84"/>
        <v>14</v>
      </c>
      <c r="BD236" s="150">
        <f t="shared" si="85"/>
        <v>14</v>
      </c>
      <c r="BE236" s="211" t="str">
        <f t="shared" si="86"/>
        <v/>
      </c>
      <c r="BH236" s="184">
        <f>IF(AND(Input_Product=Elig!$C236,Elig_MatchAll_Ct&lt;22,$BC236=(Elig_MatchAll_Ct-1),AF236=0),C236,0)</f>
        <v>0</v>
      </c>
      <c r="BI236" s="184">
        <f>IF(AND(Input_Product=Elig!$C236,Elig_MatchAll_Ct&lt;22,$BC236=(Elig_MatchAll_Ct-1),AG236=0),D236,0)</f>
        <v>0</v>
      </c>
      <c r="BJ236" s="184">
        <f>IF(AND(Input_Product=Elig!$C236,Elig_MatchAll_Ct&lt;22,$BC236=(Elig_MatchAll_Ct-1),AH236=0),E236,0)</f>
        <v>0</v>
      </c>
      <c r="BK236" s="184">
        <f>IF(AND(Input_Product=Elig!$C236,Elig_MatchAll_Ct&lt;22,$BC236=(Elig_MatchAll_Ct-1),AI236=0),F236,0)</f>
        <v>0</v>
      </c>
      <c r="BL236" s="184">
        <f>IF(AND(Input_Product=Elig!$C236,Elig_MatchAll_Ct&lt;22,$BC236=(Elig_MatchAll_Ct-1),AJ236=0),G236,0)</f>
        <v>0</v>
      </c>
      <c r="BM236" s="184">
        <f>IF(AND(Input_Product=Elig!$C236,Elig_MatchAll_Ct&lt;22,$BC236=(Elig_MatchAll_Ct-1),AK236=0),H236,0)</f>
        <v>0</v>
      </c>
      <c r="BN236" s="184">
        <f>IF(AND(Input_Product=Elig!$C236,Elig_MatchAll_Ct&lt;22,$BC236=(Elig_MatchAll_Ct-1),AL236=0),I236,0)</f>
        <v>0</v>
      </c>
      <c r="BO236" s="184">
        <f>IF(AND(Input_Product=Elig!$C236,Elig_MatchAll_Ct&lt;22,$BC236=(Elig_MatchAll_Ct-1),AM236=0),J236,0)</f>
        <v>0</v>
      </c>
      <c r="BP236" s="184">
        <f>IF(AND(Input_Product=Elig!$C236,Elig_MatchAll_Ct&lt;22,$BC236=(Elig_MatchAll_Ct-1),AN236=0),K236,0)</f>
        <v>0</v>
      </c>
      <c r="BQ236" s="184">
        <f>IF(AND(Input_Product=Elig!$C236,Elig_MatchAll_Ct&lt;22,$BC236=(Elig_MatchAll_Ct-1),AP236=0),L236,0)</f>
        <v>0</v>
      </c>
      <c r="BR236" s="184">
        <f>IF(AND(Input_Product=Elig!$C236,Elig_MatchAll_Ct&lt;22,$BC236=(Elig_MatchAll_Ct-1),AO236=0),M236,0)</f>
        <v>0</v>
      </c>
      <c r="BS236" s="184">
        <f>IF(AND(Input_Product=Elig!$C236,Elig_MatchAll_Ct&lt;22,$BC236=(Elig_MatchAll_Ct-1),AQ236=0),N236,0)</f>
        <v>0</v>
      </c>
      <c r="BT236" s="184">
        <f>IF(AND(Input_Product=Elig!$C236,Elig_MatchAll_Ct&lt;22,$BC236=(Elig_MatchAll_Ct-1),AR236=0),O236,0)</f>
        <v>0</v>
      </c>
      <c r="BU236" s="184">
        <f>IF(AND(Input_Product=Elig!$C236,Elig_MatchAll_Ct&lt;22,$BC236=(Elig_MatchAll_Ct-1),AS236=0),P236,0)</f>
        <v>0</v>
      </c>
      <c r="BV236" s="185">
        <f>IF(AND(Input_Product=Elig!$C236,Elig_MatchAll_Ct&lt;22,$BC236=(Elig_MatchAll_Ct-1),AT236=0),Q236,0)</f>
        <v>0</v>
      </c>
      <c r="BW236" s="186">
        <f>IF(AND(Input_Product=Elig!$C236,Elig_MatchAll_Ct&lt;22,$BC236=(Elig_MatchAll_Ct-1),AU236=0),R236,0)</f>
        <v>0</v>
      </c>
      <c r="BX236" s="187">
        <f>IF(AND(Input_Product=Elig!$C236,Elig_MatchAll_Ct&lt;22,$BC236=(Elig_MatchAll_Ct-1),AU236=0),S236,0)</f>
        <v>0</v>
      </c>
      <c r="BY236" s="186">
        <f>IF(AND(Input_Product=Elig!$C236,Elig_MatchAll_Ct&lt;22,$BC236=(Elig_MatchAll_Ct-1),AV236=0),T236,0)</f>
        <v>0</v>
      </c>
      <c r="BZ236" s="187">
        <f>IF(AND(Input_Product=Elig!$C236,Elig_MatchAll_Ct&lt;22,$BC236=(Elig_MatchAll_Ct-1),AV236=0),U236,0)</f>
        <v>0</v>
      </c>
      <c r="CA236" s="186">
        <f>IF(AND(Input_Product=Elig!$C236,Elig_MatchAll_Ct&lt;22,$BC236=(Elig_MatchAll_Ct-1),AW236=0),V236,0)</f>
        <v>0</v>
      </c>
      <c r="CB236" s="187">
        <f>IF(AND(Input_Product=Elig!$C236,Elig_MatchAll_Ct&lt;22,$BC236=(Elig_MatchAll_Ct-1),AW236=0),W236,0)</f>
        <v>0</v>
      </c>
      <c r="CC236" s="186">
        <f>IF(AND(Input_Product=Elig!$C236,Elig_MatchAll_Ct&lt;22,$BC236=(Elig_MatchAll_Ct-1),AX236=0),X236,0)</f>
        <v>0</v>
      </c>
      <c r="CD236" s="187">
        <f>IF(AND(Input_Product=Elig!$C236,Elig_MatchAll_Ct&lt;22,$BC236=(Elig_MatchAll_Ct-1),AX236=0),Y236,0)</f>
        <v>0</v>
      </c>
      <c r="CE236" s="186">
        <f>IF(AND(Input_LTV&lt;=AE236,Input_Product=Elig!$C236,Elig_MatchAll_Ct&lt;22,$BC236=(Elig_MatchAll_Ct-1),AY236=0),Z236,0)</f>
        <v>0</v>
      </c>
      <c r="CF236" s="187">
        <f>IF(AND(Input_LTV&lt;=AE236,Input_Product=Elig!$C236,Elig_MatchAll_Ct&lt;22,$BC236=(Elig_MatchAll_Ct-1),AY236=0),AA236,0)</f>
        <v>0</v>
      </c>
      <c r="CG236" s="186">
        <f>IF(AND(Input_Product=Elig!$C236,Elig_MatchAll_Ct&lt;22,$BC236=(Elig_MatchAll_Ct-1),AZ236=0),AB236,0)</f>
        <v>0</v>
      </c>
      <c r="CH236" s="187">
        <f>IF(AND(Input_Product=Elig!$C236,Elig_MatchAll_Ct&lt;22,$BC236=(Elig_MatchAll_Ct-1),AZ236=0),AC236,0)</f>
        <v>0</v>
      </c>
      <c r="CI236" s="186">
        <f>IF(AND(Input_Product=Elig!$C236,Elig_MatchAll_Ct&lt;22,$BC236=(Elig_MatchAll_Ct-1),BA236=0),AD236,0)</f>
        <v>0</v>
      </c>
      <c r="CJ236" s="187">
        <f>IF(AND(Input_Product=Elig!$C236,Elig_MatchAll_Ct&lt;22,$BC236=(Elig_MatchAll_Ct-1),BA236=0),AE236,0)</f>
        <v>0</v>
      </c>
    </row>
    <row r="237" spans="1:88" ht="10.15" customHeight="1" x14ac:dyDescent="0.25">
      <c r="A237" s="1419" t="s">
        <v>76</v>
      </c>
      <c r="B237" s="1419" t="s">
        <v>2070</v>
      </c>
      <c r="C237" s="116" t="str">
        <f t="shared" si="82"/>
        <v>NonQM OO</v>
      </c>
      <c r="D237" s="117" t="s">
        <v>1995</v>
      </c>
      <c r="E237" s="117" t="s">
        <v>166</v>
      </c>
      <c r="F237" s="117" t="s">
        <v>330</v>
      </c>
      <c r="G237" s="117" t="s">
        <v>303</v>
      </c>
      <c r="H237" s="117" t="s">
        <v>444</v>
      </c>
      <c r="I237" s="118" t="s">
        <v>16</v>
      </c>
      <c r="J237" s="118" t="s">
        <v>1130</v>
      </c>
      <c r="K237" s="118" t="s">
        <v>1398</v>
      </c>
      <c r="L237" s="117" t="s">
        <v>2025</v>
      </c>
      <c r="M237" s="117" t="s">
        <v>2289</v>
      </c>
      <c r="N237" s="117" t="s">
        <v>82</v>
      </c>
      <c r="O237" s="117" t="s">
        <v>309</v>
      </c>
      <c r="P237" s="117" t="s">
        <v>2433</v>
      </c>
      <c r="Q237" s="117" t="s">
        <v>293</v>
      </c>
      <c r="R237" s="117">
        <v>3000000.01</v>
      </c>
      <c r="S237" s="117">
        <v>3500000</v>
      </c>
      <c r="T237" s="117">
        <v>0</v>
      </c>
      <c r="U237" s="117">
        <f t="shared" si="88"/>
        <v>3500000</v>
      </c>
      <c r="V237" s="117">
        <v>0</v>
      </c>
      <c r="W237" s="117">
        <v>55</v>
      </c>
      <c r="X237" s="117">
        <v>0</v>
      </c>
      <c r="Y237" s="117">
        <v>999</v>
      </c>
      <c r="Z237" s="119">
        <v>700</v>
      </c>
      <c r="AA237" s="119">
        <v>719</v>
      </c>
      <c r="AB237" s="1877">
        <v>0</v>
      </c>
      <c r="AC237" s="119">
        <v>999999</v>
      </c>
      <c r="AD237" s="117">
        <v>0</v>
      </c>
      <c r="AE237" s="117">
        <v>55</v>
      </c>
      <c r="AF237" s="144">
        <v>0</v>
      </c>
      <c r="AG237" s="145">
        <v>1</v>
      </c>
      <c r="AH237" s="145">
        <v>1</v>
      </c>
      <c r="AI237" s="145">
        <v>0</v>
      </c>
      <c r="AJ237" s="145">
        <v>0</v>
      </c>
      <c r="AK237" s="145">
        <v>0</v>
      </c>
      <c r="AL237" s="145">
        <v>0</v>
      </c>
      <c r="AM237" s="145">
        <v>1</v>
      </c>
      <c r="AN237" s="145">
        <v>1</v>
      </c>
      <c r="AO237" s="145">
        <v>1</v>
      </c>
      <c r="AP237" s="145">
        <v>1</v>
      </c>
      <c r="AQ237" s="145">
        <v>0</v>
      </c>
      <c r="AR237" s="145">
        <v>1</v>
      </c>
      <c r="AS237" s="145">
        <v>1</v>
      </c>
      <c r="AT237" s="145">
        <v>1</v>
      </c>
      <c r="AU237" s="145">
        <f t="shared" si="55"/>
        <v>0</v>
      </c>
      <c r="AV237" s="145">
        <f t="shared" si="56"/>
        <v>1</v>
      </c>
      <c r="AW237" s="145">
        <f t="shared" si="57"/>
        <v>1</v>
      </c>
      <c r="AX237" s="145">
        <f t="shared" si="73"/>
        <v>1</v>
      </c>
      <c r="AY237" s="145">
        <f t="shared" si="58"/>
        <v>0</v>
      </c>
      <c r="AZ237" s="145">
        <f t="shared" si="59"/>
        <v>1</v>
      </c>
      <c r="BA237" s="146">
        <f t="shared" si="60"/>
        <v>0</v>
      </c>
      <c r="BB237" s="149">
        <f t="shared" si="83"/>
        <v>13</v>
      </c>
      <c r="BC237" s="150">
        <f t="shared" si="84"/>
        <v>13</v>
      </c>
      <c r="BD237" s="150">
        <f t="shared" si="85"/>
        <v>13</v>
      </c>
      <c r="BE237" s="211" t="str">
        <f t="shared" si="86"/>
        <v/>
      </c>
      <c r="BH237" s="173">
        <f>IF(AND(Input_Product=Elig!$C237,Elig_MatchAll_Ct&lt;22,$BC237=(Elig_MatchAll_Ct-1),AF237=0),C237,0)</f>
        <v>0</v>
      </c>
      <c r="BI237" s="173">
        <f>IF(AND(Input_Product=Elig!$C237,Elig_MatchAll_Ct&lt;22,$BC237=(Elig_MatchAll_Ct-1),AG237=0),D237,0)</f>
        <v>0</v>
      </c>
      <c r="BJ237" s="173">
        <f>IF(AND(Input_Product=Elig!$C237,Elig_MatchAll_Ct&lt;22,$BC237=(Elig_MatchAll_Ct-1),AH237=0),E237,0)</f>
        <v>0</v>
      </c>
      <c r="BK237" s="173">
        <f>IF(AND(Input_Product=Elig!$C237,Elig_MatchAll_Ct&lt;22,$BC237=(Elig_MatchAll_Ct-1),AI237=0),F237,0)</f>
        <v>0</v>
      </c>
      <c r="BL237" s="173">
        <f>IF(AND(Input_Product=Elig!$C237,Elig_MatchAll_Ct&lt;22,$BC237=(Elig_MatchAll_Ct-1),AJ237=0),G237,0)</f>
        <v>0</v>
      </c>
      <c r="BM237" s="173">
        <f>IF(AND(Input_Product=Elig!$C237,Elig_MatchAll_Ct&lt;22,$BC237=(Elig_MatchAll_Ct-1),AK237=0),H237,0)</f>
        <v>0</v>
      </c>
      <c r="BN237" s="173">
        <f>IF(AND(Input_Product=Elig!$C237,Elig_MatchAll_Ct&lt;22,$BC237=(Elig_MatchAll_Ct-1),AL237=0),I237,0)</f>
        <v>0</v>
      </c>
      <c r="BO237" s="173">
        <f>IF(AND(Input_Product=Elig!$C237,Elig_MatchAll_Ct&lt;22,$BC237=(Elig_MatchAll_Ct-1),AM237=0),J237,0)</f>
        <v>0</v>
      </c>
      <c r="BP237" s="173">
        <f>IF(AND(Input_Product=Elig!$C237,Elig_MatchAll_Ct&lt;22,$BC237=(Elig_MatchAll_Ct-1),AN237=0),K237,0)</f>
        <v>0</v>
      </c>
      <c r="BQ237" s="173">
        <f>IF(AND(Input_Product=Elig!$C237,Elig_MatchAll_Ct&lt;22,$BC237=(Elig_MatchAll_Ct-1),AP237=0),L237,0)</f>
        <v>0</v>
      </c>
      <c r="BR237" s="173">
        <f>IF(AND(Input_Product=Elig!$C237,Elig_MatchAll_Ct&lt;22,$BC237=(Elig_MatchAll_Ct-1),AO237=0),M237,0)</f>
        <v>0</v>
      </c>
      <c r="BS237" s="173">
        <f>IF(AND(Input_Product=Elig!$C237,Elig_MatchAll_Ct&lt;22,$BC237=(Elig_MatchAll_Ct-1),AQ237=0),N237,0)</f>
        <v>0</v>
      </c>
      <c r="BT237" s="173">
        <f>IF(AND(Input_Product=Elig!$C237,Elig_MatchAll_Ct&lt;22,$BC237=(Elig_MatchAll_Ct-1),AR237=0),O237,0)</f>
        <v>0</v>
      </c>
      <c r="BU237" s="173">
        <f>IF(AND(Input_Product=Elig!$C237,Elig_MatchAll_Ct&lt;22,$BC237=(Elig_MatchAll_Ct-1),AS237=0),P237,0)</f>
        <v>0</v>
      </c>
      <c r="BV237" s="174">
        <f>IF(AND(Input_Product=Elig!$C237,Elig_MatchAll_Ct&lt;22,$BC237=(Elig_MatchAll_Ct-1),AT237=0),Q237,0)</f>
        <v>0</v>
      </c>
      <c r="BW237" s="175">
        <f>IF(AND(Input_Product=Elig!$C237,Elig_MatchAll_Ct&lt;22,$BC237=(Elig_MatchAll_Ct-1),AU237=0),R237,0)</f>
        <v>0</v>
      </c>
      <c r="BX237" s="176">
        <f>IF(AND(Input_Product=Elig!$C237,Elig_MatchAll_Ct&lt;22,$BC237=(Elig_MatchAll_Ct-1),AU237=0),S237,0)</f>
        <v>0</v>
      </c>
      <c r="BY237" s="175">
        <f>IF(AND(Input_Product=Elig!$C237,Elig_MatchAll_Ct&lt;22,$BC237=(Elig_MatchAll_Ct-1),AV237=0),T237,0)</f>
        <v>0</v>
      </c>
      <c r="BZ237" s="176">
        <f>IF(AND(Input_Product=Elig!$C237,Elig_MatchAll_Ct&lt;22,$BC237=(Elig_MatchAll_Ct-1),AV237=0),U237,0)</f>
        <v>0</v>
      </c>
      <c r="CA237" s="175">
        <f>IF(AND(Input_Product=Elig!$C237,Elig_MatchAll_Ct&lt;22,$BC237=(Elig_MatchAll_Ct-1),AW237=0),V237,0)</f>
        <v>0</v>
      </c>
      <c r="CB237" s="176">
        <f>IF(AND(Input_Product=Elig!$C237,Elig_MatchAll_Ct&lt;22,$BC237=(Elig_MatchAll_Ct-1),AW237=0),W237,0)</f>
        <v>0</v>
      </c>
      <c r="CC237" s="175">
        <f>IF(AND(Input_Product=Elig!$C237,Elig_MatchAll_Ct&lt;22,$BC237=(Elig_MatchAll_Ct-1),AX237=0),X237,0)</f>
        <v>0</v>
      </c>
      <c r="CD237" s="176">
        <f>IF(AND(Input_Product=Elig!$C237,Elig_MatchAll_Ct&lt;22,$BC237=(Elig_MatchAll_Ct-1),AX237=0),Y237,0)</f>
        <v>0</v>
      </c>
      <c r="CE237" s="175">
        <f>IF(AND(Input_LTV&lt;=AE237,Input_Product=Elig!$C237,Elig_MatchAll_Ct&lt;22,$BC237=(Elig_MatchAll_Ct-1),AY237=0),Z237,0)</f>
        <v>0</v>
      </c>
      <c r="CF237" s="176">
        <f>IF(AND(Input_LTV&lt;=AE237,Input_Product=Elig!$C237,Elig_MatchAll_Ct&lt;22,$BC237=(Elig_MatchAll_Ct-1),AY237=0),AA237,0)</f>
        <v>0</v>
      </c>
      <c r="CG237" s="175">
        <f>IF(AND(Input_Product=Elig!$C237,Elig_MatchAll_Ct&lt;22,$BC237=(Elig_MatchAll_Ct-1),AZ237=0),AB237,0)</f>
        <v>0</v>
      </c>
      <c r="CH237" s="176">
        <f>IF(AND(Input_Product=Elig!$C237,Elig_MatchAll_Ct&lt;22,$BC237=(Elig_MatchAll_Ct-1),AZ237=0),AC237,0)</f>
        <v>0</v>
      </c>
      <c r="CI237" s="175">
        <f>IF(AND(Input_Product=Elig!$C237,Elig_MatchAll_Ct&lt;22,$BC237=(Elig_MatchAll_Ct-1),BA237=0),AD237,0)</f>
        <v>0</v>
      </c>
      <c r="CJ237" s="176">
        <f>IF(AND(Input_Product=Elig!$C237,Elig_MatchAll_Ct&lt;22,$BC237=(Elig_MatchAll_Ct-1),BA237=0),AE237,0)</f>
        <v>0</v>
      </c>
    </row>
    <row r="238" spans="1:88" ht="10.15" customHeight="1" x14ac:dyDescent="0.25">
      <c r="A238" s="1419" t="s">
        <v>76</v>
      </c>
      <c r="B238" s="1419" t="s">
        <v>2071</v>
      </c>
      <c r="C238" s="123" t="str">
        <f t="shared" si="82"/>
        <v>NonQM OO</v>
      </c>
      <c r="D238" s="124" t="s">
        <v>1995</v>
      </c>
      <c r="E238" s="125" t="s">
        <v>166</v>
      </c>
      <c r="F238" s="125" t="s">
        <v>330</v>
      </c>
      <c r="G238" s="125" t="s">
        <v>465</v>
      </c>
      <c r="H238" s="125" t="s">
        <v>135</v>
      </c>
      <c r="I238" s="124" t="s">
        <v>273</v>
      </c>
      <c r="J238" s="124" t="s">
        <v>1130</v>
      </c>
      <c r="K238" s="124" t="s">
        <v>1398</v>
      </c>
      <c r="L238" s="125" t="s">
        <v>2025</v>
      </c>
      <c r="M238" s="125" t="s">
        <v>2289</v>
      </c>
      <c r="N238" s="125" t="s">
        <v>82</v>
      </c>
      <c r="O238" s="125" t="s">
        <v>309</v>
      </c>
      <c r="P238" s="125" t="s">
        <v>2433</v>
      </c>
      <c r="Q238" s="125" t="s">
        <v>293</v>
      </c>
      <c r="R238" s="124">
        <v>3000000.01</v>
      </c>
      <c r="S238" s="124">
        <v>3500000</v>
      </c>
      <c r="T238" s="124">
        <v>0</v>
      </c>
      <c r="U238" s="124">
        <v>0</v>
      </c>
      <c r="V238" s="124">
        <v>0</v>
      </c>
      <c r="W238" s="124">
        <v>55</v>
      </c>
      <c r="X238" s="124">
        <v>0</v>
      </c>
      <c r="Y238" s="124">
        <v>999</v>
      </c>
      <c r="Z238" s="126">
        <v>720</v>
      </c>
      <c r="AA238" s="126">
        <v>999</v>
      </c>
      <c r="AB238" s="1879">
        <v>0</v>
      </c>
      <c r="AC238" s="126">
        <v>999999</v>
      </c>
      <c r="AD238" s="124">
        <v>0</v>
      </c>
      <c r="AE238" s="124">
        <v>70</v>
      </c>
      <c r="AF238" s="144">
        <v>0</v>
      </c>
      <c r="AG238" s="145">
        <v>1</v>
      </c>
      <c r="AH238" s="145">
        <v>1</v>
      </c>
      <c r="AI238" s="145">
        <v>0</v>
      </c>
      <c r="AJ238" s="145">
        <v>0</v>
      </c>
      <c r="AK238" s="145">
        <v>1</v>
      </c>
      <c r="AL238" s="145">
        <v>1</v>
      </c>
      <c r="AM238" s="145">
        <v>1</v>
      </c>
      <c r="AN238" s="145">
        <v>1</v>
      </c>
      <c r="AO238" s="145">
        <v>1</v>
      </c>
      <c r="AP238" s="145">
        <v>1</v>
      </c>
      <c r="AQ238" s="145">
        <v>0</v>
      </c>
      <c r="AR238" s="145">
        <v>1</v>
      </c>
      <c r="AS238" s="145">
        <v>1</v>
      </c>
      <c r="AT238" s="145">
        <v>1</v>
      </c>
      <c r="AU238" s="145">
        <f t="shared" si="55"/>
        <v>0</v>
      </c>
      <c r="AV238" s="145">
        <f t="shared" si="56"/>
        <v>1</v>
      </c>
      <c r="AW238" s="145">
        <f t="shared" si="57"/>
        <v>1</v>
      </c>
      <c r="AX238" s="145">
        <f t="shared" si="73"/>
        <v>1</v>
      </c>
      <c r="AY238" s="145">
        <f t="shared" si="58"/>
        <v>1</v>
      </c>
      <c r="AZ238" s="145">
        <f t="shared" si="59"/>
        <v>1</v>
      </c>
      <c r="BA238" s="146">
        <f t="shared" si="60"/>
        <v>1</v>
      </c>
      <c r="BB238" s="149">
        <f t="shared" si="83"/>
        <v>17</v>
      </c>
      <c r="BC238" s="150">
        <f t="shared" si="84"/>
        <v>16</v>
      </c>
      <c r="BD238" s="150">
        <f t="shared" si="85"/>
        <v>17</v>
      </c>
      <c r="BE238" s="211" t="str">
        <f t="shared" si="86"/>
        <v/>
      </c>
      <c r="BH238" s="184">
        <f>IF(AND(Input_Product=Elig!$C238,Elig_MatchAll_Ct&lt;22,$BC238=(Elig_MatchAll_Ct-1),AF238=0),C238,0)</f>
        <v>0</v>
      </c>
      <c r="BI238" s="184">
        <f>IF(AND(Input_Product=Elig!$C238,Elig_MatchAll_Ct&lt;22,$BC238=(Elig_MatchAll_Ct-1),AG238=0),D238,0)</f>
        <v>0</v>
      </c>
      <c r="BJ238" s="184">
        <f>IF(AND(Input_Product=Elig!$C238,Elig_MatchAll_Ct&lt;22,$BC238=(Elig_MatchAll_Ct-1),AH238=0),E238,0)</f>
        <v>0</v>
      </c>
      <c r="BK238" s="184">
        <f>IF(AND(Input_Product=Elig!$C238,Elig_MatchAll_Ct&lt;22,$BC238=(Elig_MatchAll_Ct-1),AI238=0),F238,0)</f>
        <v>0</v>
      </c>
      <c r="BL238" s="184">
        <f>IF(AND(Input_Product=Elig!$C238,Elig_MatchAll_Ct&lt;22,$BC238=(Elig_MatchAll_Ct-1),AJ238=0),G238,0)</f>
        <v>0</v>
      </c>
      <c r="BM238" s="184">
        <f>IF(AND(Input_Product=Elig!$C238,Elig_MatchAll_Ct&lt;22,$BC238=(Elig_MatchAll_Ct-1),AK238=0),H238,0)</f>
        <v>0</v>
      </c>
      <c r="BN238" s="184">
        <f>IF(AND(Input_Product=Elig!$C238,Elig_MatchAll_Ct&lt;22,$BC238=(Elig_MatchAll_Ct-1),AL238=0),I238,0)</f>
        <v>0</v>
      </c>
      <c r="BO238" s="184">
        <f>IF(AND(Input_Product=Elig!$C238,Elig_MatchAll_Ct&lt;22,$BC238=(Elig_MatchAll_Ct-1),AM238=0),J238,0)</f>
        <v>0</v>
      </c>
      <c r="BP238" s="184">
        <f>IF(AND(Input_Product=Elig!$C238,Elig_MatchAll_Ct&lt;22,$BC238=(Elig_MatchAll_Ct-1),AN238=0),K238,0)</f>
        <v>0</v>
      </c>
      <c r="BQ238" s="184">
        <f>IF(AND(Input_Product=Elig!$C238,Elig_MatchAll_Ct&lt;22,$BC238=(Elig_MatchAll_Ct-1),AP238=0),L238,0)</f>
        <v>0</v>
      </c>
      <c r="BR238" s="184">
        <f>IF(AND(Input_Product=Elig!$C238,Elig_MatchAll_Ct&lt;22,$BC238=(Elig_MatchAll_Ct-1),AO238=0),M238,0)</f>
        <v>0</v>
      </c>
      <c r="BS238" s="184">
        <f>IF(AND(Input_Product=Elig!$C238,Elig_MatchAll_Ct&lt;22,$BC238=(Elig_MatchAll_Ct-1),AQ238=0),N238,0)</f>
        <v>0</v>
      </c>
      <c r="BT238" s="184">
        <f>IF(AND(Input_Product=Elig!$C238,Elig_MatchAll_Ct&lt;22,$BC238=(Elig_MatchAll_Ct-1),AR238=0),O238,0)</f>
        <v>0</v>
      </c>
      <c r="BU238" s="184">
        <f>IF(AND(Input_Product=Elig!$C238,Elig_MatchAll_Ct&lt;22,$BC238=(Elig_MatchAll_Ct-1),AS238=0),P238,0)</f>
        <v>0</v>
      </c>
      <c r="BV238" s="185">
        <f>IF(AND(Input_Product=Elig!$C238,Elig_MatchAll_Ct&lt;22,$BC238=(Elig_MatchAll_Ct-1),AT238=0),Q238,0)</f>
        <v>0</v>
      </c>
      <c r="BW238" s="186">
        <f>IF(AND(Input_Product=Elig!$C238,Elig_MatchAll_Ct&lt;22,$BC238=(Elig_MatchAll_Ct-1),AU238=0),R238,0)</f>
        <v>0</v>
      </c>
      <c r="BX238" s="187">
        <f>IF(AND(Input_Product=Elig!$C238,Elig_MatchAll_Ct&lt;22,$BC238=(Elig_MatchAll_Ct-1),AU238=0),S238,0)</f>
        <v>0</v>
      </c>
      <c r="BY238" s="186">
        <f>IF(AND(Input_Product=Elig!$C238,Elig_MatchAll_Ct&lt;22,$BC238=(Elig_MatchAll_Ct-1),AV238=0),T238,0)</f>
        <v>0</v>
      </c>
      <c r="BZ238" s="187">
        <f>IF(AND(Input_Product=Elig!$C238,Elig_MatchAll_Ct&lt;22,$BC238=(Elig_MatchAll_Ct-1),AV238=0),U238,0)</f>
        <v>0</v>
      </c>
      <c r="CA238" s="186">
        <f>IF(AND(Input_Product=Elig!$C238,Elig_MatchAll_Ct&lt;22,$BC238=(Elig_MatchAll_Ct-1),AW238=0),V238,0)</f>
        <v>0</v>
      </c>
      <c r="CB238" s="187">
        <f>IF(AND(Input_Product=Elig!$C238,Elig_MatchAll_Ct&lt;22,$BC238=(Elig_MatchAll_Ct-1),AW238=0),W238,0)</f>
        <v>0</v>
      </c>
      <c r="CC238" s="186">
        <f>IF(AND(Input_Product=Elig!$C238,Elig_MatchAll_Ct&lt;22,$BC238=(Elig_MatchAll_Ct-1),AX238=0),X238,0)</f>
        <v>0</v>
      </c>
      <c r="CD238" s="187">
        <f>IF(AND(Input_Product=Elig!$C238,Elig_MatchAll_Ct&lt;22,$BC238=(Elig_MatchAll_Ct-1),AX238=0),Y238,0)</f>
        <v>0</v>
      </c>
      <c r="CE238" s="186">
        <f>IF(AND(Input_LTV&lt;=AE238,Input_Product=Elig!$C238,Elig_MatchAll_Ct&lt;22,$BC238=(Elig_MatchAll_Ct-1),AY238=0),Z238,0)</f>
        <v>0</v>
      </c>
      <c r="CF238" s="187">
        <f>IF(AND(Input_LTV&lt;=AE238,Input_Product=Elig!$C238,Elig_MatchAll_Ct&lt;22,$BC238=(Elig_MatchAll_Ct-1),AY238=0),AA238,0)</f>
        <v>0</v>
      </c>
      <c r="CG238" s="186">
        <f>IF(AND(Input_Product=Elig!$C238,Elig_MatchAll_Ct&lt;22,$BC238=(Elig_MatchAll_Ct-1),AZ238=0),AB238,0)</f>
        <v>0</v>
      </c>
      <c r="CH238" s="187">
        <f>IF(AND(Input_Product=Elig!$C238,Elig_MatchAll_Ct&lt;22,$BC238=(Elig_MatchAll_Ct-1),AZ238=0),AC238,0)</f>
        <v>0</v>
      </c>
      <c r="CI238" s="186">
        <f>IF(AND(Input_Product=Elig!$C238,Elig_MatchAll_Ct&lt;22,$BC238=(Elig_MatchAll_Ct-1),BA238=0),AD238,0)</f>
        <v>0</v>
      </c>
      <c r="CJ238" s="187">
        <f>IF(AND(Input_Product=Elig!$C238,Elig_MatchAll_Ct&lt;22,$BC238=(Elig_MatchAll_Ct-1),BA238=0),AE238,0)</f>
        <v>0</v>
      </c>
    </row>
    <row r="239" spans="1:88" ht="10.15" customHeight="1" x14ac:dyDescent="0.25">
      <c r="A239" s="1419" t="s">
        <v>76</v>
      </c>
      <c r="B239" s="1419" t="s">
        <v>2072</v>
      </c>
      <c r="C239" s="116" t="str">
        <f t="shared" si="82"/>
        <v>NonQM OO</v>
      </c>
      <c r="D239" s="117" t="s">
        <v>1995</v>
      </c>
      <c r="E239" s="117" t="s">
        <v>166</v>
      </c>
      <c r="F239" s="117" t="s">
        <v>330</v>
      </c>
      <c r="G239" s="117" t="s">
        <v>465</v>
      </c>
      <c r="H239" s="117" t="s">
        <v>135</v>
      </c>
      <c r="I239" s="118" t="s">
        <v>273</v>
      </c>
      <c r="J239" s="118" t="s">
        <v>1130</v>
      </c>
      <c r="K239" s="118" t="s">
        <v>1398</v>
      </c>
      <c r="L239" s="117" t="s">
        <v>2025</v>
      </c>
      <c r="M239" s="117" t="s">
        <v>2289</v>
      </c>
      <c r="N239" s="117" t="s">
        <v>82</v>
      </c>
      <c r="O239" s="117" t="s">
        <v>309</v>
      </c>
      <c r="P239" s="117" t="s">
        <v>2433</v>
      </c>
      <c r="Q239" s="117" t="s">
        <v>293</v>
      </c>
      <c r="R239" s="117">
        <v>3000000.01</v>
      </c>
      <c r="S239" s="117">
        <v>3500000</v>
      </c>
      <c r="T239" s="117">
        <v>0</v>
      </c>
      <c r="U239" s="117">
        <v>0</v>
      </c>
      <c r="V239" s="117">
        <v>0</v>
      </c>
      <c r="W239" s="117">
        <v>55</v>
      </c>
      <c r="X239" s="117">
        <v>0</v>
      </c>
      <c r="Y239" s="117">
        <v>999</v>
      </c>
      <c r="Z239" s="119">
        <v>700</v>
      </c>
      <c r="AA239" s="119">
        <v>719</v>
      </c>
      <c r="AB239" s="1877">
        <v>0</v>
      </c>
      <c r="AC239" s="119">
        <v>999999</v>
      </c>
      <c r="AD239" s="117">
        <v>0</v>
      </c>
      <c r="AE239" s="117">
        <v>70</v>
      </c>
      <c r="AF239" s="144">
        <v>0</v>
      </c>
      <c r="AG239" s="145">
        <v>1</v>
      </c>
      <c r="AH239" s="145">
        <v>1</v>
      </c>
      <c r="AI239" s="145">
        <v>0</v>
      </c>
      <c r="AJ239" s="145">
        <v>0</v>
      </c>
      <c r="AK239" s="145">
        <v>1</v>
      </c>
      <c r="AL239" s="145">
        <v>1</v>
      </c>
      <c r="AM239" s="145">
        <v>1</v>
      </c>
      <c r="AN239" s="145">
        <v>1</v>
      </c>
      <c r="AO239" s="145">
        <v>1</v>
      </c>
      <c r="AP239" s="145">
        <v>1</v>
      </c>
      <c r="AQ239" s="145">
        <v>0</v>
      </c>
      <c r="AR239" s="145">
        <v>1</v>
      </c>
      <c r="AS239" s="145">
        <v>1</v>
      </c>
      <c r="AT239" s="145">
        <v>1</v>
      </c>
      <c r="AU239" s="145">
        <f t="shared" si="55"/>
        <v>0</v>
      </c>
      <c r="AV239" s="145">
        <f t="shared" si="56"/>
        <v>1</v>
      </c>
      <c r="AW239" s="145">
        <f t="shared" si="57"/>
        <v>1</v>
      </c>
      <c r="AX239" s="145">
        <f t="shared" si="73"/>
        <v>1</v>
      </c>
      <c r="AY239" s="145">
        <f t="shared" si="58"/>
        <v>0</v>
      </c>
      <c r="AZ239" s="145">
        <f t="shared" si="59"/>
        <v>1</v>
      </c>
      <c r="BA239" s="146">
        <f t="shared" si="60"/>
        <v>1</v>
      </c>
      <c r="BB239" s="149">
        <f t="shared" si="83"/>
        <v>16</v>
      </c>
      <c r="BC239" s="150">
        <f t="shared" si="84"/>
        <v>15</v>
      </c>
      <c r="BD239" s="150">
        <f t="shared" si="85"/>
        <v>16</v>
      </c>
      <c r="BE239" s="211" t="str">
        <f t="shared" si="86"/>
        <v/>
      </c>
      <c r="BH239" s="173">
        <f>IF(AND(Input_Product=Elig!$C239,Elig_MatchAll_Ct&lt;22,$BC239=(Elig_MatchAll_Ct-1),AF239=0),C239,0)</f>
        <v>0</v>
      </c>
      <c r="BI239" s="173">
        <f>IF(AND(Input_Product=Elig!$C239,Elig_MatchAll_Ct&lt;22,$BC239=(Elig_MatchAll_Ct-1),AG239=0),D239,0)</f>
        <v>0</v>
      </c>
      <c r="BJ239" s="173">
        <f>IF(AND(Input_Product=Elig!$C239,Elig_MatchAll_Ct&lt;22,$BC239=(Elig_MatchAll_Ct-1),AH239=0),E239,0)</f>
        <v>0</v>
      </c>
      <c r="BK239" s="173">
        <f>IF(AND(Input_Product=Elig!$C239,Elig_MatchAll_Ct&lt;22,$BC239=(Elig_MatchAll_Ct-1),AI239=0),F239,0)</f>
        <v>0</v>
      </c>
      <c r="BL239" s="173">
        <f>IF(AND(Input_Product=Elig!$C239,Elig_MatchAll_Ct&lt;22,$BC239=(Elig_MatchAll_Ct-1),AJ239=0),G239,0)</f>
        <v>0</v>
      </c>
      <c r="BM239" s="173">
        <f>IF(AND(Input_Product=Elig!$C239,Elig_MatchAll_Ct&lt;22,$BC239=(Elig_MatchAll_Ct-1),AK239=0),H239,0)</f>
        <v>0</v>
      </c>
      <c r="BN239" s="173">
        <f>IF(AND(Input_Product=Elig!$C239,Elig_MatchAll_Ct&lt;22,$BC239=(Elig_MatchAll_Ct-1),AL239=0),I239,0)</f>
        <v>0</v>
      </c>
      <c r="BO239" s="173">
        <f>IF(AND(Input_Product=Elig!$C239,Elig_MatchAll_Ct&lt;22,$BC239=(Elig_MatchAll_Ct-1),AM239=0),J239,0)</f>
        <v>0</v>
      </c>
      <c r="BP239" s="173">
        <f>IF(AND(Input_Product=Elig!$C239,Elig_MatchAll_Ct&lt;22,$BC239=(Elig_MatchAll_Ct-1),AN239=0),K239,0)</f>
        <v>0</v>
      </c>
      <c r="BQ239" s="173">
        <f>IF(AND(Input_Product=Elig!$C239,Elig_MatchAll_Ct&lt;22,$BC239=(Elig_MatchAll_Ct-1),AP239=0),L239,0)</f>
        <v>0</v>
      </c>
      <c r="BR239" s="173">
        <f>IF(AND(Input_Product=Elig!$C239,Elig_MatchAll_Ct&lt;22,$BC239=(Elig_MatchAll_Ct-1),AO239=0),M239,0)</f>
        <v>0</v>
      </c>
      <c r="BS239" s="173">
        <f>IF(AND(Input_Product=Elig!$C239,Elig_MatchAll_Ct&lt;22,$BC239=(Elig_MatchAll_Ct-1),AQ239=0),N239,0)</f>
        <v>0</v>
      </c>
      <c r="BT239" s="173">
        <f>IF(AND(Input_Product=Elig!$C239,Elig_MatchAll_Ct&lt;22,$BC239=(Elig_MatchAll_Ct-1),AR239=0),O239,0)</f>
        <v>0</v>
      </c>
      <c r="BU239" s="173">
        <f>IF(AND(Input_Product=Elig!$C239,Elig_MatchAll_Ct&lt;22,$BC239=(Elig_MatchAll_Ct-1),AS239=0),P239,0)</f>
        <v>0</v>
      </c>
      <c r="BV239" s="174">
        <f>IF(AND(Input_Product=Elig!$C239,Elig_MatchAll_Ct&lt;22,$BC239=(Elig_MatchAll_Ct-1),AT239=0),Q239,0)</f>
        <v>0</v>
      </c>
      <c r="BW239" s="175">
        <f>IF(AND(Input_Product=Elig!$C239,Elig_MatchAll_Ct&lt;22,$BC239=(Elig_MatchAll_Ct-1),AU239=0),R239,0)</f>
        <v>0</v>
      </c>
      <c r="BX239" s="176">
        <f>IF(AND(Input_Product=Elig!$C239,Elig_MatchAll_Ct&lt;22,$BC239=(Elig_MatchAll_Ct-1),AU239=0),S239,0)</f>
        <v>0</v>
      </c>
      <c r="BY239" s="175">
        <f>IF(AND(Input_Product=Elig!$C239,Elig_MatchAll_Ct&lt;22,$BC239=(Elig_MatchAll_Ct-1),AV239=0),T239,0)</f>
        <v>0</v>
      </c>
      <c r="BZ239" s="176">
        <f>IF(AND(Input_Product=Elig!$C239,Elig_MatchAll_Ct&lt;22,$BC239=(Elig_MatchAll_Ct-1),AV239=0),U239,0)</f>
        <v>0</v>
      </c>
      <c r="CA239" s="175">
        <f>IF(AND(Input_Product=Elig!$C239,Elig_MatchAll_Ct&lt;22,$BC239=(Elig_MatchAll_Ct-1),AW239=0),V239,0)</f>
        <v>0</v>
      </c>
      <c r="CB239" s="176">
        <f>IF(AND(Input_Product=Elig!$C239,Elig_MatchAll_Ct&lt;22,$BC239=(Elig_MatchAll_Ct-1),AW239=0),W239,0)</f>
        <v>0</v>
      </c>
      <c r="CC239" s="175">
        <f>IF(AND(Input_Product=Elig!$C239,Elig_MatchAll_Ct&lt;22,$BC239=(Elig_MatchAll_Ct-1),AX239=0),X239,0)</f>
        <v>0</v>
      </c>
      <c r="CD239" s="176">
        <f>IF(AND(Input_Product=Elig!$C239,Elig_MatchAll_Ct&lt;22,$BC239=(Elig_MatchAll_Ct-1),AX239=0),Y239,0)</f>
        <v>0</v>
      </c>
      <c r="CE239" s="175">
        <f>IF(AND(Input_LTV&lt;=AE239,Input_Product=Elig!$C239,Elig_MatchAll_Ct&lt;22,$BC239=(Elig_MatchAll_Ct-1),AY239=0),Z239,0)</f>
        <v>0</v>
      </c>
      <c r="CF239" s="176">
        <f>IF(AND(Input_LTV&lt;=AE239,Input_Product=Elig!$C239,Elig_MatchAll_Ct&lt;22,$BC239=(Elig_MatchAll_Ct-1),AY239=0),AA239,0)</f>
        <v>0</v>
      </c>
      <c r="CG239" s="175">
        <f>IF(AND(Input_Product=Elig!$C239,Elig_MatchAll_Ct&lt;22,$BC239=(Elig_MatchAll_Ct-1),AZ239=0),AB239,0)</f>
        <v>0</v>
      </c>
      <c r="CH239" s="176">
        <f>IF(AND(Input_Product=Elig!$C239,Elig_MatchAll_Ct&lt;22,$BC239=(Elig_MatchAll_Ct-1),AZ239=0),AC239,0)</f>
        <v>0</v>
      </c>
      <c r="CI239" s="175">
        <f>IF(AND(Input_Product=Elig!$C239,Elig_MatchAll_Ct&lt;22,$BC239=(Elig_MatchAll_Ct-1),BA239=0),AD239,0)</f>
        <v>0</v>
      </c>
      <c r="CJ239" s="176">
        <f>IF(AND(Input_Product=Elig!$C239,Elig_MatchAll_Ct&lt;22,$BC239=(Elig_MatchAll_Ct-1),BA239=0),AE239,0)</f>
        <v>0</v>
      </c>
    </row>
    <row r="240" spans="1:88" ht="10.15" customHeight="1" x14ac:dyDescent="0.25">
      <c r="A240" s="1419" t="s">
        <v>76</v>
      </c>
      <c r="B240" s="1419" t="s">
        <v>2073</v>
      </c>
      <c r="C240" s="123" t="str">
        <f t="shared" si="82"/>
        <v>NonQM OO</v>
      </c>
      <c r="D240" s="124" t="s">
        <v>1995</v>
      </c>
      <c r="E240" s="125" t="s">
        <v>166</v>
      </c>
      <c r="F240" s="125" t="s">
        <v>330</v>
      </c>
      <c r="G240" s="125" t="s">
        <v>465</v>
      </c>
      <c r="H240" s="125" t="s">
        <v>135</v>
      </c>
      <c r="I240" s="124" t="s">
        <v>16</v>
      </c>
      <c r="J240" s="124" t="s">
        <v>1130</v>
      </c>
      <c r="K240" s="124" t="s">
        <v>1398</v>
      </c>
      <c r="L240" s="125" t="s">
        <v>2025</v>
      </c>
      <c r="M240" s="125" t="s">
        <v>2289</v>
      </c>
      <c r="N240" s="125" t="s">
        <v>82</v>
      </c>
      <c r="O240" s="125" t="s">
        <v>309</v>
      </c>
      <c r="P240" s="125" t="s">
        <v>2433</v>
      </c>
      <c r="Q240" s="125" t="s">
        <v>293</v>
      </c>
      <c r="R240" s="124">
        <v>3000000.01</v>
      </c>
      <c r="S240" s="124">
        <v>3500000</v>
      </c>
      <c r="T240" s="124">
        <v>0</v>
      </c>
      <c r="U240" s="124">
        <f t="shared" ref="U240:U241" si="89">S240</f>
        <v>3500000</v>
      </c>
      <c r="V240" s="124">
        <v>0</v>
      </c>
      <c r="W240" s="124">
        <v>55</v>
      </c>
      <c r="X240" s="124">
        <v>0</v>
      </c>
      <c r="Y240" s="124">
        <v>999</v>
      </c>
      <c r="Z240" s="126">
        <v>720</v>
      </c>
      <c r="AA240" s="126">
        <v>999</v>
      </c>
      <c r="AB240" s="1879">
        <v>0</v>
      </c>
      <c r="AC240" s="126">
        <v>999999</v>
      </c>
      <c r="AD240" s="124">
        <v>0</v>
      </c>
      <c r="AE240" s="124">
        <v>55</v>
      </c>
      <c r="AF240" s="144">
        <v>0</v>
      </c>
      <c r="AG240" s="145">
        <v>1</v>
      </c>
      <c r="AH240" s="145">
        <v>1</v>
      </c>
      <c r="AI240" s="145">
        <v>0</v>
      </c>
      <c r="AJ240" s="145">
        <v>0</v>
      </c>
      <c r="AK240" s="145">
        <v>1</v>
      </c>
      <c r="AL240" s="145">
        <v>0</v>
      </c>
      <c r="AM240" s="145">
        <v>1</v>
      </c>
      <c r="AN240" s="145">
        <v>1</v>
      </c>
      <c r="AO240" s="145">
        <v>1</v>
      </c>
      <c r="AP240" s="145">
        <v>1</v>
      </c>
      <c r="AQ240" s="145">
        <v>0</v>
      </c>
      <c r="AR240" s="145">
        <v>1</v>
      </c>
      <c r="AS240" s="145">
        <v>1</v>
      </c>
      <c r="AT240" s="145">
        <v>1</v>
      </c>
      <c r="AU240" s="145">
        <f t="shared" si="55"/>
        <v>0</v>
      </c>
      <c r="AV240" s="145">
        <f t="shared" si="56"/>
        <v>1</v>
      </c>
      <c r="AW240" s="145">
        <f t="shared" si="57"/>
        <v>1</v>
      </c>
      <c r="AX240" s="145">
        <f t="shared" si="73"/>
        <v>1</v>
      </c>
      <c r="AY240" s="145">
        <f t="shared" si="58"/>
        <v>1</v>
      </c>
      <c r="AZ240" s="145">
        <f t="shared" si="59"/>
        <v>1</v>
      </c>
      <c r="BA240" s="146">
        <f t="shared" si="60"/>
        <v>0</v>
      </c>
      <c r="BB240" s="149">
        <f t="shared" si="83"/>
        <v>15</v>
      </c>
      <c r="BC240" s="150">
        <f t="shared" si="84"/>
        <v>15</v>
      </c>
      <c r="BD240" s="150">
        <f t="shared" si="85"/>
        <v>15</v>
      </c>
      <c r="BE240" s="211" t="str">
        <f t="shared" si="86"/>
        <v/>
      </c>
      <c r="BH240" s="184">
        <f>IF(AND(Input_Product=Elig!$C240,Elig_MatchAll_Ct&lt;22,$BC240=(Elig_MatchAll_Ct-1),AF240=0),C240,0)</f>
        <v>0</v>
      </c>
      <c r="BI240" s="184">
        <f>IF(AND(Input_Product=Elig!$C240,Elig_MatchAll_Ct&lt;22,$BC240=(Elig_MatchAll_Ct-1),AG240=0),D240,0)</f>
        <v>0</v>
      </c>
      <c r="BJ240" s="184">
        <f>IF(AND(Input_Product=Elig!$C240,Elig_MatchAll_Ct&lt;22,$BC240=(Elig_MatchAll_Ct-1),AH240=0),E240,0)</f>
        <v>0</v>
      </c>
      <c r="BK240" s="184">
        <f>IF(AND(Input_Product=Elig!$C240,Elig_MatchAll_Ct&lt;22,$BC240=(Elig_MatchAll_Ct-1),AI240=0),F240,0)</f>
        <v>0</v>
      </c>
      <c r="BL240" s="184">
        <f>IF(AND(Input_Product=Elig!$C240,Elig_MatchAll_Ct&lt;22,$BC240=(Elig_MatchAll_Ct-1),AJ240=0),G240,0)</f>
        <v>0</v>
      </c>
      <c r="BM240" s="184">
        <f>IF(AND(Input_Product=Elig!$C240,Elig_MatchAll_Ct&lt;22,$BC240=(Elig_MatchAll_Ct-1),AK240=0),H240,0)</f>
        <v>0</v>
      </c>
      <c r="BN240" s="184">
        <f>IF(AND(Input_Product=Elig!$C240,Elig_MatchAll_Ct&lt;22,$BC240=(Elig_MatchAll_Ct-1),AL240=0),I240,0)</f>
        <v>0</v>
      </c>
      <c r="BO240" s="184">
        <f>IF(AND(Input_Product=Elig!$C240,Elig_MatchAll_Ct&lt;22,$BC240=(Elig_MatchAll_Ct-1),AM240=0),J240,0)</f>
        <v>0</v>
      </c>
      <c r="BP240" s="184">
        <f>IF(AND(Input_Product=Elig!$C240,Elig_MatchAll_Ct&lt;22,$BC240=(Elig_MatchAll_Ct-1),AN240=0),K240,0)</f>
        <v>0</v>
      </c>
      <c r="BQ240" s="184">
        <f>IF(AND(Input_Product=Elig!$C240,Elig_MatchAll_Ct&lt;22,$BC240=(Elig_MatchAll_Ct-1),AP240=0),L240,0)</f>
        <v>0</v>
      </c>
      <c r="BR240" s="184">
        <f>IF(AND(Input_Product=Elig!$C240,Elig_MatchAll_Ct&lt;22,$BC240=(Elig_MatchAll_Ct-1),AO240=0),M240,0)</f>
        <v>0</v>
      </c>
      <c r="BS240" s="184">
        <f>IF(AND(Input_Product=Elig!$C240,Elig_MatchAll_Ct&lt;22,$BC240=(Elig_MatchAll_Ct-1),AQ240=0),N240,0)</f>
        <v>0</v>
      </c>
      <c r="BT240" s="184">
        <f>IF(AND(Input_Product=Elig!$C240,Elig_MatchAll_Ct&lt;22,$BC240=(Elig_MatchAll_Ct-1),AR240=0),O240,0)</f>
        <v>0</v>
      </c>
      <c r="BU240" s="184">
        <f>IF(AND(Input_Product=Elig!$C240,Elig_MatchAll_Ct&lt;22,$BC240=(Elig_MatchAll_Ct-1),AS240=0),P240,0)</f>
        <v>0</v>
      </c>
      <c r="BV240" s="185">
        <f>IF(AND(Input_Product=Elig!$C240,Elig_MatchAll_Ct&lt;22,$BC240=(Elig_MatchAll_Ct-1),AT240=0),Q240,0)</f>
        <v>0</v>
      </c>
      <c r="BW240" s="186">
        <f>IF(AND(Input_Product=Elig!$C240,Elig_MatchAll_Ct&lt;22,$BC240=(Elig_MatchAll_Ct-1),AU240=0),R240,0)</f>
        <v>0</v>
      </c>
      <c r="BX240" s="187">
        <f>IF(AND(Input_Product=Elig!$C240,Elig_MatchAll_Ct&lt;22,$BC240=(Elig_MatchAll_Ct-1),AU240=0),S240,0)</f>
        <v>0</v>
      </c>
      <c r="BY240" s="186">
        <f>IF(AND(Input_Product=Elig!$C240,Elig_MatchAll_Ct&lt;22,$BC240=(Elig_MatchAll_Ct-1),AV240=0),T240,0)</f>
        <v>0</v>
      </c>
      <c r="BZ240" s="187">
        <f>IF(AND(Input_Product=Elig!$C240,Elig_MatchAll_Ct&lt;22,$BC240=(Elig_MatchAll_Ct-1),AV240=0),U240,0)</f>
        <v>0</v>
      </c>
      <c r="CA240" s="186">
        <f>IF(AND(Input_Product=Elig!$C240,Elig_MatchAll_Ct&lt;22,$BC240=(Elig_MatchAll_Ct-1),AW240=0),V240,0)</f>
        <v>0</v>
      </c>
      <c r="CB240" s="187">
        <f>IF(AND(Input_Product=Elig!$C240,Elig_MatchAll_Ct&lt;22,$BC240=(Elig_MatchAll_Ct-1),AW240=0),W240,0)</f>
        <v>0</v>
      </c>
      <c r="CC240" s="186">
        <f>IF(AND(Input_Product=Elig!$C240,Elig_MatchAll_Ct&lt;22,$BC240=(Elig_MatchAll_Ct-1),AX240=0),X240,0)</f>
        <v>0</v>
      </c>
      <c r="CD240" s="187">
        <f>IF(AND(Input_Product=Elig!$C240,Elig_MatchAll_Ct&lt;22,$BC240=(Elig_MatchAll_Ct-1),AX240=0),Y240,0)</f>
        <v>0</v>
      </c>
      <c r="CE240" s="186">
        <f>IF(AND(Input_LTV&lt;=AE240,Input_Product=Elig!$C240,Elig_MatchAll_Ct&lt;22,$BC240=(Elig_MatchAll_Ct-1),AY240=0),Z240,0)</f>
        <v>0</v>
      </c>
      <c r="CF240" s="187">
        <f>IF(AND(Input_LTV&lt;=AE240,Input_Product=Elig!$C240,Elig_MatchAll_Ct&lt;22,$BC240=(Elig_MatchAll_Ct-1),AY240=0),AA240,0)</f>
        <v>0</v>
      </c>
      <c r="CG240" s="186">
        <f>IF(AND(Input_Product=Elig!$C240,Elig_MatchAll_Ct&lt;22,$BC240=(Elig_MatchAll_Ct-1),AZ240=0),AB240,0)</f>
        <v>0</v>
      </c>
      <c r="CH240" s="187">
        <f>IF(AND(Input_Product=Elig!$C240,Elig_MatchAll_Ct&lt;22,$BC240=(Elig_MatchAll_Ct-1),AZ240=0),AC240,0)</f>
        <v>0</v>
      </c>
      <c r="CI240" s="186">
        <f>IF(AND(Input_Product=Elig!$C240,Elig_MatchAll_Ct&lt;22,$BC240=(Elig_MatchAll_Ct-1),BA240=0),AD240,0)</f>
        <v>0</v>
      </c>
      <c r="CJ240" s="187">
        <f>IF(AND(Input_Product=Elig!$C240,Elig_MatchAll_Ct&lt;22,$BC240=(Elig_MatchAll_Ct-1),BA240=0),AE240,0)</f>
        <v>0</v>
      </c>
    </row>
    <row r="241" spans="1:88" ht="10.15" customHeight="1" x14ac:dyDescent="0.25">
      <c r="A241" s="1419" t="s">
        <v>76</v>
      </c>
      <c r="B241" s="1419" t="s">
        <v>2074</v>
      </c>
      <c r="C241" s="116" t="str">
        <f t="shared" si="82"/>
        <v>NonQM OO</v>
      </c>
      <c r="D241" s="117" t="s">
        <v>1995</v>
      </c>
      <c r="E241" s="117" t="s">
        <v>166</v>
      </c>
      <c r="F241" s="117" t="s">
        <v>330</v>
      </c>
      <c r="G241" s="117" t="s">
        <v>465</v>
      </c>
      <c r="H241" s="117" t="s">
        <v>135</v>
      </c>
      <c r="I241" s="118" t="s">
        <v>16</v>
      </c>
      <c r="J241" s="118" t="s">
        <v>1130</v>
      </c>
      <c r="K241" s="118" t="s">
        <v>1398</v>
      </c>
      <c r="L241" s="117" t="s">
        <v>2025</v>
      </c>
      <c r="M241" s="117" t="s">
        <v>2289</v>
      </c>
      <c r="N241" s="117" t="s">
        <v>82</v>
      </c>
      <c r="O241" s="117" t="s">
        <v>309</v>
      </c>
      <c r="P241" s="117" t="s">
        <v>2433</v>
      </c>
      <c r="Q241" s="117" t="s">
        <v>293</v>
      </c>
      <c r="R241" s="117">
        <v>3000000.01</v>
      </c>
      <c r="S241" s="117">
        <v>3500000</v>
      </c>
      <c r="T241" s="117">
        <v>0</v>
      </c>
      <c r="U241" s="117">
        <f t="shared" si="89"/>
        <v>3500000</v>
      </c>
      <c r="V241" s="117">
        <v>0</v>
      </c>
      <c r="W241" s="117">
        <v>55</v>
      </c>
      <c r="X241" s="117">
        <v>0</v>
      </c>
      <c r="Y241" s="117">
        <v>999</v>
      </c>
      <c r="Z241" s="119">
        <v>700</v>
      </c>
      <c r="AA241" s="119">
        <v>719</v>
      </c>
      <c r="AB241" s="1877">
        <v>0</v>
      </c>
      <c r="AC241" s="119">
        <v>999999</v>
      </c>
      <c r="AD241" s="117">
        <v>0</v>
      </c>
      <c r="AE241" s="117">
        <v>55</v>
      </c>
      <c r="AF241" s="144">
        <v>0</v>
      </c>
      <c r="AG241" s="145">
        <v>1</v>
      </c>
      <c r="AH241" s="145">
        <v>1</v>
      </c>
      <c r="AI241" s="145">
        <v>0</v>
      </c>
      <c r="AJ241" s="145">
        <v>0</v>
      </c>
      <c r="AK241" s="145">
        <v>1</v>
      </c>
      <c r="AL241" s="145">
        <v>0</v>
      </c>
      <c r="AM241" s="145">
        <v>1</v>
      </c>
      <c r="AN241" s="145">
        <v>1</v>
      </c>
      <c r="AO241" s="145">
        <v>1</v>
      </c>
      <c r="AP241" s="145">
        <v>1</v>
      </c>
      <c r="AQ241" s="145">
        <v>0</v>
      </c>
      <c r="AR241" s="145">
        <v>1</v>
      </c>
      <c r="AS241" s="145">
        <v>1</v>
      </c>
      <c r="AT241" s="145">
        <v>1</v>
      </c>
      <c r="AU241" s="145">
        <f t="shared" si="55"/>
        <v>0</v>
      </c>
      <c r="AV241" s="145">
        <f t="shared" si="56"/>
        <v>1</v>
      </c>
      <c r="AW241" s="145">
        <f t="shared" si="57"/>
        <v>1</v>
      </c>
      <c r="AX241" s="145">
        <f t="shared" si="73"/>
        <v>1</v>
      </c>
      <c r="AY241" s="145">
        <f t="shared" si="58"/>
        <v>0</v>
      </c>
      <c r="AZ241" s="145">
        <f t="shared" si="59"/>
        <v>1</v>
      </c>
      <c r="BA241" s="146">
        <f t="shared" si="60"/>
        <v>0</v>
      </c>
      <c r="BB241" s="149">
        <f t="shared" si="83"/>
        <v>14</v>
      </c>
      <c r="BC241" s="150">
        <f t="shared" si="84"/>
        <v>14</v>
      </c>
      <c r="BD241" s="150">
        <f t="shared" si="85"/>
        <v>14</v>
      </c>
      <c r="BE241" s="211" t="str">
        <f t="shared" si="86"/>
        <v/>
      </c>
      <c r="BH241" s="173">
        <f>IF(AND(Input_Product=Elig!$C241,Elig_MatchAll_Ct&lt;22,$BC241=(Elig_MatchAll_Ct-1),AF241=0),C241,0)</f>
        <v>0</v>
      </c>
      <c r="BI241" s="173">
        <f>IF(AND(Input_Product=Elig!$C241,Elig_MatchAll_Ct&lt;22,$BC241=(Elig_MatchAll_Ct-1),AG241=0),D241,0)</f>
        <v>0</v>
      </c>
      <c r="BJ241" s="173">
        <f>IF(AND(Input_Product=Elig!$C241,Elig_MatchAll_Ct&lt;22,$BC241=(Elig_MatchAll_Ct-1),AH241=0),E241,0)</f>
        <v>0</v>
      </c>
      <c r="BK241" s="173">
        <f>IF(AND(Input_Product=Elig!$C241,Elig_MatchAll_Ct&lt;22,$BC241=(Elig_MatchAll_Ct-1),AI241=0),F241,0)</f>
        <v>0</v>
      </c>
      <c r="BL241" s="173">
        <f>IF(AND(Input_Product=Elig!$C241,Elig_MatchAll_Ct&lt;22,$BC241=(Elig_MatchAll_Ct-1),AJ241=0),G241,0)</f>
        <v>0</v>
      </c>
      <c r="BM241" s="173">
        <f>IF(AND(Input_Product=Elig!$C241,Elig_MatchAll_Ct&lt;22,$BC241=(Elig_MatchAll_Ct-1),AK241=0),H241,0)</f>
        <v>0</v>
      </c>
      <c r="BN241" s="173">
        <f>IF(AND(Input_Product=Elig!$C241,Elig_MatchAll_Ct&lt;22,$BC241=(Elig_MatchAll_Ct-1),AL241=0),I241,0)</f>
        <v>0</v>
      </c>
      <c r="BO241" s="173">
        <f>IF(AND(Input_Product=Elig!$C241,Elig_MatchAll_Ct&lt;22,$BC241=(Elig_MatchAll_Ct-1),AM241=0),J241,0)</f>
        <v>0</v>
      </c>
      <c r="BP241" s="173">
        <f>IF(AND(Input_Product=Elig!$C241,Elig_MatchAll_Ct&lt;22,$BC241=(Elig_MatchAll_Ct-1),AN241=0),K241,0)</f>
        <v>0</v>
      </c>
      <c r="BQ241" s="173">
        <f>IF(AND(Input_Product=Elig!$C241,Elig_MatchAll_Ct&lt;22,$BC241=(Elig_MatchAll_Ct-1),AP241=0),L241,0)</f>
        <v>0</v>
      </c>
      <c r="BR241" s="173">
        <f>IF(AND(Input_Product=Elig!$C241,Elig_MatchAll_Ct&lt;22,$BC241=(Elig_MatchAll_Ct-1),AO241=0),M241,0)</f>
        <v>0</v>
      </c>
      <c r="BS241" s="173">
        <f>IF(AND(Input_Product=Elig!$C241,Elig_MatchAll_Ct&lt;22,$BC241=(Elig_MatchAll_Ct-1),AQ241=0),N241,0)</f>
        <v>0</v>
      </c>
      <c r="BT241" s="173">
        <f>IF(AND(Input_Product=Elig!$C241,Elig_MatchAll_Ct&lt;22,$BC241=(Elig_MatchAll_Ct-1),AR241=0),O241,0)</f>
        <v>0</v>
      </c>
      <c r="BU241" s="173">
        <f>IF(AND(Input_Product=Elig!$C241,Elig_MatchAll_Ct&lt;22,$BC241=(Elig_MatchAll_Ct-1),AS241=0),P241,0)</f>
        <v>0</v>
      </c>
      <c r="BV241" s="174">
        <f>IF(AND(Input_Product=Elig!$C241,Elig_MatchAll_Ct&lt;22,$BC241=(Elig_MatchAll_Ct-1),AT241=0),Q241,0)</f>
        <v>0</v>
      </c>
      <c r="BW241" s="175">
        <f>IF(AND(Input_Product=Elig!$C241,Elig_MatchAll_Ct&lt;22,$BC241=(Elig_MatchAll_Ct-1),AU241=0),R241,0)</f>
        <v>0</v>
      </c>
      <c r="BX241" s="176">
        <f>IF(AND(Input_Product=Elig!$C241,Elig_MatchAll_Ct&lt;22,$BC241=(Elig_MatchAll_Ct-1),AU241=0),S241,0)</f>
        <v>0</v>
      </c>
      <c r="BY241" s="175">
        <f>IF(AND(Input_Product=Elig!$C241,Elig_MatchAll_Ct&lt;22,$BC241=(Elig_MatchAll_Ct-1),AV241=0),T241,0)</f>
        <v>0</v>
      </c>
      <c r="BZ241" s="176">
        <f>IF(AND(Input_Product=Elig!$C241,Elig_MatchAll_Ct&lt;22,$BC241=(Elig_MatchAll_Ct-1),AV241=0),U241,0)</f>
        <v>0</v>
      </c>
      <c r="CA241" s="175">
        <f>IF(AND(Input_Product=Elig!$C241,Elig_MatchAll_Ct&lt;22,$BC241=(Elig_MatchAll_Ct-1),AW241=0),V241,0)</f>
        <v>0</v>
      </c>
      <c r="CB241" s="176">
        <f>IF(AND(Input_Product=Elig!$C241,Elig_MatchAll_Ct&lt;22,$BC241=(Elig_MatchAll_Ct-1),AW241=0),W241,0)</f>
        <v>0</v>
      </c>
      <c r="CC241" s="175">
        <f>IF(AND(Input_Product=Elig!$C241,Elig_MatchAll_Ct&lt;22,$BC241=(Elig_MatchAll_Ct-1),AX241=0),X241,0)</f>
        <v>0</v>
      </c>
      <c r="CD241" s="176">
        <f>IF(AND(Input_Product=Elig!$C241,Elig_MatchAll_Ct&lt;22,$BC241=(Elig_MatchAll_Ct-1),AX241=0),Y241,0)</f>
        <v>0</v>
      </c>
      <c r="CE241" s="175">
        <f>IF(AND(Input_LTV&lt;=AE241,Input_Product=Elig!$C241,Elig_MatchAll_Ct&lt;22,$BC241=(Elig_MatchAll_Ct-1),AY241=0),Z241,0)</f>
        <v>0</v>
      </c>
      <c r="CF241" s="176">
        <f>IF(AND(Input_LTV&lt;=AE241,Input_Product=Elig!$C241,Elig_MatchAll_Ct&lt;22,$BC241=(Elig_MatchAll_Ct-1),AY241=0),AA241,0)</f>
        <v>0</v>
      </c>
      <c r="CG241" s="175">
        <f>IF(AND(Input_Product=Elig!$C241,Elig_MatchAll_Ct&lt;22,$BC241=(Elig_MatchAll_Ct-1),AZ241=0),AB241,0)</f>
        <v>0</v>
      </c>
      <c r="CH241" s="176">
        <f>IF(AND(Input_Product=Elig!$C241,Elig_MatchAll_Ct&lt;22,$BC241=(Elig_MatchAll_Ct-1),AZ241=0),AC241,0)</f>
        <v>0</v>
      </c>
      <c r="CI241" s="175">
        <f>IF(AND(Input_Product=Elig!$C241,Elig_MatchAll_Ct&lt;22,$BC241=(Elig_MatchAll_Ct-1),BA241=0),AD241,0)</f>
        <v>0</v>
      </c>
      <c r="CJ241" s="176">
        <f>IF(AND(Input_Product=Elig!$C241,Elig_MatchAll_Ct&lt;22,$BC241=(Elig_MatchAll_Ct-1),BA241=0),AE241,0)</f>
        <v>0</v>
      </c>
    </row>
    <row r="242" spans="1:88" ht="10.15" customHeight="1" x14ac:dyDescent="0.25">
      <c r="A242" s="1419" t="s">
        <v>76</v>
      </c>
      <c r="B242" s="1419" t="s">
        <v>2075</v>
      </c>
      <c r="C242" s="123" t="str">
        <f t="shared" si="82"/>
        <v>NonQM OO</v>
      </c>
      <c r="D242" s="124" t="s">
        <v>1995</v>
      </c>
      <c r="E242" s="125" t="s">
        <v>166</v>
      </c>
      <c r="F242" s="125" t="s">
        <v>330</v>
      </c>
      <c r="G242" s="125" t="s">
        <v>302</v>
      </c>
      <c r="H242" s="125" t="s">
        <v>135</v>
      </c>
      <c r="I242" s="124" t="s">
        <v>273</v>
      </c>
      <c r="J242" s="124" t="s">
        <v>1130</v>
      </c>
      <c r="K242" s="124" t="s">
        <v>1398</v>
      </c>
      <c r="L242" s="125" t="s">
        <v>2025</v>
      </c>
      <c r="M242" s="125" t="s">
        <v>2289</v>
      </c>
      <c r="N242" s="125" t="s">
        <v>82</v>
      </c>
      <c r="O242" s="125" t="s">
        <v>309</v>
      </c>
      <c r="P242" s="125" t="s">
        <v>2433</v>
      </c>
      <c r="Q242" s="125" t="s">
        <v>293</v>
      </c>
      <c r="R242" s="124">
        <v>3500000.01</v>
      </c>
      <c r="S242" s="124">
        <v>4000000</v>
      </c>
      <c r="T242" s="124">
        <v>0</v>
      </c>
      <c r="U242" s="124">
        <v>0</v>
      </c>
      <c r="V242" s="124">
        <v>0</v>
      </c>
      <c r="W242" s="124">
        <v>55</v>
      </c>
      <c r="X242" s="124">
        <v>0</v>
      </c>
      <c r="Y242" s="124">
        <v>999</v>
      </c>
      <c r="Z242" s="126">
        <v>720</v>
      </c>
      <c r="AA242" s="126">
        <v>999</v>
      </c>
      <c r="AB242" s="1879">
        <v>0</v>
      </c>
      <c r="AC242" s="126">
        <v>999999</v>
      </c>
      <c r="AD242" s="124">
        <v>0</v>
      </c>
      <c r="AE242" s="124">
        <v>70</v>
      </c>
      <c r="AF242" s="144">
        <v>0</v>
      </c>
      <c r="AG242" s="145">
        <v>1</v>
      </c>
      <c r="AH242" s="145">
        <v>1</v>
      </c>
      <c r="AI242" s="145">
        <v>0</v>
      </c>
      <c r="AJ242" s="145">
        <v>0</v>
      </c>
      <c r="AK242" s="145">
        <v>1</v>
      </c>
      <c r="AL242" s="145">
        <v>1</v>
      </c>
      <c r="AM242" s="145">
        <v>1</v>
      </c>
      <c r="AN242" s="145">
        <v>1</v>
      </c>
      <c r="AO242" s="145">
        <v>1</v>
      </c>
      <c r="AP242" s="145">
        <v>1</v>
      </c>
      <c r="AQ242" s="145">
        <v>0</v>
      </c>
      <c r="AR242" s="145">
        <v>1</v>
      </c>
      <c r="AS242" s="145">
        <v>1</v>
      </c>
      <c r="AT242" s="145">
        <v>1</v>
      </c>
      <c r="AU242" s="145">
        <f t="shared" si="55"/>
        <v>0</v>
      </c>
      <c r="AV242" s="145">
        <f t="shared" si="56"/>
        <v>1</v>
      </c>
      <c r="AW242" s="145">
        <f t="shared" si="57"/>
        <v>1</v>
      </c>
      <c r="AX242" s="145">
        <f t="shared" si="73"/>
        <v>1</v>
      </c>
      <c r="AY242" s="145">
        <f t="shared" si="58"/>
        <v>1</v>
      </c>
      <c r="AZ242" s="145">
        <f t="shared" si="59"/>
        <v>1</v>
      </c>
      <c r="BA242" s="146">
        <f t="shared" si="60"/>
        <v>1</v>
      </c>
      <c r="BB242" s="149">
        <f t="shared" si="83"/>
        <v>17</v>
      </c>
      <c r="BC242" s="150">
        <f t="shared" si="84"/>
        <v>16</v>
      </c>
      <c r="BD242" s="150">
        <f t="shared" si="85"/>
        <v>17</v>
      </c>
      <c r="BE242" s="211" t="str">
        <f t="shared" si="86"/>
        <v/>
      </c>
      <c r="BH242" s="184">
        <f>IF(AND(Input_Product=Elig!$C242,Elig_MatchAll_Ct&lt;22,$BC242=(Elig_MatchAll_Ct-1),AF242=0),C242,0)</f>
        <v>0</v>
      </c>
      <c r="BI242" s="184">
        <f>IF(AND(Input_Product=Elig!$C242,Elig_MatchAll_Ct&lt;22,$BC242=(Elig_MatchAll_Ct-1),AG242=0),D242,0)</f>
        <v>0</v>
      </c>
      <c r="BJ242" s="184">
        <f>IF(AND(Input_Product=Elig!$C242,Elig_MatchAll_Ct&lt;22,$BC242=(Elig_MatchAll_Ct-1),AH242=0),E242,0)</f>
        <v>0</v>
      </c>
      <c r="BK242" s="184">
        <f>IF(AND(Input_Product=Elig!$C242,Elig_MatchAll_Ct&lt;22,$BC242=(Elig_MatchAll_Ct-1),AI242=0),F242,0)</f>
        <v>0</v>
      </c>
      <c r="BL242" s="184">
        <f>IF(AND(Input_Product=Elig!$C242,Elig_MatchAll_Ct&lt;22,$BC242=(Elig_MatchAll_Ct-1),AJ242=0),G242,0)</f>
        <v>0</v>
      </c>
      <c r="BM242" s="184">
        <f>IF(AND(Input_Product=Elig!$C242,Elig_MatchAll_Ct&lt;22,$BC242=(Elig_MatchAll_Ct-1),AK242=0),H242,0)</f>
        <v>0</v>
      </c>
      <c r="BN242" s="184">
        <f>IF(AND(Input_Product=Elig!$C242,Elig_MatchAll_Ct&lt;22,$BC242=(Elig_MatchAll_Ct-1),AL242=0),I242,0)</f>
        <v>0</v>
      </c>
      <c r="BO242" s="184">
        <f>IF(AND(Input_Product=Elig!$C242,Elig_MatchAll_Ct&lt;22,$BC242=(Elig_MatchAll_Ct-1),AM242=0),J242,0)</f>
        <v>0</v>
      </c>
      <c r="BP242" s="184">
        <f>IF(AND(Input_Product=Elig!$C242,Elig_MatchAll_Ct&lt;22,$BC242=(Elig_MatchAll_Ct-1),AN242=0),K242,0)</f>
        <v>0</v>
      </c>
      <c r="BQ242" s="184">
        <f>IF(AND(Input_Product=Elig!$C242,Elig_MatchAll_Ct&lt;22,$BC242=(Elig_MatchAll_Ct-1),AP242=0),L242,0)</f>
        <v>0</v>
      </c>
      <c r="BR242" s="184">
        <f>IF(AND(Input_Product=Elig!$C242,Elig_MatchAll_Ct&lt;22,$BC242=(Elig_MatchAll_Ct-1),AO242=0),M242,0)</f>
        <v>0</v>
      </c>
      <c r="BS242" s="184">
        <f>IF(AND(Input_Product=Elig!$C242,Elig_MatchAll_Ct&lt;22,$BC242=(Elig_MatchAll_Ct-1),AQ242=0),N242,0)</f>
        <v>0</v>
      </c>
      <c r="BT242" s="184">
        <f>IF(AND(Input_Product=Elig!$C242,Elig_MatchAll_Ct&lt;22,$BC242=(Elig_MatchAll_Ct-1),AR242=0),O242,0)</f>
        <v>0</v>
      </c>
      <c r="BU242" s="184">
        <f>IF(AND(Input_Product=Elig!$C242,Elig_MatchAll_Ct&lt;22,$BC242=(Elig_MatchAll_Ct-1),AS242=0),P242,0)</f>
        <v>0</v>
      </c>
      <c r="BV242" s="185">
        <f>IF(AND(Input_Product=Elig!$C242,Elig_MatchAll_Ct&lt;22,$BC242=(Elig_MatchAll_Ct-1),AT242=0),Q242,0)</f>
        <v>0</v>
      </c>
      <c r="BW242" s="186">
        <f>IF(AND(Input_Product=Elig!$C242,Elig_MatchAll_Ct&lt;22,$BC242=(Elig_MatchAll_Ct-1),AU242=0),R242,0)</f>
        <v>0</v>
      </c>
      <c r="BX242" s="187">
        <f>IF(AND(Input_Product=Elig!$C242,Elig_MatchAll_Ct&lt;22,$BC242=(Elig_MatchAll_Ct-1),AU242=0),S242,0)</f>
        <v>0</v>
      </c>
      <c r="BY242" s="186">
        <f>IF(AND(Input_Product=Elig!$C242,Elig_MatchAll_Ct&lt;22,$BC242=(Elig_MatchAll_Ct-1),AV242=0),T242,0)</f>
        <v>0</v>
      </c>
      <c r="BZ242" s="187">
        <f>IF(AND(Input_Product=Elig!$C242,Elig_MatchAll_Ct&lt;22,$BC242=(Elig_MatchAll_Ct-1),AV242=0),U242,0)</f>
        <v>0</v>
      </c>
      <c r="CA242" s="186">
        <f>IF(AND(Input_Product=Elig!$C242,Elig_MatchAll_Ct&lt;22,$BC242=(Elig_MatchAll_Ct-1),AW242=0),V242,0)</f>
        <v>0</v>
      </c>
      <c r="CB242" s="187">
        <f>IF(AND(Input_Product=Elig!$C242,Elig_MatchAll_Ct&lt;22,$BC242=(Elig_MatchAll_Ct-1),AW242=0),W242,0)</f>
        <v>0</v>
      </c>
      <c r="CC242" s="186">
        <f>IF(AND(Input_Product=Elig!$C242,Elig_MatchAll_Ct&lt;22,$BC242=(Elig_MatchAll_Ct-1),AX242=0),X242,0)</f>
        <v>0</v>
      </c>
      <c r="CD242" s="187">
        <f>IF(AND(Input_Product=Elig!$C242,Elig_MatchAll_Ct&lt;22,$BC242=(Elig_MatchAll_Ct-1),AX242=0),Y242,0)</f>
        <v>0</v>
      </c>
      <c r="CE242" s="186">
        <f>IF(AND(Input_LTV&lt;=AE242,Input_Product=Elig!$C242,Elig_MatchAll_Ct&lt;22,$BC242=(Elig_MatchAll_Ct-1),AY242=0),Z242,0)</f>
        <v>0</v>
      </c>
      <c r="CF242" s="187">
        <f>IF(AND(Input_LTV&lt;=AE242,Input_Product=Elig!$C242,Elig_MatchAll_Ct&lt;22,$BC242=(Elig_MatchAll_Ct-1),AY242=0),AA242,0)</f>
        <v>0</v>
      </c>
      <c r="CG242" s="186">
        <f>IF(AND(Input_Product=Elig!$C242,Elig_MatchAll_Ct&lt;22,$BC242=(Elig_MatchAll_Ct-1),AZ242=0),AB242,0)</f>
        <v>0</v>
      </c>
      <c r="CH242" s="187">
        <f>IF(AND(Input_Product=Elig!$C242,Elig_MatchAll_Ct&lt;22,$BC242=(Elig_MatchAll_Ct-1),AZ242=0),AC242,0)</f>
        <v>0</v>
      </c>
      <c r="CI242" s="186">
        <f>IF(AND(Input_Product=Elig!$C242,Elig_MatchAll_Ct&lt;22,$BC242=(Elig_MatchAll_Ct-1),BA242=0),AD242,0)</f>
        <v>0</v>
      </c>
      <c r="CJ242" s="187">
        <f>IF(AND(Input_Product=Elig!$C242,Elig_MatchAll_Ct&lt;22,$BC242=(Elig_MatchAll_Ct-1),BA242=0),AE242,0)</f>
        <v>0</v>
      </c>
    </row>
    <row r="243" spans="1:88" ht="10.15" customHeight="1" x14ac:dyDescent="0.25">
      <c r="A243" s="1419" t="s">
        <v>76</v>
      </c>
      <c r="B243" s="1419" t="s">
        <v>2076</v>
      </c>
      <c r="C243" s="123" t="str">
        <f t="shared" si="82"/>
        <v>NonQM OO</v>
      </c>
      <c r="D243" s="124" t="s">
        <v>1995</v>
      </c>
      <c r="E243" s="125" t="s">
        <v>166</v>
      </c>
      <c r="F243" s="125" t="s">
        <v>330</v>
      </c>
      <c r="G243" s="125" t="s">
        <v>302</v>
      </c>
      <c r="H243" s="125" t="s">
        <v>135</v>
      </c>
      <c r="I243" s="124" t="s">
        <v>16</v>
      </c>
      <c r="J243" s="124" t="s">
        <v>1130</v>
      </c>
      <c r="K243" s="124" t="s">
        <v>1398</v>
      </c>
      <c r="L243" s="125" t="s">
        <v>2025</v>
      </c>
      <c r="M243" s="125" t="s">
        <v>2289</v>
      </c>
      <c r="N243" s="125" t="s">
        <v>82</v>
      </c>
      <c r="O243" s="125" t="s">
        <v>309</v>
      </c>
      <c r="P243" s="125" t="s">
        <v>2433</v>
      </c>
      <c r="Q243" s="125" t="s">
        <v>293</v>
      </c>
      <c r="R243" s="124">
        <v>3500000.01</v>
      </c>
      <c r="S243" s="124">
        <v>4000000</v>
      </c>
      <c r="T243" s="124">
        <v>0</v>
      </c>
      <c r="U243" s="124">
        <f t="shared" ref="U243" si="90">S243</f>
        <v>4000000</v>
      </c>
      <c r="V243" s="124">
        <v>0</v>
      </c>
      <c r="W243" s="124">
        <v>55</v>
      </c>
      <c r="X243" s="124">
        <v>0</v>
      </c>
      <c r="Y243" s="124">
        <v>999</v>
      </c>
      <c r="Z243" s="126">
        <v>720</v>
      </c>
      <c r="AA243" s="126">
        <v>999</v>
      </c>
      <c r="AB243" s="1879">
        <v>0</v>
      </c>
      <c r="AC243" s="126">
        <v>999999</v>
      </c>
      <c r="AD243" s="124">
        <v>0</v>
      </c>
      <c r="AE243" s="124">
        <v>50</v>
      </c>
      <c r="AF243" s="144">
        <v>0</v>
      </c>
      <c r="AG243" s="145">
        <v>1</v>
      </c>
      <c r="AH243" s="145">
        <v>1</v>
      </c>
      <c r="AI243" s="145">
        <v>0</v>
      </c>
      <c r="AJ243" s="145">
        <v>0</v>
      </c>
      <c r="AK243" s="145">
        <v>1</v>
      </c>
      <c r="AL243" s="145">
        <v>0</v>
      </c>
      <c r="AM243" s="145">
        <v>1</v>
      </c>
      <c r="AN243" s="145">
        <v>1</v>
      </c>
      <c r="AO243" s="145">
        <v>1</v>
      </c>
      <c r="AP243" s="145">
        <v>1</v>
      </c>
      <c r="AQ243" s="145">
        <v>0</v>
      </c>
      <c r="AR243" s="145">
        <v>1</v>
      </c>
      <c r="AS243" s="145">
        <v>1</v>
      </c>
      <c r="AT243" s="145">
        <v>1</v>
      </c>
      <c r="AU243" s="145">
        <f t="shared" si="55"/>
        <v>0</v>
      </c>
      <c r="AV243" s="145">
        <f t="shared" si="56"/>
        <v>1</v>
      </c>
      <c r="AW243" s="145">
        <f t="shared" si="57"/>
        <v>1</v>
      </c>
      <c r="AX243" s="145">
        <f t="shared" si="73"/>
        <v>1</v>
      </c>
      <c r="AY243" s="145">
        <f t="shared" si="58"/>
        <v>1</v>
      </c>
      <c r="AZ243" s="145">
        <f t="shared" si="59"/>
        <v>1</v>
      </c>
      <c r="BA243" s="146">
        <f t="shared" si="60"/>
        <v>0</v>
      </c>
      <c r="BB243" s="149">
        <f t="shared" si="83"/>
        <v>15</v>
      </c>
      <c r="BC243" s="150">
        <f t="shared" si="84"/>
        <v>15</v>
      </c>
      <c r="BD243" s="150">
        <f t="shared" si="85"/>
        <v>15</v>
      </c>
      <c r="BE243" s="211" t="str">
        <f t="shared" si="86"/>
        <v/>
      </c>
      <c r="BH243" s="184">
        <f>IF(AND(Input_Product=Elig!$C243,Elig_MatchAll_Ct&lt;22,$BC243=(Elig_MatchAll_Ct-1),AF243=0),C243,0)</f>
        <v>0</v>
      </c>
      <c r="BI243" s="184">
        <f>IF(AND(Input_Product=Elig!$C243,Elig_MatchAll_Ct&lt;22,$BC243=(Elig_MatchAll_Ct-1),AG243=0),D243,0)</f>
        <v>0</v>
      </c>
      <c r="BJ243" s="184">
        <f>IF(AND(Input_Product=Elig!$C243,Elig_MatchAll_Ct&lt;22,$BC243=(Elig_MatchAll_Ct-1),AH243=0),E243,0)</f>
        <v>0</v>
      </c>
      <c r="BK243" s="184">
        <f>IF(AND(Input_Product=Elig!$C243,Elig_MatchAll_Ct&lt;22,$BC243=(Elig_MatchAll_Ct-1),AI243=0),F243,0)</f>
        <v>0</v>
      </c>
      <c r="BL243" s="184">
        <f>IF(AND(Input_Product=Elig!$C243,Elig_MatchAll_Ct&lt;22,$BC243=(Elig_MatchAll_Ct-1),AJ243=0),G243,0)</f>
        <v>0</v>
      </c>
      <c r="BM243" s="184">
        <f>IF(AND(Input_Product=Elig!$C243,Elig_MatchAll_Ct&lt;22,$BC243=(Elig_MatchAll_Ct-1),AK243=0),H243,0)</f>
        <v>0</v>
      </c>
      <c r="BN243" s="184">
        <f>IF(AND(Input_Product=Elig!$C243,Elig_MatchAll_Ct&lt;22,$BC243=(Elig_MatchAll_Ct-1),AL243=0),I243,0)</f>
        <v>0</v>
      </c>
      <c r="BO243" s="184">
        <f>IF(AND(Input_Product=Elig!$C243,Elig_MatchAll_Ct&lt;22,$BC243=(Elig_MatchAll_Ct-1),AM243=0),J243,0)</f>
        <v>0</v>
      </c>
      <c r="BP243" s="184">
        <f>IF(AND(Input_Product=Elig!$C243,Elig_MatchAll_Ct&lt;22,$BC243=(Elig_MatchAll_Ct-1),AN243=0),K243,0)</f>
        <v>0</v>
      </c>
      <c r="BQ243" s="184">
        <f>IF(AND(Input_Product=Elig!$C243,Elig_MatchAll_Ct&lt;22,$BC243=(Elig_MatchAll_Ct-1),AP243=0),L243,0)</f>
        <v>0</v>
      </c>
      <c r="BR243" s="184">
        <f>IF(AND(Input_Product=Elig!$C243,Elig_MatchAll_Ct&lt;22,$BC243=(Elig_MatchAll_Ct-1),AO243=0),M243,0)</f>
        <v>0</v>
      </c>
      <c r="BS243" s="184">
        <f>IF(AND(Input_Product=Elig!$C243,Elig_MatchAll_Ct&lt;22,$BC243=(Elig_MatchAll_Ct-1),AQ243=0),N243,0)</f>
        <v>0</v>
      </c>
      <c r="BT243" s="184">
        <f>IF(AND(Input_Product=Elig!$C243,Elig_MatchAll_Ct&lt;22,$BC243=(Elig_MatchAll_Ct-1),AR243=0),O243,0)</f>
        <v>0</v>
      </c>
      <c r="BU243" s="184">
        <f>IF(AND(Input_Product=Elig!$C243,Elig_MatchAll_Ct&lt;22,$BC243=(Elig_MatchAll_Ct-1),AS243=0),P243,0)</f>
        <v>0</v>
      </c>
      <c r="BV243" s="185">
        <f>IF(AND(Input_Product=Elig!$C243,Elig_MatchAll_Ct&lt;22,$BC243=(Elig_MatchAll_Ct-1),AT243=0),Q243,0)</f>
        <v>0</v>
      </c>
      <c r="BW243" s="186">
        <f>IF(AND(Input_Product=Elig!$C243,Elig_MatchAll_Ct&lt;22,$BC243=(Elig_MatchAll_Ct-1),AU243=0),R243,0)</f>
        <v>0</v>
      </c>
      <c r="BX243" s="187">
        <f>IF(AND(Input_Product=Elig!$C243,Elig_MatchAll_Ct&lt;22,$BC243=(Elig_MatchAll_Ct-1),AU243=0),S243,0)</f>
        <v>0</v>
      </c>
      <c r="BY243" s="186">
        <f>IF(AND(Input_Product=Elig!$C243,Elig_MatchAll_Ct&lt;22,$BC243=(Elig_MatchAll_Ct-1),AV243=0),T243,0)</f>
        <v>0</v>
      </c>
      <c r="BZ243" s="187">
        <f>IF(AND(Input_Product=Elig!$C243,Elig_MatchAll_Ct&lt;22,$BC243=(Elig_MatchAll_Ct-1),AV243=0),U243,0)</f>
        <v>0</v>
      </c>
      <c r="CA243" s="186">
        <f>IF(AND(Input_Product=Elig!$C243,Elig_MatchAll_Ct&lt;22,$BC243=(Elig_MatchAll_Ct-1),AW243=0),V243,0)</f>
        <v>0</v>
      </c>
      <c r="CB243" s="187">
        <f>IF(AND(Input_Product=Elig!$C243,Elig_MatchAll_Ct&lt;22,$BC243=(Elig_MatchAll_Ct-1),AW243=0),W243,0)</f>
        <v>0</v>
      </c>
      <c r="CC243" s="186">
        <f>IF(AND(Input_Product=Elig!$C243,Elig_MatchAll_Ct&lt;22,$BC243=(Elig_MatchAll_Ct-1),AX243=0),X243,0)</f>
        <v>0</v>
      </c>
      <c r="CD243" s="187">
        <f>IF(AND(Input_Product=Elig!$C243,Elig_MatchAll_Ct&lt;22,$BC243=(Elig_MatchAll_Ct-1),AX243=0),Y243,0)</f>
        <v>0</v>
      </c>
      <c r="CE243" s="186">
        <f>IF(AND(Input_LTV&lt;=AE243,Input_Product=Elig!$C243,Elig_MatchAll_Ct&lt;22,$BC243=(Elig_MatchAll_Ct-1),AY243=0),Z243,0)</f>
        <v>0</v>
      </c>
      <c r="CF243" s="187">
        <f>IF(AND(Input_LTV&lt;=AE243,Input_Product=Elig!$C243,Elig_MatchAll_Ct&lt;22,$BC243=(Elig_MatchAll_Ct-1),AY243=0),AA243,0)</f>
        <v>0</v>
      </c>
      <c r="CG243" s="186">
        <f>IF(AND(Input_Product=Elig!$C243,Elig_MatchAll_Ct&lt;22,$BC243=(Elig_MatchAll_Ct-1),AZ243=0),AB243,0)</f>
        <v>0</v>
      </c>
      <c r="CH243" s="187">
        <f>IF(AND(Input_Product=Elig!$C243,Elig_MatchAll_Ct&lt;22,$BC243=(Elig_MatchAll_Ct-1),AZ243=0),AC243,0)</f>
        <v>0</v>
      </c>
      <c r="CI243" s="186">
        <f>IF(AND(Input_Product=Elig!$C243,Elig_MatchAll_Ct&lt;22,$BC243=(Elig_MatchAll_Ct-1),BA243=0),AD243,0)</f>
        <v>0</v>
      </c>
      <c r="CJ243" s="187">
        <f>IF(AND(Input_Product=Elig!$C243,Elig_MatchAll_Ct&lt;22,$BC243=(Elig_MatchAll_Ct-1),BA243=0),AE243,0)</f>
        <v>0</v>
      </c>
    </row>
    <row r="244" spans="1:88" ht="10.15" customHeight="1" x14ac:dyDescent="0.25">
      <c r="A244" s="1419" t="s">
        <v>76</v>
      </c>
      <c r="B244" s="1419" t="s">
        <v>2077</v>
      </c>
      <c r="C244" s="123" t="str">
        <f t="shared" si="82"/>
        <v>NonQM OO</v>
      </c>
      <c r="D244" s="124" t="s">
        <v>1995</v>
      </c>
      <c r="E244" s="125" t="s">
        <v>166</v>
      </c>
      <c r="F244" s="125" t="s">
        <v>330</v>
      </c>
      <c r="G244" s="125" t="s">
        <v>303</v>
      </c>
      <c r="H244" s="125" t="s">
        <v>444</v>
      </c>
      <c r="I244" s="124" t="s">
        <v>273</v>
      </c>
      <c r="J244" s="124" t="s">
        <v>1130</v>
      </c>
      <c r="K244" s="124" t="s">
        <v>1398</v>
      </c>
      <c r="L244" s="125" t="s">
        <v>2025</v>
      </c>
      <c r="M244" s="125" t="s">
        <v>2289</v>
      </c>
      <c r="N244" s="125" t="s">
        <v>82</v>
      </c>
      <c r="O244" s="125" t="s">
        <v>309</v>
      </c>
      <c r="P244" s="125" t="s">
        <v>2433</v>
      </c>
      <c r="Q244" s="125" t="s">
        <v>293</v>
      </c>
      <c r="R244" s="124">
        <v>3500000.01</v>
      </c>
      <c r="S244" s="124">
        <v>4000000</v>
      </c>
      <c r="T244" s="124">
        <v>0</v>
      </c>
      <c r="U244" s="124">
        <v>0</v>
      </c>
      <c r="V244" s="124">
        <v>0</v>
      </c>
      <c r="W244" s="124">
        <v>55</v>
      </c>
      <c r="X244" s="124">
        <v>0</v>
      </c>
      <c r="Y244" s="124">
        <v>999</v>
      </c>
      <c r="Z244" s="126">
        <v>720</v>
      </c>
      <c r="AA244" s="126">
        <v>999</v>
      </c>
      <c r="AB244" s="1879">
        <v>0</v>
      </c>
      <c r="AC244" s="126">
        <v>999999</v>
      </c>
      <c r="AD244" s="124">
        <v>0</v>
      </c>
      <c r="AE244" s="124">
        <v>70</v>
      </c>
      <c r="AF244" s="144">
        <v>0</v>
      </c>
      <c r="AG244" s="145">
        <v>1</v>
      </c>
      <c r="AH244" s="145">
        <v>1</v>
      </c>
      <c r="AI244" s="145">
        <v>0</v>
      </c>
      <c r="AJ244" s="145">
        <v>0</v>
      </c>
      <c r="AK244" s="145">
        <v>0</v>
      </c>
      <c r="AL244" s="145">
        <v>1</v>
      </c>
      <c r="AM244" s="145">
        <v>1</v>
      </c>
      <c r="AN244" s="145">
        <v>1</v>
      </c>
      <c r="AO244" s="145">
        <v>1</v>
      </c>
      <c r="AP244" s="145">
        <v>1</v>
      </c>
      <c r="AQ244" s="145">
        <v>0</v>
      </c>
      <c r="AR244" s="145">
        <v>1</v>
      </c>
      <c r="AS244" s="145">
        <v>1</v>
      </c>
      <c r="AT244" s="145">
        <v>1</v>
      </c>
      <c r="AU244" s="145">
        <f t="shared" si="55"/>
        <v>0</v>
      </c>
      <c r="AV244" s="145">
        <f t="shared" si="56"/>
        <v>1</v>
      </c>
      <c r="AW244" s="145">
        <f t="shared" si="57"/>
        <v>1</v>
      </c>
      <c r="AX244" s="145">
        <f t="shared" si="73"/>
        <v>1</v>
      </c>
      <c r="AY244" s="145">
        <f t="shared" si="58"/>
        <v>1</v>
      </c>
      <c r="AZ244" s="145">
        <f t="shared" si="59"/>
        <v>1</v>
      </c>
      <c r="BA244" s="146">
        <f t="shared" si="60"/>
        <v>1</v>
      </c>
      <c r="BB244" s="149">
        <f t="shared" si="83"/>
        <v>16</v>
      </c>
      <c r="BC244" s="150">
        <f t="shared" si="84"/>
        <v>15</v>
      </c>
      <c r="BD244" s="150">
        <f t="shared" si="85"/>
        <v>16</v>
      </c>
      <c r="BE244" s="211" t="str">
        <f t="shared" si="86"/>
        <v/>
      </c>
      <c r="BH244" s="184">
        <f>IF(AND(Input_Product=Elig!$C244,Elig_MatchAll_Ct&lt;22,$BC244=(Elig_MatchAll_Ct-1),AF244=0),C244,0)</f>
        <v>0</v>
      </c>
      <c r="BI244" s="184">
        <f>IF(AND(Input_Product=Elig!$C244,Elig_MatchAll_Ct&lt;22,$BC244=(Elig_MatchAll_Ct-1),AG244=0),D244,0)</f>
        <v>0</v>
      </c>
      <c r="BJ244" s="184">
        <f>IF(AND(Input_Product=Elig!$C244,Elig_MatchAll_Ct&lt;22,$BC244=(Elig_MatchAll_Ct-1),AH244=0),E244,0)</f>
        <v>0</v>
      </c>
      <c r="BK244" s="184">
        <f>IF(AND(Input_Product=Elig!$C244,Elig_MatchAll_Ct&lt;22,$BC244=(Elig_MatchAll_Ct-1),AI244=0),F244,0)</f>
        <v>0</v>
      </c>
      <c r="BL244" s="184">
        <f>IF(AND(Input_Product=Elig!$C244,Elig_MatchAll_Ct&lt;22,$BC244=(Elig_MatchAll_Ct-1),AJ244=0),G244,0)</f>
        <v>0</v>
      </c>
      <c r="BM244" s="184">
        <f>IF(AND(Input_Product=Elig!$C244,Elig_MatchAll_Ct&lt;22,$BC244=(Elig_MatchAll_Ct-1),AK244=0),H244,0)</f>
        <v>0</v>
      </c>
      <c r="BN244" s="184">
        <f>IF(AND(Input_Product=Elig!$C244,Elig_MatchAll_Ct&lt;22,$BC244=(Elig_MatchAll_Ct-1),AL244=0),I244,0)</f>
        <v>0</v>
      </c>
      <c r="BO244" s="184">
        <f>IF(AND(Input_Product=Elig!$C244,Elig_MatchAll_Ct&lt;22,$BC244=(Elig_MatchAll_Ct-1),AM244=0),J244,0)</f>
        <v>0</v>
      </c>
      <c r="BP244" s="184">
        <f>IF(AND(Input_Product=Elig!$C244,Elig_MatchAll_Ct&lt;22,$BC244=(Elig_MatchAll_Ct-1),AN244=0),K244,0)</f>
        <v>0</v>
      </c>
      <c r="BQ244" s="184">
        <f>IF(AND(Input_Product=Elig!$C244,Elig_MatchAll_Ct&lt;22,$BC244=(Elig_MatchAll_Ct-1),AP244=0),L244,0)</f>
        <v>0</v>
      </c>
      <c r="BR244" s="184">
        <f>IF(AND(Input_Product=Elig!$C244,Elig_MatchAll_Ct&lt;22,$BC244=(Elig_MatchAll_Ct-1),AO244=0),M244,0)</f>
        <v>0</v>
      </c>
      <c r="BS244" s="184">
        <f>IF(AND(Input_Product=Elig!$C244,Elig_MatchAll_Ct&lt;22,$BC244=(Elig_MatchAll_Ct-1),AQ244=0),N244,0)</f>
        <v>0</v>
      </c>
      <c r="BT244" s="184">
        <f>IF(AND(Input_Product=Elig!$C244,Elig_MatchAll_Ct&lt;22,$BC244=(Elig_MatchAll_Ct-1),AR244=0),O244,0)</f>
        <v>0</v>
      </c>
      <c r="BU244" s="184">
        <f>IF(AND(Input_Product=Elig!$C244,Elig_MatchAll_Ct&lt;22,$BC244=(Elig_MatchAll_Ct-1),AS244=0),P244,0)</f>
        <v>0</v>
      </c>
      <c r="BV244" s="185">
        <f>IF(AND(Input_Product=Elig!$C244,Elig_MatchAll_Ct&lt;22,$BC244=(Elig_MatchAll_Ct-1),AT244=0),Q244,0)</f>
        <v>0</v>
      </c>
      <c r="BW244" s="186">
        <f>IF(AND(Input_Product=Elig!$C244,Elig_MatchAll_Ct&lt;22,$BC244=(Elig_MatchAll_Ct-1),AU244=0),R244,0)</f>
        <v>0</v>
      </c>
      <c r="BX244" s="187">
        <f>IF(AND(Input_Product=Elig!$C244,Elig_MatchAll_Ct&lt;22,$BC244=(Elig_MatchAll_Ct-1),AU244=0),S244,0)</f>
        <v>0</v>
      </c>
      <c r="BY244" s="186">
        <f>IF(AND(Input_Product=Elig!$C244,Elig_MatchAll_Ct&lt;22,$BC244=(Elig_MatchAll_Ct-1),AV244=0),T244,0)</f>
        <v>0</v>
      </c>
      <c r="BZ244" s="187">
        <f>IF(AND(Input_Product=Elig!$C244,Elig_MatchAll_Ct&lt;22,$BC244=(Elig_MatchAll_Ct-1),AV244=0),U244,0)</f>
        <v>0</v>
      </c>
      <c r="CA244" s="186">
        <f>IF(AND(Input_Product=Elig!$C244,Elig_MatchAll_Ct&lt;22,$BC244=(Elig_MatchAll_Ct-1),AW244=0),V244,0)</f>
        <v>0</v>
      </c>
      <c r="CB244" s="187">
        <f>IF(AND(Input_Product=Elig!$C244,Elig_MatchAll_Ct&lt;22,$BC244=(Elig_MatchAll_Ct-1),AW244=0),W244,0)</f>
        <v>0</v>
      </c>
      <c r="CC244" s="186">
        <f>IF(AND(Input_Product=Elig!$C244,Elig_MatchAll_Ct&lt;22,$BC244=(Elig_MatchAll_Ct-1),AX244=0),X244,0)</f>
        <v>0</v>
      </c>
      <c r="CD244" s="187">
        <f>IF(AND(Input_Product=Elig!$C244,Elig_MatchAll_Ct&lt;22,$BC244=(Elig_MatchAll_Ct-1),AX244=0),Y244,0)</f>
        <v>0</v>
      </c>
      <c r="CE244" s="186">
        <f>IF(AND(Input_LTV&lt;=AE244,Input_Product=Elig!$C244,Elig_MatchAll_Ct&lt;22,$BC244=(Elig_MatchAll_Ct-1),AY244=0),Z244,0)</f>
        <v>0</v>
      </c>
      <c r="CF244" s="187">
        <f>IF(AND(Input_LTV&lt;=AE244,Input_Product=Elig!$C244,Elig_MatchAll_Ct&lt;22,$BC244=(Elig_MatchAll_Ct-1),AY244=0),AA244,0)</f>
        <v>0</v>
      </c>
      <c r="CG244" s="186">
        <f>IF(AND(Input_Product=Elig!$C244,Elig_MatchAll_Ct&lt;22,$BC244=(Elig_MatchAll_Ct-1),AZ244=0),AB244,0)</f>
        <v>0</v>
      </c>
      <c r="CH244" s="187">
        <f>IF(AND(Input_Product=Elig!$C244,Elig_MatchAll_Ct&lt;22,$BC244=(Elig_MatchAll_Ct-1),AZ244=0),AC244,0)</f>
        <v>0</v>
      </c>
      <c r="CI244" s="186">
        <f>IF(AND(Input_Product=Elig!$C244,Elig_MatchAll_Ct&lt;22,$BC244=(Elig_MatchAll_Ct-1),BA244=0),AD244,0)</f>
        <v>0</v>
      </c>
      <c r="CJ244" s="187">
        <f>IF(AND(Input_Product=Elig!$C244,Elig_MatchAll_Ct&lt;22,$BC244=(Elig_MatchAll_Ct-1),BA244=0),AE244,0)</f>
        <v>0</v>
      </c>
    </row>
    <row r="245" spans="1:88" ht="10.15" customHeight="1" x14ac:dyDescent="0.25">
      <c r="A245" s="1419" t="s">
        <v>76</v>
      </c>
      <c r="B245" s="1419" t="s">
        <v>2078</v>
      </c>
      <c r="C245" s="123" t="str">
        <f t="shared" si="82"/>
        <v>NonQM OO</v>
      </c>
      <c r="D245" s="124" t="s">
        <v>1995</v>
      </c>
      <c r="E245" s="125" t="s">
        <v>166</v>
      </c>
      <c r="F245" s="125" t="s">
        <v>330</v>
      </c>
      <c r="G245" s="125" t="s">
        <v>303</v>
      </c>
      <c r="H245" s="125" t="s">
        <v>444</v>
      </c>
      <c r="I245" s="124" t="s">
        <v>16</v>
      </c>
      <c r="J245" s="124" t="s">
        <v>1130</v>
      </c>
      <c r="K245" s="124" t="s">
        <v>1398</v>
      </c>
      <c r="L245" s="125" t="s">
        <v>2025</v>
      </c>
      <c r="M245" s="125" t="s">
        <v>2289</v>
      </c>
      <c r="N245" s="125" t="s">
        <v>82</v>
      </c>
      <c r="O245" s="125" t="s">
        <v>309</v>
      </c>
      <c r="P245" s="125" t="s">
        <v>2433</v>
      </c>
      <c r="Q245" s="125" t="s">
        <v>293</v>
      </c>
      <c r="R245" s="124">
        <v>3500000.01</v>
      </c>
      <c r="S245" s="124">
        <v>4000000</v>
      </c>
      <c r="T245" s="124">
        <v>0</v>
      </c>
      <c r="U245" s="124">
        <f t="shared" ref="U245" si="91">S245</f>
        <v>4000000</v>
      </c>
      <c r="V245" s="124">
        <v>0</v>
      </c>
      <c r="W245" s="124">
        <v>55</v>
      </c>
      <c r="X245" s="124">
        <v>0</v>
      </c>
      <c r="Y245" s="124">
        <v>999</v>
      </c>
      <c r="Z245" s="126">
        <v>720</v>
      </c>
      <c r="AA245" s="126">
        <v>999</v>
      </c>
      <c r="AB245" s="1879">
        <v>0</v>
      </c>
      <c r="AC245" s="126">
        <v>999999</v>
      </c>
      <c r="AD245" s="124">
        <v>0</v>
      </c>
      <c r="AE245" s="124">
        <v>50</v>
      </c>
      <c r="AF245" s="144">
        <v>0</v>
      </c>
      <c r="AG245" s="145">
        <v>1</v>
      </c>
      <c r="AH245" s="145">
        <v>1</v>
      </c>
      <c r="AI245" s="145">
        <v>0</v>
      </c>
      <c r="AJ245" s="145">
        <v>0</v>
      </c>
      <c r="AK245" s="145">
        <v>0</v>
      </c>
      <c r="AL245" s="145">
        <v>0</v>
      </c>
      <c r="AM245" s="145">
        <v>1</v>
      </c>
      <c r="AN245" s="145">
        <v>1</v>
      </c>
      <c r="AO245" s="145">
        <v>1</v>
      </c>
      <c r="AP245" s="145">
        <v>1</v>
      </c>
      <c r="AQ245" s="145">
        <v>0</v>
      </c>
      <c r="AR245" s="145">
        <v>1</v>
      </c>
      <c r="AS245" s="145">
        <v>1</v>
      </c>
      <c r="AT245" s="145">
        <v>1</v>
      </c>
      <c r="AU245" s="145">
        <f t="shared" si="55"/>
        <v>0</v>
      </c>
      <c r="AV245" s="145">
        <f t="shared" si="56"/>
        <v>1</v>
      </c>
      <c r="AW245" s="145">
        <f t="shared" si="57"/>
        <v>1</v>
      </c>
      <c r="AX245" s="145">
        <f t="shared" si="73"/>
        <v>1</v>
      </c>
      <c r="AY245" s="145">
        <f t="shared" si="58"/>
        <v>1</v>
      </c>
      <c r="AZ245" s="145">
        <f t="shared" si="59"/>
        <v>1</v>
      </c>
      <c r="BA245" s="146">
        <f t="shared" si="60"/>
        <v>0</v>
      </c>
      <c r="BB245" s="149">
        <f t="shared" si="83"/>
        <v>14</v>
      </c>
      <c r="BC245" s="150">
        <f t="shared" si="84"/>
        <v>14</v>
      </c>
      <c r="BD245" s="150">
        <f t="shared" si="85"/>
        <v>14</v>
      </c>
      <c r="BE245" s="211" t="str">
        <f t="shared" si="86"/>
        <v/>
      </c>
      <c r="BH245" s="184">
        <f>IF(AND(Input_Product=Elig!$C245,Elig_MatchAll_Ct&lt;22,$BC245=(Elig_MatchAll_Ct-1),AF245=0),C245,0)</f>
        <v>0</v>
      </c>
      <c r="BI245" s="184">
        <f>IF(AND(Input_Product=Elig!$C245,Elig_MatchAll_Ct&lt;22,$BC245=(Elig_MatchAll_Ct-1),AG245=0),D245,0)</f>
        <v>0</v>
      </c>
      <c r="BJ245" s="184">
        <f>IF(AND(Input_Product=Elig!$C245,Elig_MatchAll_Ct&lt;22,$BC245=(Elig_MatchAll_Ct-1),AH245=0),E245,0)</f>
        <v>0</v>
      </c>
      <c r="BK245" s="184">
        <f>IF(AND(Input_Product=Elig!$C245,Elig_MatchAll_Ct&lt;22,$BC245=(Elig_MatchAll_Ct-1),AI245=0),F245,0)</f>
        <v>0</v>
      </c>
      <c r="BL245" s="184">
        <f>IF(AND(Input_Product=Elig!$C245,Elig_MatchAll_Ct&lt;22,$BC245=(Elig_MatchAll_Ct-1),AJ245=0),G245,0)</f>
        <v>0</v>
      </c>
      <c r="BM245" s="184">
        <f>IF(AND(Input_Product=Elig!$C245,Elig_MatchAll_Ct&lt;22,$BC245=(Elig_MatchAll_Ct-1),AK245=0),H245,0)</f>
        <v>0</v>
      </c>
      <c r="BN245" s="184">
        <f>IF(AND(Input_Product=Elig!$C245,Elig_MatchAll_Ct&lt;22,$BC245=(Elig_MatchAll_Ct-1),AL245=0),I245,0)</f>
        <v>0</v>
      </c>
      <c r="BO245" s="184">
        <f>IF(AND(Input_Product=Elig!$C245,Elig_MatchAll_Ct&lt;22,$BC245=(Elig_MatchAll_Ct-1),AM245=0),J245,0)</f>
        <v>0</v>
      </c>
      <c r="BP245" s="184">
        <f>IF(AND(Input_Product=Elig!$C245,Elig_MatchAll_Ct&lt;22,$BC245=(Elig_MatchAll_Ct-1),AN245=0),K245,0)</f>
        <v>0</v>
      </c>
      <c r="BQ245" s="184">
        <f>IF(AND(Input_Product=Elig!$C245,Elig_MatchAll_Ct&lt;22,$BC245=(Elig_MatchAll_Ct-1),AP245=0),L245,0)</f>
        <v>0</v>
      </c>
      <c r="BR245" s="184">
        <f>IF(AND(Input_Product=Elig!$C245,Elig_MatchAll_Ct&lt;22,$BC245=(Elig_MatchAll_Ct-1),AO245=0),M245,0)</f>
        <v>0</v>
      </c>
      <c r="BS245" s="184">
        <f>IF(AND(Input_Product=Elig!$C245,Elig_MatchAll_Ct&lt;22,$BC245=(Elig_MatchAll_Ct-1),AQ245=0),N245,0)</f>
        <v>0</v>
      </c>
      <c r="BT245" s="184">
        <f>IF(AND(Input_Product=Elig!$C245,Elig_MatchAll_Ct&lt;22,$BC245=(Elig_MatchAll_Ct-1),AR245=0),O245,0)</f>
        <v>0</v>
      </c>
      <c r="BU245" s="184">
        <f>IF(AND(Input_Product=Elig!$C245,Elig_MatchAll_Ct&lt;22,$BC245=(Elig_MatchAll_Ct-1),AS245=0),P245,0)</f>
        <v>0</v>
      </c>
      <c r="BV245" s="185">
        <f>IF(AND(Input_Product=Elig!$C245,Elig_MatchAll_Ct&lt;22,$BC245=(Elig_MatchAll_Ct-1),AT245=0),Q245,0)</f>
        <v>0</v>
      </c>
      <c r="BW245" s="186">
        <f>IF(AND(Input_Product=Elig!$C245,Elig_MatchAll_Ct&lt;22,$BC245=(Elig_MatchAll_Ct-1),AU245=0),R245,0)</f>
        <v>0</v>
      </c>
      <c r="BX245" s="187">
        <f>IF(AND(Input_Product=Elig!$C245,Elig_MatchAll_Ct&lt;22,$BC245=(Elig_MatchAll_Ct-1),AU245=0),S245,0)</f>
        <v>0</v>
      </c>
      <c r="BY245" s="186">
        <f>IF(AND(Input_Product=Elig!$C245,Elig_MatchAll_Ct&lt;22,$BC245=(Elig_MatchAll_Ct-1),AV245=0),T245,0)</f>
        <v>0</v>
      </c>
      <c r="BZ245" s="187">
        <f>IF(AND(Input_Product=Elig!$C245,Elig_MatchAll_Ct&lt;22,$BC245=(Elig_MatchAll_Ct-1),AV245=0),U245,0)</f>
        <v>0</v>
      </c>
      <c r="CA245" s="186">
        <f>IF(AND(Input_Product=Elig!$C245,Elig_MatchAll_Ct&lt;22,$BC245=(Elig_MatchAll_Ct-1),AW245=0),V245,0)</f>
        <v>0</v>
      </c>
      <c r="CB245" s="187">
        <f>IF(AND(Input_Product=Elig!$C245,Elig_MatchAll_Ct&lt;22,$BC245=(Elig_MatchAll_Ct-1),AW245=0),W245,0)</f>
        <v>0</v>
      </c>
      <c r="CC245" s="186">
        <f>IF(AND(Input_Product=Elig!$C245,Elig_MatchAll_Ct&lt;22,$BC245=(Elig_MatchAll_Ct-1),AX245=0),X245,0)</f>
        <v>0</v>
      </c>
      <c r="CD245" s="187">
        <f>IF(AND(Input_Product=Elig!$C245,Elig_MatchAll_Ct&lt;22,$BC245=(Elig_MatchAll_Ct-1),AX245=0),Y245,0)</f>
        <v>0</v>
      </c>
      <c r="CE245" s="186">
        <f>IF(AND(Input_LTV&lt;=AE245,Input_Product=Elig!$C245,Elig_MatchAll_Ct&lt;22,$BC245=(Elig_MatchAll_Ct-1),AY245=0),Z245,0)</f>
        <v>0</v>
      </c>
      <c r="CF245" s="187">
        <f>IF(AND(Input_LTV&lt;=AE245,Input_Product=Elig!$C245,Elig_MatchAll_Ct&lt;22,$BC245=(Elig_MatchAll_Ct-1),AY245=0),AA245,0)</f>
        <v>0</v>
      </c>
      <c r="CG245" s="186">
        <f>IF(AND(Input_Product=Elig!$C245,Elig_MatchAll_Ct&lt;22,$BC245=(Elig_MatchAll_Ct-1),AZ245=0),AB245,0)</f>
        <v>0</v>
      </c>
      <c r="CH245" s="187">
        <f>IF(AND(Input_Product=Elig!$C245,Elig_MatchAll_Ct&lt;22,$BC245=(Elig_MatchAll_Ct-1),AZ245=0),AC245,0)</f>
        <v>0</v>
      </c>
      <c r="CI245" s="186">
        <f>IF(AND(Input_Product=Elig!$C245,Elig_MatchAll_Ct&lt;22,$BC245=(Elig_MatchAll_Ct-1),BA245=0),AD245,0)</f>
        <v>0</v>
      </c>
      <c r="CJ245" s="187">
        <f>IF(AND(Input_Product=Elig!$C245,Elig_MatchAll_Ct&lt;22,$BC245=(Elig_MatchAll_Ct-1),BA245=0),AE245,0)</f>
        <v>0</v>
      </c>
    </row>
    <row r="246" spans="1:88" ht="10.15" customHeight="1" x14ac:dyDescent="0.25">
      <c r="A246" s="1419" t="s">
        <v>76</v>
      </c>
      <c r="B246" s="1419" t="s">
        <v>2079</v>
      </c>
      <c r="C246" s="123" t="str">
        <f t="shared" si="82"/>
        <v>NonQM OO</v>
      </c>
      <c r="D246" s="124" t="s">
        <v>1995</v>
      </c>
      <c r="E246" s="125" t="s">
        <v>166</v>
      </c>
      <c r="F246" s="125" t="s">
        <v>330</v>
      </c>
      <c r="G246" s="125" t="s">
        <v>465</v>
      </c>
      <c r="H246" s="125" t="s">
        <v>135</v>
      </c>
      <c r="I246" s="124" t="s">
        <v>273</v>
      </c>
      <c r="J246" s="124" t="s">
        <v>1130</v>
      </c>
      <c r="K246" s="124" t="s">
        <v>1398</v>
      </c>
      <c r="L246" s="125" t="s">
        <v>2025</v>
      </c>
      <c r="M246" s="125" t="s">
        <v>2289</v>
      </c>
      <c r="N246" s="125" t="s">
        <v>82</v>
      </c>
      <c r="O246" s="125" t="s">
        <v>309</v>
      </c>
      <c r="P246" s="125" t="s">
        <v>2433</v>
      </c>
      <c r="Q246" s="125" t="s">
        <v>293</v>
      </c>
      <c r="R246" s="124">
        <v>3500000.01</v>
      </c>
      <c r="S246" s="124">
        <v>4000000</v>
      </c>
      <c r="T246" s="124">
        <v>0</v>
      </c>
      <c r="U246" s="124">
        <v>0</v>
      </c>
      <c r="V246" s="124">
        <v>0</v>
      </c>
      <c r="W246" s="124">
        <v>55</v>
      </c>
      <c r="X246" s="124">
        <v>0</v>
      </c>
      <c r="Y246" s="124">
        <v>999</v>
      </c>
      <c r="Z246" s="126">
        <v>720</v>
      </c>
      <c r="AA246" s="126">
        <v>999</v>
      </c>
      <c r="AB246" s="1879">
        <v>0</v>
      </c>
      <c r="AC246" s="126">
        <v>999999</v>
      </c>
      <c r="AD246" s="124">
        <v>0</v>
      </c>
      <c r="AE246" s="124">
        <v>70</v>
      </c>
      <c r="AF246" s="144">
        <v>0</v>
      </c>
      <c r="AG246" s="145">
        <v>1</v>
      </c>
      <c r="AH246" s="145">
        <v>1</v>
      </c>
      <c r="AI246" s="145">
        <v>0</v>
      </c>
      <c r="AJ246" s="145">
        <v>0</v>
      </c>
      <c r="AK246" s="145">
        <v>1</v>
      </c>
      <c r="AL246" s="145">
        <v>1</v>
      </c>
      <c r="AM246" s="145">
        <v>1</v>
      </c>
      <c r="AN246" s="145">
        <v>1</v>
      </c>
      <c r="AO246" s="145">
        <v>1</v>
      </c>
      <c r="AP246" s="145">
        <v>1</v>
      </c>
      <c r="AQ246" s="145">
        <v>0</v>
      </c>
      <c r="AR246" s="145">
        <v>1</v>
      </c>
      <c r="AS246" s="145">
        <v>1</v>
      </c>
      <c r="AT246" s="145">
        <v>1</v>
      </c>
      <c r="AU246" s="145">
        <f t="shared" si="55"/>
        <v>0</v>
      </c>
      <c r="AV246" s="145">
        <f t="shared" si="56"/>
        <v>1</v>
      </c>
      <c r="AW246" s="145">
        <f t="shared" si="57"/>
        <v>1</v>
      </c>
      <c r="AX246" s="145">
        <f t="shared" si="73"/>
        <v>1</v>
      </c>
      <c r="AY246" s="145">
        <f t="shared" si="58"/>
        <v>1</v>
      </c>
      <c r="AZ246" s="145">
        <f t="shared" si="59"/>
        <v>1</v>
      </c>
      <c r="BA246" s="146">
        <f t="shared" si="60"/>
        <v>1</v>
      </c>
      <c r="BB246" s="149">
        <f t="shared" si="83"/>
        <v>17</v>
      </c>
      <c r="BC246" s="150">
        <f t="shared" si="84"/>
        <v>16</v>
      </c>
      <c r="BD246" s="150">
        <f t="shared" si="85"/>
        <v>17</v>
      </c>
      <c r="BE246" s="211" t="str">
        <f t="shared" si="86"/>
        <v/>
      </c>
      <c r="BH246" s="184">
        <f>IF(AND(Input_Product=Elig!$C246,Elig_MatchAll_Ct&lt;22,$BC246=(Elig_MatchAll_Ct-1),AF246=0),C246,0)</f>
        <v>0</v>
      </c>
      <c r="BI246" s="184">
        <f>IF(AND(Input_Product=Elig!$C246,Elig_MatchAll_Ct&lt;22,$BC246=(Elig_MatchAll_Ct-1),AG246=0),D246,0)</f>
        <v>0</v>
      </c>
      <c r="BJ246" s="184">
        <f>IF(AND(Input_Product=Elig!$C246,Elig_MatchAll_Ct&lt;22,$BC246=(Elig_MatchAll_Ct-1),AH246=0),E246,0)</f>
        <v>0</v>
      </c>
      <c r="BK246" s="184">
        <f>IF(AND(Input_Product=Elig!$C246,Elig_MatchAll_Ct&lt;22,$BC246=(Elig_MatchAll_Ct-1),AI246=0),F246,0)</f>
        <v>0</v>
      </c>
      <c r="BL246" s="184">
        <f>IF(AND(Input_Product=Elig!$C246,Elig_MatchAll_Ct&lt;22,$BC246=(Elig_MatchAll_Ct-1),AJ246=0),G246,0)</f>
        <v>0</v>
      </c>
      <c r="BM246" s="184">
        <f>IF(AND(Input_Product=Elig!$C246,Elig_MatchAll_Ct&lt;22,$BC246=(Elig_MatchAll_Ct-1),AK246=0),H246,0)</f>
        <v>0</v>
      </c>
      <c r="BN246" s="184">
        <f>IF(AND(Input_Product=Elig!$C246,Elig_MatchAll_Ct&lt;22,$BC246=(Elig_MatchAll_Ct-1),AL246=0),I246,0)</f>
        <v>0</v>
      </c>
      <c r="BO246" s="184">
        <f>IF(AND(Input_Product=Elig!$C246,Elig_MatchAll_Ct&lt;22,$BC246=(Elig_MatchAll_Ct-1),AM246=0),J246,0)</f>
        <v>0</v>
      </c>
      <c r="BP246" s="184">
        <f>IF(AND(Input_Product=Elig!$C246,Elig_MatchAll_Ct&lt;22,$BC246=(Elig_MatchAll_Ct-1),AN246=0),K246,0)</f>
        <v>0</v>
      </c>
      <c r="BQ246" s="184">
        <f>IF(AND(Input_Product=Elig!$C246,Elig_MatchAll_Ct&lt;22,$BC246=(Elig_MatchAll_Ct-1),AP246=0),L246,0)</f>
        <v>0</v>
      </c>
      <c r="BR246" s="184">
        <f>IF(AND(Input_Product=Elig!$C246,Elig_MatchAll_Ct&lt;22,$BC246=(Elig_MatchAll_Ct-1),AO246=0),M246,0)</f>
        <v>0</v>
      </c>
      <c r="BS246" s="184">
        <f>IF(AND(Input_Product=Elig!$C246,Elig_MatchAll_Ct&lt;22,$BC246=(Elig_MatchAll_Ct-1),AQ246=0),N246,0)</f>
        <v>0</v>
      </c>
      <c r="BT246" s="184">
        <f>IF(AND(Input_Product=Elig!$C246,Elig_MatchAll_Ct&lt;22,$BC246=(Elig_MatchAll_Ct-1),AR246=0),O246,0)</f>
        <v>0</v>
      </c>
      <c r="BU246" s="184">
        <f>IF(AND(Input_Product=Elig!$C246,Elig_MatchAll_Ct&lt;22,$BC246=(Elig_MatchAll_Ct-1),AS246=0),P246,0)</f>
        <v>0</v>
      </c>
      <c r="BV246" s="185">
        <f>IF(AND(Input_Product=Elig!$C246,Elig_MatchAll_Ct&lt;22,$BC246=(Elig_MatchAll_Ct-1),AT246=0),Q246,0)</f>
        <v>0</v>
      </c>
      <c r="BW246" s="186">
        <f>IF(AND(Input_Product=Elig!$C246,Elig_MatchAll_Ct&lt;22,$BC246=(Elig_MatchAll_Ct-1),AU246=0),R246,0)</f>
        <v>0</v>
      </c>
      <c r="BX246" s="187">
        <f>IF(AND(Input_Product=Elig!$C246,Elig_MatchAll_Ct&lt;22,$BC246=(Elig_MatchAll_Ct-1),AU246=0),S246,0)</f>
        <v>0</v>
      </c>
      <c r="BY246" s="186">
        <f>IF(AND(Input_Product=Elig!$C246,Elig_MatchAll_Ct&lt;22,$BC246=(Elig_MatchAll_Ct-1),AV246=0),T246,0)</f>
        <v>0</v>
      </c>
      <c r="BZ246" s="187">
        <f>IF(AND(Input_Product=Elig!$C246,Elig_MatchAll_Ct&lt;22,$BC246=(Elig_MatchAll_Ct-1),AV246=0),U246,0)</f>
        <v>0</v>
      </c>
      <c r="CA246" s="186">
        <f>IF(AND(Input_Product=Elig!$C246,Elig_MatchAll_Ct&lt;22,$BC246=(Elig_MatchAll_Ct-1),AW246=0),V246,0)</f>
        <v>0</v>
      </c>
      <c r="CB246" s="187">
        <f>IF(AND(Input_Product=Elig!$C246,Elig_MatchAll_Ct&lt;22,$BC246=(Elig_MatchAll_Ct-1),AW246=0),W246,0)</f>
        <v>0</v>
      </c>
      <c r="CC246" s="186">
        <f>IF(AND(Input_Product=Elig!$C246,Elig_MatchAll_Ct&lt;22,$BC246=(Elig_MatchAll_Ct-1),AX246=0),X246,0)</f>
        <v>0</v>
      </c>
      <c r="CD246" s="187">
        <f>IF(AND(Input_Product=Elig!$C246,Elig_MatchAll_Ct&lt;22,$BC246=(Elig_MatchAll_Ct-1),AX246=0),Y246,0)</f>
        <v>0</v>
      </c>
      <c r="CE246" s="186">
        <f>IF(AND(Input_LTV&lt;=AE246,Input_Product=Elig!$C246,Elig_MatchAll_Ct&lt;22,$BC246=(Elig_MatchAll_Ct-1),AY246=0),Z246,0)</f>
        <v>0</v>
      </c>
      <c r="CF246" s="187">
        <f>IF(AND(Input_LTV&lt;=AE246,Input_Product=Elig!$C246,Elig_MatchAll_Ct&lt;22,$BC246=(Elig_MatchAll_Ct-1),AY246=0),AA246,0)</f>
        <v>0</v>
      </c>
      <c r="CG246" s="186">
        <f>IF(AND(Input_Product=Elig!$C246,Elig_MatchAll_Ct&lt;22,$BC246=(Elig_MatchAll_Ct-1),AZ246=0),AB246,0)</f>
        <v>0</v>
      </c>
      <c r="CH246" s="187">
        <f>IF(AND(Input_Product=Elig!$C246,Elig_MatchAll_Ct&lt;22,$BC246=(Elig_MatchAll_Ct-1),AZ246=0),AC246,0)</f>
        <v>0</v>
      </c>
      <c r="CI246" s="186">
        <f>IF(AND(Input_Product=Elig!$C246,Elig_MatchAll_Ct&lt;22,$BC246=(Elig_MatchAll_Ct-1),BA246=0),AD246,0)</f>
        <v>0</v>
      </c>
      <c r="CJ246" s="187">
        <f>IF(AND(Input_Product=Elig!$C246,Elig_MatchAll_Ct&lt;22,$BC246=(Elig_MatchAll_Ct-1),BA246=0),AE246,0)</f>
        <v>0</v>
      </c>
    </row>
    <row r="247" spans="1:88" ht="10.15" customHeight="1" x14ac:dyDescent="0.25">
      <c r="A247" s="1419" t="s">
        <v>76</v>
      </c>
      <c r="B247" s="1419" t="s">
        <v>2080</v>
      </c>
      <c r="C247" s="123" t="str">
        <f t="shared" si="82"/>
        <v>NonQM OO</v>
      </c>
      <c r="D247" s="124" t="s">
        <v>1995</v>
      </c>
      <c r="E247" s="125" t="s">
        <v>166</v>
      </c>
      <c r="F247" s="125" t="s">
        <v>330</v>
      </c>
      <c r="G247" s="125" t="s">
        <v>465</v>
      </c>
      <c r="H247" s="125" t="s">
        <v>135</v>
      </c>
      <c r="I247" s="124" t="s">
        <v>16</v>
      </c>
      <c r="J247" s="124" t="s">
        <v>1130</v>
      </c>
      <c r="K247" s="124" t="s">
        <v>1398</v>
      </c>
      <c r="L247" s="125" t="s">
        <v>2025</v>
      </c>
      <c r="M247" s="125" t="s">
        <v>2289</v>
      </c>
      <c r="N247" s="125" t="s">
        <v>82</v>
      </c>
      <c r="O247" s="125" t="s">
        <v>309</v>
      </c>
      <c r="P247" s="125" t="s">
        <v>2433</v>
      </c>
      <c r="Q247" s="125" t="s">
        <v>293</v>
      </c>
      <c r="R247" s="124">
        <v>3500000.01</v>
      </c>
      <c r="S247" s="124">
        <v>4000000</v>
      </c>
      <c r="T247" s="124">
        <v>0</v>
      </c>
      <c r="U247" s="124">
        <f t="shared" ref="U247" si="92">S247</f>
        <v>4000000</v>
      </c>
      <c r="V247" s="124">
        <v>0</v>
      </c>
      <c r="W247" s="124">
        <v>55</v>
      </c>
      <c r="X247" s="124">
        <v>0</v>
      </c>
      <c r="Y247" s="124">
        <v>999</v>
      </c>
      <c r="Z247" s="126">
        <v>720</v>
      </c>
      <c r="AA247" s="126">
        <v>999</v>
      </c>
      <c r="AB247" s="1879">
        <v>0</v>
      </c>
      <c r="AC247" s="126">
        <v>999999</v>
      </c>
      <c r="AD247" s="124">
        <v>0</v>
      </c>
      <c r="AE247" s="124">
        <v>50</v>
      </c>
      <c r="AF247" s="144">
        <v>0</v>
      </c>
      <c r="AG247" s="145">
        <v>1</v>
      </c>
      <c r="AH247" s="145">
        <v>1</v>
      </c>
      <c r="AI247" s="145">
        <v>0</v>
      </c>
      <c r="AJ247" s="145">
        <v>0</v>
      </c>
      <c r="AK247" s="145">
        <v>1</v>
      </c>
      <c r="AL247" s="145">
        <v>0</v>
      </c>
      <c r="AM247" s="145">
        <v>1</v>
      </c>
      <c r="AN247" s="145">
        <v>1</v>
      </c>
      <c r="AO247" s="145">
        <v>1</v>
      </c>
      <c r="AP247" s="145">
        <v>1</v>
      </c>
      <c r="AQ247" s="145">
        <v>0</v>
      </c>
      <c r="AR247" s="145">
        <v>1</v>
      </c>
      <c r="AS247" s="145">
        <v>1</v>
      </c>
      <c r="AT247" s="145">
        <v>1</v>
      </c>
      <c r="AU247" s="145">
        <f t="shared" si="55"/>
        <v>0</v>
      </c>
      <c r="AV247" s="145">
        <f t="shared" si="56"/>
        <v>1</v>
      </c>
      <c r="AW247" s="145">
        <f t="shared" si="57"/>
        <v>1</v>
      </c>
      <c r="AX247" s="145">
        <f t="shared" si="73"/>
        <v>1</v>
      </c>
      <c r="AY247" s="145">
        <f t="shared" si="58"/>
        <v>1</v>
      </c>
      <c r="AZ247" s="145">
        <f t="shared" si="59"/>
        <v>1</v>
      </c>
      <c r="BA247" s="146">
        <f t="shared" si="60"/>
        <v>0</v>
      </c>
      <c r="BB247" s="149">
        <f t="shared" si="83"/>
        <v>15</v>
      </c>
      <c r="BC247" s="150">
        <f t="shared" si="84"/>
        <v>15</v>
      </c>
      <c r="BD247" s="150">
        <f t="shared" si="85"/>
        <v>15</v>
      </c>
      <c r="BE247" s="211" t="str">
        <f t="shared" si="86"/>
        <v/>
      </c>
      <c r="BH247" s="184">
        <f>IF(AND(Input_Product=Elig!$C247,Elig_MatchAll_Ct&lt;22,$BC247=(Elig_MatchAll_Ct-1),AF247=0),C247,0)</f>
        <v>0</v>
      </c>
      <c r="BI247" s="184">
        <f>IF(AND(Input_Product=Elig!$C247,Elig_MatchAll_Ct&lt;22,$BC247=(Elig_MatchAll_Ct-1),AG247=0),D247,0)</f>
        <v>0</v>
      </c>
      <c r="BJ247" s="184">
        <f>IF(AND(Input_Product=Elig!$C247,Elig_MatchAll_Ct&lt;22,$BC247=(Elig_MatchAll_Ct-1),AH247=0),E247,0)</f>
        <v>0</v>
      </c>
      <c r="BK247" s="184">
        <f>IF(AND(Input_Product=Elig!$C247,Elig_MatchAll_Ct&lt;22,$BC247=(Elig_MatchAll_Ct-1),AI247=0),F247,0)</f>
        <v>0</v>
      </c>
      <c r="BL247" s="184">
        <f>IF(AND(Input_Product=Elig!$C247,Elig_MatchAll_Ct&lt;22,$BC247=(Elig_MatchAll_Ct-1),AJ247=0),G247,0)</f>
        <v>0</v>
      </c>
      <c r="BM247" s="184">
        <f>IF(AND(Input_Product=Elig!$C247,Elig_MatchAll_Ct&lt;22,$BC247=(Elig_MatchAll_Ct-1),AK247=0),H247,0)</f>
        <v>0</v>
      </c>
      <c r="BN247" s="184">
        <f>IF(AND(Input_Product=Elig!$C247,Elig_MatchAll_Ct&lt;22,$BC247=(Elig_MatchAll_Ct-1),AL247=0),I247,0)</f>
        <v>0</v>
      </c>
      <c r="BO247" s="184">
        <f>IF(AND(Input_Product=Elig!$C247,Elig_MatchAll_Ct&lt;22,$BC247=(Elig_MatchAll_Ct-1),AM247=0),J247,0)</f>
        <v>0</v>
      </c>
      <c r="BP247" s="184">
        <f>IF(AND(Input_Product=Elig!$C247,Elig_MatchAll_Ct&lt;22,$BC247=(Elig_MatchAll_Ct-1),AN247=0),K247,0)</f>
        <v>0</v>
      </c>
      <c r="BQ247" s="184">
        <f>IF(AND(Input_Product=Elig!$C247,Elig_MatchAll_Ct&lt;22,$BC247=(Elig_MatchAll_Ct-1),AP247=0),L247,0)</f>
        <v>0</v>
      </c>
      <c r="BR247" s="184">
        <f>IF(AND(Input_Product=Elig!$C247,Elig_MatchAll_Ct&lt;22,$BC247=(Elig_MatchAll_Ct-1),AO247=0),M247,0)</f>
        <v>0</v>
      </c>
      <c r="BS247" s="184">
        <f>IF(AND(Input_Product=Elig!$C247,Elig_MatchAll_Ct&lt;22,$BC247=(Elig_MatchAll_Ct-1),AQ247=0),N247,0)</f>
        <v>0</v>
      </c>
      <c r="BT247" s="184">
        <f>IF(AND(Input_Product=Elig!$C247,Elig_MatchAll_Ct&lt;22,$BC247=(Elig_MatchAll_Ct-1),AR247=0),O247,0)</f>
        <v>0</v>
      </c>
      <c r="BU247" s="184">
        <f>IF(AND(Input_Product=Elig!$C247,Elig_MatchAll_Ct&lt;22,$BC247=(Elig_MatchAll_Ct-1),AS247=0),P247,0)</f>
        <v>0</v>
      </c>
      <c r="BV247" s="185">
        <f>IF(AND(Input_Product=Elig!$C247,Elig_MatchAll_Ct&lt;22,$BC247=(Elig_MatchAll_Ct-1),AT247=0),Q247,0)</f>
        <v>0</v>
      </c>
      <c r="BW247" s="186">
        <f>IF(AND(Input_Product=Elig!$C247,Elig_MatchAll_Ct&lt;22,$BC247=(Elig_MatchAll_Ct-1),AU247=0),R247,0)</f>
        <v>0</v>
      </c>
      <c r="BX247" s="187">
        <f>IF(AND(Input_Product=Elig!$C247,Elig_MatchAll_Ct&lt;22,$BC247=(Elig_MatchAll_Ct-1),AU247=0),S247,0)</f>
        <v>0</v>
      </c>
      <c r="BY247" s="186">
        <f>IF(AND(Input_Product=Elig!$C247,Elig_MatchAll_Ct&lt;22,$BC247=(Elig_MatchAll_Ct-1),AV247=0),T247,0)</f>
        <v>0</v>
      </c>
      <c r="BZ247" s="187">
        <f>IF(AND(Input_Product=Elig!$C247,Elig_MatchAll_Ct&lt;22,$BC247=(Elig_MatchAll_Ct-1),AV247=0),U247,0)</f>
        <v>0</v>
      </c>
      <c r="CA247" s="186">
        <f>IF(AND(Input_Product=Elig!$C247,Elig_MatchAll_Ct&lt;22,$BC247=(Elig_MatchAll_Ct-1),AW247=0),V247,0)</f>
        <v>0</v>
      </c>
      <c r="CB247" s="187">
        <f>IF(AND(Input_Product=Elig!$C247,Elig_MatchAll_Ct&lt;22,$BC247=(Elig_MatchAll_Ct-1),AW247=0),W247,0)</f>
        <v>0</v>
      </c>
      <c r="CC247" s="186">
        <f>IF(AND(Input_Product=Elig!$C247,Elig_MatchAll_Ct&lt;22,$BC247=(Elig_MatchAll_Ct-1),AX247=0),X247,0)</f>
        <v>0</v>
      </c>
      <c r="CD247" s="187">
        <f>IF(AND(Input_Product=Elig!$C247,Elig_MatchAll_Ct&lt;22,$BC247=(Elig_MatchAll_Ct-1),AX247=0),Y247,0)</f>
        <v>0</v>
      </c>
      <c r="CE247" s="186">
        <f>IF(AND(Input_LTV&lt;=AE247,Input_Product=Elig!$C247,Elig_MatchAll_Ct&lt;22,$BC247=(Elig_MatchAll_Ct-1),AY247=0),Z247,0)</f>
        <v>0</v>
      </c>
      <c r="CF247" s="187">
        <f>IF(AND(Input_LTV&lt;=AE247,Input_Product=Elig!$C247,Elig_MatchAll_Ct&lt;22,$BC247=(Elig_MatchAll_Ct-1),AY247=0),AA247,0)</f>
        <v>0</v>
      </c>
      <c r="CG247" s="186">
        <f>IF(AND(Input_Product=Elig!$C247,Elig_MatchAll_Ct&lt;22,$BC247=(Elig_MatchAll_Ct-1),AZ247=0),AB247,0)</f>
        <v>0</v>
      </c>
      <c r="CH247" s="187">
        <f>IF(AND(Input_Product=Elig!$C247,Elig_MatchAll_Ct&lt;22,$BC247=(Elig_MatchAll_Ct-1),AZ247=0),AC247,0)</f>
        <v>0</v>
      </c>
      <c r="CI247" s="186">
        <f>IF(AND(Input_Product=Elig!$C247,Elig_MatchAll_Ct&lt;22,$BC247=(Elig_MatchAll_Ct-1),BA247=0),AD247,0)</f>
        <v>0</v>
      </c>
      <c r="CJ247" s="187">
        <f>IF(AND(Input_Product=Elig!$C247,Elig_MatchAll_Ct&lt;22,$BC247=(Elig_MatchAll_Ct-1),BA247=0),AE247,0)</f>
        <v>0</v>
      </c>
    </row>
    <row r="248" spans="1:88" ht="10.15" customHeight="1" x14ac:dyDescent="0.25">
      <c r="A248" s="247" t="s">
        <v>76</v>
      </c>
      <c r="B248" s="247" t="s">
        <v>889</v>
      </c>
      <c r="C248" s="246" t="str">
        <f t="shared" ref="C248:C311" si="93">Input_Name_Product2</f>
        <v>NonQM NOO</v>
      </c>
      <c r="D248" s="247" t="s">
        <v>1995</v>
      </c>
      <c r="E248" s="248" t="s">
        <v>166</v>
      </c>
      <c r="F248" s="248" t="s">
        <v>329</v>
      </c>
      <c r="G248" s="248" t="s">
        <v>302</v>
      </c>
      <c r="H248" s="248" t="s">
        <v>135</v>
      </c>
      <c r="I248" s="247" t="s">
        <v>273</v>
      </c>
      <c r="J248" s="247" t="s">
        <v>1130</v>
      </c>
      <c r="K248" s="247" t="s">
        <v>1398</v>
      </c>
      <c r="L248" s="248" t="s">
        <v>311</v>
      </c>
      <c r="M248" s="248" t="s">
        <v>2289</v>
      </c>
      <c r="N248" s="248" t="s">
        <v>1844</v>
      </c>
      <c r="O248" s="248" t="s">
        <v>309</v>
      </c>
      <c r="P248" s="248" t="s">
        <v>2434</v>
      </c>
      <c r="Q248" s="248" t="s">
        <v>293</v>
      </c>
      <c r="R248" s="247">
        <v>100000</v>
      </c>
      <c r="S248" s="247">
        <v>1000000</v>
      </c>
      <c r="T248" s="247">
        <v>0</v>
      </c>
      <c r="U248" s="247">
        <v>0</v>
      </c>
      <c r="V248" s="247">
        <v>0</v>
      </c>
      <c r="W248" s="247">
        <v>55</v>
      </c>
      <c r="X248" s="247">
        <v>0</v>
      </c>
      <c r="Y248" s="247">
        <v>999</v>
      </c>
      <c r="Z248" s="249">
        <v>720</v>
      </c>
      <c r="AA248" s="249">
        <v>999</v>
      </c>
      <c r="AB248" s="1882">
        <v>0</v>
      </c>
      <c r="AC248" s="249">
        <v>999999</v>
      </c>
      <c r="AD248" s="247">
        <v>0</v>
      </c>
      <c r="AE248" s="250">
        <v>85</v>
      </c>
      <c r="AF248" s="144">
        <v>0</v>
      </c>
      <c r="AG248" s="145">
        <v>1</v>
      </c>
      <c r="AH248" s="145">
        <v>1</v>
      </c>
      <c r="AI248" s="145">
        <v>1</v>
      </c>
      <c r="AJ248" s="145">
        <v>0</v>
      </c>
      <c r="AK248" s="145">
        <v>1</v>
      </c>
      <c r="AL248" s="145">
        <v>1</v>
      </c>
      <c r="AM248" s="145">
        <v>1</v>
      </c>
      <c r="AN248" s="145">
        <v>1</v>
      </c>
      <c r="AO248" s="145">
        <v>1</v>
      </c>
      <c r="AP248" s="145">
        <v>1</v>
      </c>
      <c r="AQ248" s="145">
        <v>1</v>
      </c>
      <c r="AR248" s="145">
        <v>1</v>
      </c>
      <c r="AS248" s="145">
        <v>1</v>
      </c>
      <c r="AT248" s="145">
        <v>1</v>
      </c>
      <c r="AU248" s="145">
        <f t="shared" si="55"/>
        <v>1</v>
      </c>
      <c r="AV248" s="145">
        <f t="shared" si="56"/>
        <v>1</v>
      </c>
      <c r="AW248" s="145">
        <f t="shared" si="57"/>
        <v>1</v>
      </c>
      <c r="AX248" s="145">
        <f t="shared" si="73"/>
        <v>1</v>
      </c>
      <c r="AY248" s="145">
        <f t="shared" si="58"/>
        <v>1</v>
      </c>
      <c r="AZ248" s="145">
        <f t="shared" si="59"/>
        <v>1</v>
      </c>
      <c r="BA248" s="146">
        <f t="shared" si="60"/>
        <v>1</v>
      </c>
      <c r="BB248" s="149">
        <f t="shared" si="83"/>
        <v>20</v>
      </c>
      <c r="BC248" s="150">
        <f t="shared" si="84"/>
        <v>19</v>
      </c>
      <c r="BD248" s="150">
        <f t="shared" si="85"/>
        <v>20</v>
      </c>
      <c r="BE248" s="211" t="str">
        <f t="shared" si="86"/>
        <v/>
      </c>
      <c r="BH248" s="190">
        <f>IF(AND(Input_Product=Elig!$C248,Elig_MatchAll_Ct&lt;22,$BC248=(Elig_MatchAll_Ct-1),AF248=0),C248,0)</f>
        <v>0</v>
      </c>
      <c r="BI248" s="190">
        <f>IF(AND(Input_Product=Elig!$C248,Elig_MatchAll_Ct&lt;22,$BC248=(Elig_MatchAll_Ct-1),AG248=0),D248,0)</f>
        <v>0</v>
      </c>
      <c r="BJ248" s="190">
        <f>IF(AND(Input_Product=Elig!$C248,Elig_MatchAll_Ct&lt;22,$BC248=(Elig_MatchAll_Ct-1),AH248=0),E248,0)</f>
        <v>0</v>
      </c>
      <c r="BK248" s="190">
        <f>IF(AND(Input_Product=Elig!$C248,Elig_MatchAll_Ct&lt;22,$BC248=(Elig_MatchAll_Ct-1),AI248=0),F248,0)</f>
        <v>0</v>
      </c>
      <c r="BL248" s="190">
        <f>IF(AND(Input_Product=Elig!$C248,Elig_MatchAll_Ct&lt;22,$BC248=(Elig_MatchAll_Ct-1),AJ248=0),G248,0)</f>
        <v>0</v>
      </c>
      <c r="BM248" s="190">
        <f>IF(AND(Input_Product=Elig!$C248,Elig_MatchAll_Ct&lt;22,$BC248=(Elig_MatchAll_Ct-1),AK248=0),H248,0)</f>
        <v>0</v>
      </c>
      <c r="BN248" s="190">
        <f>IF(AND(Input_Product=Elig!$C248,Elig_MatchAll_Ct&lt;22,$BC248=(Elig_MatchAll_Ct-1),AL248=0),I248,0)</f>
        <v>0</v>
      </c>
      <c r="BO248" s="190">
        <f>IF(AND(Input_Product=Elig!$C248,Elig_MatchAll_Ct&lt;22,$BC248=(Elig_MatchAll_Ct-1),AM248=0),J248,0)</f>
        <v>0</v>
      </c>
      <c r="BP248" s="190">
        <f>IF(AND(Input_Product=Elig!$C248,Elig_MatchAll_Ct&lt;22,$BC248=(Elig_MatchAll_Ct-1),AN248=0),K248,0)</f>
        <v>0</v>
      </c>
      <c r="BQ248" s="190">
        <f>IF(AND(Input_Product=Elig!$C248,Elig_MatchAll_Ct&lt;22,$BC248=(Elig_MatchAll_Ct-1),AP248=0),L248,0)</f>
        <v>0</v>
      </c>
      <c r="BR248" s="190">
        <f>IF(AND(Input_Product=Elig!$C248,Elig_MatchAll_Ct&lt;22,$BC248=(Elig_MatchAll_Ct-1),AO248=0),M248,0)</f>
        <v>0</v>
      </c>
      <c r="BS248" s="190">
        <f>IF(AND(Input_Product=Elig!$C248,Elig_MatchAll_Ct&lt;22,$BC248=(Elig_MatchAll_Ct-1),AQ248=0),N248,0)</f>
        <v>0</v>
      </c>
      <c r="BT248" s="190">
        <f>IF(AND(Input_Product=Elig!$C248,Elig_MatchAll_Ct&lt;22,$BC248=(Elig_MatchAll_Ct-1),AR248=0),O248,0)</f>
        <v>0</v>
      </c>
      <c r="BU248" s="190">
        <f>IF(AND(Input_Product=Elig!$C248,Elig_MatchAll_Ct&lt;22,$BC248=(Elig_MatchAll_Ct-1),AS248=0),P248,0)</f>
        <v>0</v>
      </c>
      <c r="BV248" s="191">
        <f>IF(AND(Input_Product=Elig!$C248,Elig_MatchAll_Ct&lt;22,$BC248=(Elig_MatchAll_Ct-1),AT248=0),Q248,0)</f>
        <v>0</v>
      </c>
      <c r="BW248" s="186">
        <f>IF(AND(Input_Product=Elig!$C248,Elig_MatchAll_Ct&lt;22,$BC248=(Elig_MatchAll_Ct-1),AU248=0),R248,0)</f>
        <v>0</v>
      </c>
      <c r="BX248" s="187">
        <f>IF(AND(Input_Product=Elig!$C248,Elig_MatchAll_Ct&lt;22,$BC248=(Elig_MatchAll_Ct-1),AU248=0),S248,0)</f>
        <v>0</v>
      </c>
      <c r="BY248" s="186">
        <f>IF(AND(Input_Product=Elig!$C248,Elig_MatchAll_Ct&lt;22,$BC248=(Elig_MatchAll_Ct-1),AV248=0),T248,0)</f>
        <v>0</v>
      </c>
      <c r="BZ248" s="187">
        <f>IF(AND(Input_Product=Elig!$C248,Elig_MatchAll_Ct&lt;22,$BC248=(Elig_MatchAll_Ct-1),AV248=0),U248,0)</f>
        <v>0</v>
      </c>
      <c r="CA248" s="186">
        <f>IF(AND(Input_Product=Elig!$C248,Elig_MatchAll_Ct&lt;22,$BC248=(Elig_MatchAll_Ct-1),AW248=0),V248,0)</f>
        <v>0</v>
      </c>
      <c r="CB248" s="187">
        <f>IF(AND(Input_Product=Elig!$C248,Elig_MatchAll_Ct&lt;22,$BC248=(Elig_MatchAll_Ct-1),AW248=0),W248,0)</f>
        <v>0</v>
      </c>
      <c r="CC248" s="186">
        <f>IF(AND(Input_Product=Elig!$C248,Elig_MatchAll_Ct&lt;22,$BC248=(Elig_MatchAll_Ct-1),AX248=0),X248,0)</f>
        <v>0</v>
      </c>
      <c r="CD248" s="187">
        <f>IF(AND(Input_Product=Elig!$C248,Elig_MatchAll_Ct&lt;22,$BC248=(Elig_MatchAll_Ct-1),AX248=0),Y248,0)</f>
        <v>0</v>
      </c>
      <c r="CE248" s="186">
        <f>IF(AND(Input_LTV&lt;=AE248,Input_Product=Elig!$C248,Elig_MatchAll_Ct&lt;22,$BC248=(Elig_MatchAll_Ct-1),AY248=0),Z248,0)</f>
        <v>0</v>
      </c>
      <c r="CF248" s="187">
        <f>IF(AND(Input_LTV&lt;=AE248,Input_Product=Elig!$C248,Elig_MatchAll_Ct&lt;22,$BC248=(Elig_MatchAll_Ct-1),AY248=0),AA248,0)</f>
        <v>0</v>
      </c>
      <c r="CG248" s="186">
        <f>IF(AND(Input_Product=Elig!$C248,Elig_MatchAll_Ct&lt;22,$BC248=(Elig_MatchAll_Ct-1),AZ248=0),AB248,0)</f>
        <v>0</v>
      </c>
      <c r="CH248" s="187">
        <f>IF(AND(Input_Product=Elig!$C248,Elig_MatchAll_Ct&lt;22,$BC248=(Elig_MatchAll_Ct-1),AZ248=0),AC248,0)</f>
        <v>0</v>
      </c>
      <c r="CI248" s="186">
        <f>IF(AND(Input_Product=Elig!$C248,Elig_MatchAll_Ct&lt;22,$BC248=(Elig_MatchAll_Ct-1),BA248=0),AD248,0)</f>
        <v>0</v>
      </c>
      <c r="CJ248" s="187">
        <f>IF(AND(Input_Product=Elig!$C248,Elig_MatchAll_Ct&lt;22,$BC248=(Elig_MatchAll_Ct-1),BA248=0),AE248,0)</f>
        <v>0</v>
      </c>
    </row>
    <row r="249" spans="1:88" ht="10.15" customHeight="1" x14ac:dyDescent="0.25">
      <c r="A249" s="252" t="s">
        <v>76</v>
      </c>
      <c r="B249" s="252" t="s">
        <v>890</v>
      </c>
      <c r="C249" s="251" t="str">
        <f t="shared" si="93"/>
        <v>NonQM NOO</v>
      </c>
      <c r="D249" s="252" t="s">
        <v>1995</v>
      </c>
      <c r="E249" s="252" t="s">
        <v>166</v>
      </c>
      <c r="F249" s="252" t="s">
        <v>329</v>
      </c>
      <c r="G249" s="252" t="s">
        <v>302</v>
      </c>
      <c r="H249" s="252" t="s">
        <v>135</v>
      </c>
      <c r="I249" s="253" t="s">
        <v>273</v>
      </c>
      <c r="J249" s="253" t="s">
        <v>1130</v>
      </c>
      <c r="K249" s="253" t="s">
        <v>1398</v>
      </c>
      <c r="L249" s="252" t="s">
        <v>311</v>
      </c>
      <c r="M249" s="252" t="s">
        <v>2289</v>
      </c>
      <c r="N249" s="252" t="s">
        <v>1844</v>
      </c>
      <c r="O249" s="252" t="s">
        <v>309</v>
      </c>
      <c r="P249" s="252" t="s">
        <v>2434</v>
      </c>
      <c r="Q249" s="252" t="s">
        <v>293</v>
      </c>
      <c r="R249" s="252">
        <v>100000</v>
      </c>
      <c r="S249" s="252">
        <v>1000000</v>
      </c>
      <c r="T249" s="252">
        <v>0</v>
      </c>
      <c r="U249" s="252">
        <v>0</v>
      </c>
      <c r="V249" s="252">
        <v>0</v>
      </c>
      <c r="W249" s="252">
        <v>55</v>
      </c>
      <c r="X249" s="252">
        <v>0</v>
      </c>
      <c r="Y249" s="252">
        <v>999</v>
      </c>
      <c r="Z249" s="254">
        <v>700</v>
      </c>
      <c r="AA249" s="254">
        <v>719</v>
      </c>
      <c r="AB249" s="1883">
        <v>0</v>
      </c>
      <c r="AC249" s="254">
        <v>999999</v>
      </c>
      <c r="AD249" s="252">
        <v>0</v>
      </c>
      <c r="AE249" s="255">
        <v>85</v>
      </c>
      <c r="AF249" s="144">
        <v>0</v>
      </c>
      <c r="AG249" s="145">
        <v>1</v>
      </c>
      <c r="AH249" s="145">
        <v>1</v>
      </c>
      <c r="AI249" s="145">
        <v>1</v>
      </c>
      <c r="AJ249" s="145">
        <v>0</v>
      </c>
      <c r="AK249" s="145">
        <v>1</v>
      </c>
      <c r="AL249" s="145">
        <v>1</v>
      </c>
      <c r="AM249" s="145">
        <v>1</v>
      </c>
      <c r="AN249" s="145">
        <v>1</v>
      </c>
      <c r="AO249" s="145">
        <v>1</v>
      </c>
      <c r="AP249" s="145">
        <v>1</v>
      </c>
      <c r="AQ249" s="145">
        <v>1</v>
      </c>
      <c r="AR249" s="145">
        <v>1</v>
      </c>
      <c r="AS249" s="145">
        <v>1</v>
      </c>
      <c r="AT249" s="145">
        <v>1</v>
      </c>
      <c r="AU249" s="145">
        <f t="shared" si="55"/>
        <v>1</v>
      </c>
      <c r="AV249" s="145">
        <f t="shared" si="56"/>
        <v>1</v>
      </c>
      <c r="AW249" s="145">
        <f t="shared" si="57"/>
        <v>1</v>
      </c>
      <c r="AX249" s="145">
        <f t="shared" si="73"/>
        <v>1</v>
      </c>
      <c r="AY249" s="145">
        <f t="shared" si="58"/>
        <v>0</v>
      </c>
      <c r="AZ249" s="145">
        <f t="shared" si="59"/>
        <v>1</v>
      </c>
      <c r="BA249" s="146">
        <f t="shared" si="60"/>
        <v>1</v>
      </c>
      <c r="BB249" s="149">
        <f t="shared" si="83"/>
        <v>19</v>
      </c>
      <c r="BC249" s="150">
        <f t="shared" si="84"/>
        <v>18</v>
      </c>
      <c r="BD249" s="150">
        <f t="shared" si="85"/>
        <v>19</v>
      </c>
      <c r="BE249" s="211" t="str">
        <f t="shared" si="86"/>
        <v/>
      </c>
      <c r="BH249" s="173">
        <f>IF(AND(Input_Product=Elig!$C249,Elig_MatchAll_Ct&lt;22,$BC249=(Elig_MatchAll_Ct-1),AF249=0),C249,0)</f>
        <v>0</v>
      </c>
      <c r="BI249" s="173">
        <f>IF(AND(Input_Product=Elig!$C249,Elig_MatchAll_Ct&lt;22,$BC249=(Elig_MatchAll_Ct-1),AG249=0),D249,0)</f>
        <v>0</v>
      </c>
      <c r="BJ249" s="173">
        <f>IF(AND(Input_Product=Elig!$C249,Elig_MatchAll_Ct&lt;22,$BC249=(Elig_MatchAll_Ct-1),AH249=0),E249,0)</f>
        <v>0</v>
      </c>
      <c r="BK249" s="173">
        <f>IF(AND(Input_Product=Elig!$C249,Elig_MatchAll_Ct&lt;22,$BC249=(Elig_MatchAll_Ct-1),AI249=0),F249,0)</f>
        <v>0</v>
      </c>
      <c r="BL249" s="173">
        <f>IF(AND(Input_Product=Elig!$C249,Elig_MatchAll_Ct&lt;22,$BC249=(Elig_MatchAll_Ct-1),AJ249=0),G249,0)</f>
        <v>0</v>
      </c>
      <c r="BM249" s="173">
        <f>IF(AND(Input_Product=Elig!$C249,Elig_MatchAll_Ct&lt;22,$BC249=(Elig_MatchAll_Ct-1),AK249=0),H249,0)</f>
        <v>0</v>
      </c>
      <c r="BN249" s="173">
        <f>IF(AND(Input_Product=Elig!$C249,Elig_MatchAll_Ct&lt;22,$BC249=(Elig_MatchAll_Ct-1),AL249=0),I249,0)</f>
        <v>0</v>
      </c>
      <c r="BO249" s="173">
        <f>IF(AND(Input_Product=Elig!$C249,Elig_MatchAll_Ct&lt;22,$BC249=(Elig_MatchAll_Ct-1),AM249=0),J249,0)</f>
        <v>0</v>
      </c>
      <c r="BP249" s="173">
        <f>IF(AND(Input_Product=Elig!$C249,Elig_MatchAll_Ct&lt;22,$BC249=(Elig_MatchAll_Ct-1),AN249=0),K249,0)</f>
        <v>0</v>
      </c>
      <c r="BQ249" s="173">
        <f>IF(AND(Input_Product=Elig!$C249,Elig_MatchAll_Ct&lt;22,$BC249=(Elig_MatchAll_Ct-1),AP249=0),L249,0)</f>
        <v>0</v>
      </c>
      <c r="BR249" s="173">
        <f>IF(AND(Input_Product=Elig!$C249,Elig_MatchAll_Ct&lt;22,$BC249=(Elig_MatchAll_Ct-1),AO249=0),M249,0)</f>
        <v>0</v>
      </c>
      <c r="BS249" s="173">
        <f>IF(AND(Input_Product=Elig!$C249,Elig_MatchAll_Ct&lt;22,$BC249=(Elig_MatchAll_Ct-1),AQ249=0),N249,0)</f>
        <v>0</v>
      </c>
      <c r="BT249" s="173">
        <f>IF(AND(Input_Product=Elig!$C249,Elig_MatchAll_Ct&lt;22,$BC249=(Elig_MatchAll_Ct-1),AR249=0),O249,0)</f>
        <v>0</v>
      </c>
      <c r="BU249" s="173">
        <f>IF(AND(Input_Product=Elig!$C249,Elig_MatchAll_Ct&lt;22,$BC249=(Elig_MatchAll_Ct-1),AS249=0),P249,0)</f>
        <v>0</v>
      </c>
      <c r="BV249" s="174">
        <f>IF(AND(Input_Product=Elig!$C249,Elig_MatchAll_Ct&lt;22,$BC249=(Elig_MatchAll_Ct-1),AT249=0),Q249,0)</f>
        <v>0</v>
      </c>
      <c r="BW249" s="175">
        <f>IF(AND(Input_Product=Elig!$C249,Elig_MatchAll_Ct&lt;22,$BC249=(Elig_MatchAll_Ct-1),AU249=0),R249,0)</f>
        <v>0</v>
      </c>
      <c r="BX249" s="176">
        <f>IF(AND(Input_Product=Elig!$C249,Elig_MatchAll_Ct&lt;22,$BC249=(Elig_MatchAll_Ct-1),AU249=0),S249,0)</f>
        <v>0</v>
      </c>
      <c r="BY249" s="175">
        <f>IF(AND(Input_Product=Elig!$C249,Elig_MatchAll_Ct&lt;22,$BC249=(Elig_MatchAll_Ct-1),AV249=0),T249,0)</f>
        <v>0</v>
      </c>
      <c r="BZ249" s="176">
        <f>IF(AND(Input_Product=Elig!$C249,Elig_MatchAll_Ct&lt;22,$BC249=(Elig_MatchAll_Ct-1),AV249=0),U249,0)</f>
        <v>0</v>
      </c>
      <c r="CA249" s="175">
        <f>IF(AND(Input_Product=Elig!$C249,Elig_MatchAll_Ct&lt;22,$BC249=(Elig_MatchAll_Ct-1),AW249=0),V249,0)</f>
        <v>0</v>
      </c>
      <c r="CB249" s="176">
        <f>IF(AND(Input_Product=Elig!$C249,Elig_MatchAll_Ct&lt;22,$BC249=(Elig_MatchAll_Ct-1),AW249=0),W249,0)</f>
        <v>0</v>
      </c>
      <c r="CC249" s="175">
        <f>IF(AND(Input_Product=Elig!$C249,Elig_MatchAll_Ct&lt;22,$BC249=(Elig_MatchAll_Ct-1),AX249=0),X249,0)</f>
        <v>0</v>
      </c>
      <c r="CD249" s="176">
        <f>IF(AND(Input_Product=Elig!$C249,Elig_MatchAll_Ct&lt;22,$BC249=(Elig_MatchAll_Ct-1),AX249=0),Y249,0)</f>
        <v>0</v>
      </c>
      <c r="CE249" s="175">
        <f>IF(AND(Input_LTV&lt;=AE249,Input_Product=Elig!$C249,Elig_MatchAll_Ct&lt;22,$BC249=(Elig_MatchAll_Ct-1),AY249=0),Z249,0)</f>
        <v>0</v>
      </c>
      <c r="CF249" s="176">
        <f>IF(AND(Input_LTV&lt;=AE249,Input_Product=Elig!$C249,Elig_MatchAll_Ct&lt;22,$BC249=(Elig_MatchAll_Ct-1),AY249=0),AA249,0)</f>
        <v>0</v>
      </c>
      <c r="CG249" s="175">
        <f>IF(AND(Input_Product=Elig!$C249,Elig_MatchAll_Ct&lt;22,$BC249=(Elig_MatchAll_Ct-1),AZ249=0),AB249,0)</f>
        <v>0</v>
      </c>
      <c r="CH249" s="176">
        <f>IF(AND(Input_Product=Elig!$C249,Elig_MatchAll_Ct&lt;22,$BC249=(Elig_MatchAll_Ct-1),AZ249=0),AC249,0)</f>
        <v>0</v>
      </c>
      <c r="CI249" s="175">
        <f>IF(AND(Input_Product=Elig!$C249,Elig_MatchAll_Ct&lt;22,$BC249=(Elig_MatchAll_Ct-1),BA249=0),AD249,0)</f>
        <v>0</v>
      </c>
      <c r="CJ249" s="176">
        <f>IF(AND(Input_Product=Elig!$C249,Elig_MatchAll_Ct&lt;22,$BC249=(Elig_MatchAll_Ct-1),BA249=0),AE249,0)</f>
        <v>0</v>
      </c>
    </row>
    <row r="250" spans="1:88" ht="10.15" customHeight="1" x14ac:dyDescent="0.25">
      <c r="A250" s="252" t="s">
        <v>76</v>
      </c>
      <c r="B250" s="252" t="s">
        <v>891</v>
      </c>
      <c r="C250" s="251" t="str">
        <f t="shared" si="93"/>
        <v>NonQM NOO</v>
      </c>
      <c r="D250" s="252" t="s">
        <v>1995</v>
      </c>
      <c r="E250" s="252" t="s">
        <v>166</v>
      </c>
      <c r="F250" s="252" t="s">
        <v>329</v>
      </c>
      <c r="G250" s="252" t="s">
        <v>302</v>
      </c>
      <c r="H250" s="252" t="s">
        <v>135</v>
      </c>
      <c r="I250" s="253" t="s">
        <v>273</v>
      </c>
      <c r="J250" s="253" t="s">
        <v>1130</v>
      </c>
      <c r="K250" s="253" t="s">
        <v>1398</v>
      </c>
      <c r="L250" s="252" t="s">
        <v>311</v>
      </c>
      <c r="M250" s="252" t="s">
        <v>2289</v>
      </c>
      <c r="N250" s="252" t="s">
        <v>1844</v>
      </c>
      <c r="O250" s="252" t="s">
        <v>309</v>
      </c>
      <c r="P250" s="252" t="s">
        <v>2434</v>
      </c>
      <c r="Q250" s="252" t="s">
        <v>293</v>
      </c>
      <c r="R250" s="252">
        <v>100000</v>
      </c>
      <c r="S250" s="252">
        <v>1000000</v>
      </c>
      <c r="T250" s="252">
        <v>0</v>
      </c>
      <c r="U250" s="252">
        <v>0</v>
      </c>
      <c r="V250" s="252">
        <v>0</v>
      </c>
      <c r="W250" s="252">
        <v>55</v>
      </c>
      <c r="X250" s="252">
        <v>0</v>
      </c>
      <c r="Y250" s="252">
        <v>999</v>
      </c>
      <c r="Z250" s="254">
        <v>680</v>
      </c>
      <c r="AA250" s="254">
        <v>699</v>
      </c>
      <c r="AB250" s="1883">
        <v>0</v>
      </c>
      <c r="AC250" s="254">
        <v>999999</v>
      </c>
      <c r="AD250" s="252">
        <v>0</v>
      </c>
      <c r="AE250" s="255">
        <v>80</v>
      </c>
      <c r="AF250" s="144">
        <v>0</v>
      </c>
      <c r="AG250" s="145">
        <v>1</v>
      </c>
      <c r="AH250" s="145">
        <v>1</v>
      </c>
      <c r="AI250" s="145">
        <v>1</v>
      </c>
      <c r="AJ250" s="145">
        <v>0</v>
      </c>
      <c r="AK250" s="145">
        <v>1</v>
      </c>
      <c r="AL250" s="145">
        <v>1</v>
      </c>
      <c r="AM250" s="145">
        <v>1</v>
      </c>
      <c r="AN250" s="145">
        <v>1</v>
      </c>
      <c r="AO250" s="145">
        <v>1</v>
      </c>
      <c r="AP250" s="145">
        <v>1</v>
      </c>
      <c r="AQ250" s="145">
        <v>1</v>
      </c>
      <c r="AR250" s="145">
        <v>1</v>
      </c>
      <c r="AS250" s="145">
        <v>1</v>
      </c>
      <c r="AT250" s="145">
        <v>1</v>
      </c>
      <c r="AU250" s="145">
        <f t="shared" si="55"/>
        <v>1</v>
      </c>
      <c r="AV250" s="145">
        <f t="shared" si="56"/>
        <v>1</v>
      </c>
      <c r="AW250" s="145">
        <f t="shared" si="57"/>
        <v>1</v>
      </c>
      <c r="AX250" s="145">
        <f t="shared" si="73"/>
        <v>1</v>
      </c>
      <c r="AY250" s="145">
        <f t="shared" si="58"/>
        <v>0</v>
      </c>
      <c r="AZ250" s="145">
        <f t="shared" si="59"/>
        <v>1</v>
      </c>
      <c r="BA250" s="146">
        <f t="shared" si="60"/>
        <v>1</v>
      </c>
      <c r="BB250" s="149">
        <f t="shared" si="83"/>
        <v>19</v>
      </c>
      <c r="BC250" s="150">
        <f t="shared" si="84"/>
        <v>18</v>
      </c>
      <c r="BD250" s="150">
        <f t="shared" si="85"/>
        <v>19</v>
      </c>
      <c r="BE250" s="211" t="str">
        <f t="shared" si="86"/>
        <v/>
      </c>
      <c r="BH250" s="173">
        <f>IF(AND(Input_Product=Elig!$C250,Elig_MatchAll_Ct&lt;22,$BC250=(Elig_MatchAll_Ct-1),AF250=0),C250,0)</f>
        <v>0</v>
      </c>
      <c r="BI250" s="173">
        <f>IF(AND(Input_Product=Elig!$C250,Elig_MatchAll_Ct&lt;22,$BC250=(Elig_MatchAll_Ct-1),AG250=0),D250,0)</f>
        <v>0</v>
      </c>
      <c r="BJ250" s="173">
        <f>IF(AND(Input_Product=Elig!$C250,Elig_MatchAll_Ct&lt;22,$BC250=(Elig_MatchAll_Ct-1),AH250=0),E250,0)</f>
        <v>0</v>
      </c>
      <c r="BK250" s="173">
        <f>IF(AND(Input_Product=Elig!$C250,Elig_MatchAll_Ct&lt;22,$BC250=(Elig_MatchAll_Ct-1),AI250=0),F250,0)</f>
        <v>0</v>
      </c>
      <c r="BL250" s="173">
        <f>IF(AND(Input_Product=Elig!$C250,Elig_MatchAll_Ct&lt;22,$BC250=(Elig_MatchAll_Ct-1),AJ250=0),G250,0)</f>
        <v>0</v>
      </c>
      <c r="BM250" s="173">
        <f>IF(AND(Input_Product=Elig!$C250,Elig_MatchAll_Ct&lt;22,$BC250=(Elig_MatchAll_Ct-1),AK250=0),H250,0)</f>
        <v>0</v>
      </c>
      <c r="BN250" s="173">
        <f>IF(AND(Input_Product=Elig!$C250,Elig_MatchAll_Ct&lt;22,$BC250=(Elig_MatchAll_Ct-1),AL250=0),I250,0)</f>
        <v>0</v>
      </c>
      <c r="BO250" s="173">
        <f>IF(AND(Input_Product=Elig!$C250,Elig_MatchAll_Ct&lt;22,$BC250=(Elig_MatchAll_Ct-1),AM250=0),J250,0)</f>
        <v>0</v>
      </c>
      <c r="BP250" s="173">
        <f>IF(AND(Input_Product=Elig!$C250,Elig_MatchAll_Ct&lt;22,$BC250=(Elig_MatchAll_Ct-1),AN250=0),K250,0)</f>
        <v>0</v>
      </c>
      <c r="BQ250" s="173">
        <f>IF(AND(Input_Product=Elig!$C250,Elig_MatchAll_Ct&lt;22,$BC250=(Elig_MatchAll_Ct-1),AP250=0),L250,0)</f>
        <v>0</v>
      </c>
      <c r="BR250" s="173">
        <f>IF(AND(Input_Product=Elig!$C250,Elig_MatchAll_Ct&lt;22,$BC250=(Elig_MatchAll_Ct-1),AO250=0),M250,0)</f>
        <v>0</v>
      </c>
      <c r="BS250" s="173">
        <f>IF(AND(Input_Product=Elig!$C250,Elig_MatchAll_Ct&lt;22,$BC250=(Elig_MatchAll_Ct-1),AQ250=0),N250,0)</f>
        <v>0</v>
      </c>
      <c r="BT250" s="173">
        <f>IF(AND(Input_Product=Elig!$C250,Elig_MatchAll_Ct&lt;22,$BC250=(Elig_MatchAll_Ct-1),AR250=0),O250,0)</f>
        <v>0</v>
      </c>
      <c r="BU250" s="173">
        <f>IF(AND(Input_Product=Elig!$C250,Elig_MatchAll_Ct&lt;22,$BC250=(Elig_MatchAll_Ct-1),AS250=0),P250,0)</f>
        <v>0</v>
      </c>
      <c r="BV250" s="174">
        <f>IF(AND(Input_Product=Elig!$C250,Elig_MatchAll_Ct&lt;22,$BC250=(Elig_MatchAll_Ct-1),AT250=0),Q250,0)</f>
        <v>0</v>
      </c>
      <c r="BW250" s="175">
        <f>IF(AND(Input_Product=Elig!$C250,Elig_MatchAll_Ct&lt;22,$BC250=(Elig_MatchAll_Ct-1),AU250=0),R250,0)</f>
        <v>0</v>
      </c>
      <c r="BX250" s="176">
        <f>IF(AND(Input_Product=Elig!$C250,Elig_MatchAll_Ct&lt;22,$BC250=(Elig_MatchAll_Ct-1),AU250=0),S250,0)</f>
        <v>0</v>
      </c>
      <c r="BY250" s="175">
        <f>IF(AND(Input_Product=Elig!$C250,Elig_MatchAll_Ct&lt;22,$BC250=(Elig_MatchAll_Ct-1),AV250=0),T250,0)</f>
        <v>0</v>
      </c>
      <c r="BZ250" s="176">
        <f>IF(AND(Input_Product=Elig!$C250,Elig_MatchAll_Ct&lt;22,$BC250=(Elig_MatchAll_Ct-1),AV250=0),U250,0)</f>
        <v>0</v>
      </c>
      <c r="CA250" s="175">
        <f>IF(AND(Input_Product=Elig!$C250,Elig_MatchAll_Ct&lt;22,$BC250=(Elig_MatchAll_Ct-1),AW250=0),V250,0)</f>
        <v>0</v>
      </c>
      <c r="CB250" s="176">
        <f>IF(AND(Input_Product=Elig!$C250,Elig_MatchAll_Ct&lt;22,$BC250=(Elig_MatchAll_Ct-1),AW250=0),W250,0)</f>
        <v>0</v>
      </c>
      <c r="CC250" s="175">
        <f>IF(AND(Input_Product=Elig!$C250,Elig_MatchAll_Ct&lt;22,$BC250=(Elig_MatchAll_Ct-1),AX250=0),X250,0)</f>
        <v>0</v>
      </c>
      <c r="CD250" s="176">
        <f>IF(AND(Input_Product=Elig!$C250,Elig_MatchAll_Ct&lt;22,$BC250=(Elig_MatchAll_Ct-1),AX250=0),Y250,0)</f>
        <v>0</v>
      </c>
      <c r="CE250" s="175">
        <f>IF(AND(Input_LTV&lt;=AE250,Input_Product=Elig!$C250,Elig_MatchAll_Ct&lt;22,$BC250=(Elig_MatchAll_Ct-1),AY250=0),Z250,0)</f>
        <v>0</v>
      </c>
      <c r="CF250" s="176">
        <f>IF(AND(Input_LTV&lt;=AE250,Input_Product=Elig!$C250,Elig_MatchAll_Ct&lt;22,$BC250=(Elig_MatchAll_Ct-1),AY250=0),AA250,0)</f>
        <v>0</v>
      </c>
      <c r="CG250" s="175">
        <f>IF(AND(Input_Product=Elig!$C250,Elig_MatchAll_Ct&lt;22,$BC250=(Elig_MatchAll_Ct-1),AZ250=0),AB250,0)</f>
        <v>0</v>
      </c>
      <c r="CH250" s="176">
        <f>IF(AND(Input_Product=Elig!$C250,Elig_MatchAll_Ct&lt;22,$BC250=(Elig_MatchAll_Ct-1),AZ250=0),AC250,0)</f>
        <v>0</v>
      </c>
      <c r="CI250" s="175">
        <f>IF(AND(Input_Product=Elig!$C250,Elig_MatchAll_Ct&lt;22,$BC250=(Elig_MatchAll_Ct-1),BA250=0),AD250,0)</f>
        <v>0</v>
      </c>
      <c r="CJ250" s="176">
        <f>IF(AND(Input_Product=Elig!$C250,Elig_MatchAll_Ct&lt;22,$BC250=(Elig_MatchAll_Ct-1),BA250=0),AE250,0)</f>
        <v>0</v>
      </c>
    </row>
    <row r="251" spans="1:88" ht="10.15" customHeight="1" x14ac:dyDescent="0.25">
      <c r="A251" s="252" t="s">
        <v>76</v>
      </c>
      <c r="B251" s="252" t="s">
        <v>892</v>
      </c>
      <c r="C251" s="251" t="str">
        <f t="shared" si="93"/>
        <v>NonQM NOO</v>
      </c>
      <c r="D251" s="252" t="s">
        <v>1995</v>
      </c>
      <c r="E251" s="252" t="s">
        <v>166</v>
      </c>
      <c r="F251" s="252" t="s">
        <v>329</v>
      </c>
      <c r="G251" s="252" t="s">
        <v>302</v>
      </c>
      <c r="H251" s="252" t="s">
        <v>135</v>
      </c>
      <c r="I251" s="252" t="s">
        <v>273</v>
      </c>
      <c r="J251" s="252" t="s">
        <v>1130</v>
      </c>
      <c r="K251" s="252" t="s">
        <v>1398</v>
      </c>
      <c r="L251" s="252" t="s">
        <v>311</v>
      </c>
      <c r="M251" s="252" t="s">
        <v>2289</v>
      </c>
      <c r="N251" s="252" t="s">
        <v>1844</v>
      </c>
      <c r="O251" s="252" t="s">
        <v>309</v>
      </c>
      <c r="P251" s="252" t="s">
        <v>2434</v>
      </c>
      <c r="Q251" s="252" t="s">
        <v>293</v>
      </c>
      <c r="R251" s="252">
        <v>100000</v>
      </c>
      <c r="S251" s="252">
        <v>1000000</v>
      </c>
      <c r="T251" s="252">
        <v>0</v>
      </c>
      <c r="U251" s="252">
        <v>0</v>
      </c>
      <c r="V251" s="252">
        <v>0</v>
      </c>
      <c r="W251" s="252">
        <v>50</v>
      </c>
      <c r="X251" s="252">
        <v>0</v>
      </c>
      <c r="Y251" s="252">
        <v>999</v>
      </c>
      <c r="Z251" s="254">
        <v>660</v>
      </c>
      <c r="AA251" s="254">
        <v>679</v>
      </c>
      <c r="AB251" s="1883">
        <v>0</v>
      </c>
      <c r="AC251" s="254">
        <v>999999</v>
      </c>
      <c r="AD251" s="252">
        <v>0</v>
      </c>
      <c r="AE251" s="255">
        <v>80</v>
      </c>
      <c r="AF251" s="144">
        <v>0</v>
      </c>
      <c r="AG251" s="145">
        <v>1</v>
      </c>
      <c r="AH251" s="145">
        <v>1</v>
      </c>
      <c r="AI251" s="145">
        <v>1</v>
      </c>
      <c r="AJ251" s="145">
        <v>0</v>
      </c>
      <c r="AK251" s="145">
        <v>1</v>
      </c>
      <c r="AL251" s="145">
        <v>1</v>
      </c>
      <c r="AM251" s="145">
        <v>1</v>
      </c>
      <c r="AN251" s="145">
        <v>1</v>
      </c>
      <c r="AO251" s="145">
        <v>1</v>
      </c>
      <c r="AP251" s="145">
        <v>1</v>
      </c>
      <c r="AQ251" s="145">
        <v>1</v>
      </c>
      <c r="AR251" s="145">
        <v>1</v>
      </c>
      <c r="AS251" s="145">
        <v>1</v>
      </c>
      <c r="AT251" s="145">
        <v>1</v>
      </c>
      <c r="AU251" s="145">
        <f t="shared" si="55"/>
        <v>1</v>
      </c>
      <c r="AV251" s="145">
        <f t="shared" si="56"/>
        <v>1</v>
      </c>
      <c r="AW251" s="145">
        <f t="shared" si="57"/>
        <v>1</v>
      </c>
      <c r="AX251" s="145">
        <f t="shared" si="73"/>
        <v>1</v>
      </c>
      <c r="AY251" s="145">
        <f t="shared" si="58"/>
        <v>0</v>
      </c>
      <c r="AZ251" s="145">
        <f t="shared" si="59"/>
        <v>1</v>
      </c>
      <c r="BA251" s="146">
        <f t="shared" si="60"/>
        <v>1</v>
      </c>
      <c r="BB251" s="149">
        <f t="shared" si="83"/>
        <v>19</v>
      </c>
      <c r="BC251" s="150">
        <f t="shared" si="84"/>
        <v>18</v>
      </c>
      <c r="BD251" s="150">
        <f t="shared" si="85"/>
        <v>19</v>
      </c>
      <c r="BE251" s="211" t="str">
        <f t="shared" si="86"/>
        <v/>
      </c>
      <c r="BH251" s="173">
        <f>IF(AND(Input_Product=Elig!$C251,Elig_MatchAll_Ct&lt;22,$BC251=(Elig_MatchAll_Ct-1),AF251=0),C251,0)</f>
        <v>0</v>
      </c>
      <c r="BI251" s="173">
        <f>IF(AND(Input_Product=Elig!$C251,Elig_MatchAll_Ct&lt;22,$BC251=(Elig_MatchAll_Ct-1),AG251=0),D251,0)</f>
        <v>0</v>
      </c>
      <c r="BJ251" s="173">
        <f>IF(AND(Input_Product=Elig!$C251,Elig_MatchAll_Ct&lt;22,$BC251=(Elig_MatchAll_Ct-1),AH251=0),E251,0)</f>
        <v>0</v>
      </c>
      <c r="BK251" s="173">
        <f>IF(AND(Input_Product=Elig!$C251,Elig_MatchAll_Ct&lt;22,$BC251=(Elig_MatchAll_Ct-1),AI251=0),F251,0)</f>
        <v>0</v>
      </c>
      <c r="BL251" s="173">
        <f>IF(AND(Input_Product=Elig!$C251,Elig_MatchAll_Ct&lt;22,$BC251=(Elig_MatchAll_Ct-1),AJ251=0),G251,0)</f>
        <v>0</v>
      </c>
      <c r="BM251" s="173">
        <f>IF(AND(Input_Product=Elig!$C251,Elig_MatchAll_Ct&lt;22,$BC251=(Elig_MatchAll_Ct-1),AK251=0),H251,0)</f>
        <v>0</v>
      </c>
      <c r="BN251" s="173">
        <f>IF(AND(Input_Product=Elig!$C251,Elig_MatchAll_Ct&lt;22,$BC251=(Elig_MatchAll_Ct-1),AL251=0),I251,0)</f>
        <v>0</v>
      </c>
      <c r="BO251" s="173">
        <f>IF(AND(Input_Product=Elig!$C251,Elig_MatchAll_Ct&lt;22,$BC251=(Elig_MatchAll_Ct-1),AM251=0),J251,0)</f>
        <v>0</v>
      </c>
      <c r="BP251" s="173">
        <f>IF(AND(Input_Product=Elig!$C251,Elig_MatchAll_Ct&lt;22,$BC251=(Elig_MatchAll_Ct-1),AN251=0),K251,0)</f>
        <v>0</v>
      </c>
      <c r="BQ251" s="173">
        <f>IF(AND(Input_Product=Elig!$C251,Elig_MatchAll_Ct&lt;22,$BC251=(Elig_MatchAll_Ct-1),AP251=0),L251,0)</f>
        <v>0</v>
      </c>
      <c r="BR251" s="173">
        <f>IF(AND(Input_Product=Elig!$C251,Elig_MatchAll_Ct&lt;22,$BC251=(Elig_MatchAll_Ct-1),AO251=0),M251,0)</f>
        <v>0</v>
      </c>
      <c r="BS251" s="173">
        <f>IF(AND(Input_Product=Elig!$C251,Elig_MatchAll_Ct&lt;22,$BC251=(Elig_MatchAll_Ct-1),AQ251=0),N251,0)</f>
        <v>0</v>
      </c>
      <c r="BT251" s="173">
        <f>IF(AND(Input_Product=Elig!$C251,Elig_MatchAll_Ct&lt;22,$BC251=(Elig_MatchAll_Ct-1),AR251=0),O251,0)</f>
        <v>0</v>
      </c>
      <c r="BU251" s="173">
        <f>IF(AND(Input_Product=Elig!$C251,Elig_MatchAll_Ct&lt;22,$BC251=(Elig_MatchAll_Ct-1),AS251=0),P251,0)</f>
        <v>0</v>
      </c>
      <c r="BV251" s="174">
        <f>IF(AND(Input_Product=Elig!$C251,Elig_MatchAll_Ct&lt;22,$BC251=(Elig_MatchAll_Ct-1),AT251=0),Q251,0)</f>
        <v>0</v>
      </c>
      <c r="BW251" s="175">
        <f>IF(AND(Input_Product=Elig!$C251,Elig_MatchAll_Ct&lt;22,$BC251=(Elig_MatchAll_Ct-1),AU251=0),R251,0)</f>
        <v>0</v>
      </c>
      <c r="BX251" s="176">
        <f>IF(AND(Input_Product=Elig!$C251,Elig_MatchAll_Ct&lt;22,$BC251=(Elig_MatchAll_Ct-1),AU251=0),S251,0)</f>
        <v>0</v>
      </c>
      <c r="BY251" s="175">
        <f>IF(AND(Input_Product=Elig!$C251,Elig_MatchAll_Ct&lt;22,$BC251=(Elig_MatchAll_Ct-1),AV251=0),T251,0)</f>
        <v>0</v>
      </c>
      <c r="BZ251" s="176">
        <f>IF(AND(Input_Product=Elig!$C251,Elig_MatchAll_Ct&lt;22,$BC251=(Elig_MatchAll_Ct-1),AV251=0),U251,0)</f>
        <v>0</v>
      </c>
      <c r="CA251" s="175">
        <f>IF(AND(Input_Product=Elig!$C251,Elig_MatchAll_Ct&lt;22,$BC251=(Elig_MatchAll_Ct-1),AW251=0),V251,0)</f>
        <v>0</v>
      </c>
      <c r="CB251" s="176">
        <f>IF(AND(Input_Product=Elig!$C251,Elig_MatchAll_Ct&lt;22,$BC251=(Elig_MatchAll_Ct-1),AW251=0),W251,0)</f>
        <v>0</v>
      </c>
      <c r="CC251" s="175">
        <f>IF(AND(Input_Product=Elig!$C251,Elig_MatchAll_Ct&lt;22,$BC251=(Elig_MatchAll_Ct-1),AX251=0),X251,0)</f>
        <v>0</v>
      </c>
      <c r="CD251" s="176">
        <f>IF(AND(Input_Product=Elig!$C251,Elig_MatchAll_Ct&lt;22,$BC251=(Elig_MatchAll_Ct-1),AX251=0),Y251,0)</f>
        <v>0</v>
      </c>
      <c r="CE251" s="175">
        <f>IF(AND(Input_LTV&lt;=AE251,Input_Product=Elig!$C251,Elig_MatchAll_Ct&lt;22,$BC251=(Elig_MatchAll_Ct-1),AY251=0),Z251,0)</f>
        <v>0</v>
      </c>
      <c r="CF251" s="176">
        <f>IF(AND(Input_LTV&lt;=AE251,Input_Product=Elig!$C251,Elig_MatchAll_Ct&lt;22,$BC251=(Elig_MatchAll_Ct-1),AY251=0),AA251,0)</f>
        <v>0</v>
      </c>
      <c r="CG251" s="175">
        <f>IF(AND(Input_Product=Elig!$C251,Elig_MatchAll_Ct&lt;22,$BC251=(Elig_MatchAll_Ct-1),AZ251=0),AB251,0)</f>
        <v>0</v>
      </c>
      <c r="CH251" s="176">
        <f>IF(AND(Input_Product=Elig!$C251,Elig_MatchAll_Ct&lt;22,$BC251=(Elig_MatchAll_Ct-1),AZ251=0),AC251,0)</f>
        <v>0</v>
      </c>
      <c r="CI251" s="175">
        <f>IF(AND(Input_Product=Elig!$C251,Elig_MatchAll_Ct&lt;22,$BC251=(Elig_MatchAll_Ct-1),BA251=0),AD251,0)</f>
        <v>0</v>
      </c>
      <c r="CJ251" s="176">
        <f>IF(AND(Input_Product=Elig!$C251,Elig_MatchAll_Ct&lt;22,$BC251=(Elig_MatchAll_Ct-1),BA251=0),AE251,0)</f>
        <v>0</v>
      </c>
    </row>
    <row r="252" spans="1:88" ht="10.15" customHeight="1" x14ac:dyDescent="0.25">
      <c r="A252" s="252" t="s">
        <v>76</v>
      </c>
      <c r="B252" s="252" t="s">
        <v>893</v>
      </c>
      <c r="C252" s="246" t="str">
        <f t="shared" si="93"/>
        <v>NonQM NOO</v>
      </c>
      <c r="D252" s="247" t="s">
        <v>1995</v>
      </c>
      <c r="E252" s="248" t="s">
        <v>166</v>
      </c>
      <c r="F252" s="248" t="s">
        <v>329</v>
      </c>
      <c r="G252" s="248" t="s">
        <v>302</v>
      </c>
      <c r="H252" s="248" t="s">
        <v>135</v>
      </c>
      <c r="I252" s="247" t="s">
        <v>16</v>
      </c>
      <c r="J252" s="247" t="s">
        <v>1130</v>
      </c>
      <c r="K252" s="247" t="s">
        <v>1398</v>
      </c>
      <c r="L252" s="248" t="s">
        <v>311</v>
      </c>
      <c r="M252" s="248" t="s">
        <v>2289</v>
      </c>
      <c r="N252" s="248" t="s">
        <v>1844</v>
      </c>
      <c r="O252" s="248" t="s">
        <v>309</v>
      </c>
      <c r="P252" s="248" t="s">
        <v>2434</v>
      </c>
      <c r="Q252" s="248" t="s">
        <v>293</v>
      </c>
      <c r="R252" s="247">
        <v>100000</v>
      </c>
      <c r="S252" s="247">
        <v>1000000</v>
      </c>
      <c r="T252" s="247">
        <v>0</v>
      </c>
      <c r="U252" s="247">
        <f t="shared" ref="U252:U255" si="94">S252</f>
        <v>1000000</v>
      </c>
      <c r="V252" s="247">
        <v>0</v>
      </c>
      <c r="W252" s="247">
        <v>55</v>
      </c>
      <c r="X252" s="247">
        <v>0</v>
      </c>
      <c r="Y252" s="247">
        <v>999</v>
      </c>
      <c r="Z252" s="249">
        <v>720</v>
      </c>
      <c r="AA252" s="249">
        <v>999</v>
      </c>
      <c r="AB252" s="1882">
        <v>0</v>
      </c>
      <c r="AC252" s="249">
        <v>999999</v>
      </c>
      <c r="AD252" s="247">
        <v>0</v>
      </c>
      <c r="AE252" s="250">
        <v>80</v>
      </c>
      <c r="AF252" s="144">
        <v>0</v>
      </c>
      <c r="AG252" s="145">
        <v>1</v>
      </c>
      <c r="AH252" s="145">
        <v>1</v>
      </c>
      <c r="AI252" s="145">
        <v>1</v>
      </c>
      <c r="AJ252" s="145">
        <v>0</v>
      </c>
      <c r="AK252" s="145">
        <v>1</v>
      </c>
      <c r="AL252" s="145">
        <v>0</v>
      </c>
      <c r="AM252" s="145">
        <v>1</v>
      </c>
      <c r="AN252" s="145">
        <v>1</v>
      </c>
      <c r="AO252" s="145">
        <v>1</v>
      </c>
      <c r="AP252" s="145">
        <v>1</v>
      </c>
      <c r="AQ252" s="145">
        <v>1</v>
      </c>
      <c r="AR252" s="145">
        <v>1</v>
      </c>
      <c r="AS252" s="145">
        <v>1</v>
      </c>
      <c r="AT252" s="145">
        <v>1</v>
      </c>
      <c r="AU252" s="145">
        <f t="shared" si="55"/>
        <v>1</v>
      </c>
      <c r="AV252" s="145">
        <f t="shared" si="56"/>
        <v>1</v>
      </c>
      <c r="AW252" s="145">
        <f t="shared" si="57"/>
        <v>1</v>
      </c>
      <c r="AX252" s="145">
        <f t="shared" si="73"/>
        <v>1</v>
      </c>
      <c r="AY252" s="145">
        <f t="shared" si="58"/>
        <v>1</v>
      </c>
      <c r="AZ252" s="145">
        <f t="shared" si="59"/>
        <v>1</v>
      </c>
      <c r="BA252" s="146">
        <f t="shared" si="60"/>
        <v>1</v>
      </c>
      <c r="BB252" s="149">
        <f t="shared" si="83"/>
        <v>19</v>
      </c>
      <c r="BC252" s="150">
        <f t="shared" si="84"/>
        <v>18</v>
      </c>
      <c r="BD252" s="150">
        <f t="shared" si="85"/>
        <v>19</v>
      </c>
      <c r="BE252" s="211" t="str">
        <f t="shared" si="86"/>
        <v/>
      </c>
      <c r="BH252" s="190">
        <f>IF(AND(Input_Product=Elig!$C252,Elig_MatchAll_Ct&lt;22,$BC252=(Elig_MatchAll_Ct-1),AF252=0),C252,0)</f>
        <v>0</v>
      </c>
      <c r="BI252" s="190">
        <f>IF(AND(Input_Product=Elig!$C252,Elig_MatchAll_Ct&lt;22,$BC252=(Elig_MatchAll_Ct-1),AG252=0),D252,0)</f>
        <v>0</v>
      </c>
      <c r="BJ252" s="190">
        <f>IF(AND(Input_Product=Elig!$C252,Elig_MatchAll_Ct&lt;22,$BC252=(Elig_MatchAll_Ct-1),AH252=0),E252,0)</f>
        <v>0</v>
      </c>
      <c r="BK252" s="190">
        <f>IF(AND(Input_Product=Elig!$C252,Elig_MatchAll_Ct&lt;22,$BC252=(Elig_MatchAll_Ct-1),AI252=0),F252,0)</f>
        <v>0</v>
      </c>
      <c r="BL252" s="190">
        <f>IF(AND(Input_Product=Elig!$C252,Elig_MatchAll_Ct&lt;22,$BC252=(Elig_MatchAll_Ct-1),AJ252=0),G252,0)</f>
        <v>0</v>
      </c>
      <c r="BM252" s="190">
        <f>IF(AND(Input_Product=Elig!$C252,Elig_MatchAll_Ct&lt;22,$BC252=(Elig_MatchAll_Ct-1),AK252=0),H252,0)</f>
        <v>0</v>
      </c>
      <c r="BN252" s="190">
        <f>IF(AND(Input_Product=Elig!$C252,Elig_MatchAll_Ct&lt;22,$BC252=(Elig_MatchAll_Ct-1),AL252=0),I252,0)</f>
        <v>0</v>
      </c>
      <c r="BO252" s="190">
        <f>IF(AND(Input_Product=Elig!$C252,Elig_MatchAll_Ct&lt;22,$BC252=(Elig_MatchAll_Ct-1),AM252=0),J252,0)</f>
        <v>0</v>
      </c>
      <c r="BP252" s="190">
        <f>IF(AND(Input_Product=Elig!$C252,Elig_MatchAll_Ct&lt;22,$BC252=(Elig_MatchAll_Ct-1),AN252=0),K252,0)</f>
        <v>0</v>
      </c>
      <c r="BQ252" s="190">
        <f>IF(AND(Input_Product=Elig!$C252,Elig_MatchAll_Ct&lt;22,$BC252=(Elig_MatchAll_Ct-1),AP252=0),L252,0)</f>
        <v>0</v>
      </c>
      <c r="BR252" s="190">
        <f>IF(AND(Input_Product=Elig!$C252,Elig_MatchAll_Ct&lt;22,$BC252=(Elig_MatchAll_Ct-1),AO252=0),M252,0)</f>
        <v>0</v>
      </c>
      <c r="BS252" s="190">
        <f>IF(AND(Input_Product=Elig!$C252,Elig_MatchAll_Ct&lt;22,$BC252=(Elig_MatchAll_Ct-1),AQ252=0),N252,0)</f>
        <v>0</v>
      </c>
      <c r="BT252" s="190">
        <f>IF(AND(Input_Product=Elig!$C252,Elig_MatchAll_Ct&lt;22,$BC252=(Elig_MatchAll_Ct-1),AR252=0),O252,0)</f>
        <v>0</v>
      </c>
      <c r="BU252" s="190">
        <f>IF(AND(Input_Product=Elig!$C252,Elig_MatchAll_Ct&lt;22,$BC252=(Elig_MatchAll_Ct-1),AS252=0),P252,0)</f>
        <v>0</v>
      </c>
      <c r="BV252" s="191">
        <f>IF(AND(Input_Product=Elig!$C252,Elig_MatchAll_Ct&lt;22,$BC252=(Elig_MatchAll_Ct-1),AT252=0),Q252,0)</f>
        <v>0</v>
      </c>
      <c r="BW252" s="186">
        <f>IF(AND(Input_Product=Elig!$C252,Elig_MatchAll_Ct&lt;22,$BC252=(Elig_MatchAll_Ct-1),AU252=0),R252,0)</f>
        <v>0</v>
      </c>
      <c r="BX252" s="187">
        <f>IF(AND(Input_Product=Elig!$C252,Elig_MatchAll_Ct&lt;22,$BC252=(Elig_MatchAll_Ct-1),AU252=0),S252,0)</f>
        <v>0</v>
      </c>
      <c r="BY252" s="186">
        <f>IF(AND(Input_Product=Elig!$C252,Elig_MatchAll_Ct&lt;22,$BC252=(Elig_MatchAll_Ct-1),AV252=0),T252,0)</f>
        <v>0</v>
      </c>
      <c r="BZ252" s="187">
        <f>IF(AND(Input_Product=Elig!$C252,Elig_MatchAll_Ct&lt;22,$BC252=(Elig_MatchAll_Ct-1),AV252=0),U252,0)</f>
        <v>0</v>
      </c>
      <c r="CA252" s="186">
        <f>IF(AND(Input_Product=Elig!$C252,Elig_MatchAll_Ct&lt;22,$BC252=(Elig_MatchAll_Ct-1),AW252=0),V252,0)</f>
        <v>0</v>
      </c>
      <c r="CB252" s="187">
        <f>IF(AND(Input_Product=Elig!$C252,Elig_MatchAll_Ct&lt;22,$BC252=(Elig_MatchAll_Ct-1),AW252=0),W252,0)</f>
        <v>0</v>
      </c>
      <c r="CC252" s="186">
        <f>IF(AND(Input_Product=Elig!$C252,Elig_MatchAll_Ct&lt;22,$BC252=(Elig_MatchAll_Ct-1),AX252=0),X252,0)</f>
        <v>0</v>
      </c>
      <c r="CD252" s="187">
        <f>IF(AND(Input_Product=Elig!$C252,Elig_MatchAll_Ct&lt;22,$BC252=(Elig_MatchAll_Ct-1),AX252=0),Y252,0)</f>
        <v>0</v>
      </c>
      <c r="CE252" s="186">
        <f>IF(AND(Input_LTV&lt;=AE252,Input_Product=Elig!$C252,Elig_MatchAll_Ct&lt;22,$BC252=(Elig_MatchAll_Ct-1),AY252=0),Z252,0)</f>
        <v>0</v>
      </c>
      <c r="CF252" s="187">
        <f>IF(AND(Input_LTV&lt;=AE252,Input_Product=Elig!$C252,Elig_MatchAll_Ct&lt;22,$BC252=(Elig_MatchAll_Ct-1),AY252=0),AA252,0)</f>
        <v>0</v>
      </c>
      <c r="CG252" s="186">
        <f>IF(AND(Input_Product=Elig!$C252,Elig_MatchAll_Ct&lt;22,$BC252=(Elig_MatchAll_Ct-1),AZ252=0),AB252,0)</f>
        <v>0</v>
      </c>
      <c r="CH252" s="187">
        <f>IF(AND(Input_Product=Elig!$C252,Elig_MatchAll_Ct&lt;22,$BC252=(Elig_MatchAll_Ct-1),AZ252=0),AC252,0)</f>
        <v>0</v>
      </c>
      <c r="CI252" s="186">
        <f>IF(AND(Input_Product=Elig!$C252,Elig_MatchAll_Ct&lt;22,$BC252=(Elig_MatchAll_Ct-1),BA252=0),AD252,0)</f>
        <v>0</v>
      </c>
      <c r="CJ252" s="187">
        <f>IF(AND(Input_Product=Elig!$C252,Elig_MatchAll_Ct&lt;22,$BC252=(Elig_MatchAll_Ct-1),BA252=0),AE252,0)</f>
        <v>0</v>
      </c>
    </row>
    <row r="253" spans="1:88" ht="10.15" customHeight="1" x14ac:dyDescent="0.25">
      <c r="A253" s="252" t="s">
        <v>76</v>
      </c>
      <c r="B253" s="252" t="s">
        <v>894</v>
      </c>
      <c r="C253" s="251" t="str">
        <f t="shared" si="93"/>
        <v>NonQM NOO</v>
      </c>
      <c r="D253" s="252" t="s">
        <v>1995</v>
      </c>
      <c r="E253" s="252" t="s">
        <v>166</v>
      </c>
      <c r="F253" s="252" t="s">
        <v>329</v>
      </c>
      <c r="G253" s="252" t="s">
        <v>302</v>
      </c>
      <c r="H253" s="252" t="s">
        <v>135</v>
      </c>
      <c r="I253" s="253" t="s">
        <v>16</v>
      </c>
      <c r="J253" s="253" t="s">
        <v>1130</v>
      </c>
      <c r="K253" s="253" t="s">
        <v>1398</v>
      </c>
      <c r="L253" s="252" t="s">
        <v>311</v>
      </c>
      <c r="M253" s="252" t="s">
        <v>2289</v>
      </c>
      <c r="N253" s="252" t="s">
        <v>1844</v>
      </c>
      <c r="O253" s="252" t="s">
        <v>309</v>
      </c>
      <c r="P253" s="252" t="s">
        <v>2434</v>
      </c>
      <c r="Q253" s="252" t="s">
        <v>293</v>
      </c>
      <c r="R253" s="252">
        <v>100000</v>
      </c>
      <c r="S253" s="252">
        <v>1000000</v>
      </c>
      <c r="T253" s="252">
        <v>0</v>
      </c>
      <c r="U253" s="252">
        <f t="shared" si="94"/>
        <v>1000000</v>
      </c>
      <c r="V253" s="252">
        <v>0</v>
      </c>
      <c r="W253" s="252">
        <v>55</v>
      </c>
      <c r="X253" s="252">
        <v>0</v>
      </c>
      <c r="Y253" s="252">
        <v>999</v>
      </c>
      <c r="Z253" s="254">
        <v>700</v>
      </c>
      <c r="AA253" s="254">
        <v>719</v>
      </c>
      <c r="AB253" s="1883">
        <v>0</v>
      </c>
      <c r="AC253" s="254">
        <v>999999</v>
      </c>
      <c r="AD253" s="252">
        <v>0</v>
      </c>
      <c r="AE253" s="255">
        <v>80</v>
      </c>
      <c r="AF253" s="144">
        <v>0</v>
      </c>
      <c r="AG253" s="145">
        <v>1</v>
      </c>
      <c r="AH253" s="145">
        <v>1</v>
      </c>
      <c r="AI253" s="145">
        <v>1</v>
      </c>
      <c r="AJ253" s="145">
        <v>0</v>
      </c>
      <c r="AK253" s="145">
        <v>1</v>
      </c>
      <c r="AL253" s="145">
        <v>0</v>
      </c>
      <c r="AM253" s="145">
        <v>1</v>
      </c>
      <c r="AN253" s="145">
        <v>1</v>
      </c>
      <c r="AO253" s="145">
        <v>1</v>
      </c>
      <c r="AP253" s="145">
        <v>1</v>
      </c>
      <c r="AQ253" s="145">
        <v>1</v>
      </c>
      <c r="AR253" s="145">
        <v>1</v>
      </c>
      <c r="AS253" s="145">
        <v>1</v>
      </c>
      <c r="AT253" s="145">
        <v>1</v>
      </c>
      <c r="AU253" s="145">
        <f t="shared" si="55"/>
        <v>1</v>
      </c>
      <c r="AV253" s="145">
        <f t="shared" si="56"/>
        <v>1</v>
      </c>
      <c r="AW253" s="145">
        <f t="shared" si="57"/>
        <v>1</v>
      </c>
      <c r="AX253" s="145">
        <f t="shared" si="73"/>
        <v>1</v>
      </c>
      <c r="AY253" s="145">
        <f t="shared" si="58"/>
        <v>0</v>
      </c>
      <c r="AZ253" s="145">
        <f t="shared" si="59"/>
        <v>1</v>
      </c>
      <c r="BA253" s="146">
        <f t="shared" si="60"/>
        <v>1</v>
      </c>
      <c r="BB253" s="149">
        <f t="shared" si="83"/>
        <v>18</v>
      </c>
      <c r="BC253" s="150">
        <f t="shared" si="84"/>
        <v>17</v>
      </c>
      <c r="BD253" s="150">
        <f t="shared" si="85"/>
        <v>18</v>
      </c>
      <c r="BE253" s="211" t="str">
        <f t="shared" si="86"/>
        <v/>
      </c>
      <c r="BH253" s="173">
        <f>IF(AND(Input_Product=Elig!$C253,Elig_MatchAll_Ct&lt;22,$BC253=(Elig_MatchAll_Ct-1),AF253=0),C253,0)</f>
        <v>0</v>
      </c>
      <c r="BI253" s="173">
        <f>IF(AND(Input_Product=Elig!$C253,Elig_MatchAll_Ct&lt;22,$BC253=(Elig_MatchAll_Ct-1),AG253=0),D253,0)</f>
        <v>0</v>
      </c>
      <c r="BJ253" s="173">
        <f>IF(AND(Input_Product=Elig!$C253,Elig_MatchAll_Ct&lt;22,$BC253=(Elig_MatchAll_Ct-1),AH253=0),E253,0)</f>
        <v>0</v>
      </c>
      <c r="BK253" s="173">
        <f>IF(AND(Input_Product=Elig!$C253,Elig_MatchAll_Ct&lt;22,$BC253=(Elig_MatchAll_Ct-1),AI253=0),F253,0)</f>
        <v>0</v>
      </c>
      <c r="BL253" s="173">
        <f>IF(AND(Input_Product=Elig!$C253,Elig_MatchAll_Ct&lt;22,$BC253=(Elig_MatchAll_Ct-1),AJ253=0),G253,0)</f>
        <v>0</v>
      </c>
      <c r="BM253" s="173">
        <f>IF(AND(Input_Product=Elig!$C253,Elig_MatchAll_Ct&lt;22,$BC253=(Elig_MatchAll_Ct-1),AK253=0),H253,0)</f>
        <v>0</v>
      </c>
      <c r="BN253" s="173">
        <f>IF(AND(Input_Product=Elig!$C253,Elig_MatchAll_Ct&lt;22,$BC253=(Elig_MatchAll_Ct-1),AL253=0),I253,0)</f>
        <v>0</v>
      </c>
      <c r="BO253" s="173">
        <f>IF(AND(Input_Product=Elig!$C253,Elig_MatchAll_Ct&lt;22,$BC253=(Elig_MatchAll_Ct-1),AM253=0),J253,0)</f>
        <v>0</v>
      </c>
      <c r="BP253" s="173">
        <f>IF(AND(Input_Product=Elig!$C253,Elig_MatchAll_Ct&lt;22,$BC253=(Elig_MatchAll_Ct-1),AN253=0),K253,0)</f>
        <v>0</v>
      </c>
      <c r="BQ253" s="173">
        <f>IF(AND(Input_Product=Elig!$C253,Elig_MatchAll_Ct&lt;22,$BC253=(Elig_MatchAll_Ct-1),AP253=0),L253,0)</f>
        <v>0</v>
      </c>
      <c r="BR253" s="173">
        <f>IF(AND(Input_Product=Elig!$C253,Elig_MatchAll_Ct&lt;22,$BC253=(Elig_MatchAll_Ct-1),AO253=0),M253,0)</f>
        <v>0</v>
      </c>
      <c r="BS253" s="173">
        <f>IF(AND(Input_Product=Elig!$C253,Elig_MatchAll_Ct&lt;22,$BC253=(Elig_MatchAll_Ct-1),AQ253=0),N253,0)</f>
        <v>0</v>
      </c>
      <c r="BT253" s="173">
        <f>IF(AND(Input_Product=Elig!$C253,Elig_MatchAll_Ct&lt;22,$BC253=(Elig_MatchAll_Ct-1),AR253=0),O253,0)</f>
        <v>0</v>
      </c>
      <c r="BU253" s="173">
        <f>IF(AND(Input_Product=Elig!$C253,Elig_MatchAll_Ct&lt;22,$BC253=(Elig_MatchAll_Ct-1),AS253=0),P253,0)</f>
        <v>0</v>
      </c>
      <c r="BV253" s="174">
        <f>IF(AND(Input_Product=Elig!$C253,Elig_MatchAll_Ct&lt;22,$BC253=(Elig_MatchAll_Ct-1),AT253=0),Q253,0)</f>
        <v>0</v>
      </c>
      <c r="BW253" s="175">
        <f>IF(AND(Input_Product=Elig!$C253,Elig_MatchAll_Ct&lt;22,$BC253=(Elig_MatchAll_Ct-1),AU253=0),R253,0)</f>
        <v>0</v>
      </c>
      <c r="BX253" s="176">
        <f>IF(AND(Input_Product=Elig!$C253,Elig_MatchAll_Ct&lt;22,$BC253=(Elig_MatchAll_Ct-1),AU253=0),S253,0)</f>
        <v>0</v>
      </c>
      <c r="BY253" s="175">
        <f>IF(AND(Input_Product=Elig!$C253,Elig_MatchAll_Ct&lt;22,$BC253=(Elig_MatchAll_Ct-1),AV253=0),T253,0)</f>
        <v>0</v>
      </c>
      <c r="BZ253" s="176">
        <f>IF(AND(Input_Product=Elig!$C253,Elig_MatchAll_Ct&lt;22,$BC253=(Elig_MatchAll_Ct-1),AV253=0),U253,0)</f>
        <v>0</v>
      </c>
      <c r="CA253" s="175">
        <f>IF(AND(Input_Product=Elig!$C253,Elig_MatchAll_Ct&lt;22,$BC253=(Elig_MatchAll_Ct-1),AW253=0),V253,0)</f>
        <v>0</v>
      </c>
      <c r="CB253" s="176">
        <f>IF(AND(Input_Product=Elig!$C253,Elig_MatchAll_Ct&lt;22,$BC253=(Elig_MatchAll_Ct-1),AW253=0),W253,0)</f>
        <v>0</v>
      </c>
      <c r="CC253" s="175">
        <f>IF(AND(Input_Product=Elig!$C253,Elig_MatchAll_Ct&lt;22,$BC253=(Elig_MatchAll_Ct-1),AX253=0),X253,0)</f>
        <v>0</v>
      </c>
      <c r="CD253" s="176">
        <f>IF(AND(Input_Product=Elig!$C253,Elig_MatchAll_Ct&lt;22,$BC253=(Elig_MatchAll_Ct-1),AX253=0),Y253,0)</f>
        <v>0</v>
      </c>
      <c r="CE253" s="175">
        <f>IF(AND(Input_LTV&lt;=AE253,Input_Product=Elig!$C253,Elig_MatchAll_Ct&lt;22,$BC253=(Elig_MatchAll_Ct-1),AY253=0),Z253,0)</f>
        <v>0</v>
      </c>
      <c r="CF253" s="176">
        <f>IF(AND(Input_LTV&lt;=AE253,Input_Product=Elig!$C253,Elig_MatchAll_Ct&lt;22,$BC253=(Elig_MatchAll_Ct-1),AY253=0),AA253,0)</f>
        <v>0</v>
      </c>
      <c r="CG253" s="175">
        <f>IF(AND(Input_Product=Elig!$C253,Elig_MatchAll_Ct&lt;22,$BC253=(Elig_MatchAll_Ct-1),AZ253=0),AB253,0)</f>
        <v>0</v>
      </c>
      <c r="CH253" s="176">
        <f>IF(AND(Input_Product=Elig!$C253,Elig_MatchAll_Ct&lt;22,$BC253=(Elig_MatchAll_Ct-1),AZ253=0),AC253,0)</f>
        <v>0</v>
      </c>
      <c r="CI253" s="175">
        <f>IF(AND(Input_Product=Elig!$C253,Elig_MatchAll_Ct&lt;22,$BC253=(Elig_MatchAll_Ct-1),BA253=0),AD253,0)</f>
        <v>0</v>
      </c>
      <c r="CJ253" s="176">
        <f>IF(AND(Input_Product=Elig!$C253,Elig_MatchAll_Ct&lt;22,$BC253=(Elig_MatchAll_Ct-1),BA253=0),AE253,0)</f>
        <v>0</v>
      </c>
    </row>
    <row r="254" spans="1:88" ht="10.15" customHeight="1" x14ac:dyDescent="0.25">
      <c r="A254" s="252" t="s">
        <v>76</v>
      </c>
      <c r="B254" s="252" t="s">
        <v>895</v>
      </c>
      <c r="C254" s="251" t="str">
        <f t="shared" si="93"/>
        <v>NonQM NOO</v>
      </c>
      <c r="D254" s="252" t="s">
        <v>1995</v>
      </c>
      <c r="E254" s="252" t="s">
        <v>166</v>
      </c>
      <c r="F254" s="252" t="s">
        <v>329</v>
      </c>
      <c r="G254" s="252" t="s">
        <v>302</v>
      </c>
      <c r="H254" s="252" t="s">
        <v>135</v>
      </c>
      <c r="I254" s="253" t="s">
        <v>16</v>
      </c>
      <c r="J254" s="253" t="s">
        <v>1130</v>
      </c>
      <c r="K254" s="253" t="s">
        <v>1398</v>
      </c>
      <c r="L254" s="252" t="s">
        <v>311</v>
      </c>
      <c r="M254" s="252" t="s">
        <v>2289</v>
      </c>
      <c r="N254" s="252" t="s">
        <v>1844</v>
      </c>
      <c r="O254" s="252" t="s">
        <v>309</v>
      </c>
      <c r="P254" s="252" t="s">
        <v>2434</v>
      </c>
      <c r="Q254" s="252" t="s">
        <v>293</v>
      </c>
      <c r="R254" s="252">
        <v>100000</v>
      </c>
      <c r="S254" s="252">
        <v>1000000</v>
      </c>
      <c r="T254" s="252">
        <v>0</v>
      </c>
      <c r="U254" s="252">
        <f t="shared" si="94"/>
        <v>1000000</v>
      </c>
      <c r="V254" s="252">
        <v>0</v>
      </c>
      <c r="W254" s="252">
        <v>55</v>
      </c>
      <c r="X254" s="252">
        <v>0</v>
      </c>
      <c r="Y254" s="252">
        <v>999</v>
      </c>
      <c r="Z254" s="254">
        <v>680</v>
      </c>
      <c r="AA254" s="254">
        <v>699</v>
      </c>
      <c r="AB254" s="1883">
        <v>0</v>
      </c>
      <c r="AC254" s="254">
        <v>999999</v>
      </c>
      <c r="AD254" s="252">
        <v>0</v>
      </c>
      <c r="AE254" s="255">
        <v>75</v>
      </c>
      <c r="AF254" s="144">
        <v>0</v>
      </c>
      <c r="AG254" s="145">
        <v>1</v>
      </c>
      <c r="AH254" s="145">
        <v>1</v>
      </c>
      <c r="AI254" s="145">
        <v>1</v>
      </c>
      <c r="AJ254" s="145">
        <v>0</v>
      </c>
      <c r="AK254" s="145">
        <v>1</v>
      </c>
      <c r="AL254" s="145">
        <v>0</v>
      </c>
      <c r="AM254" s="145">
        <v>1</v>
      </c>
      <c r="AN254" s="145">
        <v>1</v>
      </c>
      <c r="AO254" s="145">
        <v>1</v>
      </c>
      <c r="AP254" s="145">
        <v>1</v>
      </c>
      <c r="AQ254" s="145">
        <v>1</v>
      </c>
      <c r="AR254" s="145">
        <v>1</v>
      </c>
      <c r="AS254" s="145">
        <v>1</v>
      </c>
      <c r="AT254" s="145">
        <v>1</v>
      </c>
      <c r="AU254" s="145">
        <f t="shared" si="55"/>
        <v>1</v>
      </c>
      <c r="AV254" s="145">
        <f t="shared" si="56"/>
        <v>1</v>
      </c>
      <c r="AW254" s="145">
        <f t="shared" si="57"/>
        <v>1</v>
      </c>
      <c r="AX254" s="145">
        <f t="shared" si="73"/>
        <v>1</v>
      </c>
      <c r="AY254" s="145">
        <f t="shared" si="58"/>
        <v>0</v>
      </c>
      <c r="AZ254" s="145">
        <f t="shared" si="59"/>
        <v>1</v>
      </c>
      <c r="BA254" s="146">
        <f t="shared" si="60"/>
        <v>1</v>
      </c>
      <c r="BB254" s="149">
        <f t="shared" si="83"/>
        <v>18</v>
      </c>
      <c r="BC254" s="150">
        <f t="shared" si="84"/>
        <v>17</v>
      </c>
      <c r="BD254" s="150">
        <f t="shared" si="85"/>
        <v>18</v>
      </c>
      <c r="BE254" s="211" t="str">
        <f t="shared" si="86"/>
        <v/>
      </c>
      <c r="BH254" s="173">
        <f>IF(AND(Input_Product=Elig!$C254,Elig_MatchAll_Ct&lt;22,$BC254=(Elig_MatchAll_Ct-1),AF254=0),C254,0)</f>
        <v>0</v>
      </c>
      <c r="BI254" s="173">
        <f>IF(AND(Input_Product=Elig!$C254,Elig_MatchAll_Ct&lt;22,$BC254=(Elig_MatchAll_Ct-1),AG254=0),D254,0)</f>
        <v>0</v>
      </c>
      <c r="BJ254" s="173">
        <f>IF(AND(Input_Product=Elig!$C254,Elig_MatchAll_Ct&lt;22,$BC254=(Elig_MatchAll_Ct-1),AH254=0),E254,0)</f>
        <v>0</v>
      </c>
      <c r="BK254" s="173">
        <f>IF(AND(Input_Product=Elig!$C254,Elig_MatchAll_Ct&lt;22,$BC254=(Elig_MatchAll_Ct-1),AI254=0),F254,0)</f>
        <v>0</v>
      </c>
      <c r="BL254" s="173">
        <f>IF(AND(Input_Product=Elig!$C254,Elig_MatchAll_Ct&lt;22,$BC254=(Elig_MatchAll_Ct-1),AJ254=0),G254,0)</f>
        <v>0</v>
      </c>
      <c r="BM254" s="173">
        <f>IF(AND(Input_Product=Elig!$C254,Elig_MatchAll_Ct&lt;22,$BC254=(Elig_MatchAll_Ct-1),AK254=0),H254,0)</f>
        <v>0</v>
      </c>
      <c r="BN254" s="173">
        <f>IF(AND(Input_Product=Elig!$C254,Elig_MatchAll_Ct&lt;22,$BC254=(Elig_MatchAll_Ct-1),AL254=0),I254,0)</f>
        <v>0</v>
      </c>
      <c r="BO254" s="173">
        <f>IF(AND(Input_Product=Elig!$C254,Elig_MatchAll_Ct&lt;22,$BC254=(Elig_MatchAll_Ct-1),AM254=0),J254,0)</f>
        <v>0</v>
      </c>
      <c r="BP254" s="173">
        <f>IF(AND(Input_Product=Elig!$C254,Elig_MatchAll_Ct&lt;22,$BC254=(Elig_MatchAll_Ct-1),AN254=0),K254,0)</f>
        <v>0</v>
      </c>
      <c r="BQ254" s="173">
        <f>IF(AND(Input_Product=Elig!$C254,Elig_MatchAll_Ct&lt;22,$BC254=(Elig_MatchAll_Ct-1),AP254=0),L254,0)</f>
        <v>0</v>
      </c>
      <c r="BR254" s="173">
        <f>IF(AND(Input_Product=Elig!$C254,Elig_MatchAll_Ct&lt;22,$BC254=(Elig_MatchAll_Ct-1),AO254=0),M254,0)</f>
        <v>0</v>
      </c>
      <c r="BS254" s="173">
        <f>IF(AND(Input_Product=Elig!$C254,Elig_MatchAll_Ct&lt;22,$BC254=(Elig_MatchAll_Ct-1),AQ254=0),N254,0)</f>
        <v>0</v>
      </c>
      <c r="BT254" s="173">
        <f>IF(AND(Input_Product=Elig!$C254,Elig_MatchAll_Ct&lt;22,$BC254=(Elig_MatchAll_Ct-1),AR254=0),O254,0)</f>
        <v>0</v>
      </c>
      <c r="BU254" s="173">
        <f>IF(AND(Input_Product=Elig!$C254,Elig_MatchAll_Ct&lt;22,$BC254=(Elig_MatchAll_Ct-1),AS254=0),P254,0)</f>
        <v>0</v>
      </c>
      <c r="BV254" s="174">
        <f>IF(AND(Input_Product=Elig!$C254,Elig_MatchAll_Ct&lt;22,$BC254=(Elig_MatchAll_Ct-1),AT254=0),Q254,0)</f>
        <v>0</v>
      </c>
      <c r="BW254" s="175">
        <f>IF(AND(Input_Product=Elig!$C254,Elig_MatchAll_Ct&lt;22,$BC254=(Elig_MatchAll_Ct-1),AU254=0),R254,0)</f>
        <v>0</v>
      </c>
      <c r="BX254" s="176">
        <f>IF(AND(Input_Product=Elig!$C254,Elig_MatchAll_Ct&lt;22,$BC254=(Elig_MatchAll_Ct-1),AU254=0),S254,0)</f>
        <v>0</v>
      </c>
      <c r="BY254" s="175">
        <f>IF(AND(Input_Product=Elig!$C254,Elig_MatchAll_Ct&lt;22,$BC254=(Elig_MatchAll_Ct-1),AV254=0),T254,0)</f>
        <v>0</v>
      </c>
      <c r="BZ254" s="176">
        <f>IF(AND(Input_Product=Elig!$C254,Elig_MatchAll_Ct&lt;22,$BC254=(Elig_MatchAll_Ct-1),AV254=0),U254,0)</f>
        <v>0</v>
      </c>
      <c r="CA254" s="175">
        <f>IF(AND(Input_Product=Elig!$C254,Elig_MatchAll_Ct&lt;22,$BC254=(Elig_MatchAll_Ct-1),AW254=0),V254,0)</f>
        <v>0</v>
      </c>
      <c r="CB254" s="176">
        <f>IF(AND(Input_Product=Elig!$C254,Elig_MatchAll_Ct&lt;22,$BC254=(Elig_MatchAll_Ct-1),AW254=0),W254,0)</f>
        <v>0</v>
      </c>
      <c r="CC254" s="175">
        <f>IF(AND(Input_Product=Elig!$C254,Elig_MatchAll_Ct&lt;22,$BC254=(Elig_MatchAll_Ct-1),AX254=0),X254,0)</f>
        <v>0</v>
      </c>
      <c r="CD254" s="176">
        <f>IF(AND(Input_Product=Elig!$C254,Elig_MatchAll_Ct&lt;22,$BC254=(Elig_MatchAll_Ct-1),AX254=0),Y254,0)</f>
        <v>0</v>
      </c>
      <c r="CE254" s="175">
        <f>IF(AND(Input_LTV&lt;=AE254,Input_Product=Elig!$C254,Elig_MatchAll_Ct&lt;22,$BC254=(Elig_MatchAll_Ct-1),AY254=0),Z254,0)</f>
        <v>0</v>
      </c>
      <c r="CF254" s="176">
        <f>IF(AND(Input_LTV&lt;=AE254,Input_Product=Elig!$C254,Elig_MatchAll_Ct&lt;22,$BC254=(Elig_MatchAll_Ct-1),AY254=0),AA254,0)</f>
        <v>0</v>
      </c>
      <c r="CG254" s="175">
        <f>IF(AND(Input_Product=Elig!$C254,Elig_MatchAll_Ct&lt;22,$BC254=(Elig_MatchAll_Ct-1),AZ254=0),AB254,0)</f>
        <v>0</v>
      </c>
      <c r="CH254" s="176">
        <f>IF(AND(Input_Product=Elig!$C254,Elig_MatchAll_Ct&lt;22,$BC254=(Elig_MatchAll_Ct-1),AZ254=0),AC254,0)</f>
        <v>0</v>
      </c>
      <c r="CI254" s="175">
        <f>IF(AND(Input_Product=Elig!$C254,Elig_MatchAll_Ct&lt;22,$BC254=(Elig_MatchAll_Ct-1),BA254=0),AD254,0)</f>
        <v>0</v>
      </c>
      <c r="CJ254" s="176">
        <f>IF(AND(Input_Product=Elig!$C254,Elig_MatchAll_Ct&lt;22,$BC254=(Elig_MatchAll_Ct-1),BA254=0),AE254,0)</f>
        <v>0</v>
      </c>
    </row>
    <row r="255" spans="1:88" ht="10.15" customHeight="1" x14ac:dyDescent="0.25">
      <c r="A255" s="252" t="s">
        <v>76</v>
      </c>
      <c r="B255" s="252" t="s">
        <v>896</v>
      </c>
      <c r="C255" s="251" t="str">
        <f t="shared" si="93"/>
        <v>NonQM NOO</v>
      </c>
      <c r="D255" s="252" t="s">
        <v>1995</v>
      </c>
      <c r="E255" s="252" t="s">
        <v>166</v>
      </c>
      <c r="F255" s="252" t="s">
        <v>329</v>
      </c>
      <c r="G255" s="252" t="s">
        <v>302</v>
      </c>
      <c r="H255" s="252" t="s">
        <v>135</v>
      </c>
      <c r="I255" s="252" t="s">
        <v>16</v>
      </c>
      <c r="J255" s="252" t="s">
        <v>1130</v>
      </c>
      <c r="K255" s="252" t="s">
        <v>1398</v>
      </c>
      <c r="L255" s="252" t="s">
        <v>311</v>
      </c>
      <c r="M255" s="252" t="s">
        <v>2289</v>
      </c>
      <c r="N255" s="252" t="s">
        <v>1844</v>
      </c>
      <c r="O255" s="252" t="s">
        <v>309</v>
      </c>
      <c r="P255" s="252" t="s">
        <v>2434</v>
      </c>
      <c r="Q255" s="252" t="s">
        <v>293</v>
      </c>
      <c r="R255" s="252">
        <v>100000</v>
      </c>
      <c r="S255" s="252">
        <v>1000000</v>
      </c>
      <c r="T255" s="252">
        <v>0</v>
      </c>
      <c r="U255" s="252">
        <f t="shared" si="94"/>
        <v>1000000</v>
      </c>
      <c r="V255" s="252">
        <v>0</v>
      </c>
      <c r="W255" s="252">
        <v>50</v>
      </c>
      <c r="X255" s="252">
        <v>0</v>
      </c>
      <c r="Y255" s="252">
        <v>999</v>
      </c>
      <c r="Z255" s="254">
        <v>660</v>
      </c>
      <c r="AA255" s="254">
        <v>679</v>
      </c>
      <c r="AB255" s="1883">
        <v>0</v>
      </c>
      <c r="AC255" s="254">
        <v>999999</v>
      </c>
      <c r="AD255" s="252">
        <v>0</v>
      </c>
      <c r="AE255" s="255">
        <v>70</v>
      </c>
      <c r="AF255" s="144">
        <v>0</v>
      </c>
      <c r="AG255" s="145">
        <v>1</v>
      </c>
      <c r="AH255" s="145">
        <v>1</v>
      </c>
      <c r="AI255" s="145">
        <v>1</v>
      </c>
      <c r="AJ255" s="145">
        <v>0</v>
      </c>
      <c r="AK255" s="145">
        <v>1</v>
      </c>
      <c r="AL255" s="145">
        <v>0</v>
      </c>
      <c r="AM255" s="145">
        <v>1</v>
      </c>
      <c r="AN255" s="145">
        <v>1</v>
      </c>
      <c r="AO255" s="145">
        <v>1</v>
      </c>
      <c r="AP255" s="145">
        <v>1</v>
      </c>
      <c r="AQ255" s="145">
        <v>1</v>
      </c>
      <c r="AR255" s="145">
        <v>1</v>
      </c>
      <c r="AS255" s="145">
        <v>1</v>
      </c>
      <c r="AT255" s="145">
        <v>1</v>
      </c>
      <c r="AU255" s="145">
        <f t="shared" si="55"/>
        <v>1</v>
      </c>
      <c r="AV255" s="145">
        <f t="shared" si="56"/>
        <v>1</v>
      </c>
      <c r="AW255" s="145">
        <f t="shared" si="57"/>
        <v>1</v>
      </c>
      <c r="AX255" s="145">
        <f t="shared" si="73"/>
        <v>1</v>
      </c>
      <c r="AY255" s="145">
        <f t="shared" si="58"/>
        <v>0</v>
      </c>
      <c r="AZ255" s="145">
        <f t="shared" si="59"/>
        <v>1</v>
      </c>
      <c r="BA255" s="146">
        <f t="shared" si="60"/>
        <v>1</v>
      </c>
      <c r="BB255" s="149">
        <f t="shared" si="83"/>
        <v>18</v>
      </c>
      <c r="BC255" s="150">
        <f t="shared" si="84"/>
        <v>17</v>
      </c>
      <c r="BD255" s="150">
        <f t="shared" si="85"/>
        <v>18</v>
      </c>
      <c r="BE255" s="211" t="str">
        <f t="shared" si="86"/>
        <v/>
      </c>
      <c r="BH255" s="173">
        <f>IF(AND(Input_Product=Elig!$C255,Elig_MatchAll_Ct&lt;22,$BC255=(Elig_MatchAll_Ct-1),AF255=0),C255,0)</f>
        <v>0</v>
      </c>
      <c r="BI255" s="173">
        <f>IF(AND(Input_Product=Elig!$C255,Elig_MatchAll_Ct&lt;22,$BC255=(Elig_MatchAll_Ct-1),AG255=0),D255,0)</f>
        <v>0</v>
      </c>
      <c r="BJ255" s="173">
        <f>IF(AND(Input_Product=Elig!$C255,Elig_MatchAll_Ct&lt;22,$BC255=(Elig_MatchAll_Ct-1),AH255=0),E255,0)</f>
        <v>0</v>
      </c>
      <c r="BK255" s="173">
        <f>IF(AND(Input_Product=Elig!$C255,Elig_MatchAll_Ct&lt;22,$BC255=(Elig_MatchAll_Ct-1),AI255=0),F255,0)</f>
        <v>0</v>
      </c>
      <c r="BL255" s="173">
        <f>IF(AND(Input_Product=Elig!$C255,Elig_MatchAll_Ct&lt;22,$BC255=(Elig_MatchAll_Ct-1),AJ255=0),G255,0)</f>
        <v>0</v>
      </c>
      <c r="BM255" s="173">
        <f>IF(AND(Input_Product=Elig!$C255,Elig_MatchAll_Ct&lt;22,$BC255=(Elig_MatchAll_Ct-1),AK255=0),H255,0)</f>
        <v>0</v>
      </c>
      <c r="BN255" s="173">
        <f>IF(AND(Input_Product=Elig!$C255,Elig_MatchAll_Ct&lt;22,$BC255=(Elig_MatchAll_Ct-1),AL255=0),I255,0)</f>
        <v>0</v>
      </c>
      <c r="BO255" s="173">
        <f>IF(AND(Input_Product=Elig!$C255,Elig_MatchAll_Ct&lt;22,$BC255=(Elig_MatchAll_Ct-1),AM255=0),J255,0)</f>
        <v>0</v>
      </c>
      <c r="BP255" s="173">
        <f>IF(AND(Input_Product=Elig!$C255,Elig_MatchAll_Ct&lt;22,$BC255=(Elig_MatchAll_Ct-1),AN255=0),K255,0)</f>
        <v>0</v>
      </c>
      <c r="BQ255" s="173">
        <f>IF(AND(Input_Product=Elig!$C255,Elig_MatchAll_Ct&lt;22,$BC255=(Elig_MatchAll_Ct-1),AP255=0),L255,0)</f>
        <v>0</v>
      </c>
      <c r="BR255" s="173">
        <f>IF(AND(Input_Product=Elig!$C255,Elig_MatchAll_Ct&lt;22,$BC255=(Elig_MatchAll_Ct-1),AO255=0),M255,0)</f>
        <v>0</v>
      </c>
      <c r="BS255" s="173">
        <f>IF(AND(Input_Product=Elig!$C255,Elig_MatchAll_Ct&lt;22,$BC255=(Elig_MatchAll_Ct-1),AQ255=0),N255,0)</f>
        <v>0</v>
      </c>
      <c r="BT255" s="173">
        <f>IF(AND(Input_Product=Elig!$C255,Elig_MatchAll_Ct&lt;22,$BC255=(Elig_MatchAll_Ct-1),AR255=0),O255,0)</f>
        <v>0</v>
      </c>
      <c r="BU255" s="173">
        <f>IF(AND(Input_Product=Elig!$C255,Elig_MatchAll_Ct&lt;22,$BC255=(Elig_MatchAll_Ct-1),AS255=0),P255,0)</f>
        <v>0</v>
      </c>
      <c r="BV255" s="174">
        <f>IF(AND(Input_Product=Elig!$C255,Elig_MatchAll_Ct&lt;22,$BC255=(Elig_MatchAll_Ct-1),AT255=0),Q255,0)</f>
        <v>0</v>
      </c>
      <c r="BW255" s="175">
        <f>IF(AND(Input_Product=Elig!$C255,Elig_MatchAll_Ct&lt;22,$BC255=(Elig_MatchAll_Ct-1),AU255=0),R255,0)</f>
        <v>0</v>
      </c>
      <c r="BX255" s="176">
        <f>IF(AND(Input_Product=Elig!$C255,Elig_MatchAll_Ct&lt;22,$BC255=(Elig_MatchAll_Ct-1),AU255=0),S255,0)</f>
        <v>0</v>
      </c>
      <c r="BY255" s="175">
        <f>IF(AND(Input_Product=Elig!$C255,Elig_MatchAll_Ct&lt;22,$BC255=(Elig_MatchAll_Ct-1),AV255=0),T255,0)</f>
        <v>0</v>
      </c>
      <c r="BZ255" s="176">
        <f>IF(AND(Input_Product=Elig!$C255,Elig_MatchAll_Ct&lt;22,$BC255=(Elig_MatchAll_Ct-1),AV255=0),U255,0)</f>
        <v>0</v>
      </c>
      <c r="CA255" s="175">
        <f>IF(AND(Input_Product=Elig!$C255,Elig_MatchAll_Ct&lt;22,$BC255=(Elig_MatchAll_Ct-1),AW255=0),V255,0)</f>
        <v>0</v>
      </c>
      <c r="CB255" s="176">
        <f>IF(AND(Input_Product=Elig!$C255,Elig_MatchAll_Ct&lt;22,$BC255=(Elig_MatchAll_Ct-1),AW255=0),W255,0)</f>
        <v>0</v>
      </c>
      <c r="CC255" s="175">
        <f>IF(AND(Input_Product=Elig!$C255,Elig_MatchAll_Ct&lt;22,$BC255=(Elig_MatchAll_Ct-1),AX255=0),X255,0)</f>
        <v>0</v>
      </c>
      <c r="CD255" s="176">
        <f>IF(AND(Input_Product=Elig!$C255,Elig_MatchAll_Ct&lt;22,$BC255=(Elig_MatchAll_Ct-1),AX255=0),Y255,0)</f>
        <v>0</v>
      </c>
      <c r="CE255" s="175">
        <f>IF(AND(Input_LTV&lt;=AE255,Input_Product=Elig!$C255,Elig_MatchAll_Ct&lt;22,$BC255=(Elig_MatchAll_Ct-1),AY255=0),Z255,0)</f>
        <v>0</v>
      </c>
      <c r="CF255" s="176">
        <f>IF(AND(Input_LTV&lt;=AE255,Input_Product=Elig!$C255,Elig_MatchAll_Ct&lt;22,$BC255=(Elig_MatchAll_Ct-1),AY255=0),AA255,0)</f>
        <v>0</v>
      </c>
      <c r="CG255" s="175">
        <f>IF(AND(Input_Product=Elig!$C255,Elig_MatchAll_Ct&lt;22,$BC255=(Elig_MatchAll_Ct-1),AZ255=0),AB255,0)</f>
        <v>0</v>
      </c>
      <c r="CH255" s="176">
        <f>IF(AND(Input_Product=Elig!$C255,Elig_MatchAll_Ct&lt;22,$BC255=(Elig_MatchAll_Ct-1),AZ255=0),AC255,0)</f>
        <v>0</v>
      </c>
      <c r="CI255" s="175">
        <f>IF(AND(Input_Product=Elig!$C255,Elig_MatchAll_Ct&lt;22,$BC255=(Elig_MatchAll_Ct-1),BA255=0),AD255,0)</f>
        <v>0</v>
      </c>
      <c r="CJ255" s="176">
        <f>IF(AND(Input_Product=Elig!$C255,Elig_MatchAll_Ct&lt;22,$BC255=(Elig_MatchAll_Ct-1),BA255=0),AE255,0)</f>
        <v>0</v>
      </c>
    </row>
    <row r="256" spans="1:88" ht="10.15" customHeight="1" x14ac:dyDescent="0.25">
      <c r="A256" s="252" t="s">
        <v>76</v>
      </c>
      <c r="B256" s="252" t="s">
        <v>897</v>
      </c>
      <c r="C256" s="246" t="str">
        <f t="shared" si="93"/>
        <v>NonQM NOO</v>
      </c>
      <c r="D256" s="247" t="s">
        <v>1995</v>
      </c>
      <c r="E256" s="248" t="s">
        <v>166</v>
      </c>
      <c r="F256" s="248" t="s">
        <v>329</v>
      </c>
      <c r="G256" s="248" t="s">
        <v>303</v>
      </c>
      <c r="H256" s="248" t="s">
        <v>444</v>
      </c>
      <c r="I256" s="247" t="s">
        <v>273</v>
      </c>
      <c r="J256" s="247" t="s">
        <v>1130</v>
      </c>
      <c r="K256" s="247" t="s">
        <v>1398</v>
      </c>
      <c r="L256" s="248" t="s">
        <v>311</v>
      </c>
      <c r="M256" s="248" t="s">
        <v>2289</v>
      </c>
      <c r="N256" s="248" t="s">
        <v>1844</v>
      </c>
      <c r="O256" s="248" t="s">
        <v>309</v>
      </c>
      <c r="P256" s="248" t="s">
        <v>2434</v>
      </c>
      <c r="Q256" s="248" t="s">
        <v>293</v>
      </c>
      <c r="R256" s="247">
        <v>100000</v>
      </c>
      <c r="S256" s="247">
        <v>1000000</v>
      </c>
      <c r="T256" s="247">
        <v>0</v>
      </c>
      <c r="U256" s="247">
        <v>0</v>
      </c>
      <c r="V256" s="247">
        <v>0</v>
      </c>
      <c r="W256" s="247">
        <v>55</v>
      </c>
      <c r="X256" s="247">
        <v>0</v>
      </c>
      <c r="Y256" s="247">
        <v>999</v>
      </c>
      <c r="Z256" s="249">
        <v>720</v>
      </c>
      <c r="AA256" s="249">
        <v>999</v>
      </c>
      <c r="AB256" s="1882">
        <v>0</v>
      </c>
      <c r="AC256" s="249">
        <v>999999</v>
      </c>
      <c r="AD256" s="247">
        <v>0</v>
      </c>
      <c r="AE256" s="250">
        <v>85</v>
      </c>
      <c r="AF256" s="144">
        <v>0</v>
      </c>
      <c r="AG256" s="145">
        <v>1</v>
      </c>
      <c r="AH256" s="145">
        <v>1</v>
      </c>
      <c r="AI256" s="145">
        <v>1</v>
      </c>
      <c r="AJ256" s="145">
        <v>0</v>
      </c>
      <c r="AK256" s="145">
        <v>0</v>
      </c>
      <c r="AL256" s="145">
        <v>1</v>
      </c>
      <c r="AM256" s="145">
        <v>1</v>
      </c>
      <c r="AN256" s="145">
        <v>1</v>
      </c>
      <c r="AO256" s="145">
        <v>1</v>
      </c>
      <c r="AP256" s="145">
        <v>1</v>
      </c>
      <c r="AQ256" s="145">
        <v>1</v>
      </c>
      <c r="AR256" s="145">
        <v>1</v>
      </c>
      <c r="AS256" s="145">
        <v>1</v>
      </c>
      <c r="AT256" s="145">
        <v>1</v>
      </c>
      <c r="AU256" s="145">
        <f t="shared" si="55"/>
        <v>1</v>
      </c>
      <c r="AV256" s="145">
        <f t="shared" si="56"/>
        <v>1</v>
      </c>
      <c r="AW256" s="145">
        <f t="shared" si="57"/>
        <v>1</v>
      </c>
      <c r="AX256" s="145">
        <f t="shared" si="73"/>
        <v>1</v>
      </c>
      <c r="AY256" s="145">
        <f t="shared" si="58"/>
        <v>1</v>
      </c>
      <c r="AZ256" s="145">
        <f t="shared" si="59"/>
        <v>1</v>
      </c>
      <c r="BA256" s="146">
        <f t="shared" si="60"/>
        <v>1</v>
      </c>
      <c r="BB256" s="149">
        <f t="shared" si="83"/>
        <v>19</v>
      </c>
      <c r="BC256" s="150">
        <f t="shared" si="84"/>
        <v>18</v>
      </c>
      <c r="BD256" s="150">
        <f t="shared" si="85"/>
        <v>19</v>
      </c>
      <c r="BE256" s="211" t="str">
        <f t="shared" si="86"/>
        <v/>
      </c>
      <c r="BH256" s="190">
        <f>IF(AND(Input_Product=Elig!$C256,Elig_MatchAll_Ct&lt;22,$BC256=(Elig_MatchAll_Ct-1),AF256=0),C256,0)</f>
        <v>0</v>
      </c>
      <c r="BI256" s="190">
        <f>IF(AND(Input_Product=Elig!$C256,Elig_MatchAll_Ct&lt;22,$BC256=(Elig_MatchAll_Ct-1),AG256=0),D256,0)</f>
        <v>0</v>
      </c>
      <c r="BJ256" s="190">
        <f>IF(AND(Input_Product=Elig!$C256,Elig_MatchAll_Ct&lt;22,$BC256=(Elig_MatchAll_Ct-1),AH256=0),E256,0)</f>
        <v>0</v>
      </c>
      <c r="BK256" s="190">
        <f>IF(AND(Input_Product=Elig!$C256,Elig_MatchAll_Ct&lt;22,$BC256=(Elig_MatchAll_Ct-1),AI256=0),F256,0)</f>
        <v>0</v>
      </c>
      <c r="BL256" s="190">
        <f>IF(AND(Input_Product=Elig!$C256,Elig_MatchAll_Ct&lt;22,$BC256=(Elig_MatchAll_Ct-1),AJ256=0),G256,0)</f>
        <v>0</v>
      </c>
      <c r="BM256" s="190">
        <f>IF(AND(Input_Product=Elig!$C256,Elig_MatchAll_Ct&lt;22,$BC256=(Elig_MatchAll_Ct-1),AK256=0),H256,0)</f>
        <v>0</v>
      </c>
      <c r="BN256" s="190">
        <f>IF(AND(Input_Product=Elig!$C256,Elig_MatchAll_Ct&lt;22,$BC256=(Elig_MatchAll_Ct-1),AL256=0),I256,0)</f>
        <v>0</v>
      </c>
      <c r="BO256" s="190">
        <f>IF(AND(Input_Product=Elig!$C256,Elig_MatchAll_Ct&lt;22,$BC256=(Elig_MatchAll_Ct-1),AM256=0),J256,0)</f>
        <v>0</v>
      </c>
      <c r="BP256" s="190">
        <f>IF(AND(Input_Product=Elig!$C256,Elig_MatchAll_Ct&lt;22,$BC256=(Elig_MatchAll_Ct-1),AN256=0),K256,0)</f>
        <v>0</v>
      </c>
      <c r="BQ256" s="190">
        <f>IF(AND(Input_Product=Elig!$C256,Elig_MatchAll_Ct&lt;22,$BC256=(Elig_MatchAll_Ct-1),AP256=0),L256,0)</f>
        <v>0</v>
      </c>
      <c r="BR256" s="190">
        <f>IF(AND(Input_Product=Elig!$C256,Elig_MatchAll_Ct&lt;22,$BC256=(Elig_MatchAll_Ct-1),AO256=0),M256,0)</f>
        <v>0</v>
      </c>
      <c r="BS256" s="190">
        <f>IF(AND(Input_Product=Elig!$C256,Elig_MatchAll_Ct&lt;22,$BC256=(Elig_MatchAll_Ct-1),AQ256=0),N256,0)</f>
        <v>0</v>
      </c>
      <c r="BT256" s="190">
        <f>IF(AND(Input_Product=Elig!$C256,Elig_MatchAll_Ct&lt;22,$BC256=(Elig_MatchAll_Ct-1),AR256=0),O256,0)</f>
        <v>0</v>
      </c>
      <c r="BU256" s="190">
        <f>IF(AND(Input_Product=Elig!$C256,Elig_MatchAll_Ct&lt;22,$BC256=(Elig_MatchAll_Ct-1),AS256=0),P256,0)</f>
        <v>0</v>
      </c>
      <c r="BV256" s="191">
        <f>IF(AND(Input_Product=Elig!$C256,Elig_MatchAll_Ct&lt;22,$BC256=(Elig_MatchAll_Ct-1),AT256=0),Q256,0)</f>
        <v>0</v>
      </c>
      <c r="BW256" s="186">
        <f>IF(AND(Input_Product=Elig!$C256,Elig_MatchAll_Ct&lt;22,$BC256=(Elig_MatchAll_Ct-1),AU256=0),R256,0)</f>
        <v>0</v>
      </c>
      <c r="BX256" s="187">
        <f>IF(AND(Input_Product=Elig!$C256,Elig_MatchAll_Ct&lt;22,$BC256=(Elig_MatchAll_Ct-1),AU256=0),S256,0)</f>
        <v>0</v>
      </c>
      <c r="BY256" s="186">
        <f>IF(AND(Input_Product=Elig!$C256,Elig_MatchAll_Ct&lt;22,$BC256=(Elig_MatchAll_Ct-1),AV256=0),T256,0)</f>
        <v>0</v>
      </c>
      <c r="BZ256" s="187">
        <f>IF(AND(Input_Product=Elig!$C256,Elig_MatchAll_Ct&lt;22,$BC256=(Elig_MatchAll_Ct-1),AV256=0),U256,0)</f>
        <v>0</v>
      </c>
      <c r="CA256" s="186">
        <f>IF(AND(Input_Product=Elig!$C256,Elig_MatchAll_Ct&lt;22,$BC256=(Elig_MatchAll_Ct-1),AW256=0),V256,0)</f>
        <v>0</v>
      </c>
      <c r="CB256" s="187">
        <f>IF(AND(Input_Product=Elig!$C256,Elig_MatchAll_Ct&lt;22,$BC256=(Elig_MatchAll_Ct-1),AW256=0),W256,0)</f>
        <v>0</v>
      </c>
      <c r="CC256" s="186">
        <f>IF(AND(Input_Product=Elig!$C256,Elig_MatchAll_Ct&lt;22,$BC256=(Elig_MatchAll_Ct-1),AX256=0),X256,0)</f>
        <v>0</v>
      </c>
      <c r="CD256" s="187">
        <f>IF(AND(Input_Product=Elig!$C256,Elig_MatchAll_Ct&lt;22,$BC256=(Elig_MatchAll_Ct-1),AX256=0),Y256,0)</f>
        <v>0</v>
      </c>
      <c r="CE256" s="186">
        <f>IF(AND(Input_LTV&lt;=AE256,Input_Product=Elig!$C256,Elig_MatchAll_Ct&lt;22,$BC256=(Elig_MatchAll_Ct-1),AY256=0),Z256,0)</f>
        <v>0</v>
      </c>
      <c r="CF256" s="187">
        <f>IF(AND(Input_LTV&lt;=AE256,Input_Product=Elig!$C256,Elig_MatchAll_Ct&lt;22,$BC256=(Elig_MatchAll_Ct-1),AY256=0),AA256,0)</f>
        <v>0</v>
      </c>
      <c r="CG256" s="186">
        <f>IF(AND(Input_Product=Elig!$C256,Elig_MatchAll_Ct&lt;22,$BC256=(Elig_MatchAll_Ct-1),AZ256=0),AB256,0)</f>
        <v>0</v>
      </c>
      <c r="CH256" s="187">
        <f>IF(AND(Input_Product=Elig!$C256,Elig_MatchAll_Ct&lt;22,$BC256=(Elig_MatchAll_Ct-1),AZ256=0),AC256,0)</f>
        <v>0</v>
      </c>
      <c r="CI256" s="186">
        <f>IF(AND(Input_Product=Elig!$C256,Elig_MatchAll_Ct&lt;22,$BC256=(Elig_MatchAll_Ct-1),BA256=0),AD256,0)</f>
        <v>0</v>
      </c>
      <c r="CJ256" s="187">
        <f>IF(AND(Input_Product=Elig!$C256,Elig_MatchAll_Ct&lt;22,$BC256=(Elig_MatchAll_Ct-1),BA256=0),AE256,0)</f>
        <v>0</v>
      </c>
    </row>
    <row r="257" spans="1:88" ht="10.15" customHeight="1" x14ac:dyDescent="0.25">
      <c r="A257" s="252" t="s">
        <v>76</v>
      </c>
      <c r="B257" s="252" t="s">
        <v>898</v>
      </c>
      <c r="C257" s="251" t="str">
        <f t="shared" si="93"/>
        <v>NonQM NOO</v>
      </c>
      <c r="D257" s="252" t="s">
        <v>1995</v>
      </c>
      <c r="E257" s="252" t="s">
        <v>166</v>
      </c>
      <c r="F257" s="252" t="s">
        <v>329</v>
      </c>
      <c r="G257" s="252" t="s">
        <v>303</v>
      </c>
      <c r="H257" s="252" t="s">
        <v>444</v>
      </c>
      <c r="I257" s="253" t="s">
        <v>273</v>
      </c>
      <c r="J257" s="253" t="s">
        <v>1130</v>
      </c>
      <c r="K257" s="253" t="s">
        <v>1398</v>
      </c>
      <c r="L257" s="252" t="s">
        <v>311</v>
      </c>
      <c r="M257" s="252" t="s">
        <v>2289</v>
      </c>
      <c r="N257" s="252" t="s">
        <v>1844</v>
      </c>
      <c r="O257" s="252" t="s">
        <v>309</v>
      </c>
      <c r="P257" s="252" t="s">
        <v>2434</v>
      </c>
      <c r="Q257" s="252" t="s">
        <v>293</v>
      </c>
      <c r="R257" s="252">
        <v>100000</v>
      </c>
      <c r="S257" s="252">
        <v>1000000</v>
      </c>
      <c r="T257" s="252">
        <v>0</v>
      </c>
      <c r="U257" s="252">
        <v>0</v>
      </c>
      <c r="V257" s="252">
        <v>0</v>
      </c>
      <c r="W257" s="252">
        <v>55</v>
      </c>
      <c r="X257" s="252">
        <v>0</v>
      </c>
      <c r="Y257" s="252">
        <v>999</v>
      </c>
      <c r="Z257" s="254">
        <v>700</v>
      </c>
      <c r="AA257" s="254">
        <v>719</v>
      </c>
      <c r="AB257" s="1883">
        <v>0</v>
      </c>
      <c r="AC257" s="254">
        <v>999999</v>
      </c>
      <c r="AD257" s="252">
        <v>0</v>
      </c>
      <c r="AE257" s="255">
        <v>85</v>
      </c>
      <c r="AF257" s="144">
        <v>0</v>
      </c>
      <c r="AG257" s="145">
        <v>1</v>
      </c>
      <c r="AH257" s="145">
        <v>1</v>
      </c>
      <c r="AI257" s="145">
        <v>1</v>
      </c>
      <c r="AJ257" s="145">
        <v>0</v>
      </c>
      <c r="AK257" s="145">
        <v>0</v>
      </c>
      <c r="AL257" s="145">
        <v>1</v>
      </c>
      <c r="AM257" s="145">
        <v>1</v>
      </c>
      <c r="AN257" s="145">
        <v>1</v>
      </c>
      <c r="AO257" s="145">
        <v>1</v>
      </c>
      <c r="AP257" s="145">
        <v>1</v>
      </c>
      <c r="AQ257" s="145">
        <v>1</v>
      </c>
      <c r="AR257" s="145">
        <v>1</v>
      </c>
      <c r="AS257" s="145">
        <v>1</v>
      </c>
      <c r="AT257" s="145">
        <v>1</v>
      </c>
      <c r="AU257" s="145">
        <f t="shared" si="55"/>
        <v>1</v>
      </c>
      <c r="AV257" s="145">
        <f t="shared" si="56"/>
        <v>1</v>
      </c>
      <c r="AW257" s="145">
        <f t="shared" si="57"/>
        <v>1</v>
      </c>
      <c r="AX257" s="145">
        <f t="shared" si="73"/>
        <v>1</v>
      </c>
      <c r="AY257" s="145">
        <f t="shared" si="58"/>
        <v>0</v>
      </c>
      <c r="AZ257" s="145">
        <f t="shared" si="59"/>
        <v>1</v>
      </c>
      <c r="BA257" s="146">
        <f t="shared" si="60"/>
        <v>1</v>
      </c>
      <c r="BB257" s="149">
        <f t="shared" si="83"/>
        <v>18</v>
      </c>
      <c r="BC257" s="150">
        <f t="shared" si="84"/>
        <v>17</v>
      </c>
      <c r="BD257" s="150">
        <f t="shared" si="85"/>
        <v>18</v>
      </c>
      <c r="BE257" s="211" t="str">
        <f t="shared" si="86"/>
        <v/>
      </c>
      <c r="BH257" s="173">
        <f>IF(AND(Input_Product=Elig!$C257,Elig_MatchAll_Ct&lt;22,$BC257=(Elig_MatchAll_Ct-1),AF257=0),C257,0)</f>
        <v>0</v>
      </c>
      <c r="BI257" s="173">
        <f>IF(AND(Input_Product=Elig!$C257,Elig_MatchAll_Ct&lt;22,$BC257=(Elig_MatchAll_Ct-1),AG257=0),D257,0)</f>
        <v>0</v>
      </c>
      <c r="BJ257" s="173">
        <f>IF(AND(Input_Product=Elig!$C257,Elig_MatchAll_Ct&lt;22,$BC257=(Elig_MatchAll_Ct-1),AH257=0),E257,0)</f>
        <v>0</v>
      </c>
      <c r="BK257" s="173">
        <f>IF(AND(Input_Product=Elig!$C257,Elig_MatchAll_Ct&lt;22,$BC257=(Elig_MatchAll_Ct-1),AI257=0),F257,0)</f>
        <v>0</v>
      </c>
      <c r="BL257" s="173">
        <f>IF(AND(Input_Product=Elig!$C257,Elig_MatchAll_Ct&lt;22,$BC257=(Elig_MatchAll_Ct-1),AJ257=0),G257,0)</f>
        <v>0</v>
      </c>
      <c r="BM257" s="173">
        <f>IF(AND(Input_Product=Elig!$C257,Elig_MatchAll_Ct&lt;22,$BC257=(Elig_MatchAll_Ct-1),AK257=0),H257,0)</f>
        <v>0</v>
      </c>
      <c r="BN257" s="173">
        <f>IF(AND(Input_Product=Elig!$C257,Elig_MatchAll_Ct&lt;22,$BC257=(Elig_MatchAll_Ct-1),AL257=0),I257,0)</f>
        <v>0</v>
      </c>
      <c r="BO257" s="173">
        <f>IF(AND(Input_Product=Elig!$C257,Elig_MatchAll_Ct&lt;22,$BC257=(Elig_MatchAll_Ct-1),AM257=0),J257,0)</f>
        <v>0</v>
      </c>
      <c r="BP257" s="173">
        <f>IF(AND(Input_Product=Elig!$C257,Elig_MatchAll_Ct&lt;22,$BC257=(Elig_MatchAll_Ct-1),AN257=0),K257,0)</f>
        <v>0</v>
      </c>
      <c r="BQ257" s="173">
        <f>IF(AND(Input_Product=Elig!$C257,Elig_MatchAll_Ct&lt;22,$BC257=(Elig_MatchAll_Ct-1),AP257=0),L257,0)</f>
        <v>0</v>
      </c>
      <c r="BR257" s="173">
        <f>IF(AND(Input_Product=Elig!$C257,Elig_MatchAll_Ct&lt;22,$BC257=(Elig_MatchAll_Ct-1),AO257=0),M257,0)</f>
        <v>0</v>
      </c>
      <c r="BS257" s="173">
        <f>IF(AND(Input_Product=Elig!$C257,Elig_MatchAll_Ct&lt;22,$BC257=(Elig_MatchAll_Ct-1),AQ257=0),N257,0)</f>
        <v>0</v>
      </c>
      <c r="BT257" s="173">
        <f>IF(AND(Input_Product=Elig!$C257,Elig_MatchAll_Ct&lt;22,$BC257=(Elig_MatchAll_Ct-1),AR257=0),O257,0)</f>
        <v>0</v>
      </c>
      <c r="BU257" s="173">
        <f>IF(AND(Input_Product=Elig!$C257,Elig_MatchAll_Ct&lt;22,$BC257=(Elig_MatchAll_Ct-1),AS257=0),P257,0)</f>
        <v>0</v>
      </c>
      <c r="BV257" s="174">
        <f>IF(AND(Input_Product=Elig!$C257,Elig_MatchAll_Ct&lt;22,$BC257=(Elig_MatchAll_Ct-1),AT257=0),Q257,0)</f>
        <v>0</v>
      </c>
      <c r="BW257" s="175">
        <f>IF(AND(Input_Product=Elig!$C257,Elig_MatchAll_Ct&lt;22,$BC257=(Elig_MatchAll_Ct-1),AU257=0),R257,0)</f>
        <v>0</v>
      </c>
      <c r="BX257" s="176">
        <f>IF(AND(Input_Product=Elig!$C257,Elig_MatchAll_Ct&lt;22,$BC257=(Elig_MatchAll_Ct-1),AU257=0),S257,0)</f>
        <v>0</v>
      </c>
      <c r="BY257" s="175">
        <f>IF(AND(Input_Product=Elig!$C257,Elig_MatchAll_Ct&lt;22,$BC257=(Elig_MatchAll_Ct-1),AV257=0),T257,0)</f>
        <v>0</v>
      </c>
      <c r="BZ257" s="176">
        <f>IF(AND(Input_Product=Elig!$C257,Elig_MatchAll_Ct&lt;22,$BC257=(Elig_MatchAll_Ct-1),AV257=0),U257,0)</f>
        <v>0</v>
      </c>
      <c r="CA257" s="175">
        <f>IF(AND(Input_Product=Elig!$C257,Elig_MatchAll_Ct&lt;22,$BC257=(Elig_MatchAll_Ct-1),AW257=0),V257,0)</f>
        <v>0</v>
      </c>
      <c r="CB257" s="176">
        <f>IF(AND(Input_Product=Elig!$C257,Elig_MatchAll_Ct&lt;22,$BC257=(Elig_MatchAll_Ct-1),AW257=0),W257,0)</f>
        <v>0</v>
      </c>
      <c r="CC257" s="175">
        <f>IF(AND(Input_Product=Elig!$C257,Elig_MatchAll_Ct&lt;22,$BC257=(Elig_MatchAll_Ct-1),AX257=0),X257,0)</f>
        <v>0</v>
      </c>
      <c r="CD257" s="176">
        <f>IF(AND(Input_Product=Elig!$C257,Elig_MatchAll_Ct&lt;22,$BC257=(Elig_MatchAll_Ct-1),AX257=0),Y257,0)</f>
        <v>0</v>
      </c>
      <c r="CE257" s="175">
        <f>IF(AND(Input_LTV&lt;=AE257,Input_Product=Elig!$C257,Elig_MatchAll_Ct&lt;22,$BC257=(Elig_MatchAll_Ct-1),AY257=0),Z257,0)</f>
        <v>0</v>
      </c>
      <c r="CF257" s="176">
        <f>IF(AND(Input_LTV&lt;=AE257,Input_Product=Elig!$C257,Elig_MatchAll_Ct&lt;22,$BC257=(Elig_MatchAll_Ct-1),AY257=0),AA257,0)</f>
        <v>0</v>
      </c>
      <c r="CG257" s="175">
        <f>IF(AND(Input_Product=Elig!$C257,Elig_MatchAll_Ct&lt;22,$BC257=(Elig_MatchAll_Ct-1),AZ257=0),AB257,0)</f>
        <v>0</v>
      </c>
      <c r="CH257" s="176">
        <f>IF(AND(Input_Product=Elig!$C257,Elig_MatchAll_Ct&lt;22,$BC257=(Elig_MatchAll_Ct-1),AZ257=0),AC257,0)</f>
        <v>0</v>
      </c>
      <c r="CI257" s="175">
        <f>IF(AND(Input_Product=Elig!$C257,Elig_MatchAll_Ct&lt;22,$BC257=(Elig_MatchAll_Ct-1),BA257=0),AD257,0)</f>
        <v>0</v>
      </c>
      <c r="CJ257" s="176">
        <f>IF(AND(Input_Product=Elig!$C257,Elig_MatchAll_Ct&lt;22,$BC257=(Elig_MatchAll_Ct-1),BA257=0),AE257,0)</f>
        <v>0</v>
      </c>
    </row>
    <row r="258" spans="1:88" ht="10.15" customHeight="1" x14ac:dyDescent="0.25">
      <c r="A258" s="252" t="s">
        <v>76</v>
      </c>
      <c r="B258" s="252" t="s">
        <v>899</v>
      </c>
      <c r="C258" s="251" t="str">
        <f t="shared" si="93"/>
        <v>NonQM NOO</v>
      </c>
      <c r="D258" s="252" t="s">
        <v>1995</v>
      </c>
      <c r="E258" s="252" t="s">
        <v>166</v>
      </c>
      <c r="F258" s="252" t="s">
        <v>329</v>
      </c>
      <c r="G258" s="252" t="s">
        <v>303</v>
      </c>
      <c r="H258" s="252" t="s">
        <v>444</v>
      </c>
      <c r="I258" s="253" t="s">
        <v>273</v>
      </c>
      <c r="J258" s="253" t="s">
        <v>1130</v>
      </c>
      <c r="K258" s="253" t="s">
        <v>1398</v>
      </c>
      <c r="L258" s="252" t="s">
        <v>311</v>
      </c>
      <c r="M258" s="252" t="s">
        <v>2289</v>
      </c>
      <c r="N258" s="252" t="s">
        <v>1844</v>
      </c>
      <c r="O258" s="252" t="s">
        <v>309</v>
      </c>
      <c r="P258" s="252" t="s">
        <v>2434</v>
      </c>
      <c r="Q258" s="252" t="s">
        <v>293</v>
      </c>
      <c r="R258" s="252">
        <v>100000</v>
      </c>
      <c r="S258" s="252">
        <v>1000000</v>
      </c>
      <c r="T258" s="252">
        <v>0</v>
      </c>
      <c r="U258" s="252">
        <v>0</v>
      </c>
      <c r="V258" s="252">
        <v>0</v>
      </c>
      <c r="W258" s="252">
        <v>55</v>
      </c>
      <c r="X258" s="252">
        <v>0</v>
      </c>
      <c r="Y258" s="252">
        <v>999</v>
      </c>
      <c r="Z258" s="254">
        <v>680</v>
      </c>
      <c r="AA258" s="254">
        <v>699</v>
      </c>
      <c r="AB258" s="1883">
        <v>0</v>
      </c>
      <c r="AC258" s="254">
        <v>999999</v>
      </c>
      <c r="AD258" s="252">
        <v>0</v>
      </c>
      <c r="AE258" s="255">
        <v>80</v>
      </c>
      <c r="AF258" s="144">
        <v>0</v>
      </c>
      <c r="AG258" s="145">
        <v>1</v>
      </c>
      <c r="AH258" s="145">
        <v>1</v>
      </c>
      <c r="AI258" s="145">
        <v>1</v>
      </c>
      <c r="AJ258" s="145">
        <v>0</v>
      </c>
      <c r="AK258" s="145">
        <v>0</v>
      </c>
      <c r="AL258" s="145">
        <v>1</v>
      </c>
      <c r="AM258" s="145">
        <v>1</v>
      </c>
      <c r="AN258" s="145">
        <v>1</v>
      </c>
      <c r="AO258" s="145">
        <v>1</v>
      </c>
      <c r="AP258" s="145">
        <v>1</v>
      </c>
      <c r="AQ258" s="145">
        <v>1</v>
      </c>
      <c r="AR258" s="145">
        <v>1</v>
      </c>
      <c r="AS258" s="145">
        <v>1</v>
      </c>
      <c r="AT258" s="145">
        <v>1</v>
      </c>
      <c r="AU258" s="145">
        <f t="shared" si="55"/>
        <v>1</v>
      </c>
      <c r="AV258" s="145">
        <f t="shared" si="56"/>
        <v>1</v>
      </c>
      <c r="AW258" s="145">
        <f t="shared" si="57"/>
        <v>1</v>
      </c>
      <c r="AX258" s="145">
        <f t="shared" si="73"/>
        <v>1</v>
      </c>
      <c r="AY258" s="145">
        <f t="shared" si="58"/>
        <v>0</v>
      </c>
      <c r="AZ258" s="145">
        <f t="shared" si="59"/>
        <v>1</v>
      </c>
      <c r="BA258" s="146">
        <f t="shared" si="60"/>
        <v>1</v>
      </c>
      <c r="BB258" s="149">
        <f t="shared" si="83"/>
        <v>18</v>
      </c>
      <c r="BC258" s="150">
        <f t="shared" si="84"/>
        <v>17</v>
      </c>
      <c r="BD258" s="150">
        <f t="shared" si="85"/>
        <v>18</v>
      </c>
      <c r="BE258" s="211" t="str">
        <f t="shared" si="86"/>
        <v/>
      </c>
      <c r="BH258" s="173">
        <f>IF(AND(Input_Product=Elig!$C258,Elig_MatchAll_Ct&lt;22,$BC258=(Elig_MatchAll_Ct-1),AF258=0),C258,0)</f>
        <v>0</v>
      </c>
      <c r="BI258" s="173">
        <f>IF(AND(Input_Product=Elig!$C258,Elig_MatchAll_Ct&lt;22,$BC258=(Elig_MatchAll_Ct-1),AG258=0),D258,0)</f>
        <v>0</v>
      </c>
      <c r="BJ258" s="173">
        <f>IF(AND(Input_Product=Elig!$C258,Elig_MatchAll_Ct&lt;22,$BC258=(Elig_MatchAll_Ct-1),AH258=0),E258,0)</f>
        <v>0</v>
      </c>
      <c r="BK258" s="173">
        <f>IF(AND(Input_Product=Elig!$C258,Elig_MatchAll_Ct&lt;22,$BC258=(Elig_MatchAll_Ct-1),AI258=0),F258,0)</f>
        <v>0</v>
      </c>
      <c r="BL258" s="173">
        <f>IF(AND(Input_Product=Elig!$C258,Elig_MatchAll_Ct&lt;22,$BC258=(Elig_MatchAll_Ct-1),AJ258=0),G258,0)</f>
        <v>0</v>
      </c>
      <c r="BM258" s="173">
        <f>IF(AND(Input_Product=Elig!$C258,Elig_MatchAll_Ct&lt;22,$BC258=(Elig_MatchAll_Ct-1),AK258=0),H258,0)</f>
        <v>0</v>
      </c>
      <c r="BN258" s="173">
        <f>IF(AND(Input_Product=Elig!$C258,Elig_MatchAll_Ct&lt;22,$BC258=(Elig_MatchAll_Ct-1),AL258=0),I258,0)</f>
        <v>0</v>
      </c>
      <c r="BO258" s="173">
        <f>IF(AND(Input_Product=Elig!$C258,Elig_MatchAll_Ct&lt;22,$BC258=(Elig_MatchAll_Ct-1),AM258=0),J258,0)</f>
        <v>0</v>
      </c>
      <c r="BP258" s="173">
        <f>IF(AND(Input_Product=Elig!$C258,Elig_MatchAll_Ct&lt;22,$BC258=(Elig_MatchAll_Ct-1),AN258=0),K258,0)</f>
        <v>0</v>
      </c>
      <c r="BQ258" s="173">
        <f>IF(AND(Input_Product=Elig!$C258,Elig_MatchAll_Ct&lt;22,$BC258=(Elig_MatchAll_Ct-1),AP258=0),L258,0)</f>
        <v>0</v>
      </c>
      <c r="BR258" s="173">
        <f>IF(AND(Input_Product=Elig!$C258,Elig_MatchAll_Ct&lt;22,$BC258=(Elig_MatchAll_Ct-1),AO258=0),M258,0)</f>
        <v>0</v>
      </c>
      <c r="BS258" s="173">
        <f>IF(AND(Input_Product=Elig!$C258,Elig_MatchAll_Ct&lt;22,$BC258=(Elig_MatchAll_Ct-1),AQ258=0),N258,0)</f>
        <v>0</v>
      </c>
      <c r="BT258" s="173">
        <f>IF(AND(Input_Product=Elig!$C258,Elig_MatchAll_Ct&lt;22,$BC258=(Elig_MatchAll_Ct-1),AR258=0),O258,0)</f>
        <v>0</v>
      </c>
      <c r="BU258" s="173">
        <f>IF(AND(Input_Product=Elig!$C258,Elig_MatchAll_Ct&lt;22,$BC258=(Elig_MatchAll_Ct-1),AS258=0),P258,0)</f>
        <v>0</v>
      </c>
      <c r="BV258" s="174">
        <f>IF(AND(Input_Product=Elig!$C258,Elig_MatchAll_Ct&lt;22,$BC258=(Elig_MatchAll_Ct-1),AT258=0),Q258,0)</f>
        <v>0</v>
      </c>
      <c r="BW258" s="175">
        <f>IF(AND(Input_Product=Elig!$C258,Elig_MatchAll_Ct&lt;22,$BC258=(Elig_MatchAll_Ct-1),AU258=0),R258,0)</f>
        <v>0</v>
      </c>
      <c r="BX258" s="176">
        <f>IF(AND(Input_Product=Elig!$C258,Elig_MatchAll_Ct&lt;22,$BC258=(Elig_MatchAll_Ct-1),AU258=0),S258,0)</f>
        <v>0</v>
      </c>
      <c r="BY258" s="175">
        <f>IF(AND(Input_Product=Elig!$C258,Elig_MatchAll_Ct&lt;22,$BC258=(Elig_MatchAll_Ct-1),AV258=0),T258,0)</f>
        <v>0</v>
      </c>
      <c r="BZ258" s="176">
        <f>IF(AND(Input_Product=Elig!$C258,Elig_MatchAll_Ct&lt;22,$BC258=(Elig_MatchAll_Ct-1),AV258=0),U258,0)</f>
        <v>0</v>
      </c>
      <c r="CA258" s="175">
        <f>IF(AND(Input_Product=Elig!$C258,Elig_MatchAll_Ct&lt;22,$BC258=(Elig_MatchAll_Ct-1),AW258=0),V258,0)</f>
        <v>0</v>
      </c>
      <c r="CB258" s="176">
        <f>IF(AND(Input_Product=Elig!$C258,Elig_MatchAll_Ct&lt;22,$BC258=(Elig_MatchAll_Ct-1),AW258=0),W258,0)</f>
        <v>0</v>
      </c>
      <c r="CC258" s="175">
        <f>IF(AND(Input_Product=Elig!$C258,Elig_MatchAll_Ct&lt;22,$BC258=(Elig_MatchAll_Ct-1),AX258=0),X258,0)</f>
        <v>0</v>
      </c>
      <c r="CD258" s="176">
        <f>IF(AND(Input_Product=Elig!$C258,Elig_MatchAll_Ct&lt;22,$BC258=(Elig_MatchAll_Ct-1),AX258=0),Y258,0)</f>
        <v>0</v>
      </c>
      <c r="CE258" s="175">
        <f>IF(AND(Input_LTV&lt;=AE258,Input_Product=Elig!$C258,Elig_MatchAll_Ct&lt;22,$BC258=(Elig_MatchAll_Ct-1),AY258=0),Z258,0)</f>
        <v>0</v>
      </c>
      <c r="CF258" s="176">
        <f>IF(AND(Input_LTV&lt;=AE258,Input_Product=Elig!$C258,Elig_MatchAll_Ct&lt;22,$BC258=(Elig_MatchAll_Ct-1),AY258=0),AA258,0)</f>
        <v>0</v>
      </c>
      <c r="CG258" s="175">
        <f>IF(AND(Input_Product=Elig!$C258,Elig_MatchAll_Ct&lt;22,$BC258=(Elig_MatchAll_Ct-1),AZ258=0),AB258,0)</f>
        <v>0</v>
      </c>
      <c r="CH258" s="176">
        <f>IF(AND(Input_Product=Elig!$C258,Elig_MatchAll_Ct&lt;22,$BC258=(Elig_MatchAll_Ct-1),AZ258=0),AC258,0)</f>
        <v>0</v>
      </c>
      <c r="CI258" s="175">
        <f>IF(AND(Input_Product=Elig!$C258,Elig_MatchAll_Ct&lt;22,$BC258=(Elig_MatchAll_Ct-1),BA258=0),AD258,0)</f>
        <v>0</v>
      </c>
      <c r="CJ258" s="176">
        <f>IF(AND(Input_Product=Elig!$C258,Elig_MatchAll_Ct&lt;22,$BC258=(Elig_MatchAll_Ct-1),BA258=0),AE258,0)</f>
        <v>0</v>
      </c>
    </row>
    <row r="259" spans="1:88" ht="10.15" customHeight="1" x14ac:dyDescent="0.25">
      <c r="A259" s="252" t="s">
        <v>76</v>
      </c>
      <c r="B259" s="252" t="s">
        <v>900</v>
      </c>
      <c r="C259" s="251" t="str">
        <f t="shared" si="93"/>
        <v>NonQM NOO</v>
      </c>
      <c r="D259" s="252" t="s">
        <v>1995</v>
      </c>
      <c r="E259" s="252" t="s">
        <v>166</v>
      </c>
      <c r="F259" s="252" t="s">
        <v>329</v>
      </c>
      <c r="G259" s="252" t="s">
        <v>303</v>
      </c>
      <c r="H259" s="252" t="s">
        <v>444</v>
      </c>
      <c r="I259" s="252" t="s">
        <v>273</v>
      </c>
      <c r="J259" s="252" t="s">
        <v>1130</v>
      </c>
      <c r="K259" s="252" t="s">
        <v>1398</v>
      </c>
      <c r="L259" s="252" t="s">
        <v>311</v>
      </c>
      <c r="M259" s="252" t="s">
        <v>2289</v>
      </c>
      <c r="N259" s="252" t="s">
        <v>1844</v>
      </c>
      <c r="O259" s="252" t="s">
        <v>309</v>
      </c>
      <c r="P259" s="252" t="s">
        <v>2434</v>
      </c>
      <c r="Q259" s="252" t="s">
        <v>293</v>
      </c>
      <c r="R259" s="252">
        <v>100000</v>
      </c>
      <c r="S259" s="252">
        <v>1000000</v>
      </c>
      <c r="T259" s="252">
        <v>0</v>
      </c>
      <c r="U259" s="252">
        <v>0</v>
      </c>
      <c r="V259" s="252">
        <v>0</v>
      </c>
      <c r="W259" s="252">
        <v>50</v>
      </c>
      <c r="X259" s="252">
        <v>0</v>
      </c>
      <c r="Y259" s="252">
        <v>999</v>
      </c>
      <c r="Z259" s="254">
        <v>660</v>
      </c>
      <c r="AA259" s="254">
        <v>679</v>
      </c>
      <c r="AB259" s="1883">
        <v>0</v>
      </c>
      <c r="AC259" s="254">
        <v>999999</v>
      </c>
      <c r="AD259" s="252">
        <v>0</v>
      </c>
      <c r="AE259" s="255">
        <v>80</v>
      </c>
      <c r="AF259" s="144">
        <v>0</v>
      </c>
      <c r="AG259" s="145">
        <v>1</v>
      </c>
      <c r="AH259" s="145">
        <v>1</v>
      </c>
      <c r="AI259" s="145">
        <v>1</v>
      </c>
      <c r="AJ259" s="145">
        <v>0</v>
      </c>
      <c r="AK259" s="145">
        <v>0</v>
      </c>
      <c r="AL259" s="145">
        <v>1</v>
      </c>
      <c r="AM259" s="145">
        <v>1</v>
      </c>
      <c r="AN259" s="145">
        <v>1</v>
      </c>
      <c r="AO259" s="145">
        <v>1</v>
      </c>
      <c r="AP259" s="145">
        <v>1</v>
      </c>
      <c r="AQ259" s="145">
        <v>1</v>
      </c>
      <c r="AR259" s="145">
        <v>1</v>
      </c>
      <c r="AS259" s="145">
        <v>1</v>
      </c>
      <c r="AT259" s="145">
        <v>1</v>
      </c>
      <c r="AU259" s="145">
        <f t="shared" si="55"/>
        <v>1</v>
      </c>
      <c r="AV259" s="145">
        <f t="shared" si="56"/>
        <v>1</v>
      </c>
      <c r="AW259" s="145">
        <f t="shared" si="57"/>
        <v>1</v>
      </c>
      <c r="AX259" s="145">
        <f t="shared" si="73"/>
        <v>1</v>
      </c>
      <c r="AY259" s="145">
        <f t="shared" si="58"/>
        <v>0</v>
      </c>
      <c r="AZ259" s="145">
        <f t="shared" si="59"/>
        <v>1</v>
      </c>
      <c r="BA259" s="146">
        <f t="shared" si="60"/>
        <v>1</v>
      </c>
      <c r="BB259" s="149">
        <f t="shared" si="83"/>
        <v>18</v>
      </c>
      <c r="BC259" s="150">
        <f t="shared" si="84"/>
        <v>17</v>
      </c>
      <c r="BD259" s="150">
        <f t="shared" si="85"/>
        <v>18</v>
      </c>
      <c r="BE259" s="211" t="str">
        <f t="shared" si="86"/>
        <v/>
      </c>
      <c r="BH259" s="173">
        <f>IF(AND(Input_Product=Elig!$C259,Elig_MatchAll_Ct&lt;22,$BC259=(Elig_MatchAll_Ct-1),AF259=0),C259,0)</f>
        <v>0</v>
      </c>
      <c r="BI259" s="173">
        <f>IF(AND(Input_Product=Elig!$C259,Elig_MatchAll_Ct&lt;22,$BC259=(Elig_MatchAll_Ct-1),AG259=0),D259,0)</f>
        <v>0</v>
      </c>
      <c r="BJ259" s="173">
        <f>IF(AND(Input_Product=Elig!$C259,Elig_MatchAll_Ct&lt;22,$BC259=(Elig_MatchAll_Ct-1),AH259=0),E259,0)</f>
        <v>0</v>
      </c>
      <c r="BK259" s="173">
        <f>IF(AND(Input_Product=Elig!$C259,Elig_MatchAll_Ct&lt;22,$BC259=(Elig_MatchAll_Ct-1),AI259=0),F259,0)</f>
        <v>0</v>
      </c>
      <c r="BL259" s="173">
        <f>IF(AND(Input_Product=Elig!$C259,Elig_MatchAll_Ct&lt;22,$BC259=(Elig_MatchAll_Ct-1),AJ259=0),G259,0)</f>
        <v>0</v>
      </c>
      <c r="BM259" s="173">
        <f>IF(AND(Input_Product=Elig!$C259,Elig_MatchAll_Ct&lt;22,$BC259=(Elig_MatchAll_Ct-1),AK259=0),H259,0)</f>
        <v>0</v>
      </c>
      <c r="BN259" s="173">
        <f>IF(AND(Input_Product=Elig!$C259,Elig_MatchAll_Ct&lt;22,$BC259=(Elig_MatchAll_Ct-1),AL259=0),I259,0)</f>
        <v>0</v>
      </c>
      <c r="BO259" s="173">
        <f>IF(AND(Input_Product=Elig!$C259,Elig_MatchAll_Ct&lt;22,$BC259=(Elig_MatchAll_Ct-1),AM259=0),J259,0)</f>
        <v>0</v>
      </c>
      <c r="BP259" s="173">
        <f>IF(AND(Input_Product=Elig!$C259,Elig_MatchAll_Ct&lt;22,$BC259=(Elig_MatchAll_Ct-1),AN259=0),K259,0)</f>
        <v>0</v>
      </c>
      <c r="BQ259" s="173">
        <f>IF(AND(Input_Product=Elig!$C259,Elig_MatchAll_Ct&lt;22,$BC259=(Elig_MatchAll_Ct-1),AP259=0),L259,0)</f>
        <v>0</v>
      </c>
      <c r="BR259" s="173">
        <f>IF(AND(Input_Product=Elig!$C259,Elig_MatchAll_Ct&lt;22,$BC259=(Elig_MatchAll_Ct-1),AO259=0),M259,0)</f>
        <v>0</v>
      </c>
      <c r="BS259" s="173">
        <f>IF(AND(Input_Product=Elig!$C259,Elig_MatchAll_Ct&lt;22,$BC259=(Elig_MatchAll_Ct-1),AQ259=0),N259,0)</f>
        <v>0</v>
      </c>
      <c r="BT259" s="173">
        <f>IF(AND(Input_Product=Elig!$C259,Elig_MatchAll_Ct&lt;22,$BC259=(Elig_MatchAll_Ct-1),AR259=0),O259,0)</f>
        <v>0</v>
      </c>
      <c r="BU259" s="173">
        <f>IF(AND(Input_Product=Elig!$C259,Elig_MatchAll_Ct&lt;22,$BC259=(Elig_MatchAll_Ct-1),AS259=0),P259,0)</f>
        <v>0</v>
      </c>
      <c r="BV259" s="174">
        <f>IF(AND(Input_Product=Elig!$C259,Elig_MatchAll_Ct&lt;22,$BC259=(Elig_MatchAll_Ct-1),AT259=0),Q259,0)</f>
        <v>0</v>
      </c>
      <c r="BW259" s="175">
        <f>IF(AND(Input_Product=Elig!$C259,Elig_MatchAll_Ct&lt;22,$BC259=(Elig_MatchAll_Ct-1),AU259=0),R259,0)</f>
        <v>0</v>
      </c>
      <c r="BX259" s="176">
        <f>IF(AND(Input_Product=Elig!$C259,Elig_MatchAll_Ct&lt;22,$BC259=(Elig_MatchAll_Ct-1),AU259=0),S259,0)</f>
        <v>0</v>
      </c>
      <c r="BY259" s="175">
        <f>IF(AND(Input_Product=Elig!$C259,Elig_MatchAll_Ct&lt;22,$BC259=(Elig_MatchAll_Ct-1),AV259=0),T259,0)</f>
        <v>0</v>
      </c>
      <c r="BZ259" s="176">
        <f>IF(AND(Input_Product=Elig!$C259,Elig_MatchAll_Ct&lt;22,$BC259=(Elig_MatchAll_Ct-1),AV259=0),U259,0)</f>
        <v>0</v>
      </c>
      <c r="CA259" s="175">
        <f>IF(AND(Input_Product=Elig!$C259,Elig_MatchAll_Ct&lt;22,$BC259=(Elig_MatchAll_Ct-1),AW259=0),V259,0)</f>
        <v>0</v>
      </c>
      <c r="CB259" s="176">
        <f>IF(AND(Input_Product=Elig!$C259,Elig_MatchAll_Ct&lt;22,$BC259=(Elig_MatchAll_Ct-1),AW259=0),W259,0)</f>
        <v>0</v>
      </c>
      <c r="CC259" s="175">
        <f>IF(AND(Input_Product=Elig!$C259,Elig_MatchAll_Ct&lt;22,$BC259=(Elig_MatchAll_Ct-1),AX259=0),X259,0)</f>
        <v>0</v>
      </c>
      <c r="CD259" s="176">
        <f>IF(AND(Input_Product=Elig!$C259,Elig_MatchAll_Ct&lt;22,$BC259=(Elig_MatchAll_Ct-1),AX259=0),Y259,0)</f>
        <v>0</v>
      </c>
      <c r="CE259" s="175">
        <f>IF(AND(Input_LTV&lt;=AE259,Input_Product=Elig!$C259,Elig_MatchAll_Ct&lt;22,$BC259=(Elig_MatchAll_Ct-1),AY259=0),Z259,0)</f>
        <v>0</v>
      </c>
      <c r="CF259" s="176">
        <f>IF(AND(Input_LTV&lt;=AE259,Input_Product=Elig!$C259,Elig_MatchAll_Ct&lt;22,$BC259=(Elig_MatchAll_Ct-1),AY259=0),AA259,0)</f>
        <v>0</v>
      </c>
      <c r="CG259" s="175">
        <f>IF(AND(Input_Product=Elig!$C259,Elig_MatchAll_Ct&lt;22,$BC259=(Elig_MatchAll_Ct-1),AZ259=0),AB259,0)</f>
        <v>0</v>
      </c>
      <c r="CH259" s="176">
        <f>IF(AND(Input_Product=Elig!$C259,Elig_MatchAll_Ct&lt;22,$BC259=(Elig_MatchAll_Ct-1),AZ259=0),AC259,0)</f>
        <v>0</v>
      </c>
      <c r="CI259" s="175">
        <f>IF(AND(Input_Product=Elig!$C259,Elig_MatchAll_Ct&lt;22,$BC259=(Elig_MatchAll_Ct-1),BA259=0),AD259,0)</f>
        <v>0</v>
      </c>
      <c r="CJ259" s="176">
        <f>IF(AND(Input_Product=Elig!$C259,Elig_MatchAll_Ct&lt;22,$BC259=(Elig_MatchAll_Ct-1),BA259=0),AE259,0)</f>
        <v>0</v>
      </c>
    </row>
    <row r="260" spans="1:88" ht="10.15" customHeight="1" x14ac:dyDescent="0.25">
      <c r="A260" s="252" t="s">
        <v>76</v>
      </c>
      <c r="B260" s="252" t="s">
        <v>901</v>
      </c>
      <c r="C260" s="246" t="str">
        <f t="shared" si="93"/>
        <v>NonQM NOO</v>
      </c>
      <c r="D260" s="247" t="s">
        <v>1995</v>
      </c>
      <c r="E260" s="248" t="s">
        <v>166</v>
      </c>
      <c r="F260" s="248" t="s">
        <v>329</v>
      </c>
      <c r="G260" s="248" t="s">
        <v>303</v>
      </c>
      <c r="H260" s="248" t="s">
        <v>444</v>
      </c>
      <c r="I260" s="247" t="s">
        <v>16</v>
      </c>
      <c r="J260" s="247" t="s">
        <v>1130</v>
      </c>
      <c r="K260" s="247" t="s">
        <v>1398</v>
      </c>
      <c r="L260" s="248" t="s">
        <v>311</v>
      </c>
      <c r="M260" s="248" t="s">
        <v>2289</v>
      </c>
      <c r="N260" s="248" t="s">
        <v>1844</v>
      </c>
      <c r="O260" s="248" t="s">
        <v>309</v>
      </c>
      <c r="P260" s="248" t="s">
        <v>2434</v>
      </c>
      <c r="Q260" s="248" t="s">
        <v>293</v>
      </c>
      <c r="R260" s="247">
        <v>100000</v>
      </c>
      <c r="S260" s="247">
        <v>1000000</v>
      </c>
      <c r="T260" s="247">
        <v>0</v>
      </c>
      <c r="U260" s="247">
        <f t="shared" ref="U260:U263" si="95">S260</f>
        <v>1000000</v>
      </c>
      <c r="V260" s="247">
        <v>0</v>
      </c>
      <c r="W260" s="247">
        <v>55</v>
      </c>
      <c r="X260" s="247">
        <v>0</v>
      </c>
      <c r="Y260" s="247">
        <v>999</v>
      </c>
      <c r="Z260" s="249">
        <v>720</v>
      </c>
      <c r="AA260" s="249">
        <v>999</v>
      </c>
      <c r="AB260" s="1882">
        <v>0</v>
      </c>
      <c r="AC260" s="249">
        <v>999999</v>
      </c>
      <c r="AD260" s="247">
        <v>0</v>
      </c>
      <c r="AE260" s="250">
        <v>80</v>
      </c>
      <c r="AF260" s="144">
        <v>0</v>
      </c>
      <c r="AG260" s="145">
        <v>1</v>
      </c>
      <c r="AH260" s="145">
        <v>1</v>
      </c>
      <c r="AI260" s="145">
        <v>1</v>
      </c>
      <c r="AJ260" s="145">
        <v>0</v>
      </c>
      <c r="AK260" s="145">
        <v>0</v>
      </c>
      <c r="AL260" s="145">
        <v>0</v>
      </c>
      <c r="AM260" s="145">
        <v>1</v>
      </c>
      <c r="AN260" s="145">
        <v>1</v>
      </c>
      <c r="AO260" s="145">
        <v>1</v>
      </c>
      <c r="AP260" s="145">
        <v>1</v>
      </c>
      <c r="AQ260" s="145">
        <v>1</v>
      </c>
      <c r="AR260" s="145">
        <v>1</v>
      </c>
      <c r="AS260" s="145">
        <v>1</v>
      </c>
      <c r="AT260" s="145">
        <v>1</v>
      </c>
      <c r="AU260" s="145">
        <f t="shared" si="55"/>
        <v>1</v>
      </c>
      <c r="AV260" s="145">
        <f t="shared" si="56"/>
        <v>1</v>
      </c>
      <c r="AW260" s="145">
        <f t="shared" si="57"/>
        <v>1</v>
      </c>
      <c r="AX260" s="145">
        <f t="shared" si="73"/>
        <v>1</v>
      </c>
      <c r="AY260" s="145">
        <f t="shared" si="58"/>
        <v>1</v>
      </c>
      <c r="AZ260" s="145">
        <f t="shared" si="59"/>
        <v>1</v>
      </c>
      <c r="BA260" s="146">
        <f t="shared" si="60"/>
        <v>1</v>
      </c>
      <c r="BB260" s="149">
        <f t="shared" si="83"/>
        <v>18</v>
      </c>
      <c r="BC260" s="150">
        <f t="shared" si="84"/>
        <v>17</v>
      </c>
      <c r="BD260" s="150">
        <f t="shared" si="85"/>
        <v>18</v>
      </c>
      <c r="BE260" s="211" t="str">
        <f t="shared" si="86"/>
        <v/>
      </c>
      <c r="BH260" s="190">
        <f>IF(AND(Input_Product=Elig!$C260,Elig_MatchAll_Ct&lt;22,$BC260=(Elig_MatchAll_Ct-1),AF260=0),C260,0)</f>
        <v>0</v>
      </c>
      <c r="BI260" s="190">
        <f>IF(AND(Input_Product=Elig!$C260,Elig_MatchAll_Ct&lt;22,$BC260=(Elig_MatchAll_Ct-1),AG260=0),D260,0)</f>
        <v>0</v>
      </c>
      <c r="BJ260" s="190">
        <f>IF(AND(Input_Product=Elig!$C260,Elig_MatchAll_Ct&lt;22,$BC260=(Elig_MatchAll_Ct-1),AH260=0),E260,0)</f>
        <v>0</v>
      </c>
      <c r="BK260" s="190">
        <f>IF(AND(Input_Product=Elig!$C260,Elig_MatchAll_Ct&lt;22,$BC260=(Elig_MatchAll_Ct-1),AI260=0),F260,0)</f>
        <v>0</v>
      </c>
      <c r="BL260" s="190">
        <f>IF(AND(Input_Product=Elig!$C260,Elig_MatchAll_Ct&lt;22,$BC260=(Elig_MatchAll_Ct-1),AJ260=0),G260,0)</f>
        <v>0</v>
      </c>
      <c r="BM260" s="190">
        <f>IF(AND(Input_Product=Elig!$C260,Elig_MatchAll_Ct&lt;22,$BC260=(Elig_MatchAll_Ct-1),AK260=0),H260,0)</f>
        <v>0</v>
      </c>
      <c r="BN260" s="190">
        <f>IF(AND(Input_Product=Elig!$C260,Elig_MatchAll_Ct&lt;22,$BC260=(Elig_MatchAll_Ct-1),AL260=0),I260,0)</f>
        <v>0</v>
      </c>
      <c r="BO260" s="190">
        <f>IF(AND(Input_Product=Elig!$C260,Elig_MatchAll_Ct&lt;22,$BC260=(Elig_MatchAll_Ct-1),AM260=0),J260,0)</f>
        <v>0</v>
      </c>
      <c r="BP260" s="190">
        <f>IF(AND(Input_Product=Elig!$C260,Elig_MatchAll_Ct&lt;22,$BC260=(Elig_MatchAll_Ct-1),AN260=0),K260,0)</f>
        <v>0</v>
      </c>
      <c r="BQ260" s="190">
        <f>IF(AND(Input_Product=Elig!$C260,Elig_MatchAll_Ct&lt;22,$BC260=(Elig_MatchAll_Ct-1),AP260=0),L260,0)</f>
        <v>0</v>
      </c>
      <c r="BR260" s="190">
        <f>IF(AND(Input_Product=Elig!$C260,Elig_MatchAll_Ct&lt;22,$BC260=(Elig_MatchAll_Ct-1),AO260=0),M260,0)</f>
        <v>0</v>
      </c>
      <c r="BS260" s="190">
        <f>IF(AND(Input_Product=Elig!$C260,Elig_MatchAll_Ct&lt;22,$BC260=(Elig_MatchAll_Ct-1),AQ260=0),N260,0)</f>
        <v>0</v>
      </c>
      <c r="BT260" s="190">
        <f>IF(AND(Input_Product=Elig!$C260,Elig_MatchAll_Ct&lt;22,$BC260=(Elig_MatchAll_Ct-1),AR260=0),O260,0)</f>
        <v>0</v>
      </c>
      <c r="BU260" s="190">
        <f>IF(AND(Input_Product=Elig!$C260,Elig_MatchAll_Ct&lt;22,$BC260=(Elig_MatchAll_Ct-1),AS260=0),P260,0)</f>
        <v>0</v>
      </c>
      <c r="BV260" s="191">
        <f>IF(AND(Input_Product=Elig!$C260,Elig_MatchAll_Ct&lt;22,$BC260=(Elig_MatchAll_Ct-1),AT260=0),Q260,0)</f>
        <v>0</v>
      </c>
      <c r="BW260" s="186">
        <f>IF(AND(Input_Product=Elig!$C260,Elig_MatchAll_Ct&lt;22,$BC260=(Elig_MatchAll_Ct-1),AU260=0),R260,0)</f>
        <v>0</v>
      </c>
      <c r="BX260" s="187">
        <f>IF(AND(Input_Product=Elig!$C260,Elig_MatchAll_Ct&lt;22,$BC260=(Elig_MatchAll_Ct-1),AU260=0),S260,0)</f>
        <v>0</v>
      </c>
      <c r="BY260" s="186">
        <f>IF(AND(Input_Product=Elig!$C260,Elig_MatchAll_Ct&lt;22,$BC260=(Elig_MatchAll_Ct-1),AV260=0),T260,0)</f>
        <v>0</v>
      </c>
      <c r="BZ260" s="187">
        <f>IF(AND(Input_Product=Elig!$C260,Elig_MatchAll_Ct&lt;22,$BC260=(Elig_MatchAll_Ct-1),AV260=0),U260,0)</f>
        <v>0</v>
      </c>
      <c r="CA260" s="186">
        <f>IF(AND(Input_Product=Elig!$C260,Elig_MatchAll_Ct&lt;22,$BC260=(Elig_MatchAll_Ct-1),AW260=0),V260,0)</f>
        <v>0</v>
      </c>
      <c r="CB260" s="187">
        <f>IF(AND(Input_Product=Elig!$C260,Elig_MatchAll_Ct&lt;22,$BC260=(Elig_MatchAll_Ct-1),AW260=0),W260,0)</f>
        <v>0</v>
      </c>
      <c r="CC260" s="186">
        <f>IF(AND(Input_Product=Elig!$C260,Elig_MatchAll_Ct&lt;22,$BC260=(Elig_MatchAll_Ct-1),AX260=0),X260,0)</f>
        <v>0</v>
      </c>
      <c r="CD260" s="187">
        <f>IF(AND(Input_Product=Elig!$C260,Elig_MatchAll_Ct&lt;22,$BC260=(Elig_MatchAll_Ct-1),AX260=0),Y260,0)</f>
        <v>0</v>
      </c>
      <c r="CE260" s="186">
        <f>IF(AND(Input_LTV&lt;=AE260,Input_Product=Elig!$C260,Elig_MatchAll_Ct&lt;22,$BC260=(Elig_MatchAll_Ct-1),AY260=0),Z260,0)</f>
        <v>0</v>
      </c>
      <c r="CF260" s="187">
        <f>IF(AND(Input_LTV&lt;=AE260,Input_Product=Elig!$C260,Elig_MatchAll_Ct&lt;22,$BC260=(Elig_MatchAll_Ct-1),AY260=0),AA260,0)</f>
        <v>0</v>
      </c>
      <c r="CG260" s="186">
        <f>IF(AND(Input_Product=Elig!$C260,Elig_MatchAll_Ct&lt;22,$BC260=(Elig_MatchAll_Ct-1),AZ260=0),AB260,0)</f>
        <v>0</v>
      </c>
      <c r="CH260" s="187">
        <f>IF(AND(Input_Product=Elig!$C260,Elig_MatchAll_Ct&lt;22,$BC260=(Elig_MatchAll_Ct-1),AZ260=0),AC260,0)</f>
        <v>0</v>
      </c>
      <c r="CI260" s="186">
        <f>IF(AND(Input_Product=Elig!$C260,Elig_MatchAll_Ct&lt;22,$BC260=(Elig_MatchAll_Ct-1),BA260=0),AD260,0)</f>
        <v>0</v>
      </c>
      <c r="CJ260" s="187">
        <f>IF(AND(Input_Product=Elig!$C260,Elig_MatchAll_Ct&lt;22,$BC260=(Elig_MatchAll_Ct-1),BA260=0),AE260,0)</f>
        <v>0</v>
      </c>
    </row>
    <row r="261" spans="1:88" ht="10.15" customHeight="1" x14ac:dyDescent="0.25">
      <c r="A261" s="252" t="s">
        <v>76</v>
      </c>
      <c r="B261" s="252" t="s">
        <v>902</v>
      </c>
      <c r="C261" s="251" t="str">
        <f t="shared" si="93"/>
        <v>NonQM NOO</v>
      </c>
      <c r="D261" s="252" t="s">
        <v>1995</v>
      </c>
      <c r="E261" s="252" t="s">
        <v>166</v>
      </c>
      <c r="F261" s="252" t="s">
        <v>329</v>
      </c>
      <c r="G261" s="252" t="s">
        <v>303</v>
      </c>
      <c r="H261" s="252" t="s">
        <v>444</v>
      </c>
      <c r="I261" s="253" t="s">
        <v>16</v>
      </c>
      <c r="J261" s="253" t="s">
        <v>1130</v>
      </c>
      <c r="K261" s="253" t="s">
        <v>1398</v>
      </c>
      <c r="L261" s="252" t="s">
        <v>311</v>
      </c>
      <c r="M261" s="252" t="s">
        <v>2289</v>
      </c>
      <c r="N261" s="252" t="s">
        <v>1844</v>
      </c>
      <c r="O261" s="252" t="s">
        <v>309</v>
      </c>
      <c r="P261" s="252" t="s">
        <v>2434</v>
      </c>
      <c r="Q261" s="252" t="s">
        <v>293</v>
      </c>
      <c r="R261" s="252">
        <v>100000</v>
      </c>
      <c r="S261" s="252">
        <v>1000000</v>
      </c>
      <c r="T261" s="252">
        <v>0</v>
      </c>
      <c r="U261" s="252">
        <f t="shared" si="95"/>
        <v>1000000</v>
      </c>
      <c r="V261" s="252">
        <v>0</v>
      </c>
      <c r="W261" s="252">
        <v>55</v>
      </c>
      <c r="X261" s="252">
        <v>0</v>
      </c>
      <c r="Y261" s="252">
        <v>999</v>
      </c>
      <c r="Z261" s="254">
        <v>700</v>
      </c>
      <c r="AA261" s="254">
        <v>719</v>
      </c>
      <c r="AB261" s="1883">
        <v>0</v>
      </c>
      <c r="AC261" s="254">
        <v>999999</v>
      </c>
      <c r="AD261" s="252">
        <v>0</v>
      </c>
      <c r="AE261" s="255">
        <v>80</v>
      </c>
      <c r="AF261" s="144">
        <v>0</v>
      </c>
      <c r="AG261" s="145">
        <v>1</v>
      </c>
      <c r="AH261" s="145">
        <v>1</v>
      </c>
      <c r="AI261" s="145">
        <v>1</v>
      </c>
      <c r="AJ261" s="145">
        <v>0</v>
      </c>
      <c r="AK261" s="145">
        <v>0</v>
      </c>
      <c r="AL261" s="145">
        <v>0</v>
      </c>
      <c r="AM261" s="145">
        <v>1</v>
      </c>
      <c r="AN261" s="145">
        <v>1</v>
      </c>
      <c r="AO261" s="145">
        <v>1</v>
      </c>
      <c r="AP261" s="145">
        <v>1</v>
      </c>
      <c r="AQ261" s="145">
        <v>1</v>
      </c>
      <c r="AR261" s="145">
        <v>1</v>
      </c>
      <c r="AS261" s="145">
        <v>1</v>
      </c>
      <c r="AT261" s="145">
        <v>1</v>
      </c>
      <c r="AU261" s="145">
        <f t="shared" si="55"/>
        <v>1</v>
      </c>
      <c r="AV261" s="145">
        <f t="shared" si="56"/>
        <v>1</v>
      </c>
      <c r="AW261" s="145">
        <f t="shared" si="57"/>
        <v>1</v>
      </c>
      <c r="AX261" s="145">
        <f t="shared" si="73"/>
        <v>1</v>
      </c>
      <c r="AY261" s="145">
        <f t="shared" si="58"/>
        <v>0</v>
      </c>
      <c r="AZ261" s="145">
        <f t="shared" si="59"/>
        <v>1</v>
      </c>
      <c r="BA261" s="146">
        <f t="shared" si="60"/>
        <v>1</v>
      </c>
      <c r="BB261" s="149">
        <f t="shared" si="83"/>
        <v>17</v>
      </c>
      <c r="BC261" s="150">
        <f t="shared" si="84"/>
        <v>16</v>
      </c>
      <c r="BD261" s="150">
        <f t="shared" si="85"/>
        <v>17</v>
      </c>
      <c r="BE261" s="211" t="str">
        <f t="shared" si="86"/>
        <v/>
      </c>
      <c r="BH261" s="173">
        <f>IF(AND(Input_Product=Elig!$C261,Elig_MatchAll_Ct&lt;22,$BC261=(Elig_MatchAll_Ct-1),AF261=0),C261,0)</f>
        <v>0</v>
      </c>
      <c r="BI261" s="173">
        <f>IF(AND(Input_Product=Elig!$C261,Elig_MatchAll_Ct&lt;22,$BC261=(Elig_MatchAll_Ct-1),AG261=0),D261,0)</f>
        <v>0</v>
      </c>
      <c r="BJ261" s="173">
        <f>IF(AND(Input_Product=Elig!$C261,Elig_MatchAll_Ct&lt;22,$BC261=(Elig_MatchAll_Ct-1),AH261=0),E261,0)</f>
        <v>0</v>
      </c>
      <c r="BK261" s="173">
        <f>IF(AND(Input_Product=Elig!$C261,Elig_MatchAll_Ct&lt;22,$BC261=(Elig_MatchAll_Ct-1),AI261=0),F261,0)</f>
        <v>0</v>
      </c>
      <c r="BL261" s="173">
        <f>IF(AND(Input_Product=Elig!$C261,Elig_MatchAll_Ct&lt;22,$BC261=(Elig_MatchAll_Ct-1),AJ261=0),G261,0)</f>
        <v>0</v>
      </c>
      <c r="BM261" s="173">
        <f>IF(AND(Input_Product=Elig!$C261,Elig_MatchAll_Ct&lt;22,$BC261=(Elig_MatchAll_Ct-1),AK261=0),H261,0)</f>
        <v>0</v>
      </c>
      <c r="BN261" s="173">
        <f>IF(AND(Input_Product=Elig!$C261,Elig_MatchAll_Ct&lt;22,$BC261=(Elig_MatchAll_Ct-1),AL261=0),I261,0)</f>
        <v>0</v>
      </c>
      <c r="BO261" s="173">
        <f>IF(AND(Input_Product=Elig!$C261,Elig_MatchAll_Ct&lt;22,$BC261=(Elig_MatchAll_Ct-1),AM261=0),J261,0)</f>
        <v>0</v>
      </c>
      <c r="BP261" s="173">
        <f>IF(AND(Input_Product=Elig!$C261,Elig_MatchAll_Ct&lt;22,$BC261=(Elig_MatchAll_Ct-1),AN261=0),K261,0)</f>
        <v>0</v>
      </c>
      <c r="BQ261" s="173">
        <f>IF(AND(Input_Product=Elig!$C261,Elig_MatchAll_Ct&lt;22,$BC261=(Elig_MatchAll_Ct-1),AP261=0),L261,0)</f>
        <v>0</v>
      </c>
      <c r="BR261" s="173">
        <f>IF(AND(Input_Product=Elig!$C261,Elig_MatchAll_Ct&lt;22,$BC261=(Elig_MatchAll_Ct-1),AO261=0),M261,0)</f>
        <v>0</v>
      </c>
      <c r="BS261" s="173">
        <f>IF(AND(Input_Product=Elig!$C261,Elig_MatchAll_Ct&lt;22,$BC261=(Elig_MatchAll_Ct-1),AQ261=0),N261,0)</f>
        <v>0</v>
      </c>
      <c r="BT261" s="173">
        <f>IF(AND(Input_Product=Elig!$C261,Elig_MatchAll_Ct&lt;22,$BC261=(Elig_MatchAll_Ct-1),AR261=0),O261,0)</f>
        <v>0</v>
      </c>
      <c r="BU261" s="173">
        <f>IF(AND(Input_Product=Elig!$C261,Elig_MatchAll_Ct&lt;22,$BC261=(Elig_MatchAll_Ct-1),AS261=0),P261,0)</f>
        <v>0</v>
      </c>
      <c r="BV261" s="174">
        <f>IF(AND(Input_Product=Elig!$C261,Elig_MatchAll_Ct&lt;22,$BC261=(Elig_MatchAll_Ct-1),AT261=0),Q261,0)</f>
        <v>0</v>
      </c>
      <c r="BW261" s="175">
        <f>IF(AND(Input_Product=Elig!$C261,Elig_MatchAll_Ct&lt;22,$BC261=(Elig_MatchAll_Ct-1),AU261=0),R261,0)</f>
        <v>0</v>
      </c>
      <c r="BX261" s="176">
        <f>IF(AND(Input_Product=Elig!$C261,Elig_MatchAll_Ct&lt;22,$BC261=(Elig_MatchAll_Ct-1),AU261=0),S261,0)</f>
        <v>0</v>
      </c>
      <c r="BY261" s="175">
        <f>IF(AND(Input_Product=Elig!$C261,Elig_MatchAll_Ct&lt;22,$BC261=(Elig_MatchAll_Ct-1),AV261=0),T261,0)</f>
        <v>0</v>
      </c>
      <c r="BZ261" s="176">
        <f>IF(AND(Input_Product=Elig!$C261,Elig_MatchAll_Ct&lt;22,$BC261=(Elig_MatchAll_Ct-1),AV261=0),U261,0)</f>
        <v>0</v>
      </c>
      <c r="CA261" s="175">
        <f>IF(AND(Input_Product=Elig!$C261,Elig_MatchAll_Ct&lt;22,$BC261=(Elig_MatchAll_Ct-1),AW261=0),V261,0)</f>
        <v>0</v>
      </c>
      <c r="CB261" s="176">
        <f>IF(AND(Input_Product=Elig!$C261,Elig_MatchAll_Ct&lt;22,$BC261=(Elig_MatchAll_Ct-1),AW261=0),W261,0)</f>
        <v>0</v>
      </c>
      <c r="CC261" s="175">
        <f>IF(AND(Input_Product=Elig!$C261,Elig_MatchAll_Ct&lt;22,$BC261=(Elig_MatchAll_Ct-1),AX261=0),X261,0)</f>
        <v>0</v>
      </c>
      <c r="CD261" s="176">
        <f>IF(AND(Input_Product=Elig!$C261,Elig_MatchAll_Ct&lt;22,$BC261=(Elig_MatchAll_Ct-1),AX261=0),Y261,0)</f>
        <v>0</v>
      </c>
      <c r="CE261" s="175">
        <f>IF(AND(Input_LTV&lt;=AE261,Input_Product=Elig!$C261,Elig_MatchAll_Ct&lt;22,$BC261=(Elig_MatchAll_Ct-1),AY261=0),Z261,0)</f>
        <v>0</v>
      </c>
      <c r="CF261" s="176">
        <f>IF(AND(Input_LTV&lt;=AE261,Input_Product=Elig!$C261,Elig_MatchAll_Ct&lt;22,$BC261=(Elig_MatchAll_Ct-1),AY261=0),AA261,0)</f>
        <v>0</v>
      </c>
      <c r="CG261" s="175">
        <f>IF(AND(Input_Product=Elig!$C261,Elig_MatchAll_Ct&lt;22,$BC261=(Elig_MatchAll_Ct-1),AZ261=0),AB261,0)</f>
        <v>0</v>
      </c>
      <c r="CH261" s="176">
        <f>IF(AND(Input_Product=Elig!$C261,Elig_MatchAll_Ct&lt;22,$BC261=(Elig_MatchAll_Ct-1),AZ261=0),AC261,0)</f>
        <v>0</v>
      </c>
      <c r="CI261" s="175">
        <f>IF(AND(Input_Product=Elig!$C261,Elig_MatchAll_Ct&lt;22,$BC261=(Elig_MatchAll_Ct-1),BA261=0),AD261,0)</f>
        <v>0</v>
      </c>
      <c r="CJ261" s="176">
        <f>IF(AND(Input_Product=Elig!$C261,Elig_MatchAll_Ct&lt;22,$BC261=(Elig_MatchAll_Ct-1),BA261=0),AE261,0)</f>
        <v>0</v>
      </c>
    </row>
    <row r="262" spans="1:88" ht="10.15" customHeight="1" x14ac:dyDescent="0.25">
      <c r="A262" s="252" t="s">
        <v>76</v>
      </c>
      <c r="B262" s="252" t="s">
        <v>903</v>
      </c>
      <c r="C262" s="251" t="str">
        <f t="shared" si="93"/>
        <v>NonQM NOO</v>
      </c>
      <c r="D262" s="252" t="s">
        <v>1995</v>
      </c>
      <c r="E262" s="252" t="s">
        <v>166</v>
      </c>
      <c r="F262" s="252" t="s">
        <v>329</v>
      </c>
      <c r="G262" s="252" t="s">
        <v>303</v>
      </c>
      <c r="H262" s="252" t="s">
        <v>444</v>
      </c>
      <c r="I262" s="253" t="s">
        <v>16</v>
      </c>
      <c r="J262" s="253" t="s">
        <v>1130</v>
      </c>
      <c r="K262" s="253" t="s">
        <v>1398</v>
      </c>
      <c r="L262" s="252" t="s">
        <v>311</v>
      </c>
      <c r="M262" s="252" t="s">
        <v>2289</v>
      </c>
      <c r="N262" s="252" t="s">
        <v>1844</v>
      </c>
      <c r="O262" s="252" t="s">
        <v>309</v>
      </c>
      <c r="P262" s="252" t="s">
        <v>2434</v>
      </c>
      <c r="Q262" s="252" t="s">
        <v>293</v>
      </c>
      <c r="R262" s="252">
        <v>100000</v>
      </c>
      <c r="S262" s="252">
        <v>1000000</v>
      </c>
      <c r="T262" s="252">
        <v>0</v>
      </c>
      <c r="U262" s="252">
        <f t="shared" si="95"/>
        <v>1000000</v>
      </c>
      <c r="V262" s="252">
        <v>0</v>
      </c>
      <c r="W262" s="252">
        <v>55</v>
      </c>
      <c r="X262" s="252">
        <v>0</v>
      </c>
      <c r="Y262" s="252">
        <v>999</v>
      </c>
      <c r="Z262" s="254">
        <v>680</v>
      </c>
      <c r="AA262" s="254">
        <v>699</v>
      </c>
      <c r="AB262" s="1883">
        <v>0</v>
      </c>
      <c r="AC262" s="254">
        <v>999999</v>
      </c>
      <c r="AD262" s="252">
        <v>0</v>
      </c>
      <c r="AE262" s="255">
        <v>75</v>
      </c>
      <c r="AF262" s="144">
        <v>0</v>
      </c>
      <c r="AG262" s="145">
        <v>1</v>
      </c>
      <c r="AH262" s="145">
        <v>1</v>
      </c>
      <c r="AI262" s="145">
        <v>1</v>
      </c>
      <c r="AJ262" s="145">
        <v>0</v>
      </c>
      <c r="AK262" s="145">
        <v>0</v>
      </c>
      <c r="AL262" s="145">
        <v>0</v>
      </c>
      <c r="AM262" s="145">
        <v>1</v>
      </c>
      <c r="AN262" s="145">
        <v>1</v>
      </c>
      <c r="AO262" s="145">
        <v>1</v>
      </c>
      <c r="AP262" s="145">
        <v>1</v>
      </c>
      <c r="AQ262" s="145">
        <v>1</v>
      </c>
      <c r="AR262" s="145">
        <v>1</v>
      </c>
      <c r="AS262" s="145">
        <v>1</v>
      </c>
      <c r="AT262" s="145">
        <v>1</v>
      </c>
      <c r="AU262" s="145">
        <f t="shared" si="55"/>
        <v>1</v>
      </c>
      <c r="AV262" s="145">
        <f t="shared" si="56"/>
        <v>1</v>
      </c>
      <c r="AW262" s="145">
        <f t="shared" si="57"/>
        <v>1</v>
      </c>
      <c r="AX262" s="145">
        <f t="shared" si="73"/>
        <v>1</v>
      </c>
      <c r="AY262" s="145">
        <f t="shared" si="58"/>
        <v>0</v>
      </c>
      <c r="AZ262" s="145">
        <f t="shared" si="59"/>
        <v>1</v>
      </c>
      <c r="BA262" s="146">
        <f t="shared" si="60"/>
        <v>1</v>
      </c>
      <c r="BB262" s="149">
        <f t="shared" si="83"/>
        <v>17</v>
      </c>
      <c r="BC262" s="150">
        <f t="shared" si="84"/>
        <v>16</v>
      </c>
      <c r="BD262" s="150">
        <f t="shared" si="85"/>
        <v>17</v>
      </c>
      <c r="BE262" s="211" t="str">
        <f t="shared" si="86"/>
        <v/>
      </c>
      <c r="BH262" s="173">
        <f>IF(AND(Input_Product=Elig!$C262,Elig_MatchAll_Ct&lt;22,$BC262=(Elig_MatchAll_Ct-1),AF262=0),C262,0)</f>
        <v>0</v>
      </c>
      <c r="BI262" s="173">
        <f>IF(AND(Input_Product=Elig!$C262,Elig_MatchAll_Ct&lt;22,$BC262=(Elig_MatchAll_Ct-1),AG262=0),D262,0)</f>
        <v>0</v>
      </c>
      <c r="BJ262" s="173">
        <f>IF(AND(Input_Product=Elig!$C262,Elig_MatchAll_Ct&lt;22,$BC262=(Elig_MatchAll_Ct-1),AH262=0),E262,0)</f>
        <v>0</v>
      </c>
      <c r="BK262" s="173">
        <f>IF(AND(Input_Product=Elig!$C262,Elig_MatchAll_Ct&lt;22,$BC262=(Elig_MatchAll_Ct-1),AI262=0),F262,0)</f>
        <v>0</v>
      </c>
      <c r="BL262" s="173">
        <f>IF(AND(Input_Product=Elig!$C262,Elig_MatchAll_Ct&lt;22,$BC262=(Elig_MatchAll_Ct-1),AJ262=0),G262,0)</f>
        <v>0</v>
      </c>
      <c r="BM262" s="173">
        <f>IF(AND(Input_Product=Elig!$C262,Elig_MatchAll_Ct&lt;22,$BC262=(Elig_MatchAll_Ct-1),AK262=0),H262,0)</f>
        <v>0</v>
      </c>
      <c r="BN262" s="173">
        <f>IF(AND(Input_Product=Elig!$C262,Elig_MatchAll_Ct&lt;22,$BC262=(Elig_MatchAll_Ct-1),AL262=0),I262,0)</f>
        <v>0</v>
      </c>
      <c r="BO262" s="173">
        <f>IF(AND(Input_Product=Elig!$C262,Elig_MatchAll_Ct&lt;22,$BC262=(Elig_MatchAll_Ct-1),AM262=0),J262,0)</f>
        <v>0</v>
      </c>
      <c r="BP262" s="173">
        <f>IF(AND(Input_Product=Elig!$C262,Elig_MatchAll_Ct&lt;22,$BC262=(Elig_MatchAll_Ct-1),AN262=0),K262,0)</f>
        <v>0</v>
      </c>
      <c r="BQ262" s="173">
        <f>IF(AND(Input_Product=Elig!$C262,Elig_MatchAll_Ct&lt;22,$BC262=(Elig_MatchAll_Ct-1),AP262=0),L262,0)</f>
        <v>0</v>
      </c>
      <c r="BR262" s="173">
        <f>IF(AND(Input_Product=Elig!$C262,Elig_MatchAll_Ct&lt;22,$BC262=(Elig_MatchAll_Ct-1),AO262=0),M262,0)</f>
        <v>0</v>
      </c>
      <c r="BS262" s="173">
        <f>IF(AND(Input_Product=Elig!$C262,Elig_MatchAll_Ct&lt;22,$BC262=(Elig_MatchAll_Ct-1),AQ262=0),N262,0)</f>
        <v>0</v>
      </c>
      <c r="BT262" s="173">
        <f>IF(AND(Input_Product=Elig!$C262,Elig_MatchAll_Ct&lt;22,$BC262=(Elig_MatchAll_Ct-1),AR262=0),O262,0)</f>
        <v>0</v>
      </c>
      <c r="BU262" s="173">
        <f>IF(AND(Input_Product=Elig!$C262,Elig_MatchAll_Ct&lt;22,$BC262=(Elig_MatchAll_Ct-1),AS262=0),P262,0)</f>
        <v>0</v>
      </c>
      <c r="BV262" s="174">
        <f>IF(AND(Input_Product=Elig!$C262,Elig_MatchAll_Ct&lt;22,$BC262=(Elig_MatchAll_Ct-1),AT262=0),Q262,0)</f>
        <v>0</v>
      </c>
      <c r="BW262" s="175">
        <f>IF(AND(Input_Product=Elig!$C262,Elig_MatchAll_Ct&lt;22,$BC262=(Elig_MatchAll_Ct-1),AU262=0),R262,0)</f>
        <v>0</v>
      </c>
      <c r="BX262" s="176">
        <f>IF(AND(Input_Product=Elig!$C262,Elig_MatchAll_Ct&lt;22,$BC262=(Elig_MatchAll_Ct-1),AU262=0),S262,0)</f>
        <v>0</v>
      </c>
      <c r="BY262" s="175">
        <f>IF(AND(Input_Product=Elig!$C262,Elig_MatchAll_Ct&lt;22,$BC262=(Elig_MatchAll_Ct-1),AV262=0),T262,0)</f>
        <v>0</v>
      </c>
      <c r="BZ262" s="176">
        <f>IF(AND(Input_Product=Elig!$C262,Elig_MatchAll_Ct&lt;22,$BC262=(Elig_MatchAll_Ct-1),AV262=0),U262,0)</f>
        <v>0</v>
      </c>
      <c r="CA262" s="175">
        <f>IF(AND(Input_Product=Elig!$C262,Elig_MatchAll_Ct&lt;22,$BC262=(Elig_MatchAll_Ct-1),AW262=0),V262,0)</f>
        <v>0</v>
      </c>
      <c r="CB262" s="176">
        <f>IF(AND(Input_Product=Elig!$C262,Elig_MatchAll_Ct&lt;22,$BC262=(Elig_MatchAll_Ct-1),AW262=0),W262,0)</f>
        <v>0</v>
      </c>
      <c r="CC262" s="175">
        <f>IF(AND(Input_Product=Elig!$C262,Elig_MatchAll_Ct&lt;22,$BC262=(Elig_MatchAll_Ct-1),AX262=0),X262,0)</f>
        <v>0</v>
      </c>
      <c r="CD262" s="176">
        <f>IF(AND(Input_Product=Elig!$C262,Elig_MatchAll_Ct&lt;22,$BC262=(Elig_MatchAll_Ct-1),AX262=0),Y262,0)</f>
        <v>0</v>
      </c>
      <c r="CE262" s="175">
        <f>IF(AND(Input_LTV&lt;=AE262,Input_Product=Elig!$C262,Elig_MatchAll_Ct&lt;22,$BC262=(Elig_MatchAll_Ct-1),AY262=0),Z262,0)</f>
        <v>0</v>
      </c>
      <c r="CF262" s="176">
        <f>IF(AND(Input_LTV&lt;=AE262,Input_Product=Elig!$C262,Elig_MatchAll_Ct&lt;22,$BC262=(Elig_MatchAll_Ct-1),AY262=0),AA262,0)</f>
        <v>0</v>
      </c>
      <c r="CG262" s="175">
        <f>IF(AND(Input_Product=Elig!$C262,Elig_MatchAll_Ct&lt;22,$BC262=(Elig_MatchAll_Ct-1),AZ262=0),AB262,0)</f>
        <v>0</v>
      </c>
      <c r="CH262" s="176">
        <f>IF(AND(Input_Product=Elig!$C262,Elig_MatchAll_Ct&lt;22,$BC262=(Elig_MatchAll_Ct-1),AZ262=0),AC262,0)</f>
        <v>0</v>
      </c>
      <c r="CI262" s="175">
        <f>IF(AND(Input_Product=Elig!$C262,Elig_MatchAll_Ct&lt;22,$BC262=(Elig_MatchAll_Ct-1),BA262=0),AD262,0)</f>
        <v>0</v>
      </c>
      <c r="CJ262" s="176">
        <f>IF(AND(Input_Product=Elig!$C262,Elig_MatchAll_Ct&lt;22,$BC262=(Elig_MatchAll_Ct-1),BA262=0),AE262,0)</f>
        <v>0</v>
      </c>
    </row>
    <row r="263" spans="1:88" ht="10.15" customHeight="1" x14ac:dyDescent="0.25">
      <c r="A263" s="252" t="s">
        <v>76</v>
      </c>
      <c r="B263" s="252" t="s">
        <v>904</v>
      </c>
      <c r="C263" s="251" t="str">
        <f t="shared" si="93"/>
        <v>NonQM NOO</v>
      </c>
      <c r="D263" s="252" t="s">
        <v>1995</v>
      </c>
      <c r="E263" s="252" t="s">
        <v>166</v>
      </c>
      <c r="F263" s="252" t="s">
        <v>329</v>
      </c>
      <c r="G263" s="252" t="s">
        <v>303</v>
      </c>
      <c r="H263" s="252" t="s">
        <v>444</v>
      </c>
      <c r="I263" s="252" t="s">
        <v>16</v>
      </c>
      <c r="J263" s="252" t="s">
        <v>1130</v>
      </c>
      <c r="K263" s="252" t="s">
        <v>1398</v>
      </c>
      <c r="L263" s="252" t="s">
        <v>311</v>
      </c>
      <c r="M263" s="252" t="s">
        <v>2289</v>
      </c>
      <c r="N263" s="252" t="s">
        <v>1844</v>
      </c>
      <c r="O263" s="252" t="s">
        <v>309</v>
      </c>
      <c r="P263" s="252" t="s">
        <v>2434</v>
      </c>
      <c r="Q263" s="252" t="s">
        <v>293</v>
      </c>
      <c r="R263" s="252">
        <v>100000</v>
      </c>
      <c r="S263" s="252">
        <v>1000000</v>
      </c>
      <c r="T263" s="252">
        <v>0</v>
      </c>
      <c r="U263" s="252">
        <f t="shared" si="95"/>
        <v>1000000</v>
      </c>
      <c r="V263" s="252">
        <v>0</v>
      </c>
      <c r="W263" s="252">
        <v>50</v>
      </c>
      <c r="X263" s="252">
        <v>0</v>
      </c>
      <c r="Y263" s="252">
        <v>999</v>
      </c>
      <c r="Z263" s="254">
        <v>660</v>
      </c>
      <c r="AA263" s="254">
        <v>679</v>
      </c>
      <c r="AB263" s="1883">
        <v>0</v>
      </c>
      <c r="AC263" s="254">
        <v>999999</v>
      </c>
      <c r="AD263" s="252">
        <v>0</v>
      </c>
      <c r="AE263" s="255">
        <v>70</v>
      </c>
      <c r="AF263" s="144">
        <v>0</v>
      </c>
      <c r="AG263" s="145">
        <v>1</v>
      </c>
      <c r="AH263" s="145">
        <v>1</v>
      </c>
      <c r="AI263" s="145">
        <v>1</v>
      </c>
      <c r="AJ263" s="145">
        <v>0</v>
      </c>
      <c r="AK263" s="145">
        <v>0</v>
      </c>
      <c r="AL263" s="145">
        <v>0</v>
      </c>
      <c r="AM263" s="145">
        <v>1</v>
      </c>
      <c r="AN263" s="145">
        <v>1</v>
      </c>
      <c r="AO263" s="145">
        <v>1</v>
      </c>
      <c r="AP263" s="145">
        <v>1</v>
      </c>
      <c r="AQ263" s="145">
        <v>1</v>
      </c>
      <c r="AR263" s="145">
        <v>1</v>
      </c>
      <c r="AS263" s="145">
        <v>1</v>
      </c>
      <c r="AT263" s="145">
        <v>1</v>
      </c>
      <c r="AU263" s="145">
        <f t="shared" si="55"/>
        <v>1</v>
      </c>
      <c r="AV263" s="145">
        <f t="shared" si="56"/>
        <v>1</v>
      </c>
      <c r="AW263" s="145">
        <f t="shared" si="57"/>
        <v>1</v>
      </c>
      <c r="AX263" s="145">
        <f t="shared" si="73"/>
        <v>1</v>
      </c>
      <c r="AY263" s="145">
        <f t="shared" si="58"/>
        <v>0</v>
      </c>
      <c r="AZ263" s="145">
        <f t="shared" si="59"/>
        <v>1</v>
      </c>
      <c r="BA263" s="146">
        <f t="shared" si="60"/>
        <v>1</v>
      </c>
      <c r="BB263" s="149">
        <f t="shared" si="83"/>
        <v>17</v>
      </c>
      <c r="BC263" s="150">
        <f t="shared" si="84"/>
        <v>16</v>
      </c>
      <c r="BD263" s="150">
        <f t="shared" si="85"/>
        <v>17</v>
      </c>
      <c r="BE263" s="211" t="str">
        <f t="shared" si="86"/>
        <v/>
      </c>
      <c r="BH263" s="173">
        <f>IF(AND(Input_Product=Elig!$C263,Elig_MatchAll_Ct&lt;22,$BC263=(Elig_MatchAll_Ct-1),AF263=0),C263,0)</f>
        <v>0</v>
      </c>
      <c r="BI263" s="173">
        <f>IF(AND(Input_Product=Elig!$C263,Elig_MatchAll_Ct&lt;22,$BC263=(Elig_MatchAll_Ct-1),AG263=0),D263,0)</f>
        <v>0</v>
      </c>
      <c r="BJ263" s="173">
        <f>IF(AND(Input_Product=Elig!$C263,Elig_MatchAll_Ct&lt;22,$BC263=(Elig_MatchAll_Ct-1),AH263=0),E263,0)</f>
        <v>0</v>
      </c>
      <c r="BK263" s="173">
        <f>IF(AND(Input_Product=Elig!$C263,Elig_MatchAll_Ct&lt;22,$BC263=(Elig_MatchAll_Ct-1),AI263=0),F263,0)</f>
        <v>0</v>
      </c>
      <c r="BL263" s="173">
        <f>IF(AND(Input_Product=Elig!$C263,Elig_MatchAll_Ct&lt;22,$BC263=(Elig_MatchAll_Ct-1),AJ263=0),G263,0)</f>
        <v>0</v>
      </c>
      <c r="BM263" s="173">
        <f>IF(AND(Input_Product=Elig!$C263,Elig_MatchAll_Ct&lt;22,$BC263=(Elig_MatchAll_Ct-1),AK263=0),H263,0)</f>
        <v>0</v>
      </c>
      <c r="BN263" s="173">
        <f>IF(AND(Input_Product=Elig!$C263,Elig_MatchAll_Ct&lt;22,$BC263=(Elig_MatchAll_Ct-1),AL263=0),I263,0)</f>
        <v>0</v>
      </c>
      <c r="BO263" s="173">
        <f>IF(AND(Input_Product=Elig!$C263,Elig_MatchAll_Ct&lt;22,$BC263=(Elig_MatchAll_Ct-1),AM263=0),J263,0)</f>
        <v>0</v>
      </c>
      <c r="BP263" s="173">
        <f>IF(AND(Input_Product=Elig!$C263,Elig_MatchAll_Ct&lt;22,$BC263=(Elig_MatchAll_Ct-1),AN263=0),K263,0)</f>
        <v>0</v>
      </c>
      <c r="BQ263" s="173">
        <f>IF(AND(Input_Product=Elig!$C263,Elig_MatchAll_Ct&lt;22,$BC263=(Elig_MatchAll_Ct-1),AP263=0),L263,0)</f>
        <v>0</v>
      </c>
      <c r="BR263" s="173">
        <f>IF(AND(Input_Product=Elig!$C263,Elig_MatchAll_Ct&lt;22,$BC263=(Elig_MatchAll_Ct-1),AO263=0),M263,0)</f>
        <v>0</v>
      </c>
      <c r="BS263" s="173">
        <f>IF(AND(Input_Product=Elig!$C263,Elig_MatchAll_Ct&lt;22,$BC263=(Elig_MatchAll_Ct-1),AQ263=0),N263,0)</f>
        <v>0</v>
      </c>
      <c r="BT263" s="173">
        <f>IF(AND(Input_Product=Elig!$C263,Elig_MatchAll_Ct&lt;22,$BC263=(Elig_MatchAll_Ct-1),AR263=0),O263,0)</f>
        <v>0</v>
      </c>
      <c r="BU263" s="173">
        <f>IF(AND(Input_Product=Elig!$C263,Elig_MatchAll_Ct&lt;22,$BC263=(Elig_MatchAll_Ct-1),AS263=0),P263,0)</f>
        <v>0</v>
      </c>
      <c r="BV263" s="174">
        <f>IF(AND(Input_Product=Elig!$C263,Elig_MatchAll_Ct&lt;22,$BC263=(Elig_MatchAll_Ct-1),AT263=0),Q263,0)</f>
        <v>0</v>
      </c>
      <c r="BW263" s="175">
        <f>IF(AND(Input_Product=Elig!$C263,Elig_MatchAll_Ct&lt;22,$BC263=(Elig_MatchAll_Ct-1),AU263=0),R263,0)</f>
        <v>0</v>
      </c>
      <c r="BX263" s="176">
        <f>IF(AND(Input_Product=Elig!$C263,Elig_MatchAll_Ct&lt;22,$BC263=(Elig_MatchAll_Ct-1),AU263=0),S263,0)</f>
        <v>0</v>
      </c>
      <c r="BY263" s="175">
        <f>IF(AND(Input_Product=Elig!$C263,Elig_MatchAll_Ct&lt;22,$BC263=(Elig_MatchAll_Ct-1),AV263=0),T263,0)</f>
        <v>0</v>
      </c>
      <c r="BZ263" s="176">
        <f>IF(AND(Input_Product=Elig!$C263,Elig_MatchAll_Ct&lt;22,$BC263=(Elig_MatchAll_Ct-1),AV263=0),U263,0)</f>
        <v>0</v>
      </c>
      <c r="CA263" s="175">
        <f>IF(AND(Input_Product=Elig!$C263,Elig_MatchAll_Ct&lt;22,$BC263=(Elig_MatchAll_Ct-1),AW263=0),V263,0)</f>
        <v>0</v>
      </c>
      <c r="CB263" s="176">
        <f>IF(AND(Input_Product=Elig!$C263,Elig_MatchAll_Ct&lt;22,$BC263=(Elig_MatchAll_Ct-1),AW263=0),W263,0)</f>
        <v>0</v>
      </c>
      <c r="CC263" s="175">
        <f>IF(AND(Input_Product=Elig!$C263,Elig_MatchAll_Ct&lt;22,$BC263=(Elig_MatchAll_Ct-1),AX263=0),X263,0)</f>
        <v>0</v>
      </c>
      <c r="CD263" s="176">
        <f>IF(AND(Input_Product=Elig!$C263,Elig_MatchAll_Ct&lt;22,$BC263=(Elig_MatchAll_Ct-1),AX263=0),Y263,0)</f>
        <v>0</v>
      </c>
      <c r="CE263" s="175">
        <f>IF(AND(Input_LTV&lt;=AE263,Input_Product=Elig!$C263,Elig_MatchAll_Ct&lt;22,$BC263=(Elig_MatchAll_Ct-1),AY263=0),Z263,0)</f>
        <v>0</v>
      </c>
      <c r="CF263" s="176">
        <f>IF(AND(Input_LTV&lt;=AE263,Input_Product=Elig!$C263,Elig_MatchAll_Ct&lt;22,$BC263=(Elig_MatchAll_Ct-1),AY263=0),AA263,0)</f>
        <v>0</v>
      </c>
      <c r="CG263" s="175">
        <f>IF(AND(Input_Product=Elig!$C263,Elig_MatchAll_Ct&lt;22,$BC263=(Elig_MatchAll_Ct-1),AZ263=0),AB263,0)</f>
        <v>0</v>
      </c>
      <c r="CH263" s="176">
        <f>IF(AND(Input_Product=Elig!$C263,Elig_MatchAll_Ct&lt;22,$BC263=(Elig_MatchAll_Ct-1),AZ263=0),AC263,0)</f>
        <v>0</v>
      </c>
      <c r="CI263" s="175">
        <f>IF(AND(Input_Product=Elig!$C263,Elig_MatchAll_Ct&lt;22,$BC263=(Elig_MatchAll_Ct-1),BA263=0),AD263,0)</f>
        <v>0</v>
      </c>
      <c r="CJ263" s="176">
        <f>IF(AND(Input_Product=Elig!$C263,Elig_MatchAll_Ct&lt;22,$BC263=(Elig_MatchAll_Ct-1),BA263=0),AE263,0)</f>
        <v>0</v>
      </c>
    </row>
    <row r="264" spans="1:88" ht="10.15" customHeight="1" x14ac:dyDescent="0.25">
      <c r="A264" s="252" t="s">
        <v>76</v>
      </c>
      <c r="B264" s="252" t="s">
        <v>905</v>
      </c>
      <c r="C264" s="246" t="str">
        <f t="shared" si="93"/>
        <v>NonQM NOO</v>
      </c>
      <c r="D264" s="247" t="s">
        <v>1995</v>
      </c>
      <c r="E264" s="248" t="s">
        <v>166</v>
      </c>
      <c r="F264" s="248" t="s">
        <v>329</v>
      </c>
      <c r="G264" s="248" t="s">
        <v>465</v>
      </c>
      <c r="H264" s="248" t="s">
        <v>135</v>
      </c>
      <c r="I264" s="247" t="s">
        <v>273</v>
      </c>
      <c r="J264" s="247" t="s">
        <v>1130</v>
      </c>
      <c r="K264" s="247" t="s">
        <v>1398</v>
      </c>
      <c r="L264" s="248" t="s">
        <v>311</v>
      </c>
      <c r="M264" s="248" t="s">
        <v>2289</v>
      </c>
      <c r="N264" s="248" t="s">
        <v>1844</v>
      </c>
      <c r="O264" s="248" t="s">
        <v>309</v>
      </c>
      <c r="P264" s="248" t="s">
        <v>2434</v>
      </c>
      <c r="Q264" s="248" t="s">
        <v>293</v>
      </c>
      <c r="R264" s="247">
        <v>100000</v>
      </c>
      <c r="S264" s="247">
        <v>1000000</v>
      </c>
      <c r="T264" s="247">
        <v>0</v>
      </c>
      <c r="U264" s="247">
        <v>0</v>
      </c>
      <c r="V264" s="247">
        <v>0</v>
      </c>
      <c r="W264" s="247">
        <v>55</v>
      </c>
      <c r="X264" s="247">
        <v>0</v>
      </c>
      <c r="Y264" s="247">
        <v>999</v>
      </c>
      <c r="Z264" s="249">
        <v>720</v>
      </c>
      <c r="AA264" s="249">
        <v>999</v>
      </c>
      <c r="AB264" s="1882">
        <v>0</v>
      </c>
      <c r="AC264" s="249">
        <v>999999</v>
      </c>
      <c r="AD264" s="247">
        <v>0</v>
      </c>
      <c r="AE264" s="250">
        <v>85</v>
      </c>
      <c r="AF264" s="144">
        <v>0</v>
      </c>
      <c r="AG264" s="145">
        <v>1</v>
      </c>
      <c r="AH264" s="145">
        <v>1</v>
      </c>
      <c r="AI264" s="145">
        <v>1</v>
      </c>
      <c r="AJ264" s="145">
        <v>0</v>
      </c>
      <c r="AK264" s="145">
        <v>1</v>
      </c>
      <c r="AL264" s="145">
        <v>1</v>
      </c>
      <c r="AM264" s="145">
        <v>1</v>
      </c>
      <c r="AN264" s="145">
        <v>1</v>
      </c>
      <c r="AO264" s="145">
        <v>1</v>
      </c>
      <c r="AP264" s="145">
        <v>1</v>
      </c>
      <c r="AQ264" s="145">
        <v>1</v>
      </c>
      <c r="AR264" s="145">
        <v>1</v>
      </c>
      <c r="AS264" s="145">
        <v>1</v>
      </c>
      <c r="AT264" s="145">
        <v>1</v>
      </c>
      <c r="AU264" s="145">
        <f t="shared" si="55"/>
        <v>1</v>
      </c>
      <c r="AV264" s="145">
        <f t="shared" si="56"/>
        <v>1</v>
      </c>
      <c r="AW264" s="145">
        <f t="shared" si="57"/>
        <v>1</v>
      </c>
      <c r="AX264" s="145">
        <f t="shared" si="73"/>
        <v>1</v>
      </c>
      <c r="AY264" s="145">
        <f t="shared" si="58"/>
        <v>1</v>
      </c>
      <c r="AZ264" s="145">
        <f t="shared" si="59"/>
        <v>1</v>
      </c>
      <c r="BA264" s="146">
        <f t="shared" si="60"/>
        <v>1</v>
      </c>
      <c r="BB264" s="149">
        <f t="shared" si="83"/>
        <v>20</v>
      </c>
      <c r="BC264" s="150">
        <f t="shared" si="84"/>
        <v>19</v>
      </c>
      <c r="BD264" s="150">
        <f t="shared" si="85"/>
        <v>20</v>
      </c>
      <c r="BE264" s="211" t="str">
        <f t="shared" si="86"/>
        <v/>
      </c>
      <c r="BH264" s="190">
        <f>IF(AND(Input_Product=Elig!$C264,Elig_MatchAll_Ct&lt;22,$BC264=(Elig_MatchAll_Ct-1),AF264=0),C264,0)</f>
        <v>0</v>
      </c>
      <c r="BI264" s="190">
        <f>IF(AND(Input_Product=Elig!$C264,Elig_MatchAll_Ct&lt;22,$BC264=(Elig_MatchAll_Ct-1),AG264=0),D264,0)</f>
        <v>0</v>
      </c>
      <c r="BJ264" s="190">
        <f>IF(AND(Input_Product=Elig!$C264,Elig_MatchAll_Ct&lt;22,$BC264=(Elig_MatchAll_Ct-1),AH264=0),E264,0)</f>
        <v>0</v>
      </c>
      <c r="BK264" s="190">
        <f>IF(AND(Input_Product=Elig!$C264,Elig_MatchAll_Ct&lt;22,$BC264=(Elig_MatchAll_Ct-1),AI264=0),F264,0)</f>
        <v>0</v>
      </c>
      <c r="BL264" s="190">
        <f>IF(AND(Input_Product=Elig!$C264,Elig_MatchAll_Ct&lt;22,$BC264=(Elig_MatchAll_Ct-1),AJ264=0),G264,0)</f>
        <v>0</v>
      </c>
      <c r="BM264" s="190">
        <f>IF(AND(Input_Product=Elig!$C264,Elig_MatchAll_Ct&lt;22,$BC264=(Elig_MatchAll_Ct-1),AK264=0),H264,0)</f>
        <v>0</v>
      </c>
      <c r="BN264" s="190">
        <f>IF(AND(Input_Product=Elig!$C264,Elig_MatchAll_Ct&lt;22,$BC264=(Elig_MatchAll_Ct-1),AL264=0),I264,0)</f>
        <v>0</v>
      </c>
      <c r="BO264" s="190">
        <f>IF(AND(Input_Product=Elig!$C264,Elig_MatchAll_Ct&lt;22,$BC264=(Elig_MatchAll_Ct-1),AM264=0),J264,0)</f>
        <v>0</v>
      </c>
      <c r="BP264" s="190">
        <f>IF(AND(Input_Product=Elig!$C264,Elig_MatchAll_Ct&lt;22,$BC264=(Elig_MatchAll_Ct-1),AN264=0),K264,0)</f>
        <v>0</v>
      </c>
      <c r="BQ264" s="190">
        <f>IF(AND(Input_Product=Elig!$C264,Elig_MatchAll_Ct&lt;22,$BC264=(Elig_MatchAll_Ct-1),AP264=0),L264,0)</f>
        <v>0</v>
      </c>
      <c r="BR264" s="190">
        <f>IF(AND(Input_Product=Elig!$C264,Elig_MatchAll_Ct&lt;22,$BC264=(Elig_MatchAll_Ct-1),AO264=0),M264,0)</f>
        <v>0</v>
      </c>
      <c r="BS264" s="190">
        <f>IF(AND(Input_Product=Elig!$C264,Elig_MatchAll_Ct&lt;22,$BC264=(Elig_MatchAll_Ct-1),AQ264=0),N264,0)</f>
        <v>0</v>
      </c>
      <c r="BT264" s="190">
        <f>IF(AND(Input_Product=Elig!$C264,Elig_MatchAll_Ct&lt;22,$BC264=(Elig_MatchAll_Ct-1),AR264=0),O264,0)</f>
        <v>0</v>
      </c>
      <c r="BU264" s="190">
        <f>IF(AND(Input_Product=Elig!$C264,Elig_MatchAll_Ct&lt;22,$BC264=(Elig_MatchAll_Ct-1),AS264=0),P264,0)</f>
        <v>0</v>
      </c>
      <c r="BV264" s="191">
        <f>IF(AND(Input_Product=Elig!$C264,Elig_MatchAll_Ct&lt;22,$BC264=(Elig_MatchAll_Ct-1),AT264=0),Q264,0)</f>
        <v>0</v>
      </c>
      <c r="BW264" s="186">
        <f>IF(AND(Input_Product=Elig!$C264,Elig_MatchAll_Ct&lt;22,$BC264=(Elig_MatchAll_Ct-1),AU264=0),R264,0)</f>
        <v>0</v>
      </c>
      <c r="BX264" s="187">
        <f>IF(AND(Input_Product=Elig!$C264,Elig_MatchAll_Ct&lt;22,$BC264=(Elig_MatchAll_Ct-1),AU264=0),S264,0)</f>
        <v>0</v>
      </c>
      <c r="BY264" s="186">
        <f>IF(AND(Input_Product=Elig!$C264,Elig_MatchAll_Ct&lt;22,$BC264=(Elig_MatchAll_Ct-1),AV264=0),T264,0)</f>
        <v>0</v>
      </c>
      <c r="BZ264" s="187">
        <f>IF(AND(Input_Product=Elig!$C264,Elig_MatchAll_Ct&lt;22,$BC264=(Elig_MatchAll_Ct-1),AV264=0),U264,0)</f>
        <v>0</v>
      </c>
      <c r="CA264" s="186">
        <f>IF(AND(Input_Product=Elig!$C264,Elig_MatchAll_Ct&lt;22,$BC264=(Elig_MatchAll_Ct-1),AW264=0),V264,0)</f>
        <v>0</v>
      </c>
      <c r="CB264" s="187">
        <f>IF(AND(Input_Product=Elig!$C264,Elig_MatchAll_Ct&lt;22,$BC264=(Elig_MatchAll_Ct-1),AW264=0),W264,0)</f>
        <v>0</v>
      </c>
      <c r="CC264" s="186">
        <f>IF(AND(Input_Product=Elig!$C264,Elig_MatchAll_Ct&lt;22,$BC264=(Elig_MatchAll_Ct-1),AX264=0),X264,0)</f>
        <v>0</v>
      </c>
      <c r="CD264" s="187">
        <f>IF(AND(Input_Product=Elig!$C264,Elig_MatchAll_Ct&lt;22,$BC264=(Elig_MatchAll_Ct-1),AX264=0),Y264,0)</f>
        <v>0</v>
      </c>
      <c r="CE264" s="186">
        <f>IF(AND(Input_LTV&lt;=AE264,Input_Product=Elig!$C264,Elig_MatchAll_Ct&lt;22,$BC264=(Elig_MatchAll_Ct-1),AY264=0),Z264,0)</f>
        <v>0</v>
      </c>
      <c r="CF264" s="187">
        <f>IF(AND(Input_LTV&lt;=AE264,Input_Product=Elig!$C264,Elig_MatchAll_Ct&lt;22,$BC264=(Elig_MatchAll_Ct-1),AY264=0),AA264,0)</f>
        <v>0</v>
      </c>
      <c r="CG264" s="186">
        <f>IF(AND(Input_Product=Elig!$C264,Elig_MatchAll_Ct&lt;22,$BC264=(Elig_MatchAll_Ct-1),AZ264=0),AB264,0)</f>
        <v>0</v>
      </c>
      <c r="CH264" s="187">
        <f>IF(AND(Input_Product=Elig!$C264,Elig_MatchAll_Ct&lt;22,$BC264=(Elig_MatchAll_Ct-1),AZ264=0),AC264,0)</f>
        <v>0</v>
      </c>
      <c r="CI264" s="186">
        <f>IF(AND(Input_Product=Elig!$C264,Elig_MatchAll_Ct&lt;22,$BC264=(Elig_MatchAll_Ct-1),BA264=0),AD264,0)</f>
        <v>0</v>
      </c>
      <c r="CJ264" s="187">
        <f>IF(AND(Input_Product=Elig!$C264,Elig_MatchAll_Ct&lt;22,$BC264=(Elig_MatchAll_Ct-1),BA264=0),AE264,0)</f>
        <v>0</v>
      </c>
    </row>
    <row r="265" spans="1:88" ht="10.15" customHeight="1" x14ac:dyDescent="0.25">
      <c r="A265" s="252" t="s">
        <v>76</v>
      </c>
      <c r="B265" s="252" t="s">
        <v>906</v>
      </c>
      <c r="C265" s="251" t="str">
        <f t="shared" si="93"/>
        <v>NonQM NOO</v>
      </c>
      <c r="D265" s="252" t="s">
        <v>1995</v>
      </c>
      <c r="E265" s="252" t="s">
        <v>166</v>
      </c>
      <c r="F265" s="252" t="s">
        <v>329</v>
      </c>
      <c r="G265" s="252" t="s">
        <v>465</v>
      </c>
      <c r="H265" s="252" t="s">
        <v>135</v>
      </c>
      <c r="I265" s="253" t="s">
        <v>273</v>
      </c>
      <c r="J265" s="253" t="s">
        <v>1130</v>
      </c>
      <c r="K265" s="253" t="s">
        <v>1398</v>
      </c>
      <c r="L265" s="252" t="s">
        <v>311</v>
      </c>
      <c r="M265" s="252" t="s">
        <v>2289</v>
      </c>
      <c r="N265" s="252" t="s">
        <v>1844</v>
      </c>
      <c r="O265" s="252" t="s">
        <v>309</v>
      </c>
      <c r="P265" s="252" t="s">
        <v>2434</v>
      </c>
      <c r="Q265" s="252" t="s">
        <v>293</v>
      </c>
      <c r="R265" s="252">
        <v>100000</v>
      </c>
      <c r="S265" s="252">
        <v>1000000</v>
      </c>
      <c r="T265" s="252">
        <v>0</v>
      </c>
      <c r="U265" s="252">
        <v>0</v>
      </c>
      <c r="V265" s="252">
        <v>0</v>
      </c>
      <c r="W265" s="252">
        <v>55</v>
      </c>
      <c r="X265" s="252">
        <v>0</v>
      </c>
      <c r="Y265" s="252">
        <v>999</v>
      </c>
      <c r="Z265" s="254">
        <v>700</v>
      </c>
      <c r="AA265" s="254">
        <v>719</v>
      </c>
      <c r="AB265" s="1883">
        <v>0</v>
      </c>
      <c r="AC265" s="254">
        <v>999999</v>
      </c>
      <c r="AD265" s="252">
        <v>0</v>
      </c>
      <c r="AE265" s="255">
        <v>85</v>
      </c>
      <c r="AF265" s="144">
        <v>0</v>
      </c>
      <c r="AG265" s="145">
        <v>1</v>
      </c>
      <c r="AH265" s="145">
        <v>1</v>
      </c>
      <c r="AI265" s="145">
        <v>1</v>
      </c>
      <c r="AJ265" s="145">
        <v>0</v>
      </c>
      <c r="AK265" s="145">
        <v>1</v>
      </c>
      <c r="AL265" s="145">
        <v>1</v>
      </c>
      <c r="AM265" s="145">
        <v>1</v>
      </c>
      <c r="AN265" s="145">
        <v>1</v>
      </c>
      <c r="AO265" s="145">
        <v>1</v>
      </c>
      <c r="AP265" s="145">
        <v>1</v>
      </c>
      <c r="AQ265" s="145">
        <v>1</v>
      </c>
      <c r="AR265" s="145">
        <v>1</v>
      </c>
      <c r="AS265" s="145">
        <v>1</v>
      </c>
      <c r="AT265" s="145">
        <v>1</v>
      </c>
      <c r="AU265" s="145">
        <f t="shared" si="55"/>
        <v>1</v>
      </c>
      <c r="AV265" s="145">
        <f t="shared" si="56"/>
        <v>1</v>
      </c>
      <c r="AW265" s="145">
        <f t="shared" si="57"/>
        <v>1</v>
      </c>
      <c r="AX265" s="145">
        <f t="shared" si="73"/>
        <v>1</v>
      </c>
      <c r="AY265" s="145">
        <f t="shared" si="58"/>
        <v>0</v>
      </c>
      <c r="AZ265" s="145">
        <f t="shared" si="59"/>
        <v>1</v>
      </c>
      <c r="BA265" s="146">
        <f t="shared" si="60"/>
        <v>1</v>
      </c>
      <c r="BB265" s="149">
        <f t="shared" si="83"/>
        <v>19</v>
      </c>
      <c r="BC265" s="150">
        <f t="shared" si="84"/>
        <v>18</v>
      </c>
      <c r="BD265" s="150">
        <f t="shared" si="85"/>
        <v>19</v>
      </c>
      <c r="BE265" s="211" t="str">
        <f t="shared" si="86"/>
        <v/>
      </c>
      <c r="BH265" s="173">
        <f>IF(AND(Input_Product=Elig!$C265,Elig_MatchAll_Ct&lt;22,$BC265=(Elig_MatchAll_Ct-1),AF265=0),C265,0)</f>
        <v>0</v>
      </c>
      <c r="BI265" s="173">
        <f>IF(AND(Input_Product=Elig!$C265,Elig_MatchAll_Ct&lt;22,$BC265=(Elig_MatchAll_Ct-1),AG265=0),D265,0)</f>
        <v>0</v>
      </c>
      <c r="BJ265" s="173">
        <f>IF(AND(Input_Product=Elig!$C265,Elig_MatchAll_Ct&lt;22,$BC265=(Elig_MatchAll_Ct-1),AH265=0),E265,0)</f>
        <v>0</v>
      </c>
      <c r="BK265" s="173">
        <f>IF(AND(Input_Product=Elig!$C265,Elig_MatchAll_Ct&lt;22,$BC265=(Elig_MatchAll_Ct-1),AI265=0),F265,0)</f>
        <v>0</v>
      </c>
      <c r="BL265" s="173">
        <f>IF(AND(Input_Product=Elig!$C265,Elig_MatchAll_Ct&lt;22,$BC265=(Elig_MatchAll_Ct-1),AJ265=0),G265,0)</f>
        <v>0</v>
      </c>
      <c r="BM265" s="173">
        <f>IF(AND(Input_Product=Elig!$C265,Elig_MatchAll_Ct&lt;22,$BC265=(Elig_MatchAll_Ct-1),AK265=0),H265,0)</f>
        <v>0</v>
      </c>
      <c r="BN265" s="173">
        <f>IF(AND(Input_Product=Elig!$C265,Elig_MatchAll_Ct&lt;22,$BC265=(Elig_MatchAll_Ct-1),AL265=0),I265,0)</f>
        <v>0</v>
      </c>
      <c r="BO265" s="173">
        <f>IF(AND(Input_Product=Elig!$C265,Elig_MatchAll_Ct&lt;22,$BC265=(Elig_MatchAll_Ct-1),AM265=0),J265,0)</f>
        <v>0</v>
      </c>
      <c r="BP265" s="173">
        <f>IF(AND(Input_Product=Elig!$C265,Elig_MatchAll_Ct&lt;22,$BC265=(Elig_MatchAll_Ct-1),AN265=0),K265,0)</f>
        <v>0</v>
      </c>
      <c r="BQ265" s="173">
        <f>IF(AND(Input_Product=Elig!$C265,Elig_MatchAll_Ct&lt;22,$BC265=(Elig_MatchAll_Ct-1),AP265=0),L265,0)</f>
        <v>0</v>
      </c>
      <c r="BR265" s="173">
        <f>IF(AND(Input_Product=Elig!$C265,Elig_MatchAll_Ct&lt;22,$BC265=(Elig_MatchAll_Ct-1),AO265=0),M265,0)</f>
        <v>0</v>
      </c>
      <c r="BS265" s="173">
        <f>IF(AND(Input_Product=Elig!$C265,Elig_MatchAll_Ct&lt;22,$BC265=(Elig_MatchAll_Ct-1),AQ265=0),N265,0)</f>
        <v>0</v>
      </c>
      <c r="BT265" s="173">
        <f>IF(AND(Input_Product=Elig!$C265,Elig_MatchAll_Ct&lt;22,$BC265=(Elig_MatchAll_Ct-1),AR265=0),O265,0)</f>
        <v>0</v>
      </c>
      <c r="BU265" s="173">
        <f>IF(AND(Input_Product=Elig!$C265,Elig_MatchAll_Ct&lt;22,$BC265=(Elig_MatchAll_Ct-1),AS265=0),P265,0)</f>
        <v>0</v>
      </c>
      <c r="BV265" s="174">
        <f>IF(AND(Input_Product=Elig!$C265,Elig_MatchAll_Ct&lt;22,$BC265=(Elig_MatchAll_Ct-1),AT265=0),Q265,0)</f>
        <v>0</v>
      </c>
      <c r="BW265" s="175">
        <f>IF(AND(Input_Product=Elig!$C265,Elig_MatchAll_Ct&lt;22,$BC265=(Elig_MatchAll_Ct-1),AU265=0),R265,0)</f>
        <v>0</v>
      </c>
      <c r="BX265" s="176">
        <f>IF(AND(Input_Product=Elig!$C265,Elig_MatchAll_Ct&lt;22,$BC265=(Elig_MatchAll_Ct-1),AU265=0),S265,0)</f>
        <v>0</v>
      </c>
      <c r="BY265" s="175">
        <f>IF(AND(Input_Product=Elig!$C265,Elig_MatchAll_Ct&lt;22,$BC265=(Elig_MatchAll_Ct-1),AV265=0),T265,0)</f>
        <v>0</v>
      </c>
      <c r="BZ265" s="176">
        <f>IF(AND(Input_Product=Elig!$C265,Elig_MatchAll_Ct&lt;22,$BC265=(Elig_MatchAll_Ct-1),AV265=0),U265,0)</f>
        <v>0</v>
      </c>
      <c r="CA265" s="175">
        <f>IF(AND(Input_Product=Elig!$C265,Elig_MatchAll_Ct&lt;22,$BC265=(Elig_MatchAll_Ct-1),AW265=0),V265,0)</f>
        <v>0</v>
      </c>
      <c r="CB265" s="176">
        <f>IF(AND(Input_Product=Elig!$C265,Elig_MatchAll_Ct&lt;22,$BC265=(Elig_MatchAll_Ct-1),AW265=0),W265,0)</f>
        <v>0</v>
      </c>
      <c r="CC265" s="175">
        <f>IF(AND(Input_Product=Elig!$C265,Elig_MatchAll_Ct&lt;22,$BC265=(Elig_MatchAll_Ct-1),AX265=0),X265,0)</f>
        <v>0</v>
      </c>
      <c r="CD265" s="176">
        <f>IF(AND(Input_Product=Elig!$C265,Elig_MatchAll_Ct&lt;22,$BC265=(Elig_MatchAll_Ct-1),AX265=0),Y265,0)</f>
        <v>0</v>
      </c>
      <c r="CE265" s="175">
        <f>IF(AND(Input_LTV&lt;=AE265,Input_Product=Elig!$C265,Elig_MatchAll_Ct&lt;22,$BC265=(Elig_MatchAll_Ct-1),AY265=0),Z265,0)</f>
        <v>0</v>
      </c>
      <c r="CF265" s="176">
        <f>IF(AND(Input_LTV&lt;=AE265,Input_Product=Elig!$C265,Elig_MatchAll_Ct&lt;22,$BC265=(Elig_MatchAll_Ct-1),AY265=0),AA265,0)</f>
        <v>0</v>
      </c>
      <c r="CG265" s="175">
        <f>IF(AND(Input_Product=Elig!$C265,Elig_MatchAll_Ct&lt;22,$BC265=(Elig_MatchAll_Ct-1),AZ265=0),AB265,0)</f>
        <v>0</v>
      </c>
      <c r="CH265" s="176">
        <f>IF(AND(Input_Product=Elig!$C265,Elig_MatchAll_Ct&lt;22,$BC265=(Elig_MatchAll_Ct-1),AZ265=0),AC265,0)</f>
        <v>0</v>
      </c>
      <c r="CI265" s="175">
        <f>IF(AND(Input_Product=Elig!$C265,Elig_MatchAll_Ct&lt;22,$BC265=(Elig_MatchAll_Ct-1),BA265=0),AD265,0)</f>
        <v>0</v>
      </c>
      <c r="CJ265" s="176">
        <f>IF(AND(Input_Product=Elig!$C265,Elig_MatchAll_Ct&lt;22,$BC265=(Elig_MatchAll_Ct-1),BA265=0),AE265,0)</f>
        <v>0</v>
      </c>
    </row>
    <row r="266" spans="1:88" ht="10.15" customHeight="1" x14ac:dyDescent="0.25">
      <c r="A266" s="252" t="s">
        <v>76</v>
      </c>
      <c r="B266" s="252" t="s">
        <v>907</v>
      </c>
      <c r="C266" s="251" t="str">
        <f t="shared" si="93"/>
        <v>NonQM NOO</v>
      </c>
      <c r="D266" s="252" t="s">
        <v>1995</v>
      </c>
      <c r="E266" s="252" t="s">
        <v>166</v>
      </c>
      <c r="F266" s="252" t="s">
        <v>329</v>
      </c>
      <c r="G266" s="252" t="s">
        <v>465</v>
      </c>
      <c r="H266" s="252" t="s">
        <v>135</v>
      </c>
      <c r="I266" s="253" t="s">
        <v>273</v>
      </c>
      <c r="J266" s="253" t="s">
        <v>1130</v>
      </c>
      <c r="K266" s="253" t="s">
        <v>1398</v>
      </c>
      <c r="L266" s="252" t="s">
        <v>311</v>
      </c>
      <c r="M266" s="252" t="s">
        <v>2289</v>
      </c>
      <c r="N266" s="252" t="s">
        <v>1844</v>
      </c>
      <c r="O266" s="252" t="s">
        <v>309</v>
      </c>
      <c r="P266" s="252" t="s">
        <v>2434</v>
      </c>
      <c r="Q266" s="252" t="s">
        <v>293</v>
      </c>
      <c r="R266" s="252">
        <v>100000</v>
      </c>
      <c r="S266" s="252">
        <v>1000000</v>
      </c>
      <c r="T266" s="252">
        <v>0</v>
      </c>
      <c r="U266" s="252">
        <v>0</v>
      </c>
      <c r="V266" s="252">
        <v>0</v>
      </c>
      <c r="W266" s="252">
        <v>55</v>
      </c>
      <c r="X266" s="252">
        <v>0</v>
      </c>
      <c r="Y266" s="252">
        <v>999</v>
      </c>
      <c r="Z266" s="254">
        <v>680</v>
      </c>
      <c r="AA266" s="254">
        <v>699</v>
      </c>
      <c r="AB266" s="1883">
        <v>0</v>
      </c>
      <c r="AC266" s="254">
        <v>999999</v>
      </c>
      <c r="AD266" s="252">
        <v>0</v>
      </c>
      <c r="AE266" s="255">
        <v>80</v>
      </c>
      <c r="AF266" s="144">
        <v>0</v>
      </c>
      <c r="AG266" s="145">
        <v>1</v>
      </c>
      <c r="AH266" s="145">
        <v>1</v>
      </c>
      <c r="AI266" s="145">
        <v>1</v>
      </c>
      <c r="AJ266" s="145">
        <v>0</v>
      </c>
      <c r="AK266" s="145">
        <v>1</v>
      </c>
      <c r="AL266" s="145">
        <v>1</v>
      </c>
      <c r="AM266" s="145">
        <v>1</v>
      </c>
      <c r="AN266" s="145">
        <v>1</v>
      </c>
      <c r="AO266" s="145">
        <v>1</v>
      </c>
      <c r="AP266" s="145">
        <v>1</v>
      </c>
      <c r="AQ266" s="145">
        <v>1</v>
      </c>
      <c r="AR266" s="145">
        <v>1</v>
      </c>
      <c r="AS266" s="145">
        <v>1</v>
      </c>
      <c r="AT266" s="145">
        <v>1</v>
      </c>
      <c r="AU266" s="145">
        <f t="shared" si="55"/>
        <v>1</v>
      </c>
      <c r="AV266" s="145">
        <f t="shared" si="56"/>
        <v>1</v>
      </c>
      <c r="AW266" s="145">
        <f t="shared" si="57"/>
        <v>1</v>
      </c>
      <c r="AX266" s="145">
        <f t="shared" si="73"/>
        <v>1</v>
      </c>
      <c r="AY266" s="145">
        <f t="shared" si="58"/>
        <v>0</v>
      </c>
      <c r="AZ266" s="145">
        <f t="shared" si="59"/>
        <v>1</v>
      </c>
      <c r="BA266" s="146">
        <f t="shared" si="60"/>
        <v>1</v>
      </c>
      <c r="BB266" s="149">
        <f t="shared" si="83"/>
        <v>19</v>
      </c>
      <c r="BC266" s="150">
        <f t="shared" si="84"/>
        <v>18</v>
      </c>
      <c r="BD266" s="150">
        <f t="shared" si="85"/>
        <v>19</v>
      </c>
      <c r="BE266" s="211" t="str">
        <f t="shared" si="86"/>
        <v/>
      </c>
      <c r="BH266" s="173">
        <f>IF(AND(Input_Product=Elig!$C266,Elig_MatchAll_Ct&lt;22,$BC266=(Elig_MatchAll_Ct-1),AF266=0),C266,0)</f>
        <v>0</v>
      </c>
      <c r="BI266" s="173">
        <f>IF(AND(Input_Product=Elig!$C266,Elig_MatchAll_Ct&lt;22,$BC266=(Elig_MatchAll_Ct-1),AG266=0),D266,0)</f>
        <v>0</v>
      </c>
      <c r="BJ266" s="173">
        <f>IF(AND(Input_Product=Elig!$C266,Elig_MatchAll_Ct&lt;22,$BC266=(Elig_MatchAll_Ct-1),AH266=0),E266,0)</f>
        <v>0</v>
      </c>
      <c r="BK266" s="173">
        <f>IF(AND(Input_Product=Elig!$C266,Elig_MatchAll_Ct&lt;22,$BC266=(Elig_MatchAll_Ct-1),AI266=0),F266,0)</f>
        <v>0</v>
      </c>
      <c r="BL266" s="173">
        <f>IF(AND(Input_Product=Elig!$C266,Elig_MatchAll_Ct&lt;22,$BC266=(Elig_MatchAll_Ct-1),AJ266=0),G266,0)</f>
        <v>0</v>
      </c>
      <c r="BM266" s="173">
        <f>IF(AND(Input_Product=Elig!$C266,Elig_MatchAll_Ct&lt;22,$BC266=(Elig_MatchAll_Ct-1),AK266=0),H266,0)</f>
        <v>0</v>
      </c>
      <c r="BN266" s="173">
        <f>IF(AND(Input_Product=Elig!$C266,Elig_MatchAll_Ct&lt;22,$BC266=(Elig_MatchAll_Ct-1),AL266=0),I266,0)</f>
        <v>0</v>
      </c>
      <c r="BO266" s="173">
        <f>IF(AND(Input_Product=Elig!$C266,Elig_MatchAll_Ct&lt;22,$BC266=(Elig_MatchAll_Ct-1),AM266=0),J266,0)</f>
        <v>0</v>
      </c>
      <c r="BP266" s="173">
        <f>IF(AND(Input_Product=Elig!$C266,Elig_MatchAll_Ct&lt;22,$BC266=(Elig_MatchAll_Ct-1),AN266=0),K266,0)</f>
        <v>0</v>
      </c>
      <c r="BQ266" s="173">
        <f>IF(AND(Input_Product=Elig!$C266,Elig_MatchAll_Ct&lt;22,$BC266=(Elig_MatchAll_Ct-1),AP266=0),L266,0)</f>
        <v>0</v>
      </c>
      <c r="BR266" s="173">
        <f>IF(AND(Input_Product=Elig!$C266,Elig_MatchAll_Ct&lt;22,$BC266=(Elig_MatchAll_Ct-1),AO266=0),M266,0)</f>
        <v>0</v>
      </c>
      <c r="BS266" s="173">
        <f>IF(AND(Input_Product=Elig!$C266,Elig_MatchAll_Ct&lt;22,$BC266=(Elig_MatchAll_Ct-1),AQ266=0),N266,0)</f>
        <v>0</v>
      </c>
      <c r="BT266" s="173">
        <f>IF(AND(Input_Product=Elig!$C266,Elig_MatchAll_Ct&lt;22,$BC266=(Elig_MatchAll_Ct-1),AR266=0),O266,0)</f>
        <v>0</v>
      </c>
      <c r="BU266" s="173">
        <f>IF(AND(Input_Product=Elig!$C266,Elig_MatchAll_Ct&lt;22,$BC266=(Elig_MatchAll_Ct-1),AS266=0),P266,0)</f>
        <v>0</v>
      </c>
      <c r="BV266" s="174">
        <f>IF(AND(Input_Product=Elig!$C266,Elig_MatchAll_Ct&lt;22,$BC266=(Elig_MatchAll_Ct-1),AT266=0),Q266,0)</f>
        <v>0</v>
      </c>
      <c r="BW266" s="175">
        <f>IF(AND(Input_Product=Elig!$C266,Elig_MatchAll_Ct&lt;22,$BC266=(Elig_MatchAll_Ct-1),AU266=0),R266,0)</f>
        <v>0</v>
      </c>
      <c r="BX266" s="176">
        <f>IF(AND(Input_Product=Elig!$C266,Elig_MatchAll_Ct&lt;22,$BC266=(Elig_MatchAll_Ct-1),AU266=0),S266,0)</f>
        <v>0</v>
      </c>
      <c r="BY266" s="175">
        <f>IF(AND(Input_Product=Elig!$C266,Elig_MatchAll_Ct&lt;22,$BC266=(Elig_MatchAll_Ct-1),AV266=0),T266,0)</f>
        <v>0</v>
      </c>
      <c r="BZ266" s="176">
        <f>IF(AND(Input_Product=Elig!$C266,Elig_MatchAll_Ct&lt;22,$BC266=(Elig_MatchAll_Ct-1),AV266=0),U266,0)</f>
        <v>0</v>
      </c>
      <c r="CA266" s="175">
        <f>IF(AND(Input_Product=Elig!$C266,Elig_MatchAll_Ct&lt;22,$BC266=(Elig_MatchAll_Ct-1),AW266=0),V266,0)</f>
        <v>0</v>
      </c>
      <c r="CB266" s="176">
        <f>IF(AND(Input_Product=Elig!$C266,Elig_MatchAll_Ct&lt;22,$BC266=(Elig_MatchAll_Ct-1),AW266=0),W266,0)</f>
        <v>0</v>
      </c>
      <c r="CC266" s="175">
        <f>IF(AND(Input_Product=Elig!$C266,Elig_MatchAll_Ct&lt;22,$BC266=(Elig_MatchAll_Ct-1),AX266=0),X266,0)</f>
        <v>0</v>
      </c>
      <c r="CD266" s="176">
        <f>IF(AND(Input_Product=Elig!$C266,Elig_MatchAll_Ct&lt;22,$BC266=(Elig_MatchAll_Ct-1),AX266=0),Y266,0)</f>
        <v>0</v>
      </c>
      <c r="CE266" s="175">
        <f>IF(AND(Input_LTV&lt;=AE266,Input_Product=Elig!$C266,Elig_MatchAll_Ct&lt;22,$BC266=(Elig_MatchAll_Ct-1),AY266=0),Z266,0)</f>
        <v>0</v>
      </c>
      <c r="CF266" s="176">
        <f>IF(AND(Input_LTV&lt;=AE266,Input_Product=Elig!$C266,Elig_MatchAll_Ct&lt;22,$BC266=(Elig_MatchAll_Ct-1),AY266=0),AA266,0)</f>
        <v>0</v>
      </c>
      <c r="CG266" s="175">
        <f>IF(AND(Input_Product=Elig!$C266,Elig_MatchAll_Ct&lt;22,$BC266=(Elig_MatchAll_Ct-1),AZ266=0),AB266,0)</f>
        <v>0</v>
      </c>
      <c r="CH266" s="176">
        <f>IF(AND(Input_Product=Elig!$C266,Elig_MatchAll_Ct&lt;22,$BC266=(Elig_MatchAll_Ct-1),AZ266=0),AC266,0)</f>
        <v>0</v>
      </c>
      <c r="CI266" s="175">
        <f>IF(AND(Input_Product=Elig!$C266,Elig_MatchAll_Ct&lt;22,$BC266=(Elig_MatchAll_Ct-1),BA266=0),AD266,0)</f>
        <v>0</v>
      </c>
      <c r="CJ266" s="176">
        <f>IF(AND(Input_Product=Elig!$C266,Elig_MatchAll_Ct&lt;22,$BC266=(Elig_MatchAll_Ct-1),BA266=0),AE266,0)</f>
        <v>0</v>
      </c>
    </row>
    <row r="267" spans="1:88" ht="10.15" customHeight="1" x14ac:dyDescent="0.25">
      <c r="A267" s="252" t="s">
        <v>76</v>
      </c>
      <c r="B267" s="252" t="s">
        <v>908</v>
      </c>
      <c r="C267" s="251" t="str">
        <f t="shared" si="93"/>
        <v>NonQM NOO</v>
      </c>
      <c r="D267" s="252" t="s">
        <v>1995</v>
      </c>
      <c r="E267" s="252" t="s">
        <v>166</v>
      </c>
      <c r="F267" s="252" t="s">
        <v>329</v>
      </c>
      <c r="G267" s="252" t="s">
        <v>465</v>
      </c>
      <c r="H267" s="252" t="s">
        <v>135</v>
      </c>
      <c r="I267" s="252" t="s">
        <v>273</v>
      </c>
      <c r="J267" s="252" t="s">
        <v>1130</v>
      </c>
      <c r="K267" s="252" t="s">
        <v>1398</v>
      </c>
      <c r="L267" s="252" t="s">
        <v>311</v>
      </c>
      <c r="M267" s="252" t="s">
        <v>2289</v>
      </c>
      <c r="N267" s="252" t="s">
        <v>1844</v>
      </c>
      <c r="O267" s="252" t="s">
        <v>309</v>
      </c>
      <c r="P267" s="252" t="s">
        <v>2434</v>
      </c>
      <c r="Q267" s="252" t="s">
        <v>293</v>
      </c>
      <c r="R267" s="252">
        <v>100000</v>
      </c>
      <c r="S267" s="252">
        <v>1000000</v>
      </c>
      <c r="T267" s="252">
        <v>0</v>
      </c>
      <c r="U267" s="252">
        <v>0</v>
      </c>
      <c r="V267" s="252">
        <v>0</v>
      </c>
      <c r="W267" s="252">
        <v>50</v>
      </c>
      <c r="X267" s="252">
        <v>0</v>
      </c>
      <c r="Y267" s="252">
        <v>999</v>
      </c>
      <c r="Z267" s="254">
        <v>660</v>
      </c>
      <c r="AA267" s="254">
        <v>679</v>
      </c>
      <c r="AB267" s="1883">
        <v>0</v>
      </c>
      <c r="AC267" s="254">
        <v>999999</v>
      </c>
      <c r="AD267" s="252">
        <v>0</v>
      </c>
      <c r="AE267" s="255">
        <v>80</v>
      </c>
      <c r="AF267" s="144">
        <v>0</v>
      </c>
      <c r="AG267" s="145">
        <v>1</v>
      </c>
      <c r="AH267" s="145">
        <v>1</v>
      </c>
      <c r="AI267" s="145">
        <v>1</v>
      </c>
      <c r="AJ267" s="145">
        <v>0</v>
      </c>
      <c r="AK267" s="145">
        <v>1</v>
      </c>
      <c r="AL267" s="145">
        <v>1</v>
      </c>
      <c r="AM267" s="145">
        <v>1</v>
      </c>
      <c r="AN267" s="145">
        <v>1</v>
      </c>
      <c r="AO267" s="145">
        <v>1</v>
      </c>
      <c r="AP267" s="145">
        <v>1</v>
      </c>
      <c r="AQ267" s="145">
        <v>1</v>
      </c>
      <c r="AR267" s="145">
        <v>1</v>
      </c>
      <c r="AS267" s="145">
        <v>1</v>
      </c>
      <c r="AT267" s="145">
        <v>1</v>
      </c>
      <c r="AU267" s="145">
        <f t="shared" si="55"/>
        <v>1</v>
      </c>
      <c r="AV267" s="145">
        <f t="shared" si="56"/>
        <v>1</v>
      </c>
      <c r="AW267" s="145">
        <f t="shared" si="57"/>
        <v>1</v>
      </c>
      <c r="AX267" s="145">
        <f t="shared" si="73"/>
        <v>1</v>
      </c>
      <c r="AY267" s="145">
        <f t="shared" si="58"/>
        <v>0</v>
      </c>
      <c r="AZ267" s="145">
        <f t="shared" si="59"/>
        <v>1</v>
      </c>
      <c r="BA267" s="146">
        <f t="shared" si="60"/>
        <v>1</v>
      </c>
      <c r="BB267" s="149">
        <f t="shared" si="83"/>
        <v>19</v>
      </c>
      <c r="BC267" s="150">
        <f t="shared" si="84"/>
        <v>18</v>
      </c>
      <c r="BD267" s="150">
        <f t="shared" si="85"/>
        <v>19</v>
      </c>
      <c r="BE267" s="211" t="str">
        <f t="shared" si="86"/>
        <v/>
      </c>
      <c r="BH267" s="173">
        <f>IF(AND(Input_Product=Elig!$C267,Elig_MatchAll_Ct&lt;22,$BC267=(Elig_MatchAll_Ct-1),AF267=0),C267,0)</f>
        <v>0</v>
      </c>
      <c r="BI267" s="173">
        <f>IF(AND(Input_Product=Elig!$C267,Elig_MatchAll_Ct&lt;22,$BC267=(Elig_MatchAll_Ct-1),AG267=0),D267,0)</f>
        <v>0</v>
      </c>
      <c r="BJ267" s="173">
        <f>IF(AND(Input_Product=Elig!$C267,Elig_MatchAll_Ct&lt;22,$BC267=(Elig_MatchAll_Ct-1),AH267=0),E267,0)</f>
        <v>0</v>
      </c>
      <c r="BK267" s="173">
        <f>IF(AND(Input_Product=Elig!$C267,Elig_MatchAll_Ct&lt;22,$BC267=(Elig_MatchAll_Ct-1),AI267=0),F267,0)</f>
        <v>0</v>
      </c>
      <c r="BL267" s="173">
        <f>IF(AND(Input_Product=Elig!$C267,Elig_MatchAll_Ct&lt;22,$BC267=(Elig_MatchAll_Ct-1),AJ267=0),G267,0)</f>
        <v>0</v>
      </c>
      <c r="BM267" s="173">
        <f>IF(AND(Input_Product=Elig!$C267,Elig_MatchAll_Ct&lt;22,$BC267=(Elig_MatchAll_Ct-1),AK267=0),H267,0)</f>
        <v>0</v>
      </c>
      <c r="BN267" s="173">
        <f>IF(AND(Input_Product=Elig!$C267,Elig_MatchAll_Ct&lt;22,$BC267=(Elig_MatchAll_Ct-1),AL267=0),I267,0)</f>
        <v>0</v>
      </c>
      <c r="BO267" s="173">
        <f>IF(AND(Input_Product=Elig!$C267,Elig_MatchAll_Ct&lt;22,$BC267=(Elig_MatchAll_Ct-1),AM267=0),J267,0)</f>
        <v>0</v>
      </c>
      <c r="BP267" s="173">
        <f>IF(AND(Input_Product=Elig!$C267,Elig_MatchAll_Ct&lt;22,$BC267=(Elig_MatchAll_Ct-1),AN267=0),K267,0)</f>
        <v>0</v>
      </c>
      <c r="BQ267" s="173">
        <f>IF(AND(Input_Product=Elig!$C267,Elig_MatchAll_Ct&lt;22,$BC267=(Elig_MatchAll_Ct-1),AP267=0),L267,0)</f>
        <v>0</v>
      </c>
      <c r="BR267" s="173">
        <f>IF(AND(Input_Product=Elig!$C267,Elig_MatchAll_Ct&lt;22,$BC267=(Elig_MatchAll_Ct-1),AO267=0),M267,0)</f>
        <v>0</v>
      </c>
      <c r="BS267" s="173">
        <f>IF(AND(Input_Product=Elig!$C267,Elig_MatchAll_Ct&lt;22,$BC267=(Elig_MatchAll_Ct-1),AQ267=0),N267,0)</f>
        <v>0</v>
      </c>
      <c r="BT267" s="173">
        <f>IF(AND(Input_Product=Elig!$C267,Elig_MatchAll_Ct&lt;22,$BC267=(Elig_MatchAll_Ct-1),AR267=0),O267,0)</f>
        <v>0</v>
      </c>
      <c r="BU267" s="173">
        <f>IF(AND(Input_Product=Elig!$C267,Elig_MatchAll_Ct&lt;22,$BC267=(Elig_MatchAll_Ct-1),AS267=0),P267,0)</f>
        <v>0</v>
      </c>
      <c r="BV267" s="174">
        <f>IF(AND(Input_Product=Elig!$C267,Elig_MatchAll_Ct&lt;22,$BC267=(Elig_MatchAll_Ct-1),AT267=0),Q267,0)</f>
        <v>0</v>
      </c>
      <c r="BW267" s="175">
        <f>IF(AND(Input_Product=Elig!$C267,Elig_MatchAll_Ct&lt;22,$BC267=(Elig_MatchAll_Ct-1),AU267=0),R267,0)</f>
        <v>0</v>
      </c>
      <c r="BX267" s="176">
        <f>IF(AND(Input_Product=Elig!$C267,Elig_MatchAll_Ct&lt;22,$BC267=(Elig_MatchAll_Ct-1),AU267=0),S267,0)</f>
        <v>0</v>
      </c>
      <c r="BY267" s="175">
        <f>IF(AND(Input_Product=Elig!$C267,Elig_MatchAll_Ct&lt;22,$BC267=(Elig_MatchAll_Ct-1),AV267=0),T267,0)</f>
        <v>0</v>
      </c>
      <c r="BZ267" s="176">
        <f>IF(AND(Input_Product=Elig!$C267,Elig_MatchAll_Ct&lt;22,$BC267=(Elig_MatchAll_Ct-1),AV267=0),U267,0)</f>
        <v>0</v>
      </c>
      <c r="CA267" s="175">
        <f>IF(AND(Input_Product=Elig!$C267,Elig_MatchAll_Ct&lt;22,$BC267=(Elig_MatchAll_Ct-1),AW267=0),V267,0)</f>
        <v>0</v>
      </c>
      <c r="CB267" s="176">
        <f>IF(AND(Input_Product=Elig!$C267,Elig_MatchAll_Ct&lt;22,$BC267=(Elig_MatchAll_Ct-1),AW267=0),W267,0)</f>
        <v>0</v>
      </c>
      <c r="CC267" s="175">
        <f>IF(AND(Input_Product=Elig!$C267,Elig_MatchAll_Ct&lt;22,$BC267=(Elig_MatchAll_Ct-1),AX267=0),X267,0)</f>
        <v>0</v>
      </c>
      <c r="CD267" s="176">
        <f>IF(AND(Input_Product=Elig!$C267,Elig_MatchAll_Ct&lt;22,$BC267=(Elig_MatchAll_Ct-1),AX267=0),Y267,0)</f>
        <v>0</v>
      </c>
      <c r="CE267" s="175">
        <f>IF(AND(Input_LTV&lt;=AE267,Input_Product=Elig!$C267,Elig_MatchAll_Ct&lt;22,$BC267=(Elig_MatchAll_Ct-1),AY267=0),Z267,0)</f>
        <v>0</v>
      </c>
      <c r="CF267" s="176">
        <f>IF(AND(Input_LTV&lt;=AE267,Input_Product=Elig!$C267,Elig_MatchAll_Ct&lt;22,$BC267=(Elig_MatchAll_Ct-1),AY267=0),AA267,0)</f>
        <v>0</v>
      </c>
      <c r="CG267" s="175">
        <f>IF(AND(Input_Product=Elig!$C267,Elig_MatchAll_Ct&lt;22,$BC267=(Elig_MatchAll_Ct-1),AZ267=0),AB267,0)</f>
        <v>0</v>
      </c>
      <c r="CH267" s="176">
        <f>IF(AND(Input_Product=Elig!$C267,Elig_MatchAll_Ct&lt;22,$BC267=(Elig_MatchAll_Ct-1),AZ267=0),AC267,0)</f>
        <v>0</v>
      </c>
      <c r="CI267" s="175">
        <f>IF(AND(Input_Product=Elig!$C267,Elig_MatchAll_Ct&lt;22,$BC267=(Elig_MatchAll_Ct-1),BA267=0),AD267,0)</f>
        <v>0</v>
      </c>
      <c r="CJ267" s="176">
        <f>IF(AND(Input_Product=Elig!$C267,Elig_MatchAll_Ct&lt;22,$BC267=(Elig_MatchAll_Ct-1),BA267=0),AE267,0)</f>
        <v>0</v>
      </c>
    </row>
    <row r="268" spans="1:88" ht="10.15" customHeight="1" x14ac:dyDescent="0.25">
      <c r="A268" s="252" t="s">
        <v>76</v>
      </c>
      <c r="B268" s="252" t="s">
        <v>909</v>
      </c>
      <c r="C268" s="246" t="str">
        <f t="shared" si="93"/>
        <v>NonQM NOO</v>
      </c>
      <c r="D268" s="247" t="s">
        <v>1995</v>
      </c>
      <c r="E268" s="248" t="s">
        <v>166</v>
      </c>
      <c r="F268" s="248" t="s">
        <v>329</v>
      </c>
      <c r="G268" s="248" t="s">
        <v>465</v>
      </c>
      <c r="H268" s="248" t="s">
        <v>135</v>
      </c>
      <c r="I268" s="247" t="s">
        <v>16</v>
      </c>
      <c r="J268" s="247" t="s">
        <v>1130</v>
      </c>
      <c r="K268" s="247" t="s">
        <v>1398</v>
      </c>
      <c r="L268" s="248" t="s">
        <v>311</v>
      </c>
      <c r="M268" s="248" t="s">
        <v>2289</v>
      </c>
      <c r="N268" s="248" t="s">
        <v>1844</v>
      </c>
      <c r="O268" s="248" t="s">
        <v>309</v>
      </c>
      <c r="P268" s="248" t="s">
        <v>2434</v>
      </c>
      <c r="Q268" s="248" t="s">
        <v>293</v>
      </c>
      <c r="R268" s="247">
        <v>100000</v>
      </c>
      <c r="S268" s="247">
        <v>1000000</v>
      </c>
      <c r="T268" s="247">
        <v>0</v>
      </c>
      <c r="U268" s="247">
        <f t="shared" ref="U268:U271" si="96">S268</f>
        <v>1000000</v>
      </c>
      <c r="V268" s="247">
        <v>0</v>
      </c>
      <c r="W268" s="247">
        <v>55</v>
      </c>
      <c r="X268" s="247">
        <v>0</v>
      </c>
      <c r="Y268" s="247">
        <v>999</v>
      </c>
      <c r="Z268" s="249">
        <v>720</v>
      </c>
      <c r="AA268" s="249">
        <v>999</v>
      </c>
      <c r="AB268" s="1882">
        <v>0</v>
      </c>
      <c r="AC268" s="249">
        <v>999999</v>
      </c>
      <c r="AD268" s="247">
        <v>0</v>
      </c>
      <c r="AE268" s="250">
        <v>80</v>
      </c>
      <c r="AF268" s="144">
        <v>0</v>
      </c>
      <c r="AG268" s="145">
        <v>1</v>
      </c>
      <c r="AH268" s="145">
        <v>1</v>
      </c>
      <c r="AI268" s="145">
        <v>1</v>
      </c>
      <c r="AJ268" s="145">
        <v>0</v>
      </c>
      <c r="AK268" s="145">
        <v>1</v>
      </c>
      <c r="AL268" s="145">
        <v>0</v>
      </c>
      <c r="AM268" s="145">
        <v>1</v>
      </c>
      <c r="AN268" s="145">
        <v>1</v>
      </c>
      <c r="AO268" s="145">
        <v>1</v>
      </c>
      <c r="AP268" s="145">
        <v>1</v>
      </c>
      <c r="AQ268" s="145">
        <v>1</v>
      </c>
      <c r="AR268" s="145">
        <v>1</v>
      </c>
      <c r="AS268" s="145">
        <v>1</v>
      </c>
      <c r="AT268" s="145">
        <v>1</v>
      </c>
      <c r="AU268" s="145">
        <f t="shared" si="55"/>
        <v>1</v>
      </c>
      <c r="AV268" s="145">
        <f t="shared" si="56"/>
        <v>1</v>
      </c>
      <c r="AW268" s="145">
        <f t="shared" si="57"/>
        <v>1</v>
      </c>
      <c r="AX268" s="145">
        <f t="shared" si="73"/>
        <v>1</v>
      </c>
      <c r="AY268" s="145">
        <f t="shared" si="58"/>
        <v>1</v>
      </c>
      <c r="AZ268" s="145">
        <f t="shared" si="59"/>
        <v>1</v>
      </c>
      <c r="BA268" s="146">
        <f t="shared" si="60"/>
        <v>1</v>
      </c>
      <c r="BB268" s="149">
        <f t="shared" si="83"/>
        <v>19</v>
      </c>
      <c r="BC268" s="150">
        <f t="shared" si="84"/>
        <v>18</v>
      </c>
      <c r="BD268" s="150">
        <f t="shared" si="85"/>
        <v>19</v>
      </c>
      <c r="BE268" s="211" t="str">
        <f t="shared" si="86"/>
        <v/>
      </c>
      <c r="BH268" s="190">
        <f>IF(AND(Input_Product=Elig!$C268,Elig_MatchAll_Ct&lt;22,$BC268=(Elig_MatchAll_Ct-1),AF268=0),C268,0)</f>
        <v>0</v>
      </c>
      <c r="BI268" s="190">
        <f>IF(AND(Input_Product=Elig!$C268,Elig_MatchAll_Ct&lt;22,$BC268=(Elig_MatchAll_Ct-1),AG268=0),D268,0)</f>
        <v>0</v>
      </c>
      <c r="BJ268" s="190">
        <f>IF(AND(Input_Product=Elig!$C268,Elig_MatchAll_Ct&lt;22,$BC268=(Elig_MatchAll_Ct-1),AH268=0),E268,0)</f>
        <v>0</v>
      </c>
      <c r="BK268" s="190">
        <f>IF(AND(Input_Product=Elig!$C268,Elig_MatchAll_Ct&lt;22,$BC268=(Elig_MatchAll_Ct-1),AI268=0),F268,0)</f>
        <v>0</v>
      </c>
      <c r="BL268" s="190">
        <f>IF(AND(Input_Product=Elig!$C268,Elig_MatchAll_Ct&lt;22,$BC268=(Elig_MatchAll_Ct-1),AJ268=0),G268,0)</f>
        <v>0</v>
      </c>
      <c r="BM268" s="190">
        <f>IF(AND(Input_Product=Elig!$C268,Elig_MatchAll_Ct&lt;22,$BC268=(Elig_MatchAll_Ct-1),AK268=0),H268,0)</f>
        <v>0</v>
      </c>
      <c r="BN268" s="190">
        <f>IF(AND(Input_Product=Elig!$C268,Elig_MatchAll_Ct&lt;22,$BC268=(Elig_MatchAll_Ct-1),AL268=0),I268,0)</f>
        <v>0</v>
      </c>
      <c r="BO268" s="190">
        <f>IF(AND(Input_Product=Elig!$C268,Elig_MatchAll_Ct&lt;22,$BC268=(Elig_MatchAll_Ct-1),AM268=0),J268,0)</f>
        <v>0</v>
      </c>
      <c r="BP268" s="190">
        <f>IF(AND(Input_Product=Elig!$C268,Elig_MatchAll_Ct&lt;22,$BC268=(Elig_MatchAll_Ct-1),AN268=0),K268,0)</f>
        <v>0</v>
      </c>
      <c r="BQ268" s="190">
        <f>IF(AND(Input_Product=Elig!$C268,Elig_MatchAll_Ct&lt;22,$BC268=(Elig_MatchAll_Ct-1),AP268=0),L268,0)</f>
        <v>0</v>
      </c>
      <c r="BR268" s="190">
        <f>IF(AND(Input_Product=Elig!$C268,Elig_MatchAll_Ct&lt;22,$BC268=(Elig_MatchAll_Ct-1),AO268=0),M268,0)</f>
        <v>0</v>
      </c>
      <c r="BS268" s="190">
        <f>IF(AND(Input_Product=Elig!$C268,Elig_MatchAll_Ct&lt;22,$BC268=(Elig_MatchAll_Ct-1),AQ268=0),N268,0)</f>
        <v>0</v>
      </c>
      <c r="BT268" s="190">
        <f>IF(AND(Input_Product=Elig!$C268,Elig_MatchAll_Ct&lt;22,$BC268=(Elig_MatchAll_Ct-1),AR268=0),O268,0)</f>
        <v>0</v>
      </c>
      <c r="BU268" s="190">
        <f>IF(AND(Input_Product=Elig!$C268,Elig_MatchAll_Ct&lt;22,$BC268=(Elig_MatchAll_Ct-1),AS268=0),P268,0)</f>
        <v>0</v>
      </c>
      <c r="BV268" s="191">
        <f>IF(AND(Input_Product=Elig!$C268,Elig_MatchAll_Ct&lt;22,$BC268=(Elig_MatchAll_Ct-1),AT268=0),Q268,0)</f>
        <v>0</v>
      </c>
      <c r="BW268" s="186">
        <f>IF(AND(Input_Product=Elig!$C268,Elig_MatchAll_Ct&lt;22,$BC268=(Elig_MatchAll_Ct-1),AU268=0),R268,0)</f>
        <v>0</v>
      </c>
      <c r="BX268" s="187">
        <f>IF(AND(Input_Product=Elig!$C268,Elig_MatchAll_Ct&lt;22,$BC268=(Elig_MatchAll_Ct-1),AU268=0),S268,0)</f>
        <v>0</v>
      </c>
      <c r="BY268" s="186">
        <f>IF(AND(Input_Product=Elig!$C268,Elig_MatchAll_Ct&lt;22,$BC268=(Elig_MatchAll_Ct-1),AV268=0),T268,0)</f>
        <v>0</v>
      </c>
      <c r="BZ268" s="187">
        <f>IF(AND(Input_Product=Elig!$C268,Elig_MatchAll_Ct&lt;22,$BC268=(Elig_MatchAll_Ct-1),AV268=0),U268,0)</f>
        <v>0</v>
      </c>
      <c r="CA268" s="186">
        <f>IF(AND(Input_Product=Elig!$C268,Elig_MatchAll_Ct&lt;22,$BC268=(Elig_MatchAll_Ct-1),AW268=0),V268,0)</f>
        <v>0</v>
      </c>
      <c r="CB268" s="187">
        <f>IF(AND(Input_Product=Elig!$C268,Elig_MatchAll_Ct&lt;22,$BC268=(Elig_MatchAll_Ct-1),AW268=0),W268,0)</f>
        <v>0</v>
      </c>
      <c r="CC268" s="186">
        <f>IF(AND(Input_Product=Elig!$C268,Elig_MatchAll_Ct&lt;22,$BC268=(Elig_MatchAll_Ct-1),AX268=0),X268,0)</f>
        <v>0</v>
      </c>
      <c r="CD268" s="187">
        <f>IF(AND(Input_Product=Elig!$C268,Elig_MatchAll_Ct&lt;22,$BC268=(Elig_MatchAll_Ct-1),AX268=0),Y268,0)</f>
        <v>0</v>
      </c>
      <c r="CE268" s="186">
        <f>IF(AND(Input_LTV&lt;=AE268,Input_Product=Elig!$C268,Elig_MatchAll_Ct&lt;22,$BC268=(Elig_MatchAll_Ct-1),AY268=0),Z268,0)</f>
        <v>0</v>
      </c>
      <c r="CF268" s="187">
        <f>IF(AND(Input_LTV&lt;=AE268,Input_Product=Elig!$C268,Elig_MatchAll_Ct&lt;22,$BC268=(Elig_MatchAll_Ct-1),AY268=0),AA268,0)</f>
        <v>0</v>
      </c>
      <c r="CG268" s="186">
        <f>IF(AND(Input_Product=Elig!$C268,Elig_MatchAll_Ct&lt;22,$BC268=(Elig_MatchAll_Ct-1),AZ268=0),AB268,0)</f>
        <v>0</v>
      </c>
      <c r="CH268" s="187">
        <f>IF(AND(Input_Product=Elig!$C268,Elig_MatchAll_Ct&lt;22,$BC268=(Elig_MatchAll_Ct-1),AZ268=0),AC268,0)</f>
        <v>0</v>
      </c>
      <c r="CI268" s="186">
        <f>IF(AND(Input_Product=Elig!$C268,Elig_MatchAll_Ct&lt;22,$BC268=(Elig_MatchAll_Ct-1),BA268=0),AD268,0)</f>
        <v>0</v>
      </c>
      <c r="CJ268" s="187">
        <f>IF(AND(Input_Product=Elig!$C268,Elig_MatchAll_Ct&lt;22,$BC268=(Elig_MatchAll_Ct-1),BA268=0),AE268,0)</f>
        <v>0</v>
      </c>
    </row>
    <row r="269" spans="1:88" ht="10.15" customHeight="1" x14ac:dyDescent="0.25">
      <c r="A269" s="252" t="s">
        <v>76</v>
      </c>
      <c r="B269" s="252" t="s">
        <v>910</v>
      </c>
      <c r="C269" s="251" t="str">
        <f t="shared" si="93"/>
        <v>NonQM NOO</v>
      </c>
      <c r="D269" s="252" t="s">
        <v>1995</v>
      </c>
      <c r="E269" s="252" t="s">
        <v>166</v>
      </c>
      <c r="F269" s="252" t="s">
        <v>329</v>
      </c>
      <c r="G269" s="252" t="s">
        <v>465</v>
      </c>
      <c r="H269" s="252" t="s">
        <v>135</v>
      </c>
      <c r="I269" s="253" t="s">
        <v>16</v>
      </c>
      <c r="J269" s="253" t="s">
        <v>1130</v>
      </c>
      <c r="K269" s="253" t="s">
        <v>1398</v>
      </c>
      <c r="L269" s="252" t="s">
        <v>311</v>
      </c>
      <c r="M269" s="252" t="s">
        <v>2289</v>
      </c>
      <c r="N269" s="252" t="s">
        <v>1844</v>
      </c>
      <c r="O269" s="252" t="s">
        <v>309</v>
      </c>
      <c r="P269" s="252" t="s">
        <v>2434</v>
      </c>
      <c r="Q269" s="252" t="s">
        <v>293</v>
      </c>
      <c r="R269" s="252">
        <v>100000</v>
      </c>
      <c r="S269" s="252">
        <v>1000000</v>
      </c>
      <c r="T269" s="252">
        <v>0</v>
      </c>
      <c r="U269" s="252">
        <f t="shared" si="96"/>
        <v>1000000</v>
      </c>
      <c r="V269" s="252">
        <v>0</v>
      </c>
      <c r="W269" s="252">
        <v>55</v>
      </c>
      <c r="X269" s="252">
        <v>0</v>
      </c>
      <c r="Y269" s="252">
        <v>999</v>
      </c>
      <c r="Z269" s="254">
        <v>700</v>
      </c>
      <c r="AA269" s="254">
        <v>719</v>
      </c>
      <c r="AB269" s="1883">
        <v>0</v>
      </c>
      <c r="AC269" s="254">
        <v>999999</v>
      </c>
      <c r="AD269" s="252">
        <v>0</v>
      </c>
      <c r="AE269" s="255">
        <v>80</v>
      </c>
      <c r="AF269" s="144">
        <v>0</v>
      </c>
      <c r="AG269" s="145">
        <v>1</v>
      </c>
      <c r="AH269" s="145">
        <v>1</v>
      </c>
      <c r="AI269" s="145">
        <v>1</v>
      </c>
      <c r="AJ269" s="145">
        <v>0</v>
      </c>
      <c r="AK269" s="145">
        <v>1</v>
      </c>
      <c r="AL269" s="145">
        <v>0</v>
      </c>
      <c r="AM269" s="145">
        <v>1</v>
      </c>
      <c r="AN269" s="145">
        <v>1</v>
      </c>
      <c r="AO269" s="145">
        <v>1</v>
      </c>
      <c r="AP269" s="145">
        <v>1</v>
      </c>
      <c r="AQ269" s="145">
        <v>1</v>
      </c>
      <c r="AR269" s="145">
        <v>1</v>
      </c>
      <c r="AS269" s="145">
        <v>1</v>
      </c>
      <c r="AT269" s="145">
        <v>1</v>
      </c>
      <c r="AU269" s="145">
        <f t="shared" si="55"/>
        <v>1</v>
      </c>
      <c r="AV269" s="145">
        <f t="shared" si="56"/>
        <v>1</v>
      </c>
      <c r="AW269" s="145">
        <f t="shared" si="57"/>
        <v>1</v>
      </c>
      <c r="AX269" s="145">
        <f t="shared" si="73"/>
        <v>1</v>
      </c>
      <c r="AY269" s="145">
        <f t="shared" si="58"/>
        <v>0</v>
      </c>
      <c r="AZ269" s="145">
        <f t="shared" si="59"/>
        <v>1</v>
      </c>
      <c r="BA269" s="146">
        <f t="shared" si="60"/>
        <v>1</v>
      </c>
      <c r="BB269" s="149">
        <f t="shared" si="83"/>
        <v>18</v>
      </c>
      <c r="BC269" s="150">
        <f t="shared" si="84"/>
        <v>17</v>
      </c>
      <c r="BD269" s="150">
        <f t="shared" si="85"/>
        <v>18</v>
      </c>
      <c r="BE269" s="211" t="str">
        <f t="shared" si="86"/>
        <v/>
      </c>
      <c r="BH269" s="173">
        <f>IF(AND(Input_Product=Elig!$C269,Elig_MatchAll_Ct&lt;22,$BC269=(Elig_MatchAll_Ct-1),AF269=0),C269,0)</f>
        <v>0</v>
      </c>
      <c r="BI269" s="173">
        <f>IF(AND(Input_Product=Elig!$C269,Elig_MatchAll_Ct&lt;22,$BC269=(Elig_MatchAll_Ct-1),AG269=0),D269,0)</f>
        <v>0</v>
      </c>
      <c r="BJ269" s="173">
        <f>IF(AND(Input_Product=Elig!$C269,Elig_MatchAll_Ct&lt;22,$BC269=(Elig_MatchAll_Ct-1),AH269=0),E269,0)</f>
        <v>0</v>
      </c>
      <c r="BK269" s="173">
        <f>IF(AND(Input_Product=Elig!$C269,Elig_MatchAll_Ct&lt;22,$BC269=(Elig_MatchAll_Ct-1),AI269=0),F269,0)</f>
        <v>0</v>
      </c>
      <c r="BL269" s="173">
        <f>IF(AND(Input_Product=Elig!$C269,Elig_MatchAll_Ct&lt;22,$BC269=(Elig_MatchAll_Ct-1),AJ269=0),G269,0)</f>
        <v>0</v>
      </c>
      <c r="BM269" s="173">
        <f>IF(AND(Input_Product=Elig!$C269,Elig_MatchAll_Ct&lt;22,$BC269=(Elig_MatchAll_Ct-1),AK269=0),H269,0)</f>
        <v>0</v>
      </c>
      <c r="BN269" s="173">
        <f>IF(AND(Input_Product=Elig!$C269,Elig_MatchAll_Ct&lt;22,$BC269=(Elig_MatchAll_Ct-1),AL269=0),I269,0)</f>
        <v>0</v>
      </c>
      <c r="BO269" s="173">
        <f>IF(AND(Input_Product=Elig!$C269,Elig_MatchAll_Ct&lt;22,$BC269=(Elig_MatchAll_Ct-1),AM269=0),J269,0)</f>
        <v>0</v>
      </c>
      <c r="BP269" s="173">
        <f>IF(AND(Input_Product=Elig!$C269,Elig_MatchAll_Ct&lt;22,$BC269=(Elig_MatchAll_Ct-1),AN269=0),K269,0)</f>
        <v>0</v>
      </c>
      <c r="BQ269" s="173">
        <f>IF(AND(Input_Product=Elig!$C269,Elig_MatchAll_Ct&lt;22,$BC269=(Elig_MatchAll_Ct-1),AP269=0),L269,0)</f>
        <v>0</v>
      </c>
      <c r="BR269" s="173">
        <f>IF(AND(Input_Product=Elig!$C269,Elig_MatchAll_Ct&lt;22,$BC269=(Elig_MatchAll_Ct-1),AO269=0),M269,0)</f>
        <v>0</v>
      </c>
      <c r="BS269" s="173">
        <f>IF(AND(Input_Product=Elig!$C269,Elig_MatchAll_Ct&lt;22,$BC269=(Elig_MatchAll_Ct-1),AQ269=0),N269,0)</f>
        <v>0</v>
      </c>
      <c r="BT269" s="173">
        <f>IF(AND(Input_Product=Elig!$C269,Elig_MatchAll_Ct&lt;22,$BC269=(Elig_MatchAll_Ct-1),AR269=0),O269,0)</f>
        <v>0</v>
      </c>
      <c r="BU269" s="173">
        <f>IF(AND(Input_Product=Elig!$C269,Elig_MatchAll_Ct&lt;22,$BC269=(Elig_MatchAll_Ct-1),AS269=0),P269,0)</f>
        <v>0</v>
      </c>
      <c r="BV269" s="174">
        <f>IF(AND(Input_Product=Elig!$C269,Elig_MatchAll_Ct&lt;22,$BC269=(Elig_MatchAll_Ct-1),AT269=0),Q269,0)</f>
        <v>0</v>
      </c>
      <c r="BW269" s="175">
        <f>IF(AND(Input_Product=Elig!$C269,Elig_MatchAll_Ct&lt;22,$BC269=(Elig_MatchAll_Ct-1),AU269=0),R269,0)</f>
        <v>0</v>
      </c>
      <c r="BX269" s="176">
        <f>IF(AND(Input_Product=Elig!$C269,Elig_MatchAll_Ct&lt;22,$BC269=(Elig_MatchAll_Ct-1),AU269=0),S269,0)</f>
        <v>0</v>
      </c>
      <c r="BY269" s="175">
        <f>IF(AND(Input_Product=Elig!$C269,Elig_MatchAll_Ct&lt;22,$BC269=(Elig_MatchAll_Ct-1),AV269=0),T269,0)</f>
        <v>0</v>
      </c>
      <c r="BZ269" s="176">
        <f>IF(AND(Input_Product=Elig!$C269,Elig_MatchAll_Ct&lt;22,$BC269=(Elig_MatchAll_Ct-1),AV269=0),U269,0)</f>
        <v>0</v>
      </c>
      <c r="CA269" s="175">
        <f>IF(AND(Input_Product=Elig!$C269,Elig_MatchAll_Ct&lt;22,$BC269=(Elig_MatchAll_Ct-1),AW269=0),V269,0)</f>
        <v>0</v>
      </c>
      <c r="CB269" s="176">
        <f>IF(AND(Input_Product=Elig!$C269,Elig_MatchAll_Ct&lt;22,$BC269=(Elig_MatchAll_Ct-1),AW269=0),W269,0)</f>
        <v>0</v>
      </c>
      <c r="CC269" s="175">
        <f>IF(AND(Input_Product=Elig!$C269,Elig_MatchAll_Ct&lt;22,$BC269=(Elig_MatchAll_Ct-1),AX269=0),X269,0)</f>
        <v>0</v>
      </c>
      <c r="CD269" s="176">
        <f>IF(AND(Input_Product=Elig!$C269,Elig_MatchAll_Ct&lt;22,$BC269=(Elig_MatchAll_Ct-1),AX269=0),Y269,0)</f>
        <v>0</v>
      </c>
      <c r="CE269" s="175">
        <f>IF(AND(Input_LTV&lt;=AE269,Input_Product=Elig!$C269,Elig_MatchAll_Ct&lt;22,$BC269=(Elig_MatchAll_Ct-1),AY269=0),Z269,0)</f>
        <v>0</v>
      </c>
      <c r="CF269" s="176">
        <f>IF(AND(Input_LTV&lt;=AE269,Input_Product=Elig!$C269,Elig_MatchAll_Ct&lt;22,$BC269=(Elig_MatchAll_Ct-1),AY269=0),AA269,0)</f>
        <v>0</v>
      </c>
      <c r="CG269" s="175">
        <f>IF(AND(Input_Product=Elig!$C269,Elig_MatchAll_Ct&lt;22,$BC269=(Elig_MatchAll_Ct-1),AZ269=0),AB269,0)</f>
        <v>0</v>
      </c>
      <c r="CH269" s="176">
        <f>IF(AND(Input_Product=Elig!$C269,Elig_MatchAll_Ct&lt;22,$BC269=(Elig_MatchAll_Ct-1),AZ269=0),AC269,0)</f>
        <v>0</v>
      </c>
      <c r="CI269" s="175">
        <f>IF(AND(Input_Product=Elig!$C269,Elig_MatchAll_Ct&lt;22,$BC269=(Elig_MatchAll_Ct-1),BA269=0),AD269,0)</f>
        <v>0</v>
      </c>
      <c r="CJ269" s="176">
        <f>IF(AND(Input_Product=Elig!$C269,Elig_MatchAll_Ct&lt;22,$BC269=(Elig_MatchAll_Ct-1),BA269=0),AE269,0)</f>
        <v>0</v>
      </c>
    </row>
    <row r="270" spans="1:88" ht="10.15" customHeight="1" x14ac:dyDescent="0.25">
      <c r="A270" s="252" t="s">
        <v>76</v>
      </c>
      <c r="B270" s="252" t="s">
        <v>911</v>
      </c>
      <c r="C270" s="251" t="str">
        <f t="shared" si="93"/>
        <v>NonQM NOO</v>
      </c>
      <c r="D270" s="252" t="s">
        <v>1995</v>
      </c>
      <c r="E270" s="252" t="s">
        <v>166</v>
      </c>
      <c r="F270" s="252" t="s">
        <v>329</v>
      </c>
      <c r="G270" s="252" t="s">
        <v>465</v>
      </c>
      <c r="H270" s="252" t="s">
        <v>135</v>
      </c>
      <c r="I270" s="253" t="s">
        <v>16</v>
      </c>
      <c r="J270" s="253" t="s">
        <v>1130</v>
      </c>
      <c r="K270" s="253" t="s">
        <v>1398</v>
      </c>
      <c r="L270" s="252" t="s">
        <v>311</v>
      </c>
      <c r="M270" s="252" t="s">
        <v>2289</v>
      </c>
      <c r="N270" s="252" t="s">
        <v>1844</v>
      </c>
      <c r="O270" s="252" t="s">
        <v>309</v>
      </c>
      <c r="P270" s="252" t="s">
        <v>2434</v>
      </c>
      <c r="Q270" s="252" t="s">
        <v>293</v>
      </c>
      <c r="R270" s="252">
        <v>100000</v>
      </c>
      <c r="S270" s="252">
        <v>1000000</v>
      </c>
      <c r="T270" s="252">
        <v>0</v>
      </c>
      <c r="U270" s="252">
        <f t="shared" si="96"/>
        <v>1000000</v>
      </c>
      <c r="V270" s="252">
        <v>0</v>
      </c>
      <c r="W270" s="252">
        <v>55</v>
      </c>
      <c r="X270" s="252">
        <v>0</v>
      </c>
      <c r="Y270" s="252">
        <v>999</v>
      </c>
      <c r="Z270" s="254">
        <v>680</v>
      </c>
      <c r="AA270" s="254">
        <v>699</v>
      </c>
      <c r="AB270" s="1883">
        <v>0</v>
      </c>
      <c r="AC270" s="254">
        <v>999999</v>
      </c>
      <c r="AD270" s="252">
        <v>0</v>
      </c>
      <c r="AE270" s="255">
        <v>75</v>
      </c>
      <c r="AF270" s="144">
        <v>0</v>
      </c>
      <c r="AG270" s="145">
        <v>1</v>
      </c>
      <c r="AH270" s="145">
        <v>1</v>
      </c>
      <c r="AI270" s="145">
        <v>1</v>
      </c>
      <c r="AJ270" s="145">
        <v>0</v>
      </c>
      <c r="AK270" s="145">
        <v>1</v>
      </c>
      <c r="AL270" s="145">
        <v>0</v>
      </c>
      <c r="AM270" s="145">
        <v>1</v>
      </c>
      <c r="AN270" s="145">
        <v>1</v>
      </c>
      <c r="AO270" s="145">
        <v>1</v>
      </c>
      <c r="AP270" s="145">
        <v>1</v>
      </c>
      <c r="AQ270" s="145">
        <v>1</v>
      </c>
      <c r="AR270" s="145">
        <v>1</v>
      </c>
      <c r="AS270" s="145">
        <v>1</v>
      </c>
      <c r="AT270" s="145">
        <v>1</v>
      </c>
      <c r="AU270" s="145">
        <f t="shared" si="55"/>
        <v>1</v>
      </c>
      <c r="AV270" s="145">
        <f t="shared" si="56"/>
        <v>1</v>
      </c>
      <c r="AW270" s="145">
        <f t="shared" si="57"/>
        <v>1</v>
      </c>
      <c r="AX270" s="145">
        <f t="shared" si="73"/>
        <v>1</v>
      </c>
      <c r="AY270" s="145">
        <f t="shared" si="58"/>
        <v>0</v>
      </c>
      <c r="AZ270" s="145">
        <f t="shared" si="59"/>
        <v>1</v>
      </c>
      <c r="BA270" s="146">
        <f t="shared" si="60"/>
        <v>1</v>
      </c>
      <c r="BB270" s="149">
        <f t="shared" si="83"/>
        <v>18</v>
      </c>
      <c r="BC270" s="150">
        <f t="shared" si="84"/>
        <v>17</v>
      </c>
      <c r="BD270" s="150">
        <f t="shared" si="85"/>
        <v>18</v>
      </c>
      <c r="BE270" s="211" t="str">
        <f t="shared" si="86"/>
        <v/>
      </c>
      <c r="BH270" s="173">
        <f>IF(AND(Input_Product=Elig!$C270,Elig_MatchAll_Ct&lt;22,$BC270=(Elig_MatchAll_Ct-1),AF270=0),C270,0)</f>
        <v>0</v>
      </c>
      <c r="BI270" s="173">
        <f>IF(AND(Input_Product=Elig!$C270,Elig_MatchAll_Ct&lt;22,$BC270=(Elig_MatchAll_Ct-1),AG270=0),D270,0)</f>
        <v>0</v>
      </c>
      <c r="BJ270" s="173">
        <f>IF(AND(Input_Product=Elig!$C270,Elig_MatchAll_Ct&lt;22,$BC270=(Elig_MatchAll_Ct-1),AH270=0),E270,0)</f>
        <v>0</v>
      </c>
      <c r="BK270" s="173">
        <f>IF(AND(Input_Product=Elig!$C270,Elig_MatchAll_Ct&lt;22,$BC270=(Elig_MatchAll_Ct-1),AI270=0),F270,0)</f>
        <v>0</v>
      </c>
      <c r="BL270" s="173">
        <f>IF(AND(Input_Product=Elig!$C270,Elig_MatchAll_Ct&lt;22,$BC270=(Elig_MatchAll_Ct-1),AJ270=0),G270,0)</f>
        <v>0</v>
      </c>
      <c r="BM270" s="173">
        <f>IF(AND(Input_Product=Elig!$C270,Elig_MatchAll_Ct&lt;22,$BC270=(Elig_MatchAll_Ct-1),AK270=0),H270,0)</f>
        <v>0</v>
      </c>
      <c r="BN270" s="173">
        <f>IF(AND(Input_Product=Elig!$C270,Elig_MatchAll_Ct&lt;22,$BC270=(Elig_MatchAll_Ct-1),AL270=0),I270,0)</f>
        <v>0</v>
      </c>
      <c r="BO270" s="173">
        <f>IF(AND(Input_Product=Elig!$C270,Elig_MatchAll_Ct&lt;22,$BC270=(Elig_MatchAll_Ct-1),AM270=0),J270,0)</f>
        <v>0</v>
      </c>
      <c r="BP270" s="173">
        <f>IF(AND(Input_Product=Elig!$C270,Elig_MatchAll_Ct&lt;22,$BC270=(Elig_MatchAll_Ct-1),AN270=0),K270,0)</f>
        <v>0</v>
      </c>
      <c r="BQ270" s="173">
        <f>IF(AND(Input_Product=Elig!$C270,Elig_MatchAll_Ct&lt;22,$BC270=(Elig_MatchAll_Ct-1),AP270=0),L270,0)</f>
        <v>0</v>
      </c>
      <c r="BR270" s="173">
        <f>IF(AND(Input_Product=Elig!$C270,Elig_MatchAll_Ct&lt;22,$BC270=(Elig_MatchAll_Ct-1),AO270=0),M270,0)</f>
        <v>0</v>
      </c>
      <c r="BS270" s="173">
        <f>IF(AND(Input_Product=Elig!$C270,Elig_MatchAll_Ct&lt;22,$BC270=(Elig_MatchAll_Ct-1),AQ270=0),N270,0)</f>
        <v>0</v>
      </c>
      <c r="BT270" s="173">
        <f>IF(AND(Input_Product=Elig!$C270,Elig_MatchAll_Ct&lt;22,$BC270=(Elig_MatchAll_Ct-1),AR270=0),O270,0)</f>
        <v>0</v>
      </c>
      <c r="BU270" s="173">
        <f>IF(AND(Input_Product=Elig!$C270,Elig_MatchAll_Ct&lt;22,$BC270=(Elig_MatchAll_Ct-1),AS270=0),P270,0)</f>
        <v>0</v>
      </c>
      <c r="BV270" s="174">
        <f>IF(AND(Input_Product=Elig!$C270,Elig_MatchAll_Ct&lt;22,$BC270=(Elig_MatchAll_Ct-1),AT270=0),Q270,0)</f>
        <v>0</v>
      </c>
      <c r="BW270" s="175">
        <f>IF(AND(Input_Product=Elig!$C270,Elig_MatchAll_Ct&lt;22,$BC270=(Elig_MatchAll_Ct-1),AU270=0),R270,0)</f>
        <v>0</v>
      </c>
      <c r="BX270" s="176">
        <f>IF(AND(Input_Product=Elig!$C270,Elig_MatchAll_Ct&lt;22,$BC270=(Elig_MatchAll_Ct-1),AU270=0),S270,0)</f>
        <v>0</v>
      </c>
      <c r="BY270" s="175">
        <f>IF(AND(Input_Product=Elig!$C270,Elig_MatchAll_Ct&lt;22,$BC270=(Elig_MatchAll_Ct-1),AV270=0),T270,0)</f>
        <v>0</v>
      </c>
      <c r="BZ270" s="176">
        <f>IF(AND(Input_Product=Elig!$C270,Elig_MatchAll_Ct&lt;22,$BC270=(Elig_MatchAll_Ct-1),AV270=0),U270,0)</f>
        <v>0</v>
      </c>
      <c r="CA270" s="175">
        <f>IF(AND(Input_Product=Elig!$C270,Elig_MatchAll_Ct&lt;22,$BC270=(Elig_MatchAll_Ct-1),AW270=0),V270,0)</f>
        <v>0</v>
      </c>
      <c r="CB270" s="176">
        <f>IF(AND(Input_Product=Elig!$C270,Elig_MatchAll_Ct&lt;22,$BC270=(Elig_MatchAll_Ct-1),AW270=0),W270,0)</f>
        <v>0</v>
      </c>
      <c r="CC270" s="175">
        <f>IF(AND(Input_Product=Elig!$C270,Elig_MatchAll_Ct&lt;22,$BC270=(Elig_MatchAll_Ct-1),AX270=0),X270,0)</f>
        <v>0</v>
      </c>
      <c r="CD270" s="176">
        <f>IF(AND(Input_Product=Elig!$C270,Elig_MatchAll_Ct&lt;22,$BC270=(Elig_MatchAll_Ct-1),AX270=0),Y270,0)</f>
        <v>0</v>
      </c>
      <c r="CE270" s="175">
        <f>IF(AND(Input_LTV&lt;=AE270,Input_Product=Elig!$C270,Elig_MatchAll_Ct&lt;22,$BC270=(Elig_MatchAll_Ct-1),AY270=0),Z270,0)</f>
        <v>0</v>
      </c>
      <c r="CF270" s="176">
        <f>IF(AND(Input_LTV&lt;=AE270,Input_Product=Elig!$C270,Elig_MatchAll_Ct&lt;22,$BC270=(Elig_MatchAll_Ct-1),AY270=0),AA270,0)</f>
        <v>0</v>
      </c>
      <c r="CG270" s="175">
        <f>IF(AND(Input_Product=Elig!$C270,Elig_MatchAll_Ct&lt;22,$BC270=(Elig_MatchAll_Ct-1),AZ270=0),AB270,0)</f>
        <v>0</v>
      </c>
      <c r="CH270" s="176">
        <f>IF(AND(Input_Product=Elig!$C270,Elig_MatchAll_Ct&lt;22,$BC270=(Elig_MatchAll_Ct-1),AZ270=0),AC270,0)</f>
        <v>0</v>
      </c>
      <c r="CI270" s="175">
        <f>IF(AND(Input_Product=Elig!$C270,Elig_MatchAll_Ct&lt;22,$BC270=(Elig_MatchAll_Ct-1),BA270=0),AD270,0)</f>
        <v>0</v>
      </c>
      <c r="CJ270" s="176">
        <f>IF(AND(Input_Product=Elig!$C270,Elig_MatchAll_Ct&lt;22,$BC270=(Elig_MatchAll_Ct-1),BA270=0),AE270,0)</f>
        <v>0</v>
      </c>
    </row>
    <row r="271" spans="1:88" ht="10.15" customHeight="1" x14ac:dyDescent="0.25">
      <c r="A271" s="252" t="s">
        <v>76</v>
      </c>
      <c r="B271" s="252" t="s">
        <v>912</v>
      </c>
      <c r="C271" s="251" t="str">
        <f t="shared" si="93"/>
        <v>NonQM NOO</v>
      </c>
      <c r="D271" s="252" t="s">
        <v>1995</v>
      </c>
      <c r="E271" s="252" t="s">
        <v>166</v>
      </c>
      <c r="F271" s="252" t="s">
        <v>329</v>
      </c>
      <c r="G271" s="252" t="s">
        <v>465</v>
      </c>
      <c r="H271" s="252" t="s">
        <v>135</v>
      </c>
      <c r="I271" s="252" t="s">
        <v>16</v>
      </c>
      <c r="J271" s="252" t="s">
        <v>1130</v>
      </c>
      <c r="K271" s="252" t="s">
        <v>1398</v>
      </c>
      <c r="L271" s="252" t="s">
        <v>311</v>
      </c>
      <c r="M271" s="252" t="s">
        <v>2289</v>
      </c>
      <c r="N271" s="252" t="s">
        <v>1844</v>
      </c>
      <c r="O271" s="252" t="s">
        <v>309</v>
      </c>
      <c r="P271" s="252" t="s">
        <v>2434</v>
      </c>
      <c r="Q271" s="252" t="s">
        <v>293</v>
      </c>
      <c r="R271" s="252">
        <v>100000</v>
      </c>
      <c r="S271" s="252">
        <v>1000000</v>
      </c>
      <c r="T271" s="252">
        <v>0</v>
      </c>
      <c r="U271" s="252">
        <f t="shared" si="96"/>
        <v>1000000</v>
      </c>
      <c r="V271" s="252">
        <v>0</v>
      </c>
      <c r="W271" s="252">
        <v>50</v>
      </c>
      <c r="X271" s="252">
        <v>0</v>
      </c>
      <c r="Y271" s="252">
        <v>999</v>
      </c>
      <c r="Z271" s="254">
        <v>660</v>
      </c>
      <c r="AA271" s="254">
        <v>679</v>
      </c>
      <c r="AB271" s="1883">
        <v>0</v>
      </c>
      <c r="AC271" s="254">
        <v>999999</v>
      </c>
      <c r="AD271" s="252">
        <v>0</v>
      </c>
      <c r="AE271" s="255">
        <v>70</v>
      </c>
      <c r="AF271" s="144">
        <v>0</v>
      </c>
      <c r="AG271" s="145">
        <v>1</v>
      </c>
      <c r="AH271" s="145">
        <v>1</v>
      </c>
      <c r="AI271" s="145">
        <v>1</v>
      </c>
      <c r="AJ271" s="145">
        <v>0</v>
      </c>
      <c r="AK271" s="145">
        <v>1</v>
      </c>
      <c r="AL271" s="145">
        <v>0</v>
      </c>
      <c r="AM271" s="145">
        <v>1</v>
      </c>
      <c r="AN271" s="145">
        <v>1</v>
      </c>
      <c r="AO271" s="145">
        <v>1</v>
      </c>
      <c r="AP271" s="145">
        <v>1</v>
      </c>
      <c r="AQ271" s="145">
        <v>1</v>
      </c>
      <c r="AR271" s="145">
        <v>1</v>
      </c>
      <c r="AS271" s="145">
        <v>1</v>
      </c>
      <c r="AT271" s="145">
        <v>1</v>
      </c>
      <c r="AU271" s="145">
        <f t="shared" si="55"/>
        <v>1</v>
      </c>
      <c r="AV271" s="145">
        <f t="shared" si="56"/>
        <v>1</v>
      </c>
      <c r="AW271" s="145">
        <f t="shared" si="57"/>
        <v>1</v>
      </c>
      <c r="AX271" s="145">
        <f t="shared" si="73"/>
        <v>1</v>
      </c>
      <c r="AY271" s="145">
        <f t="shared" si="58"/>
        <v>0</v>
      </c>
      <c r="AZ271" s="145">
        <f t="shared" si="59"/>
        <v>1</v>
      </c>
      <c r="BA271" s="146">
        <f t="shared" si="60"/>
        <v>1</v>
      </c>
      <c r="BB271" s="149">
        <f t="shared" si="83"/>
        <v>18</v>
      </c>
      <c r="BC271" s="150">
        <f t="shared" si="84"/>
        <v>17</v>
      </c>
      <c r="BD271" s="150">
        <f t="shared" si="85"/>
        <v>18</v>
      </c>
      <c r="BE271" s="211" t="str">
        <f t="shared" si="86"/>
        <v/>
      </c>
      <c r="BH271" s="173">
        <f>IF(AND(Input_Product=Elig!$C271,Elig_MatchAll_Ct&lt;22,$BC271=(Elig_MatchAll_Ct-1),AF271=0),C271,0)</f>
        <v>0</v>
      </c>
      <c r="BI271" s="173">
        <f>IF(AND(Input_Product=Elig!$C271,Elig_MatchAll_Ct&lt;22,$BC271=(Elig_MatchAll_Ct-1),AG271=0),D271,0)</f>
        <v>0</v>
      </c>
      <c r="BJ271" s="173">
        <f>IF(AND(Input_Product=Elig!$C271,Elig_MatchAll_Ct&lt;22,$BC271=(Elig_MatchAll_Ct-1),AH271=0),E271,0)</f>
        <v>0</v>
      </c>
      <c r="BK271" s="173">
        <f>IF(AND(Input_Product=Elig!$C271,Elig_MatchAll_Ct&lt;22,$BC271=(Elig_MatchAll_Ct-1),AI271=0),F271,0)</f>
        <v>0</v>
      </c>
      <c r="BL271" s="173">
        <f>IF(AND(Input_Product=Elig!$C271,Elig_MatchAll_Ct&lt;22,$BC271=(Elig_MatchAll_Ct-1),AJ271=0),G271,0)</f>
        <v>0</v>
      </c>
      <c r="BM271" s="173">
        <f>IF(AND(Input_Product=Elig!$C271,Elig_MatchAll_Ct&lt;22,$BC271=(Elig_MatchAll_Ct-1),AK271=0),H271,0)</f>
        <v>0</v>
      </c>
      <c r="BN271" s="173">
        <f>IF(AND(Input_Product=Elig!$C271,Elig_MatchAll_Ct&lt;22,$BC271=(Elig_MatchAll_Ct-1),AL271=0),I271,0)</f>
        <v>0</v>
      </c>
      <c r="BO271" s="173">
        <f>IF(AND(Input_Product=Elig!$C271,Elig_MatchAll_Ct&lt;22,$BC271=(Elig_MatchAll_Ct-1),AM271=0),J271,0)</f>
        <v>0</v>
      </c>
      <c r="BP271" s="173">
        <f>IF(AND(Input_Product=Elig!$C271,Elig_MatchAll_Ct&lt;22,$BC271=(Elig_MatchAll_Ct-1),AN271=0),K271,0)</f>
        <v>0</v>
      </c>
      <c r="BQ271" s="173">
        <f>IF(AND(Input_Product=Elig!$C271,Elig_MatchAll_Ct&lt;22,$BC271=(Elig_MatchAll_Ct-1),AP271=0),L271,0)</f>
        <v>0</v>
      </c>
      <c r="BR271" s="173">
        <f>IF(AND(Input_Product=Elig!$C271,Elig_MatchAll_Ct&lt;22,$BC271=(Elig_MatchAll_Ct-1),AO271=0),M271,0)</f>
        <v>0</v>
      </c>
      <c r="BS271" s="173">
        <f>IF(AND(Input_Product=Elig!$C271,Elig_MatchAll_Ct&lt;22,$BC271=(Elig_MatchAll_Ct-1),AQ271=0),N271,0)</f>
        <v>0</v>
      </c>
      <c r="BT271" s="173">
        <f>IF(AND(Input_Product=Elig!$C271,Elig_MatchAll_Ct&lt;22,$BC271=(Elig_MatchAll_Ct-1),AR271=0),O271,0)</f>
        <v>0</v>
      </c>
      <c r="BU271" s="173">
        <f>IF(AND(Input_Product=Elig!$C271,Elig_MatchAll_Ct&lt;22,$BC271=(Elig_MatchAll_Ct-1),AS271=0),P271,0)</f>
        <v>0</v>
      </c>
      <c r="BV271" s="174">
        <f>IF(AND(Input_Product=Elig!$C271,Elig_MatchAll_Ct&lt;22,$BC271=(Elig_MatchAll_Ct-1),AT271=0),Q271,0)</f>
        <v>0</v>
      </c>
      <c r="BW271" s="175">
        <f>IF(AND(Input_Product=Elig!$C271,Elig_MatchAll_Ct&lt;22,$BC271=(Elig_MatchAll_Ct-1),AU271=0),R271,0)</f>
        <v>0</v>
      </c>
      <c r="BX271" s="176">
        <f>IF(AND(Input_Product=Elig!$C271,Elig_MatchAll_Ct&lt;22,$BC271=(Elig_MatchAll_Ct-1),AU271=0),S271,0)</f>
        <v>0</v>
      </c>
      <c r="BY271" s="175">
        <f>IF(AND(Input_Product=Elig!$C271,Elig_MatchAll_Ct&lt;22,$BC271=(Elig_MatchAll_Ct-1),AV271=0),T271,0)</f>
        <v>0</v>
      </c>
      <c r="BZ271" s="176">
        <f>IF(AND(Input_Product=Elig!$C271,Elig_MatchAll_Ct&lt;22,$BC271=(Elig_MatchAll_Ct-1),AV271=0),U271,0)</f>
        <v>0</v>
      </c>
      <c r="CA271" s="175">
        <f>IF(AND(Input_Product=Elig!$C271,Elig_MatchAll_Ct&lt;22,$BC271=(Elig_MatchAll_Ct-1),AW271=0),V271,0)</f>
        <v>0</v>
      </c>
      <c r="CB271" s="176">
        <f>IF(AND(Input_Product=Elig!$C271,Elig_MatchAll_Ct&lt;22,$BC271=(Elig_MatchAll_Ct-1),AW271=0),W271,0)</f>
        <v>0</v>
      </c>
      <c r="CC271" s="175">
        <f>IF(AND(Input_Product=Elig!$C271,Elig_MatchAll_Ct&lt;22,$BC271=(Elig_MatchAll_Ct-1),AX271=0),X271,0)</f>
        <v>0</v>
      </c>
      <c r="CD271" s="176">
        <f>IF(AND(Input_Product=Elig!$C271,Elig_MatchAll_Ct&lt;22,$BC271=(Elig_MatchAll_Ct-1),AX271=0),Y271,0)</f>
        <v>0</v>
      </c>
      <c r="CE271" s="175">
        <f>IF(AND(Input_LTV&lt;=AE271,Input_Product=Elig!$C271,Elig_MatchAll_Ct&lt;22,$BC271=(Elig_MatchAll_Ct-1),AY271=0),Z271,0)</f>
        <v>0</v>
      </c>
      <c r="CF271" s="176">
        <f>IF(AND(Input_LTV&lt;=AE271,Input_Product=Elig!$C271,Elig_MatchAll_Ct&lt;22,$BC271=(Elig_MatchAll_Ct-1),AY271=0),AA271,0)</f>
        <v>0</v>
      </c>
      <c r="CG271" s="175">
        <f>IF(AND(Input_Product=Elig!$C271,Elig_MatchAll_Ct&lt;22,$BC271=(Elig_MatchAll_Ct-1),AZ271=0),AB271,0)</f>
        <v>0</v>
      </c>
      <c r="CH271" s="176">
        <f>IF(AND(Input_Product=Elig!$C271,Elig_MatchAll_Ct&lt;22,$BC271=(Elig_MatchAll_Ct-1),AZ271=0),AC271,0)</f>
        <v>0</v>
      </c>
      <c r="CI271" s="175">
        <f>IF(AND(Input_Product=Elig!$C271,Elig_MatchAll_Ct&lt;22,$BC271=(Elig_MatchAll_Ct-1),BA271=0),AD271,0)</f>
        <v>0</v>
      </c>
      <c r="CJ271" s="176">
        <f>IF(AND(Input_Product=Elig!$C271,Elig_MatchAll_Ct&lt;22,$BC271=(Elig_MatchAll_Ct-1),BA271=0),AE271,0)</f>
        <v>0</v>
      </c>
    </row>
    <row r="272" spans="1:88" ht="10.15" customHeight="1" x14ac:dyDescent="0.25">
      <c r="A272" s="261" t="s">
        <v>2507</v>
      </c>
      <c r="B272" s="261" t="s">
        <v>2481</v>
      </c>
      <c r="C272" s="1930" t="str">
        <f t="shared" si="93"/>
        <v>NonQM NOO</v>
      </c>
      <c r="D272" s="276" t="s">
        <v>1995</v>
      </c>
      <c r="E272" s="1537" t="s">
        <v>166</v>
      </c>
      <c r="F272" s="1537" t="s">
        <v>329</v>
      </c>
      <c r="G272" s="1537" t="s">
        <v>178</v>
      </c>
      <c r="H272" s="1537" t="s">
        <v>135</v>
      </c>
      <c r="I272" s="276" t="s">
        <v>273</v>
      </c>
      <c r="J272" s="276" t="s">
        <v>1130</v>
      </c>
      <c r="K272" s="276" t="s">
        <v>1398</v>
      </c>
      <c r="L272" s="1537" t="s">
        <v>311</v>
      </c>
      <c r="M272" s="1537" t="s">
        <v>2289</v>
      </c>
      <c r="N272" s="1537" t="s">
        <v>1844</v>
      </c>
      <c r="O272" s="1537" t="s">
        <v>309</v>
      </c>
      <c r="P272" s="1537" t="s">
        <v>2434</v>
      </c>
      <c r="Q272" s="1537" t="s">
        <v>293</v>
      </c>
      <c r="R272" s="276">
        <v>100000</v>
      </c>
      <c r="S272" s="276">
        <v>1000000</v>
      </c>
      <c r="T272" s="276">
        <v>0</v>
      </c>
      <c r="U272" s="276">
        <v>0</v>
      </c>
      <c r="V272" s="276">
        <v>0</v>
      </c>
      <c r="W272" s="276">
        <v>55</v>
      </c>
      <c r="X272" s="276">
        <v>0</v>
      </c>
      <c r="Y272" s="276">
        <v>999</v>
      </c>
      <c r="Z272" s="1882">
        <v>720</v>
      </c>
      <c r="AA272" s="1882">
        <v>999</v>
      </c>
      <c r="AB272" s="1882">
        <v>0</v>
      </c>
      <c r="AC272" s="1882">
        <v>999999</v>
      </c>
      <c r="AD272" s="276">
        <v>75.010000000000005</v>
      </c>
      <c r="AE272" s="1538">
        <v>80</v>
      </c>
      <c r="AF272" s="144">
        <v>0</v>
      </c>
      <c r="AG272" s="145">
        <v>1</v>
      </c>
      <c r="AH272" s="145">
        <v>1</v>
      </c>
      <c r="AI272" s="145">
        <v>1</v>
      </c>
      <c r="AJ272" s="145">
        <v>0</v>
      </c>
      <c r="AK272" s="145">
        <v>1</v>
      </c>
      <c r="AL272" s="145">
        <v>1</v>
      </c>
      <c r="AM272" s="145">
        <v>1</v>
      </c>
      <c r="AN272" s="145">
        <v>1</v>
      </c>
      <c r="AO272" s="145">
        <v>1</v>
      </c>
      <c r="AP272" s="145">
        <v>1</v>
      </c>
      <c r="AQ272" s="145">
        <v>1</v>
      </c>
      <c r="AR272" s="145">
        <v>1</v>
      </c>
      <c r="AS272" s="145">
        <v>1</v>
      </c>
      <c r="AT272" s="145">
        <v>1</v>
      </c>
      <c r="AU272" s="145">
        <f t="shared" si="55"/>
        <v>1</v>
      </c>
      <c r="AV272" s="145">
        <f t="shared" si="56"/>
        <v>1</v>
      </c>
      <c r="AW272" s="145">
        <f t="shared" si="57"/>
        <v>1</v>
      </c>
      <c r="AX272" s="145">
        <f t="shared" si="73"/>
        <v>1</v>
      </c>
      <c r="AY272" s="145">
        <f t="shared" si="58"/>
        <v>1</v>
      </c>
      <c r="AZ272" s="145">
        <f t="shared" si="59"/>
        <v>1</v>
      </c>
      <c r="BA272" s="146">
        <f t="shared" si="60"/>
        <v>0</v>
      </c>
      <c r="BB272" s="149">
        <f t="shared" si="83"/>
        <v>19</v>
      </c>
      <c r="BC272" s="150">
        <f t="shared" si="84"/>
        <v>19</v>
      </c>
      <c r="BD272" s="150">
        <f t="shared" si="85"/>
        <v>19</v>
      </c>
      <c r="BE272" s="211" t="str">
        <f t="shared" si="86"/>
        <v/>
      </c>
      <c r="BH272" s="190">
        <f>IF(AND(Input_Product=Elig!$C272,Elig_MatchAll_Ct&lt;22,$BC272=(Elig_MatchAll_Ct-1),AF272=0),C272,0)</f>
        <v>0</v>
      </c>
      <c r="BI272" s="190">
        <f>IF(AND(Input_Product=Elig!$C272,Elig_MatchAll_Ct&lt;22,$BC272=(Elig_MatchAll_Ct-1),AG272=0),D272,0)</f>
        <v>0</v>
      </c>
      <c r="BJ272" s="190">
        <f>IF(AND(Input_Product=Elig!$C272,Elig_MatchAll_Ct&lt;22,$BC272=(Elig_MatchAll_Ct-1),AH272=0),E272,0)</f>
        <v>0</v>
      </c>
      <c r="BK272" s="190">
        <f>IF(AND(Input_Product=Elig!$C272,Elig_MatchAll_Ct&lt;22,$BC272=(Elig_MatchAll_Ct-1),AI272=0),F272,0)</f>
        <v>0</v>
      </c>
      <c r="BL272" s="190">
        <f>IF(AND(Input_Product=Elig!$C272,Elig_MatchAll_Ct&lt;22,$BC272=(Elig_MatchAll_Ct-1),AJ272=0),G272,0)</f>
        <v>0</v>
      </c>
      <c r="BM272" s="190">
        <f>IF(AND(Input_Product=Elig!$C272,Elig_MatchAll_Ct&lt;22,$BC272=(Elig_MatchAll_Ct-1),AK272=0),H272,0)</f>
        <v>0</v>
      </c>
      <c r="BN272" s="190">
        <f>IF(AND(Input_Product=Elig!$C272,Elig_MatchAll_Ct&lt;22,$BC272=(Elig_MatchAll_Ct-1),AL272=0),I272,0)</f>
        <v>0</v>
      </c>
      <c r="BO272" s="190">
        <f>IF(AND(Input_Product=Elig!$C272,Elig_MatchAll_Ct&lt;22,$BC272=(Elig_MatchAll_Ct-1),AM272=0),J272,0)</f>
        <v>0</v>
      </c>
      <c r="BP272" s="190">
        <f>IF(AND(Input_Product=Elig!$C272,Elig_MatchAll_Ct&lt;22,$BC272=(Elig_MatchAll_Ct-1),AN272=0),K272,0)</f>
        <v>0</v>
      </c>
      <c r="BQ272" s="190">
        <f>IF(AND(Input_Product=Elig!$C272,Elig_MatchAll_Ct&lt;22,$BC272=(Elig_MatchAll_Ct-1),AP272=0),L272,0)</f>
        <v>0</v>
      </c>
      <c r="BR272" s="190">
        <f>IF(AND(Input_Product=Elig!$C272,Elig_MatchAll_Ct&lt;22,$BC272=(Elig_MatchAll_Ct-1),AO272=0),M272,0)</f>
        <v>0</v>
      </c>
      <c r="BS272" s="190">
        <f>IF(AND(Input_Product=Elig!$C272,Elig_MatchAll_Ct&lt;22,$BC272=(Elig_MatchAll_Ct-1),AQ272=0),N272,0)</f>
        <v>0</v>
      </c>
      <c r="BT272" s="190">
        <f>IF(AND(Input_Product=Elig!$C272,Elig_MatchAll_Ct&lt;22,$BC272=(Elig_MatchAll_Ct-1),AR272=0),O272,0)</f>
        <v>0</v>
      </c>
      <c r="BU272" s="190">
        <f>IF(AND(Input_Product=Elig!$C272,Elig_MatchAll_Ct&lt;22,$BC272=(Elig_MatchAll_Ct-1),AS272=0),P272,0)</f>
        <v>0</v>
      </c>
      <c r="BV272" s="191">
        <f>IF(AND(Input_Product=Elig!$C272,Elig_MatchAll_Ct&lt;22,$BC272=(Elig_MatchAll_Ct-1),AT272=0),Q272,0)</f>
        <v>0</v>
      </c>
      <c r="BW272" s="186">
        <f>IF(AND(Input_Product=Elig!$C272,Elig_MatchAll_Ct&lt;22,$BC272=(Elig_MatchAll_Ct-1),AU272=0),R272,0)</f>
        <v>0</v>
      </c>
      <c r="BX272" s="187">
        <f>IF(AND(Input_Product=Elig!$C272,Elig_MatchAll_Ct&lt;22,$BC272=(Elig_MatchAll_Ct-1),AU272=0),S272,0)</f>
        <v>0</v>
      </c>
      <c r="BY272" s="186">
        <f>IF(AND(Input_Product=Elig!$C272,Elig_MatchAll_Ct&lt;22,$BC272=(Elig_MatchAll_Ct-1),AV272=0),T272,0)</f>
        <v>0</v>
      </c>
      <c r="BZ272" s="187">
        <f>IF(AND(Input_Product=Elig!$C272,Elig_MatchAll_Ct&lt;22,$BC272=(Elig_MatchAll_Ct-1),AV272=0),U272,0)</f>
        <v>0</v>
      </c>
      <c r="CA272" s="186">
        <f>IF(AND(Input_Product=Elig!$C272,Elig_MatchAll_Ct&lt;22,$BC272=(Elig_MatchAll_Ct-1),AW272=0),V272,0)</f>
        <v>0</v>
      </c>
      <c r="CB272" s="187">
        <f>IF(AND(Input_Product=Elig!$C272,Elig_MatchAll_Ct&lt;22,$BC272=(Elig_MatchAll_Ct-1),AW272=0),W272,0)</f>
        <v>0</v>
      </c>
      <c r="CC272" s="186">
        <f>IF(AND(Input_Product=Elig!$C272,Elig_MatchAll_Ct&lt;22,$BC272=(Elig_MatchAll_Ct-1),AX272=0),X272,0)</f>
        <v>0</v>
      </c>
      <c r="CD272" s="187">
        <f>IF(AND(Input_Product=Elig!$C272,Elig_MatchAll_Ct&lt;22,$BC272=(Elig_MatchAll_Ct-1),AX272=0),Y272,0)</f>
        <v>0</v>
      </c>
      <c r="CE272" s="186">
        <f>IF(AND(Input_LTV&lt;=AE272,Input_Product=Elig!$C272,Elig_MatchAll_Ct&lt;22,$BC272=(Elig_MatchAll_Ct-1),AY272=0),Z272,0)</f>
        <v>0</v>
      </c>
      <c r="CF272" s="187">
        <f>IF(AND(Input_LTV&lt;=AE272,Input_Product=Elig!$C272,Elig_MatchAll_Ct&lt;22,$BC272=(Elig_MatchAll_Ct-1),AY272=0),AA272,0)</f>
        <v>0</v>
      </c>
      <c r="CG272" s="186">
        <f>IF(AND(Input_Product=Elig!$C272,Elig_MatchAll_Ct&lt;22,$BC272=(Elig_MatchAll_Ct-1),AZ272=0),AB272,0)</f>
        <v>0</v>
      </c>
      <c r="CH272" s="187">
        <f>IF(AND(Input_Product=Elig!$C272,Elig_MatchAll_Ct&lt;22,$BC272=(Elig_MatchAll_Ct-1),AZ272=0),AC272,0)</f>
        <v>0</v>
      </c>
      <c r="CI272" s="186">
        <f>IF(AND(Input_Product=Elig!$C272,Elig_MatchAll_Ct&lt;22,$BC272=(Elig_MatchAll_Ct-1),BA272=0),AD272,0)</f>
        <v>0</v>
      </c>
      <c r="CJ272" s="187">
        <f>IF(AND(Input_Product=Elig!$C272,Elig_MatchAll_Ct&lt;22,$BC272=(Elig_MatchAll_Ct-1),BA272=0),AE272,0)</f>
        <v>0</v>
      </c>
    </row>
    <row r="273" spans="1:88" ht="10.15" customHeight="1" x14ac:dyDescent="0.25">
      <c r="A273" s="252" t="s">
        <v>76</v>
      </c>
      <c r="B273" s="252" t="s">
        <v>913</v>
      </c>
      <c r="C273" s="246" t="str">
        <f t="shared" si="93"/>
        <v>NonQM NOO</v>
      </c>
      <c r="D273" s="247" t="s">
        <v>1995</v>
      </c>
      <c r="E273" s="248" t="s">
        <v>166</v>
      </c>
      <c r="F273" s="248" t="s">
        <v>329</v>
      </c>
      <c r="G273" s="248" t="s">
        <v>178</v>
      </c>
      <c r="H273" s="248" t="s">
        <v>135</v>
      </c>
      <c r="I273" s="247" t="s">
        <v>273</v>
      </c>
      <c r="J273" s="247" t="s">
        <v>1130</v>
      </c>
      <c r="K273" s="247" t="s">
        <v>1398</v>
      </c>
      <c r="L273" s="248" t="s">
        <v>311</v>
      </c>
      <c r="M273" s="248" t="s">
        <v>2289</v>
      </c>
      <c r="N273" s="248" t="s">
        <v>1844</v>
      </c>
      <c r="O273" s="248" t="s">
        <v>309</v>
      </c>
      <c r="P273" s="248" t="s">
        <v>2434</v>
      </c>
      <c r="Q273" s="248" t="s">
        <v>293</v>
      </c>
      <c r="R273" s="247">
        <v>100000</v>
      </c>
      <c r="S273" s="247">
        <v>1000000</v>
      </c>
      <c r="T273" s="247">
        <v>0</v>
      </c>
      <c r="U273" s="247">
        <v>0</v>
      </c>
      <c r="V273" s="247">
        <v>0</v>
      </c>
      <c r="W273" s="247">
        <v>55</v>
      </c>
      <c r="X273" s="247">
        <v>0</v>
      </c>
      <c r="Y273" s="247">
        <v>999</v>
      </c>
      <c r="Z273" s="249">
        <v>720</v>
      </c>
      <c r="AA273" s="249">
        <v>999</v>
      </c>
      <c r="AB273" s="1882">
        <v>0</v>
      </c>
      <c r="AC273" s="249">
        <v>999999</v>
      </c>
      <c r="AD273" s="247">
        <v>0</v>
      </c>
      <c r="AE273" s="250">
        <v>75</v>
      </c>
      <c r="AF273" s="144">
        <v>0</v>
      </c>
      <c r="AG273" s="145">
        <v>1</v>
      </c>
      <c r="AH273" s="145">
        <v>1</v>
      </c>
      <c r="AI273" s="145">
        <v>1</v>
      </c>
      <c r="AJ273" s="145">
        <v>0</v>
      </c>
      <c r="AK273" s="145">
        <v>1</v>
      </c>
      <c r="AL273" s="145">
        <v>1</v>
      </c>
      <c r="AM273" s="145">
        <v>1</v>
      </c>
      <c r="AN273" s="145">
        <v>1</v>
      </c>
      <c r="AO273" s="145">
        <v>1</v>
      </c>
      <c r="AP273" s="145">
        <v>1</v>
      </c>
      <c r="AQ273" s="145">
        <v>1</v>
      </c>
      <c r="AR273" s="145">
        <v>1</v>
      </c>
      <c r="AS273" s="145">
        <v>1</v>
      </c>
      <c r="AT273" s="145">
        <v>1</v>
      </c>
      <c r="AU273" s="145">
        <f t="shared" si="55"/>
        <v>1</v>
      </c>
      <c r="AV273" s="145">
        <f t="shared" si="56"/>
        <v>1</v>
      </c>
      <c r="AW273" s="145">
        <f t="shared" si="57"/>
        <v>1</v>
      </c>
      <c r="AX273" s="145">
        <f t="shared" si="73"/>
        <v>1</v>
      </c>
      <c r="AY273" s="145">
        <f t="shared" si="58"/>
        <v>1</v>
      </c>
      <c r="AZ273" s="145">
        <f t="shared" si="59"/>
        <v>1</v>
      </c>
      <c r="BA273" s="146">
        <f t="shared" si="60"/>
        <v>1</v>
      </c>
      <c r="BB273" s="149">
        <f t="shared" si="83"/>
        <v>20</v>
      </c>
      <c r="BC273" s="150">
        <f t="shared" si="84"/>
        <v>19</v>
      </c>
      <c r="BD273" s="150">
        <f t="shared" si="85"/>
        <v>20</v>
      </c>
      <c r="BE273" s="211" t="str">
        <f t="shared" si="86"/>
        <v/>
      </c>
      <c r="BH273" s="190">
        <f>IF(AND(Input_Product=Elig!$C273,Elig_MatchAll_Ct&lt;22,$BC273=(Elig_MatchAll_Ct-1),AF273=0),C273,0)</f>
        <v>0</v>
      </c>
      <c r="BI273" s="190">
        <f>IF(AND(Input_Product=Elig!$C273,Elig_MatchAll_Ct&lt;22,$BC273=(Elig_MatchAll_Ct-1),AG273=0),D273,0)</f>
        <v>0</v>
      </c>
      <c r="BJ273" s="190">
        <f>IF(AND(Input_Product=Elig!$C273,Elig_MatchAll_Ct&lt;22,$BC273=(Elig_MatchAll_Ct-1),AH273=0),E273,0)</f>
        <v>0</v>
      </c>
      <c r="BK273" s="190">
        <f>IF(AND(Input_Product=Elig!$C273,Elig_MatchAll_Ct&lt;22,$BC273=(Elig_MatchAll_Ct-1),AI273=0),F273,0)</f>
        <v>0</v>
      </c>
      <c r="BL273" s="190">
        <f>IF(AND(Input_Product=Elig!$C273,Elig_MatchAll_Ct&lt;22,$BC273=(Elig_MatchAll_Ct-1),AJ273=0),G273,0)</f>
        <v>0</v>
      </c>
      <c r="BM273" s="190">
        <f>IF(AND(Input_Product=Elig!$C273,Elig_MatchAll_Ct&lt;22,$BC273=(Elig_MatchAll_Ct-1),AK273=0),H273,0)</f>
        <v>0</v>
      </c>
      <c r="BN273" s="190">
        <f>IF(AND(Input_Product=Elig!$C273,Elig_MatchAll_Ct&lt;22,$BC273=(Elig_MatchAll_Ct-1),AL273=0),I273,0)</f>
        <v>0</v>
      </c>
      <c r="BO273" s="190">
        <f>IF(AND(Input_Product=Elig!$C273,Elig_MatchAll_Ct&lt;22,$BC273=(Elig_MatchAll_Ct-1),AM273=0),J273,0)</f>
        <v>0</v>
      </c>
      <c r="BP273" s="190">
        <f>IF(AND(Input_Product=Elig!$C273,Elig_MatchAll_Ct&lt;22,$BC273=(Elig_MatchAll_Ct-1),AN273=0),K273,0)</f>
        <v>0</v>
      </c>
      <c r="BQ273" s="190">
        <f>IF(AND(Input_Product=Elig!$C273,Elig_MatchAll_Ct&lt;22,$BC273=(Elig_MatchAll_Ct-1),AP273=0),L273,0)</f>
        <v>0</v>
      </c>
      <c r="BR273" s="190">
        <f>IF(AND(Input_Product=Elig!$C273,Elig_MatchAll_Ct&lt;22,$BC273=(Elig_MatchAll_Ct-1),AO273=0),M273,0)</f>
        <v>0</v>
      </c>
      <c r="BS273" s="190">
        <f>IF(AND(Input_Product=Elig!$C273,Elig_MatchAll_Ct&lt;22,$BC273=(Elig_MatchAll_Ct-1),AQ273=0),N273,0)</f>
        <v>0</v>
      </c>
      <c r="BT273" s="190">
        <f>IF(AND(Input_Product=Elig!$C273,Elig_MatchAll_Ct&lt;22,$BC273=(Elig_MatchAll_Ct-1),AR273=0),O273,0)</f>
        <v>0</v>
      </c>
      <c r="BU273" s="190">
        <f>IF(AND(Input_Product=Elig!$C273,Elig_MatchAll_Ct&lt;22,$BC273=(Elig_MatchAll_Ct-1),AS273=0),P273,0)</f>
        <v>0</v>
      </c>
      <c r="BV273" s="191">
        <f>IF(AND(Input_Product=Elig!$C273,Elig_MatchAll_Ct&lt;22,$BC273=(Elig_MatchAll_Ct-1),AT273=0),Q273,0)</f>
        <v>0</v>
      </c>
      <c r="BW273" s="186">
        <f>IF(AND(Input_Product=Elig!$C273,Elig_MatchAll_Ct&lt;22,$BC273=(Elig_MatchAll_Ct-1),AU273=0),R273,0)</f>
        <v>0</v>
      </c>
      <c r="BX273" s="187">
        <f>IF(AND(Input_Product=Elig!$C273,Elig_MatchAll_Ct&lt;22,$BC273=(Elig_MatchAll_Ct-1),AU273=0),S273,0)</f>
        <v>0</v>
      </c>
      <c r="BY273" s="186">
        <f>IF(AND(Input_Product=Elig!$C273,Elig_MatchAll_Ct&lt;22,$BC273=(Elig_MatchAll_Ct-1),AV273=0),T273,0)</f>
        <v>0</v>
      </c>
      <c r="BZ273" s="187">
        <f>IF(AND(Input_Product=Elig!$C273,Elig_MatchAll_Ct&lt;22,$BC273=(Elig_MatchAll_Ct-1),AV273=0),U273,0)</f>
        <v>0</v>
      </c>
      <c r="CA273" s="186">
        <f>IF(AND(Input_Product=Elig!$C273,Elig_MatchAll_Ct&lt;22,$BC273=(Elig_MatchAll_Ct-1),AW273=0),V273,0)</f>
        <v>0</v>
      </c>
      <c r="CB273" s="187">
        <f>IF(AND(Input_Product=Elig!$C273,Elig_MatchAll_Ct&lt;22,$BC273=(Elig_MatchAll_Ct-1),AW273=0),W273,0)</f>
        <v>0</v>
      </c>
      <c r="CC273" s="186">
        <f>IF(AND(Input_Product=Elig!$C273,Elig_MatchAll_Ct&lt;22,$BC273=(Elig_MatchAll_Ct-1),AX273=0),X273,0)</f>
        <v>0</v>
      </c>
      <c r="CD273" s="187">
        <f>IF(AND(Input_Product=Elig!$C273,Elig_MatchAll_Ct&lt;22,$BC273=(Elig_MatchAll_Ct-1),AX273=0),Y273,0)</f>
        <v>0</v>
      </c>
      <c r="CE273" s="186">
        <f>IF(AND(Input_LTV&lt;=AE273,Input_Product=Elig!$C273,Elig_MatchAll_Ct&lt;22,$BC273=(Elig_MatchAll_Ct-1),AY273=0),Z273,0)</f>
        <v>0</v>
      </c>
      <c r="CF273" s="187">
        <f>IF(AND(Input_LTV&lt;=AE273,Input_Product=Elig!$C273,Elig_MatchAll_Ct&lt;22,$BC273=(Elig_MatchAll_Ct-1),AY273=0),AA273,0)</f>
        <v>0</v>
      </c>
      <c r="CG273" s="186">
        <f>IF(AND(Input_Product=Elig!$C273,Elig_MatchAll_Ct&lt;22,$BC273=(Elig_MatchAll_Ct-1),AZ273=0),AB273,0)</f>
        <v>0</v>
      </c>
      <c r="CH273" s="187">
        <f>IF(AND(Input_Product=Elig!$C273,Elig_MatchAll_Ct&lt;22,$BC273=(Elig_MatchAll_Ct-1),AZ273=0),AC273,0)</f>
        <v>0</v>
      </c>
      <c r="CI273" s="186">
        <f>IF(AND(Input_Product=Elig!$C273,Elig_MatchAll_Ct&lt;22,$BC273=(Elig_MatchAll_Ct-1),BA273=0),AD273,0)</f>
        <v>0</v>
      </c>
      <c r="CJ273" s="187">
        <f>IF(AND(Input_Product=Elig!$C273,Elig_MatchAll_Ct&lt;22,$BC273=(Elig_MatchAll_Ct-1),BA273=0),AE273,0)</f>
        <v>0</v>
      </c>
    </row>
    <row r="274" spans="1:88" ht="10.15" customHeight="1" x14ac:dyDescent="0.25">
      <c r="A274" s="252" t="s">
        <v>76</v>
      </c>
      <c r="B274" s="252" t="s">
        <v>914</v>
      </c>
      <c r="C274" s="251" t="str">
        <f t="shared" si="93"/>
        <v>NonQM NOO</v>
      </c>
      <c r="D274" s="252" t="s">
        <v>1995</v>
      </c>
      <c r="E274" s="252" t="s">
        <v>166</v>
      </c>
      <c r="F274" s="252" t="s">
        <v>329</v>
      </c>
      <c r="G274" s="252" t="s">
        <v>178</v>
      </c>
      <c r="H274" s="252" t="s">
        <v>135</v>
      </c>
      <c r="I274" s="253" t="s">
        <v>273</v>
      </c>
      <c r="J274" s="253" t="s">
        <v>1130</v>
      </c>
      <c r="K274" s="253" t="s">
        <v>1398</v>
      </c>
      <c r="L274" s="252" t="s">
        <v>311</v>
      </c>
      <c r="M274" s="252" t="s">
        <v>2289</v>
      </c>
      <c r="N274" s="252" t="s">
        <v>1844</v>
      </c>
      <c r="O274" s="252" t="s">
        <v>309</v>
      </c>
      <c r="P274" s="252" t="s">
        <v>2434</v>
      </c>
      <c r="Q274" s="252" t="s">
        <v>293</v>
      </c>
      <c r="R274" s="252">
        <v>100000</v>
      </c>
      <c r="S274" s="252">
        <v>1000000</v>
      </c>
      <c r="T274" s="252">
        <v>0</v>
      </c>
      <c r="U274" s="252">
        <v>0</v>
      </c>
      <c r="V274" s="252">
        <v>0</v>
      </c>
      <c r="W274" s="252">
        <v>55</v>
      </c>
      <c r="X274" s="252">
        <v>0</v>
      </c>
      <c r="Y274" s="252">
        <v>999</v>
      </c>
      <c r="Z274" s="254">
        <v>700</v>
      </c>
      <c r="AA274" s="254">
        <v>719</v>
      </c>
      <c r="AB274" s="1883">
        <v>0</v>
      </c>
      <c r="AC274" s="254">
        <v>999999</v>
      </c>
      <c r="AD274" s="252">
        <v>0</v>
      </c>
      <c r="AE274" s="255">
        <v>75</v>
      </c>
      <c r="AF274" s="144">
        <v>0</v>
      </c>
      <c r="AG274" s="145">
        <v>1</v>
      </c>
      <c r="AH274" s="145">
        <v>1</v>
      </c>
      <c r="AI274" s="145">
        <v>1</v>
      </c>
      <c r="AJ274" s="145">
        <v>0</v>
      </c>
      <c r="AK274" s="145">
        <v>1</v>
      </c>
      <c r="AL274" s="145">
        <v>1</v>
      </c>
      <c r="AM274" s="145">
        <v>1</v>
      </c>
      <c r="AN274" s="145">
        <v>1</v>
      </c>
      <c r="AO274" s="145">
        <v>1</v>
      </c>
      <c r="AP274" s="145">
        <v>1</v>
      </c>
      <c r="AQ274" s="145">
        <v>1</v>
      </c>
      <c r="AR274" s="145">
        <v>1</v>
      </c>
      <c r="AS274" s="145">
        <v>1</v>
      </c>
      <c r="AT274" s="145">
        <v>1</v>
      </c>
      <c r="AU274" s="145">
        <f t="shared" si="55"/>
        <v>1</v>
      </c>
      <c r="AV274" s="145">
        <f t="shared" si="56"/>
        <v>1</v>
      </c>
      <c r="AW274" s="145">
        <f t="shared" si="57"/>
        <v>1</v>
      </c>
      <c r="AX274" s="145">
        <f t="shared" si="73"/>
        <v>1</v>
      </c>
      <c r="AY274" s="145">
        <f t="shared" si="58"/>
        <v>0</v>
      </c>
      <c r="AZ274" s="145">
        <f t="shared" si="59"/>
        <v>1</v>
      </c>
      <c r="BA274" s="146">
        <f t="shared" si="60"/>
        <v>1</v>
      </c>
      <c r="BB274" s="149">
        <f t="shared" si="83"/>
        <v>19</v>
      </c>
      <c r="BC274" s="150">
        <f t="shared" si="84"/>
        <v>18</v>
      </c>
      <c r="BD274" s="150">
        <f t="shared" si="85"/>
        <v>19</v>
      </c>
      <c r="BE274" s="211" t="str">
        <f t="shared" si="86"/>
        <v/>
      </c>
      <c r="BH274" s="173">
        <f>IF(AND(Input_Product=Elig!$C274,Elig_MatchAll_Ct&lt;22,$BC274=(Elig_MatchAll_Ct-1),AF274=0),C274,0)</f>
        <v>0</v>
      </c>
      <c r="BI274" s="173">
        <f>IF(AND(Input_Product=Elig!$C274,Elig_MatchAll_Ct&lt;22,$BC274=(Elig_MatchAll_Ct-1),AG274=0),D274,0)</f>
        <v>0</v>
      </c>
      <c r="BJ274" s="173">
        <f>IF(AND(Input_Product=Elig!$C274,Elig_MatchAll_Ct&lt;22,$BC274=(Elig_MatchAll_Ct-1),AH274=0),E274,0)</f>
        <v>0</v>
      </c>
      <c r="BK274" s="173">
        <f>IF(AND(Input_Product=Elig!$C274,Elig_MatchAll_Ct&lt;22,$BC274=(Elig_MatchAll_Ct-1),AI274=0),F274,0)</f>
        <v>0</v>
      </c>
      <c r="BL274" s="173">
        <f>IF(AND(Input_Product=Elig!$C274,Elig_MatchAll_Ct&lt;22,$BC274=(Elig_MatchAll_Ct-1),AJ274=0),G274,0)</f>
        <v>0</v>
      </c>
      <c r="BM274" s="173">
        <f>IF(AND(Input_Product=Elig!$C274,Elig_MatchAll_Ct&lt;22,$BC274=(Elig_MatchAll_Ct-1),AK274=0),H274,0)</f>
        <v>0</v>
      </c>
      <c r="BN274" s="173">
        <f>IF(AND(Input_Product=Elig!$C274,Elig_MatchAll_Ct&lt;22,$BC274=(Elig_MatchAll_Ct-1),AL274=0),I274,0)</f>
        <v>0</v>
      </c>
      <c r="BO274" s="173">
        <f>IF(AND(Input_Product=Elig!$C274,Elig_MatchAll_Ct&lt;22,$BC274=(Elig_MatchAll_Ct-1),AM274=0),J274,0)</f>
        <v>0</v>
      </c>
      <c r="BP274" s="173">
        <f>IF(AND(Input_Product=Elig!$C274,Elig_MatchAll_Ct&lt;22,$BC274=(Elig_MatchAll_Ct-1),AN274=0),K274,0)</f>
        <v>0</v>
      </c>
      <c r="BQ274" s="173">
        <f>IF(AND(Input_Product=Elig!$C274,Elig_MatchAll_Ct&lt;22,$BC274=(Elig_MatchAll_Ct-1),AP274=0),L274,0)</f>
        <v>0</v>
      </c>
      <c r="BR274" s="173">
        <f>IF(AND(Input_Product=Elig!$C274,Elig_MatchAll_Ct&lt;22,$BC274=(Elig_MatchAll_Ct-1),AO274=0),M274,0)</f>
        <v>0</v>
      </c>
      <c r="BS274" s="173">
        <f>IF(AND(Input_Product=Elig!$C274,Elig_MatchAll_Ct&lt;22,$BC274=(Elig_MatchAll_Ct-1),AQ274=0),N274,0)</f>
        <v>0</v>
      </c>
      <c r="BT274" s="173">
        <f>IF(AND(Input_Product=Elig!$C274,Elig_MatchAll_Ct&lt;22,$BC274=(Elig_MatchAll_Ct-1),AR274=0),O274,0)</f>
        <v>0</v>
      </c>
      <c r="BU274" s="173">
        <f>IF(AND(Input_Product=Elig!$C274,Elig_MatchAll_Ct&lt;22,$BC274=(Elig_MatchAll_Ct-1),AS274=0),P274,0)</f>
        <v>0</v>
      </c>
      <c r="BV274" s="174">
        <f>IF(AND(Input_Product=Elig!$C274,Elig_MatchAll_Ct&lt;22,$BC274=(Elig_MatchAll_Ct-1),AT274=0),Q274,0)</f>
        <v>0</v>
      </c>
      <c r="BW274" s="175">
        <f>IF(AND(Input_Product=Elig!$C274,Elig_MatchAll_Ct&lt;22,$BC274=(Elig_MatchAll_Ct-1),AU274=0),R274,0)</f>
        <v>0</v>
      </c>
      <c r="BX274" s="176">
        <f>IF(AND(Input_Product=Elig!$C274,Elig_MatchAll_Ct&lt;22,$BC274=(Elig_MatchAll_Ct-1),AU274=0),S274,0)</f>
        <v>0</v>
      </c>
      <c r="BY274" s="175">
        <f>IF(AND(Input_Product=Elig!$C274,Elig_MatchAll_Ct&lt;22,$BC274=(Elig_MatchAll_Ct-1),AV274=0),T274,0)</f>
        <v>0</v>
      </c>
      <c r="BZ274" s="176">
        <f>IF(AND(Input_Product=Elig!$C274,Elig_MatchAll_Ct&lt;22,$BC274=(Elig_MatchAll_Ct-1),AV274=0),U274,0)</f>
        <v>0</v>
      </c>
      <c r="CA274" s="175">
        <f>IF(AND(Input_Product=Elig!$C274,Elig_MatchAll_Ct&lt;22,$BC274=(Elig_MatchAll_Ct-1),AW274=0),V274,0)</f>
        <v>0</v>
      </c>
      <c r="CB274" s="176">
        <f>IF(AND(Input_Product=Elig!$C274,Elig_MatchAll_Ct&lt;22,$BC274=(Elig_MatchAll_Ct-1),AW274=0),W274,0)</f>
        <v>0</v>
      </c>
      <c r="CC274" s="175">
        <f>IF(AND(Input_Product=Elig!$C274,Elig_MatchAll_Ct&lt;22,$BC274=(Elig_MatchAll_Ct-1),AX274=0),X274,0)</f>
        <v>0</v>
      </c>
      <c r="CD274" s="176">
        <f>IF(AND(Input_Product=Elig!$C274,Elig_MatchAll_Ct&lt;22,$BC274=(Elig_MatchAll_Ct-1),AX274=0),Y274,0)</f>
        <v>0</v>
      </c>
      <c r="CE274" s="175">
        <f>IF(AND(Input_LTV&lt;=AE274,Input_Product=Elig!$C274,Elig_MatchAll_Ct&lt;22,$BC274=(Elig_MatchAll_Ct-1),AY274=0),Z274,0)</f>
        <v>0</v>
      </c>
      <c r="CF274" s="176">
        <f>IF(AND(Input_LTV&lt;=AE274,Input_Product=Elig!$C274,Elig_MatchAll_Ct&lt;22,$BC274=(Elig_MatchAll_Ct-1),AY274=0),AA274,0)</f>
        <v>0</v>
      </c>
      <c r="CG274" s="175">
        <f>IF(AND(Input_Product=Elig!$C274,Elig_MatchAll_Ct&lt;22,$BC274=(Elig_MatchAll_Ct-1),AZ274=0),AB274,0)</f>
        <v>0</v>
      </c>
      <c r="CH274" s="176">
        <f>IF(AND(Input_Product=Elig!$C274,Elig_MatchAll_Ct&lt;22,$BC274=(Elig_MatchAll_Ct-1),AZ274=0),AC274,0)</f>
        <v>0</v>
      </c>
      <c r="CI274" s="175">
        <f>IF(AND(Input_Product=Elig!$C274,Elig_MatchAll_Ct&lt;22,$BC274=(Elig_MatchAll_Ct-1),BA274=0),AD274,0)</f>
        <v>0</v>
      </c>
      <c r="CJ274" s="176">
        <f>IF(AND(Input_Product=Elig!$C274,Elig_MatchAll_Ct&lt;22,$BC274=(Elig_MatchAll_Ct-1),BA274=0),AE274,0)</f>
        <v>0</v>
      </c>
    </row>
    <row r="275" spans="1:88" ht="10.15" customHeight="1" x14ac:dyDescent="0.25">
      <c r="A275" s="252" t="s">
        <v>76</v>
      </c>
      <c r="B275" s="252" t="s">
        <v>915</v>
      </c>
      <c r="C275" s="251" t="str">
        <f t="shared" si="93"/>
        <v>NonQM NOO</v>
      </c>
      <c r="D275" s="252" t="s">
        <v>1995</v>
      </c>
      <c r="E275" s="252" t="s">
        <v>166</v>
      </c>
      <c r="F275" s="252" t="s">
        <v>329</v>
      </c>
      <c r="G275" s="252" t="s">
        <v>178</v>
      </c>
      <c r="H275" s="252" t="s">
        <v>135</v>
      </c>
      <c r="I275" s="253" t="s">
        <v>273</v>
      </c>
      <c r="J275" s="253" t="s">
        <v>1130</v>
      </c>
      <c r="K275" s="253" t="s">
        <v>1398</v>
      </c>
      <c r="L275" s="252" t="s">
        <v>311</v>
      </c>
      <c r="M275" s="252" t="s">
        <v>2289</v>
      </c>
      <c r="N275" s="252" t="s">
        <v>1844</v>
      </c>
      <c r="O275" s="252" t="s">
        <v>309</v>
      </c>
      <c r="P275" s="252" t="s">
        <v>2434</v>
      </c>
      <c r="Q275" s="252" t="s">
        <v>293</v>
      </c>
      <c r="R275" s="252">
        <v>100000</v>
      </c>
      <c r="S275" s="252">
        <v>1000000</v>
      </c>
      <c r="T275" s="252">
        <v>0</v>
      </c>
      <c r="U275" s="252">
        <v>0</v>
      </c>
      <c r="V275" s="252">
        <v>0</v>
      </c>
      <c r="W275" s="252">
        <v>55</v>
      </c>
      <c r="X275" s="252">
        <v>0</v>
      </c>
      <c r="Y275" s="252">
        <v>999</v>
      </c>
      <c r="Z275" s="254">
        <v>680</v>
      </c>
      <c r="AA275" s="254">
        <v>699</v>
      </c>
      <c r="AB275" s="1883">
        <v>0</v>
      </c>
      <c r="AC275" s="254">
        <v>999999</v>
      </c>
      <c r="AD275" s="252">
        <v>0</v>
      </c>
      <c r="AE275" s="255">
        <v>75</v>
      </c>
      <c r="AF275" s="144">
        <v>0</v>
      </c>
      <c r="AG275" s="145">
        <v>1</v>
      </c>
      <c r="AH275" s="145">
        <v>1</v>
      </c>
      <c r="AI275" s="145">
        <v>1</v>
      </c>
      <c r="AJ275" s="145">
        <v>0</v>
      </c>
      <c r="AK275" s="145">
        <v>1</v>
      </c>
      <c r="AL275" s="145">
        <v>1</v>
      </c>
      <c r="AM275" s="145">
        <v>1</v>
      </c>
      <c r="AN275" s="145">
        <v>1</v>
      </c>
      <c r="AO275" s="145">
        <v>1</v>
      </c>
      <c r="AP275" s="145">
        <v>1</v>
      </c>
      <c r="AQ275" s="145">
        <v>1</v>
      </c>
      <c r="AR275" s="145">
        <v>1</v>
      </c>
      <c r="AS275" s="145">
        <v>1</v>
      </c>
      <c r="AT275" s="145">
        <v>1</v>
      </c>
      <c r="AU275" s="145">
        <f t="shared" si="55"/>
        <v>1</v>
      </c>
      <c r="AV275" s="145">
        <f t="shared" si="56"/>
        <v>1</v>
      </c>
      <c r="AW275" s="145">
        <f t="shared" si="57"/>
        <v>1</v>
      </c>
      <c r="AX275" s="145">
        <f t="shared" si="73"/>
        <v>1</v>
      </c>
      <c r="AY275" s="145">
        <f t="shared" si="58"/>
        <v>0</v>
      </c>
      <c r="AZ275" s="145">
        <f t="shared" si="59"/>
        <v>1</v>
      </c>
      <c r="BA275" s="146">
        <f t="shared" si="60"/>
        <v>1</v>
      </c>
      <c r="BB275" s="149">
        <f t="shared" si="83"/>
        <v>19</v>
      </c>
      <c r="BC275" s="150">
        <f t="shared" si="84"/>
        <v>18</v>
      </c>
      <c r="BD275" s="150">
        <f t="shared" si="85"/>
        <v>19</v>
      </c>
      <c r="BE275" s="211" t="str">
        <f t="shared" si="86"/>
        <v/>
      </c>
      <c r="BH275" s="173">
        <f>IF(AND(Input_Product=Elig!$C275,Elig_MatchAll_Ct&lt;22,$BC275=(Elig_MatchAll_Ct-1),AF275=0),C275,0)</f>
        <v>0</v>
      </c>
      <c r="BI275" s="173">
        <f>IF(AND(Input_Product=Elig!$C275,Elig_MatchAll_Ct&lt;22,$BC275=(Elig_MatchAll_Ct-1),AG275=0),D275,0)</f>
        <v>0</v>
      </c>
      <c r="BJ275" s="173">
        <f>IF(AND(Input_Product=Elig!$C275,Elig_MatchAll_Ct&lt;22,$BC275=(Elig_MatchAll_Ct-1),AH275=0),E275,0)</f>
        <v>0</v>
      </c>
      <c r="BK275" s="173">
        <f>IF(AND(Input_Product=Elig!$C275,Elig_MatchAll_Ct&lt;22,$BC275=(Elig_MatchAll_Ct-1),AI275=0),F275,0)</f>
        <v>0</v>
      </c>
      <c r="BL275" s="173">
        <f>IF(AND(Input_Product=Elig!$C275,Elig_MatchAll_Ct&lt;22,$BC275=(Elig_MatchAll_Ct-1),AJ275=0),G275,0)</f>
        <v>0</v>
      </c>
      <c r="BM275" s="173">
        <f>IF(AND(Input_Product=Elig!$C275,Elig_MatchAll_Ct&lt;22,$BC275=(Elig_MatchAll_Ct-1),AK275=0),H275,0)</f>
        <v>0</v>
      </c>
      <c r="BN275" s="173">
        <f>IF(AND(Input_Product=Elig!$C275,Elig_MatchAll_Ct&lt;22,$BC275=(Elig_MatchAll_Ct-1),AL275=0),I275,0)</f>
        <v>0</v>
      </c>
      <c r="BO275" s="173">
        <f>IF(AND(Input_Product=Elig!$C275,Elig_MatchAll_Ct&lt;22,$BC275=(Elig_MatchAll_Ct-1),AM275=0),J275,0)</f>
        <v>0</v>
      </c>
      <c r="BP275" s="173">
        <f>IF(AND(Input_Product=Elig!$C275,Elig_MatchAll_Ct&lt;22,$BC275=(Elig_MatchAll_Ct-1),AN275=0),K275,0)</f>
        <v>0</v>
      </c>
      <c r="BQ275" s="173">
        <f>IF(AND(Input_Product=Elig!$C275,Elig_MatchAll_Ct&lt;22,$BC275=(Elig_MatchAll_Ct-1),AP275=0),L275,0)</f>
        <v>0</v>
      </c>
      <c r="BR275" s="173">
        <f>IF(AND(Input_Product=Elig!$C275,Elig_MatchAll_Ct&lt;22,$BC275=(Elig_MatchAll_Ct-1),AO275=0),M275,0)</f>
        <v>0</v>
      </c>
      <c r="BS275" s="173">
        <f>IF(AND(Input_Product=Elig!$C275,Elig_MatchAll_Ct&lt;22,$BC275=(Elig_MatchAll_Ct-1),AQ275=0),N275,0)</f>
        <v>0</v>
      </c>
      <c r="BT275" s="173">
        <f>IF(AND(Input_Product=Elig!$C275,Elig_MatchAll_Ct&lt;22,$BC275=(Elig_MatchAll_Ct-1),AR275=0),O275,0)</f>
        <v>0</v>
      </c>
      <c r="BU275" s="173">
        <f>IF(AND(Input_Product=Elig!$C275,Elig_MatchAll_Ct&lt;22,$BC275=(Elig_MatchAll_Ct-1),AS275=0),P275,0)</f>
        <v>0</v>
      </c>
      <c r="BV275" s="174">
        <f>IF(AND(Input_Product=Elig!$C275,Elig_MatchAll_Ct&lt;22,$BC275=(Elig_MatchAll_Ct-1),AT275=0),Q275,0)</f>
        <v>0</v>
      </c>
      <c r="BW275" s="175">
        <f>IF(AND(Input_Product=Elig!$C275,Elig_MatchAll_Ct&lt;22,$BC275=(Elig_MatchAll_Ct-1),AU275=0),R275,0)</f>
        <v>0</v>
      </c>
      <c r="BX275" s="176">
        <f>IF(AND(Input_Product=Elig!$C275,Elig_MatchAll_Ct&lt;22,$BC275=(Elig_MatchAll_Ct-1),AU275=0),S275,0)</f>
        <v>0</v>
      </c>
      <c r="BY275" s="175">
        <f>IF(AND(Input_Product=Elig!$C275,Elig_MatchAll_Ct&lt;22,$BC275=(Elig_MatchAll_Ct-1),AV275=0),T275,0)</f>
        <v>0</v>
      </c>
      <c r="BZ275" s="176">
        <f>IF(AND(Input_Product=Elig!$C275,Elig_MatchAll_Ct&lt;22,$BC275=(Elig_MatchAll_Ct-1),AV275=0),U275,0)</f>
        <v>0</v>
      </c>
      <c r="CA275" s="175">
        <f>IF(AND(Input_Product=Elig!$C275,Elig_MatchAll_Ct&lt;22,$BC275=(Elig_MatchAll_Ct-1),AW275=0),V275,0)</f>
        <v>0</v>
      </c>
      <c r="CB275" s="176">
        <f>IF(AND(Input_Product=Elig!$C275,Elig_MatchAll_Ct&lt;22,$BC275=(Elig_MatchAll_Ct-1),AW275=0),W275,0)</f>
        <v>0</v>
      </c>
      <c r="CC275" s="175">
        <f>IF(AND(Input_Product=Elig!$C275,Elig_MatchAll_Ct&lt;22,$BC275=(Elig_MatchAll_Ct-1),AX275=0),X275,0)</f>
        <v>0</v>
      </c>
      <c r="CD275" s="176">
        <f>IF(AND(Input_Product=Elig!$C275,Elig_MatchAll_Ct&lt;22,$BC275=(Elig_MatchAll_Ct-1),AX275=0),Y275,0)</f>
        <v>0</v>
      </c>
      <c r="CE275" s="175">
        <f>IF(AND(Input_LTV&lt;=AE275,Input_Product=Elig!$C275,Elig_MatchAll_Ct&lt;22,$BC275=(Elig_MatchAll_Ct-1),AY275=0),Z275,0)</f>
        <v>0</v>
      </c>
      <c r="CF275" s="176">
        <f>IF(AND(Input_LTV&lt;=AE275,Input_Product=Elig!$C275,Elig_MatchAll_Ct&lt;22,$BC275=(Elig_MatchAll_Ct-1),AY275=0),AA275,0)</f>
        <v>0</v>
      </c>
      <c r="CG275" s="175">
        <f>IF(AND(Input_Product=Elig!$C275,Elig_MatchAll_Ct&lt;22,$BC275=(Elig_MatchAll_Ct-1),AZ275=0),AB275,0)</f>
        <v>0</v>
      </c>
      <c r="CH275" s="176">
        <f>IF(AND(Input_Product=Elig!$C275,Elig_MatchAll_Ct&lt;22,$BC275=(Elig_MatchAll_Ct-1),AZ275=0),AC275,0)</f>
        <v>0</v>
      </c>
      <c r="CI275" s="175">
        <f>IF(AND(Input_Product=Elig!$C275,Elig_MatchAll_Ct&lt;22,$BC275=(Elig_MatchAll_Ct-1),BA275=0),AD275,0)</f>
        <v>0</v>
      </c>
      <c r="CJ275" s="176">
        <f>IF(AND(Input_Product=Elig!$C275,Elig_MatchAll_Ct&lt;22,$BC275=(Elig_MatchAll_Ct-1),BA275=0),AE275,0)</f>
        <v>0</v>
      </c>
    </row>
    <row r="276" spans="1:88" ht="10.15" customHeight="1" x14ac:dyDescent="0.25">
      <c r="A276" s="252" t="s">
        <v>76</v>
      </c>
      <c r="B276" s="252" t="s">
        <v>916</v>
      </c>
      <c r="C276" s="251" t="str">
        <f t="shared" si="93"/>
        <v>NonQM NOO</v>
      </c>
      <c r="D276" s="252" t="s">
        <v>1995</v>
      </c>
      <c r="E276" s="252" t="s">
        <v>166</v>
      </c>
      <c r="F276" s="252" t="s">
        <v>329</v>
      </c>
      <c r="G276" s="252" t="s">
        <v>178</v>
      </c>
      <c r="H276" s="252" t="s">
        <v>135</v>
      </c>
      <c r="I276" s="253" t="s">
        <v>273</v>
      </c>
      <c r="J276" s="253" t="s">
        <v>1130</v>
      </c>
      <c r="K276" s="253" t="s">
        <v>1398</v>
      </c>
      <c r="L276" s="252" t="s">
        <v>311</v>
      </c>
      <c r="M276" s="252" t="s">
        <v>2289</v>
      </c>
      <c r="N276" s="252" t="s">
        <v>1844</v>
      </c>
      <c r="O276" s="252" t="s">
        <v>309</v>
      </c>
      <c r="P276" s="252" t="s">
        <v>2434</v>
      </c>
      <c r="Q276" s="252" t="s">
        <v>293</v>
      </c>
      <c r="R276" s="252">
        <v>100000</v>
      </c>
      <c r="S276" s="252">
        <v>1000000</v>
      </c>
      <c r="T276" s="252">
        <v>0</v>
      </c>
      <c r="U276" s="252">
        <v>0</v>
      </c>
      <c r="V276" s="252">
        <v>0</v>
      </c>
      <c r="W276" s="252">
        <v>50</v>
      </c>
      <c r="X276" s="252">
        <v>0</v>
      </c>
      <c r="Y276" s="252">
        <v>999</v>
      </c>
      <c r="Z276" s="254">
        <v>660</v>
      </c>
      <c r="AA276" s="254">
        <v>679</v>
      </c>
      <c r="AB276" s="1883">
        <v>0</v>
      </c>
      <c r="AC276" s="254">
        <v>999999</v>
      </c>
      <c r="AD276" s="252">
        <v>0</v>
      </c>
      <c r="AE276" s="255">
        <v>70</v>
      </c>
      <c r="AF276" s="144">
        <v>0</v>
      </c>
      <c r="AG276" s="145">
        <v>1</v>
      </c>
      <c r="AH276" s="145">
        <v>1</v>
      </c>
      <c r="AI276" s="145">
        <v>1</v>
      </c>
      <c r="AJ276" s="145">
        <v>0</v>
      </c>
      <c r="AK276" s="145">
        <v>1</v>
      </c>
      <c r="AL276" s="145">
        <v>1</v>
      </c>
      <c r="AM276" s="145">
        <v>1</v>
      </c>
      <c r="AN276" s="145">
        <v>1</v>
      </c>
      <c r="AO276" s="145">
        <v>1</v>
      </c>
      <c r="AP276" s="145">
        <v>1</v>
      </c>
      <c r="AQ276" s="145">
        <v>1</v>
      </c>
      <c r="AR276" s="145">
        <v>1</v>
      </c>
      <c r="AS276" s="145">
        <v>1</v>
      </c>
      <c r="AT276" s="145">
        <v>1</v>
      </c>
      <c r="AU276" s="145">
        <f t="shared" si="55"/>
        <v>1</v>
      </c>
      <c r="AV276" s="145">
        <f t="shared" si="56"/>
        <v>1</v>
      </c>
      <c r="AW276" s="145">
        <f t="shared" si="57"/>
        <v>1</v>
      </c>
      <c r="AX276" s="145">
        <f t="shared" si="73"/>
        <v>1</v>
      </c>
      <c r="AY276" s="145">
        <f t="shared" si="58"/>
        <v>0</v>
      </c>
      <c r="AZ276" s="145">
        <f t="shared" si="59"/>
        <v>1</v>
      </c>
      <c r="BA276" s="146">
        <f t="shared" si="60"/>
        <v>1</v>
      </c>
      <c r="BB276" s="149">
        <f t="shared" si="83"/>
        <v>19</v>
      </c>
      <c r="BC276" s="150">
        <f t="shared" si="84"/>
        <v>18</v>
      </c>
      <c r="BD276" s="150">
        <f t="shared" si="85"/>
        <v>19</v>
      </c>
      <c r="BE276" s="211" t="str">
        <f t="shared" si="86"/>
        <v/>
      </c>
      <c r="BH276" s="173">
        <f>IF(AND(Input_Product=Elig!$C276,Elig_MatchAll_Ct&lt;22,$BC276=(Elig_MatchAll_Ct-1),AF276=0),C276,0)</f>
        <v>0</v>
      </c>
      <c r="BI276" s="173">
        <f>IF(AND(Input_Product=Elig!$C276,Elig_MatchAll_Ct&lt;22,$BC276=(Elig_MatchAll_Ct-1),AG276=0),D276,0)</f>
        <v>0</v>
      </c>
      <c r="BJ276" s="173">
        <f>IF(AND(Input_Product=Elig!$C276,Elig_MatchAll_Ct&lt;22,$BC276=(Elig_MatchAll_Ct-1),AH276=0),E276,0)</f>
        <v>0</v>
      </c>
      <c r="BK276" s="173">
        <f>IF(AND(Input_Product=Elig!$C276,Elig_MatchAll_Ct&lt;22,$BC276=(Elig_MatchAll_Ct-1),AI276=0),F276,0)</f>
        <v>0</v>
      </c>
      <c r="BL276" s="173">
        <f>IF(AND(Input_Product=Elig!$C276,Elig_MatchAll_Ct&lt;22,$BC276=(Elig_MatchAll_Ct-1),AJ276=0),G276,0)</f>
        <v>0</v>
      </c>
      <c r="BM276" s="173">
        <f>IF(AND(Input_Product=Elig!$C276,Elig_MatchAll_Ct&lt;22,$BC276=(Elig_MatchAll_Ct-1),AK276=0),H276,0)</f>
        <v>0</v>
      </c>
      <c r="BN276" s="173">
        <f>IF(AND(Input_Product=Elig!$C276,Elig_MatchAll_Ct&lt;22,$BC276=(Elig_MatchAll_Ct-1),AL276=0),I276,0)</f>
        <v>0</v>
      </c>
      <c r="BO276" s="173">
        <f>IF(AND(Input_Product=Elig!$C276,Elig_MatchAll_Ct&lt;22,$BC276=(Elig_MatchAll_Ct-1),AM276=0),J276,0)</f>
        <v>0</v>
      </c>
      <c r="BP276" s="173">
        <f>IF(AND(Input_Product=Elig!$C276,Elig_MatchAll_Ct&lt;22,$BC276=(Elig_MatchAll_Ct-1),AN276=0),K276,0)</f>
        <v>0</v>
      </c>
      <c r="BQ276" s="173">
        <f>IF(AND(Input_Product=Elig!$C276,Elig_MatchAll_Ct&lt;22,$BC276=(Elig_MatchAll_Ct-1),AP276=0),L276,0)</f>
        <v>0</v>
      </c>
      <c r="BR276" s="173">
        <f>IF(AND(Input_Product=Elig!$C276,Elig_MatchAll_Ct&lt;22,$BC276=(Elig_MatchAll_Ct-1),AO276=0),M276,0)</f>
        <v>0</v>
      </c>
      <c r="BS276" s="173">
        <f>IF(AND(Input_Product=Elig!$C276,Elig_MatchAll_Ct&lt;22,$BC276=(Elig_MatchAll_Ct-1),AQ276=0),N276,0)</f>
        <v>0</v>
      </c>
      <c r="BT276" s="173">
        <f>IF(AND(Input_Product=Elig!$C276,Elig_MatchAll_Ct&lt;22,$BC276=(Elig_MatchAll_Ct-1),AR276=0),O276,0)</f>
        <v>0</v>
      </c>
      <c r="BU276" s="173">
        <f>IF(AND(Input_Product=Elig!$C276,Elig_MatchAll_Ct&lt;22,$BC276=(Elig_MatchAll_Ct-1),AS276=0),P276,0)</f>
        <v>0</v>
      </c>
      <c r="BV276" s="174">
        <f>IF(AND(Input_Product=Elig!$C276,Elig_MatchAll_Ct&lt;22,$BC276=(Elig_MatchAll_Ct-1),AT276=0),Q276,0)</f>
        <v>0</v>
      </c>
      <c r="BW276" s="175">
        <f>IF(AND(Input_Product=Elig!$C276,Elig_MatchAll_Ct&lt;22,$BC276=(Elig_MatchAll_Ct-1),AU276=0),R276,0)</f>
        <v>0</v>
      </c>
      <c r="BX276" s="176">
        <f>IF(AND(Input_Product=Elig!$C276,Elig_MatchAll_Ct&lt;22,$BC276=(Elig_MatchAll_Ct-1),AU276=0),S276,0)</f>
        <v>0</v>
      </c>
      <c r="BY276" s="175">
        <f>IF(AND(Input_Product=Elig!$C276,Elig_MatchAll_Ct&lt;22,$BC276=(Elig_MatchAll_Ct-1),AV276=0),T276,0)</f>
        <v>0</v>
      </c>
      <c r="BZ276" s="176">
        <f>IF(AND(Input_Product=Elig!$C276,Elig_MatchAll_Ct&lt;22,$BC276=(Elig_MatchAll_Ct-1),AV276=0),U276,0)</f>
        <v>0</v>
      </c>
      <c r="CA276" s="175">
        <f>IF(AND(Input_Product=Elig!$C276,Elig_MatchAll_Ct&lt;22,$BC276=(Elig_MatchAll_Ct-1),AW276=0),V276,0)</f>
        <v>0</v>
      </c>
      <c r="CB276" s="176">
        <f>IF(AND(Input_Product=Elig!$C276,Elig_MatchAll_Ct&lt;22,$BC276=(Elig_MatchAll_Ct-1),AW276=0),W276,0)</f>
        <v>0</v>
      </c>
      <c r="CC276" s="175">
        <f>IF(AND(Input_Product=Elig!$C276,Elig_MatchAll_Ct&lt;22,$BC276=(Elig_MatchAll_Ct-1),AX276=0),X276,0)</f>
        <v>0</v>
      </c>
      <c r="CD276" s="176">
        <f>IF(AND(Input_Product=Elig!$C276,Elig_MatchAll_Ct&lt;22,$BC276=(Elig_MatchAll_Ct-1),AX276=0),Y276,0)</f>
        <v>0</v>
      </c>
      <c r="CE276" s="175">
        <f>IF(AND(Input_LTV&lt;=AE276,Input_Product=Elig!$C276,Elig_MatchAll_Ct&lt;22,$BC276=(Elig_MatchAll_Ct-1),AY276=0),Z276,0)</f>
        <v>0</v>
      </c>
      <c r="CF276" s="176">
        <f>IF(AND(Input_LTV&lt;=AE276,Input_Product=Elig!$C276,Elig_MatchAll_Ct&lt;22,$BC276=(Elig_MatchAll_Ct-1),AY276=0),AA276,0)</f>
        <v>0</v>
      </c>
      <c r="CG276" s="175">
        <f>IF(AND(Input_Product=Elig!$C276,Elig_MatchAll_Ct&lt;22,$BC276=(Elig_MatchAll_Ct-1),AZ276=0),AB276,0)</f>
        <v>0</v>
      </c>
      <c r="CH276" s="176">
        <f>IF(AND(Input_Product=Elig!$C276,Elig_MatchAll_Ct&lt;22,$BC276=(Elig_MatchAll_Ct-1),AZ276=0),AC276,0)</f>
        <v>0</v>
      </c>
      <c r="CI276" s="175">
        <f>IF(AND(Input_Product=Elig!$C276,Elig_MatchAll_Ct&lt;22,$BC276=(Elig_MatchAll_Ct-1),BA276=0),AD276,0)</f>
        <v>0</v>
      </c>
      <c r="CJ276" s="176">
        <f>IF(AND(Input_Product=Elig!$C276,Elig_MatchAll_Ct&lt;22,$BC276=(Elig_MatchAll_Ct-1),BA276=0),AE276,0)</f>
        <v>0</v>
      </c>
    </row>
    <row r="277" spans="1:88" ht="10.15" customHeight="1" x14ac:dyDescent="0.25">
      <c r="A277" s="252" t="s">
        <v>76</v>
      </c>
      <c r="B277" s="252" t="s">
        <v>917</v>
      </c>
      <c r="C277" s="246" t="str">
        <f t="shared" si="93"/>
        <v>NonQM NOO</v>
      </c>
      <c r="D277" s="247" t="s">
        <v>1995</v>
      </c>
      <c r="E277" s="248" t="s">
        <v>166</v>
      </c>
      <c r="F277" s="248" t="s">
        <v>329</v>
      </c>
      <c r="G277" s="247" t="s">
        <v>178</v>
      </c>
      <c r="H277" s="247" t="s">
        <v>135</v>
      </c>
      <c r="I277" s="247" t="s">
        <v>16</v>
      </c>
      <c r="J277" s="247" t="s">
        <v>1130</v>
      </c>
      <c r="K277" s="247" t="s">
        <v>1398</v>
      </c>
      <c r="L277" s="248" t="s">
        <v>311</v>
      </c>
      <c r="M277" s="248" t="s">
        <v>2289</v>
      </c>
      <c r="N277" s="248" t="s">
        <v>1844</v>
      </c>
      <c r="O277" s="248" t="s">
        <v>309</v>
      </c>
      <c r="P277" s="248" t="s">
        <v>2434</v>
      </c>
      <c r="Q277" s="248" t="s">
        <v>293</v>
      </c>
      <c r="R277" s="247">
        <v>100000</v>
      </c>
      <c r="S277" s="247">
        <v>1000000</v>
      </c>
      <c r="T277" s="247">
        <v>0</v>
      </c>
      <c r="U277" s="247">
        <f t="shared" ref="U277:U280" si="97">S277</f>
        <v>1000000</v>
      </c>
      <c r="V277" s="247">
        <v>0</v>
      </c>
      <c r="W277" s="247">
        <v>55</v>
      </c>
      <c r="X277" s="247">
        <v>0</v>
      </c>
      <c r="Y277" s="247">
        <v>999</v>
      </c>
      <c r="Z277" s="249">
        <v>720</v>
      </c>
      <c r="AA277" s="249">
        <v>999</v>
      </c>
      <c r="AB277" s="1882">
        <v>0</v>
      </c>
      <c r="AC277" s="249">
        <v>999999</v>
      </c>
      <c r="AD277" s="247">
        <v>0</v>
      </c>
      <c r="AE277" s="250">
        <v>70</v>
      </c>
      <c r="AF277" s="144">
        <v>0</v>
      </c>
      <c r="AG277" s="145">
        <v>1</v>
      </c>
      <c r="AH277" s="145">
        <v>1</v>
      </c>
      <c r="AI277" s="145">
        <v>1</v>
      </c>
      <c r="AJ277" s="145">
        <v>0</v>
      </c>
      <c r="AK277" s="145">
        <v>1</v>
      </c>
      <c r="AL277" s="145">
        <v>0</v>
      </c>
      <c r="AM277" s="145">
        <v>1</v>
      </c>
      <c r="AN277" s="145">
        <v>1</v>
      </c>
      <c r="AO277" s="145">
        <v>1</v>
      </c>
      <c r="AP277" s="145">
        <v>1</v>
      </c>
      <c r="AQ277" s="145">
        <v>1</v>
      </c>
      <c r="AR277" s="145">
        <v>1</v>
      </c>
      <c r="AS277" s="145">
        <v>1</v>
      </c>
      <c r="AT277" s="145">
        <v>1</v>
      </c>
      <c r="AU277" s="145">
        <f t="shared" si="55"/>
        <v>1</v>
      </c>
      <c r="AV277" s="145">
        <f t="shared" si="56"/>
        <v>1</v>
      </c>
      <c r="AW277" s="145">
        <f t="shared" si="57"/>
        <v>1</v>
      </c>
      <c r="AX277" s="145">
        <f t="shared" si="73"/>
        <v>1</v>
      </c>
      <c r="AY277" s="145">
        <f t="shared" si="58"/>
        <v>1</v>
      </c>
      <c r="AZ277" s="145">
        <f t="shared" si="59"/>
        <v>1</v>
      </c>
      <c r="BA277" s="146">
        <f t="shared" si="60"/>
        <v>1</v>
      </c>
      <c r="BB277" s="149">
        <f t="shared" si="83"/>
        <v>19</v>
      </c>
      <c r="BC277" s="150">
        <f t="shared" si="84"/>
        <v>18</v>
      </c>
      <c r="BD277" s="150">
        <f t="shared" si="85"/>
        <v>19</v>
      </c>
      <c r="BE277" s="211" t="str">
        <f t="shared" si="86"/>
        <v/>
      </c>
      <c r="BH277" s="190">
        <f>IF(AND(Input_Product=Elig!$C277,Elig_MatchAll_Ct&lt;22,$BC277=(Elig_MatchAll_Ct-1),AF277=0),C277,0)</f>
        <v>0</v>
      </c>
      <c r="BI277" s="190">
        <f>IF(AND(Input_Product=Elig!$C277,Elig_MatchAll_Ct&lt;22,$BC277=(Elig_MatchAll_Ct-1),AG277=0),D277,0)</f>
        <v>0</v>
      </c>
      <c r="BJ277" s="190">
        <f>IF(AND(Input_Product=Elig!$C277,Elig_MatchAll_Ct&lt;22,$BC277=(Elig_MatchAll_Ct-1),AH277=0),E277,0)</f>
        <v>0</v>
      </c>
      <c r="BK277" s="190">
        <f>IF(AND(Input_Product=Elig!$C277,Elig_MatchAll_Ct&lt;22,$BC277=(Elig_MatchAll_Ct-1),AI277=0),F277,0)</f>
        <v>0</v>
      </c>
      <c r="BL277" s="190">
        <f>IF(AND(Input_Product=Elig!$C277,Elig_MatchAll_Ct&lt;22,$BC277=(Elig_MatchAll_Ct-1),AJ277=0),G277,0)</f>
        <v>0</v>
      </c>
      <c r="BM277" s="190">
        <f>IF(AND(Input_Product=Elig!$C277,Elig_MatchAll_Ct&lt;22,$BC277=(Elig_MatchAll_Ct-1),AK277=0),H277,0)</f>
        <v>0</v>
      </c>
      <c r="BN277" s="190">
        <f>IF(AND(Input_Product=Elig!$C277,Elig_MatchAll_Ct&lt;22,$BC277=(Elig_MatchAll_Ct-1),AL277=0),I277,0)</f>
        <v>0</v>
      </c>
      <c r="BO277" s="190">
        <f>IF(AND(Input_Product=Elig!$C277,Elig_MatchAll_Ct&lt;22,$BC277=(Elig_MatchAll_Ct-1),AM277=0),J277,0)</f>
        <v>0</v>
      </c>
      <c r="BP277" s="190">
        <f>IF(AND(Input_Product=Elig!$C277,Elig_MatchAll_Ct&lt;22,$BC277=(Elig_MatchAll_Ct-1),AN277=0),K277,0)</f>
        <v>0</v>
      </c>
      <c r="BQ277" s="190">
        <f>IF(AND(Input_Product=Elig!$C277,Elig_MatchAll_Ct&lt;22,$BC277=(Elig_MatchAll_Ct-1),AP277=0),L277,0)</f>
        <v>0</v>
      </c>
      <c r="BR277" s="190">
        <f>IF(AND(Input_Product=Elig!$C277,Elig_MatchAll_Ct&lt;22,$BC277=(Elig_MatchAll_Ct-1),AO277=0),M277,0)</f>
        <v>0</v>
      </c>
      <c r="BS277" s="190">
        <f>IF(AND(Input_Product=Elig!$C277,Elig_MatchAll_Ct&lt;22,$BC277=(Elig_MatchAll_Ct-1),AQ277=0),N277,0)</f>
        <v>0</v>
      </c>
      <c r="BT277" s="190">
        <f>IF(AND(Input_Product=Elig!$C277,Elig_MatchAll_Ct&lt;22,$BC277=(Elig_MatchAll_Ct-1),AR277=0),O277,0)</f>
        <v>0</v>
      </c>
      <c r="BU277" s="190">
        <f>IF(AND(Input_Product=Elig!$C277,Elig_MatchAll_Ct&lt;22,$BC277=(Elig_MatchAll_Ct-1),AS277=0),P277,0)</f>
        <v>0</v>
      </c>
      <c r="BV277" s="191">
        <f>IF(AND(Input_Product=Elig!$C277,Elig_MatchAll_Ct&lt;22,$BC277=(Elig_MatchAll_Ct-1),AT277=0),Q277,0)</f>
        <v>0</v>
      </c>
      <c r="BW277" s="186">
        <f>IF(AND(Input_Product=Elig!$C277,Elig_MatchAll_Ct&lt;22,$BC277=(Elig_MatchAll_Ct-1),AU277=0),R277,0)</f>
        <v>0</v>
      </c>
      <c r="BX277" s="187">
        <f>IF(AND(Input_Product=Elig!$C277,Elig_MatchAll_Ct&lt;22,$BC277=(Elig_MatchAll_Ct-1),AU277=0),S277,0)</f>
        <v>0</v>
      </c>
      <c r="BY277" s="186">
        <f>IF(AND(Input_Product=Elig!$C277,Elig_MatchAll_Ct&lt;22,$BC277=(Elig_MatchAll_Ct-1),AV277=0),T277,0)</f>
        <v>0</v>
      </c>
      <c r="BZ277" s="187">
        <f>IF(AND(Input_Product=Elig!$C277,Elig_MatchAll_Ct&lt;22,$BC277=(Elig_MatchAll_Ct-1),AV277=0),U277,0)</f>
        <v>0</v>
      </c>
      <c r="CA277" s="186">
        <f>IF(AND(Input_Product=Elig!$C277,Elig_MatchAll_Ct&lt;22,$BC277=(Elig_MatchAll_Ct-1),AW277=0),V277,0)</f>
        <v>0</v>
      </c>
      <c r="CB277" s="187">
        <f>IF(AND(Input_Product=Elig!$C277,Elig_MatchAll_Ct&lt;22,$BC277=(Elig_MatchAll_Ct-1),AW277=0),W277,0)</f>
        <v>0</v>
      </c>
      <c r="CC277" s="186">
        <f>IF(AND(Input_Product=Elig!$C277,Elig_MatchAll_Ct&lt;22,$BC277=(Elig_MatchAll_Ct-1),AX277=0),X277,0)</f>
        <v>0</v>
      </c>
      <c r="CD277" s="187">
        <f>IF(AND(Input_Product=Elig!$C277,Elig_MatchAll_Ct&lt;22,$BC277=(Elig_MatchAll_Ct-1),AX277=0),Y277,0)</f>
        <v>0</v>
      </c>
      <c r="CE277" s="186">
        <f>IF(AND(Input_LTV&lt;=AE277,Input_Product=Elig!$C277,Elig_MatchAll_Ct&lt;22,$BC277=(Elig_MatchAll_Ct-1),AY277=0),Z277,0)</f>
        <v>0</v>
      </c>
      <c r="CF277" s="187">
        <f>IF(AND(Input_LTV&lt;=AE277,Input_Product=Elig!$C277,Elig_MatchAll_Ct&lt;22,$BC277=(Elig_MatchAll_Ct-1),AY277=0),AA277,0)</f>
        <v>0</v>
      </c>
      <c r="CG277" s="186">
        <f>IF(AND(Input_Product=Elig!$C277,Elig_MatchAll_Ct&lt;22,$BC277=(Elig_MatchAll_Ct-1),AZ277=0),AB277,0)</f>
        <v>0</v>
      </c>
      <c r="CH277" s="187">
        <f>IF(AND(Input_Product=Elig!$C277,Elig_MatchAll_Ct&lt;22,$BC277=(Elig_MatchAll_Ct-1),AZ277=0),AC277,0)</f>
        <v>0</v>
      </c>
      <c r="CI277" s="186">
        <f>IF(AND(Input_Product=Elig!$C277,Elig_MatchAll_Ct&lt;22,$BC277=(Elig_MatchAll_Ct-1),BA277=0),AD277,0)</f>
        <v>0</v>
      </c>
      <c r="CJ277" s="187">
        <f>IF(AND(Input_Product=Elig!$C277,Elig_MatchAll_Ct&lt;22,$BC277=(Elig_MatchAll_Ct-1),BA277=0),AE277,0)</f>
        <v>0</v>
      </c>
    </row>
    <row r="278" spans="1:88" ht="10.15" customHeight="1" x14ac:dyDescent="0.25">
      <c r="A278" s="252" t="s">
        <v>76</v>
      </c>
      <c r="B278" s="252" t="s">
        <v>918</v>
      </c>
      <c r="C278" s="251" t="str">
        <f t="shared" si="93"/>
        <v>NonQM NOO</v>
      </c>
      <c r="D278" s="252" t="s">
        <v>1995</v>
      </c>
      <c r="E278" s="252" t="s">
        <v>166</v>
      </c>
      <c r="F278" s="252" t="s">
        <v>329</v>
      </c>
      <c r="G278" s="252" t="s">
        <v>178</v>
      </c>
      <c r="H278" s="252" t="s">
        <v>135</v>
      </c>
      <c r="I278" s="253" t="s">
        <v>16</v>
      </c>
      <c r="J278" s="253" t="s">
        <v>1130</v>
      </c>
      <c r="K278" s="253" t="s">
        <v>1398</v>
      </c>
      <c r="L278" s="252" t="s">
        <v>311</v>
      </c>
      <c r="M278" s="252" t="s">
        <v>2289</v>
      </c>
      <c r="N278" s="252" t="s">
        <v>1844</v>
      </c>
      <c r="O278" s="252" t="s">
        <v>309</v>
      </c>
      <c r="P278" s="252" t="s">
        <v>2434</v>
      </c>
      <c r="Q278" s="252" t="s">
        <v>293</v>
      </c>
      <c r="R278" s="252">
        <v>100000</v>
      </c>
      <c r="S278" s="252">
        <v>1000000</v>
      </c>
      <c r="T278" s="252">
        <v>0</v>
      </c>
      <c r="U278" s="252">
        <f t="shared" si="97"/>
        <v>1000000</v>
      </c>
      <c r="V278" s="252">
        <v>0</v>
      </c>
      <c r="W278" s="252">
        <v>55</v>
      </c>
      <c r="X278" s="252">
        <v>0</v>
      </c>
      <c r="Y278" s="252">
        <v>999</v>
      </c>
      <c r="Z278" s="254">
        <v>700</v>
      </c>
      <c r="AA278" s="254">
        <v>719</v>
      </c>
      <c r="AB278" s="1883">
        <v>0</v>
      </c>
      <c r="AC278" s="254">
        <v>999999</v>
      </c>
      <c r="AD278" s="252">
        <v>0</v>
      </c>
      <c r="AE278" s="255">
        <v>70</v>
      </c>
      <c r="AF278" s="144">
        <v>0</v>
      </c>
      <c r="AG278" s="145">
        <v>1</v>
      </c>
      <c r="AH278" s="145">
        <v>1</v>
      </c>
      <c r="AI278" s="145">
        <v>1</v>
      </c>
      <c r="AJ278" s="145">
        <v>0</v>
      </c>
      <c r="AK278" s="145">
        <v>1</v>
      </c>
      <c r="AL278" s="145">
        <v>0</v>
      </c>
      <c r="AM278" s="145">
        <v>1</v>
      </c>
      <c r="AN278" s="145">
        <v>1</v>
      </c>
      <c r="AO278" s="145">
        <v>1</v>
      </c>
      <c r="AP278" s="145">
        <v>1</v>
      </c>
      <c r="AQ278" s="145">
        <v>1</v>
      </c>
      <c r="AR278" s="145">
        <v>1</v>
      </c>
      <c r="AS278" s="145">
        <v>1</v>
      </c>
      <c r="AT278" s="145">
        <v>1</v>
      </c>
      <c r="AU278" s="145">
        <f t="shared" si="55"/>
        <v>1</v>
      </c>
      <c r="AV278" s="145">
        <f t="shared" si="56"/>
        <v>1</v>
      </c>
      <c r="AW278" s="145">
        <f t="shared" si="57"/>
        <v>1</v>
      </c>
      <c r="AX278" s="145">
        <f t="shared" si="73"/>
        <v>1</v>
      </c>
      <c r="AY278" s="145">
        <f t="shared" si="58"/>
        <v>0</v>
      </c>
      <c r="AZ278" s="145">
        <f t="shared" si="59"/>
        <v>1</v>
      </c>
      <c r="BA278" s="146">
        <f t="shared" si="60"/>
        <v>1</v>
      </c>
      <c r="BB278" s="149">
        <f t="shared" si="83"/>
        <v>18</v>
      </c>
      <c r="BC278" s="150">
        <f t="shared" si="84"/>
        <v>17</v>
      </c>
      <c r="BD278" s="150">
        <f t="shared" si="85"/>
        <v>18</v>
      </c>
      <c r="BE278" s="211" t="str">
        <f t="shared" si="86"/>
        <v/>
      </c>
      <c r="BH278" s="173">
        <f>IF(AND(Input_Product=Elig!$C278,Elig_MatchAll_Ct&lt;22,$BC278=(Elig_MatchAll_Ct-1),AF278=0),C278,0)</f>
        <v>0</v>
      </c>
      <c r="BI278" s="173">
        <f>IF(AND(Input_Product=Elig!$C278,Elig_MatchAll_Ct&lt;22,$BC278=(Elig_MatchAll_Ct-1),AG278=0),D278,0)</f>
        <v>0</v>
      </c>
      <c r="BJ278" s="173">
        <f>IF(AND(Input_Product=Elig!$C278,Elig_MatchAll_Ct&lt;22,$BC278=(Elig_MatchAll_Ct-1),AH278=0),E278,0)</f>
        <v>0</v>
      </c>
      <c r="BK278" s="173">
        <f>IF(AND(Input_Product=Elig!$C278,Elig_MatchAll_Ct&lt;22,$BC278=(Elig_MatchAll_Ct-1),AI278=0),F278,0)</f>
        <v>0</v>
      </c>
      <c r="BL278" s="173">
        <f>IF(AND(Input_Product=Elig!$C278,Elig_MatchAll_Ct&lt;22,$BC278=(Elig_MatchAll_Ct-1),AJ278=0),G278,0)</f>
        <v>0</v>
      </c>
      <c r="BM278" s="173">
        <f>IF(AND(Input_Product=Elig!$C278,Elig_MatchAll_Ct&lt;22,$BC278=(Elig_MatchAll_Ct-1),AK278=0),H278,0)</f>
        <v>0</v>
      </c>
      <c r="BN278" s="173">
        <f>IF(AND(Input_Product=Elig!$C278,Elig_MatchAll_Ct&lt;22,$BC278=(Elig_MatchAll_Ct-1),AL278=0),I278,0)</f>
        <v>0</v>
      </c>
      <c r="BO278" s="173">
        <f>IF(AND(Input_Product=Elig!$C278,Elig_MatchAll_Ct&lt;22,$BC278=(Elig_MatchAll_Ct-1),AM278=0),J278,0)</f>
        <v>0</v>
      </c>
      <c r="BP278" s="173">
        <f>IF(AND(Input_Product=Elig!$C278,Elig_MatchAll_Ct&lt;22,$BC278=(Elig_MatchAll_Ct-1),AN278=0),K278,0)</f>
        <v>0</v>
      </c>
      <c r="BQ278" s="173">
        <f>IF(AND(Input_Product=Elig!$C278,Elig_MatchAll_Ct&lt;22,$BC278=(Elig_MatchAll_Ct-1),AP278=0),L278,0)</f>
        <v>0</v>
      </c>
      <c r="BR278" s="173">
        <f>IF(AND(Input_Product=Elig!$C278,Elig_MatchAll_Ct&lt;22,$BC278=(Elig_MatchAll_Ct-1),AO278=0),M278,0)</f>
        <v>0</v>
      </c>
      <c r="BS278" s="173">
        <f>IF(AND(Input_Product=Elig!$C278,Elig_MatchAll_Ct&lt;22,$BC278=(Elig_MatchAll_Ct-1),AQ278=0),N278,0)</f>
        <v>0</v>
      </c>
      <c r="BT278" s="173">
        <f>IF(AND(Input_Product=Elig!$C278,Elig_MatchAll_Ct&lt;22,$BC278=(Elig_MatchAll_Ct-1),AR278=0),O278,0)</f>
        <v>0</v>
      </c>
      <c r="BU278" s="173">
        <f>IF(AND(Input_Product=Elig!$C278,Elig_MatchAll_Ct&lt;22,$BC278=(Elig_MatchAll_Ct-1),AS278=0),P278,0)</f>
        <v>0</v>
      </c>
      <c r="BV278" s="174">
        <f>IF(AND(Input_Product=Elig!$C278,Elig_MatchAll_Ct&lt;22,$BC278=(Elig_MatchAll_Ct-1),AT278=0),Q278,0)</f>
        <v>0</v>
      </c>
      <c r="BW278" s="175">
        <f>IF(AND(Input_Product=Elig!$C278,Elig_MatchAll_Ct&lt;22,$BC278=(Elig_MatchAll_Ct-1),AU278=0),R278,0)</f>
        <v>0</v>
      </c>
      <c r="BX278" s="176">
        <f>IF(AND(Input_Product=Elig!$C278,Elig_MatchAll_Ct&lt;22,$BC278=(Elig_MatchAll_Ct-1),AU278=0),S278,0)</f>
        <v>0</v>
      </c>
      <c r="BY278" s="175">
        <f>IF(AND(Input_Product=Elig!$C278,Elig_MatchAll_Ct&lt;22,$BC278=(Elig_MatchAll_Ct-1),AV278=0),T278,0)</f>
        <v>0</v>
      </c>
      <c r="BZ278" s="176">
        <f>IF(AND(Input_Product=Elig!$C278,Elig_MatchAll_Ct&lt;22,$BC278=(Elig_MatchAll_Ct-1),AV278=0),U278,0)</f>
        <v>0</v>
      </c>
      <c r="CA278" s="175">
        <f>IF(AND(Input_Product=Elig!$C278,Elig_MatchAll_Ct&lt;22,$BC278=(Elig_MatchAll_Ct-1),AW278=0),V278,0)</f>
        <v>0</v>
      </c>
      <c r="CB278" s="176">
        <f>IF(AND(Input_Product=Elig!$C278,Elig_MatchAll_Ct&lt;22,$BC278=(Elig_MatchAll_Ct-1),AW278=0),W278,0)</f>
        <v>0</v>
      </c>
      <c r="CC278" s="175">
        <f>IF(AND(Input_Product=Elig!$C278,Elig_MatchAll_Ct&lt;22,$BC278=(Elig_MatchAll_Ct-1),AX278=0),X278,0)</f>
        <v>0</v>
      </c>
      <c r="CD278" s="176">
        <f>IF(AND(Input_Product=Elig!$C278,Elig_MatchAll_Ct&lt;22,$BC278=(Elig_MatchAll_Ct-1),AX278=0),Y278,0)</f>
        <v>0</v>
      </c>
      <c r="CE278" s="175">
        <f>IF(AND(Input_LTV&lt;=AE278,Input_Product=Elig!$C278,Elig_MatchAll_Ct&lt;22,$BC278=(Elig_MatchAll_Ct-1),AY278=0),Z278,0)</f>
        <v>0</v>
      </c>
      <c r="CF278" s="176">
        <f>IF(AND(Input_LTV&lt;=AE278,Input_Product=Elig!$C278,Elig_MatchAll_Ct&lt;22,$BC278=(Elig_MatchAll_Ct-1),AY278=0),AA278,0)</f>
        <v>0</v>
      </c>
      <c r="CG278" s="175">
        <f>IF(AND(Input_Product=Elig!$C278,Elig_MatchAll_Ct&lt;22,$BC278=(Elig_MatchAll_Ct-1),AZ278=0),AB278,0)</f>
        <v>0</v>
      </c>
      <c r="CH278" s="176">
        <f>IF(AND(Input_Product=Elig!$C278,Elig_MatchAll_Ct&lt;22,$BC278=(Elig_MatchAll_Ct-1),AZ278=0),AC278,0)</f>
        <v>0</v>
      </c>
      <c r="CI278" s="175">
        <f>IF(AND(Input_Product=Elig!$C278,Elig_MatchAll_Ct&lt;22,$BC278=(Elig_MatchAll_Ct-1),BA278=0),AD278,0)</f>
        <v>0</v>
      </c>
      <c r="CJ278" s="176">
        <f>IF(AND(Input_Product=Elig!$C278,Elig_MatchAll_Ct&lt;22,$BC278=(Elig_MatchAll_Ct-1),BA278=0),AE278,0)</f>
        <v>0</v>
      </c>
    </row>
    <row r="279" spans="1:88" ht="10.15" customHeight="1" x14ac:dyDescent="0.25">
      <c r="A279" s="252" t="s">
        <v>76</v>
      </c>
      <c r="B279" s="252" t="s">
        <v>919</v>
      </c>
      <c r="C279" s="251" t="str">
        <f t="shared" si="93"/>
        <v>NonQM NOO</v>
      </c>
      <c r="D279" s="252" t="s">
        <v>1995</v>
      </c>
      <c r="E279" s="252" t="s">
        <v>166</v>
      </c>
      <c r="F279" s="252" t="s">
        <v>329</v>
      </c>
      <c r="G279" s="252" t="s">
        <v>178</v>
      </c>
      <c r="H279" s="252" t="s">
        <v>135</v>
      </c>
      <c r="I279" s="253" t="s">
        <v>16</v>
      </c>
      <c r="J279" s="253" t="s">
        <v>1130</v>
      </c>
      <c r="K279" s="253" t="s">
        <v>1398</v>
      </c>
      <c r="L279" s="252" t="s">
        <v>311</v>
      </c>
      <c r="M279" s="252" t="s">
        <v>2289</v>
      </c>
      <c r="N279" s="252" t="s">
        <v>1844</v>
      </c>
      <c r="O279" s="252" t="s">
        <v>309</v>
      </c>
      <c r="P279" s="252" t="s">
        <v>2434</v>
      </c>
      <c r="Q279" s="252" t="s">
        <v>293</v>
      </c>
      <c r="R279" s="252">
        <v>100000</v>
      </c>
      <c r="S279" s="252">
        <v>1000000</v>
      </c>
      <c r="T279" s="252">
        <v>0</v>
      </c>
      <c r="U279" s="252">
        <f t="shared" si="97"/>
        <v>1000000</v>
      </c>
      <c r="V279" s="252">
        <v>0</v>
      </c>
      <c r="W279" s="252">
        <v>55</v>
      </c>
      <c r="X279" s="252">
        <v>0</v>
      </c>
      <c r="Y279" s="252">
        <v>999</v>
      </c>
      <c r="Z279" s="254">
        <v>680</v>
      </c>
      <c r="AA279" s="254">
        <v>699</v>
      </c>
      <c r="AB279" s="1883">
        <v>0</v>
      </c>
      <c r="AC279" s="254">
        <v>999999</v>
      </c>
      <c r="AD279" s="252">
        <v>0</v>
      </c>
      <c r="AE279" s="255">
        <v>65</v>
      </c>
      <c r="AF279" s="144">
        <v>0</v>
      </c>
      <c r="AG279" s="145">
        <v>1</v>
      </c>
      <c r="AH279" s="145">
        <v>1</v>
      </c>
      <c r="AI279" s="145">
        <v>1</v>
      </c>
      <c r="AJ279" s="145">
        <v>0</v>
      </c>
      <c r="AK279" s="145">
        <v>1</v>
      </c>
      <c r="AL279" s="145">
        <v>0</v>
      </c>
      <c r="AM279" s="145">
        <v>1</v>
      </c>
      <c r="AN279" s="145">
        <v>1</v>
      </c>
      <c r="AO279" s="145">
        <v>1</v>
      </c>
      <c r="AP279" s="145">
        <v>1</v>
      </c>
      <c r="AQ279" s="145">
        <v>1</v>
      </c>
      <c r="AR279" s="145">
        <v>1</v>
      </c>
      <c r="AS279" s="145">
        <v>1</v>
      </c>
      <c r="AT279" s="145">
        <v>1</v>
      </c>
      <c r="AU279" s="145">
        <f t="shared" si="55"/>
        <v>1</v>
      </c>
      <c r="AV279" s="145">
        <f t="shared" si="56"/>
        <v>1</v>
      </c>
      <c r="AW279" s="145">
        <f t="shared" si="57"/>
        <v>1</v>
      </c>
      <c r="AX279" s="145">
        <f t="shared" si="73"/>
        <v>1</v>
      </c>
      <c r="AY279" s="145">
        <f t="shared" si="58"/>
        <v>0</v>
      </c>
      <c r="AZ279" s="145">
        <f t="shared" si="59"/>
        <v>1</v>
      </c>
      <c r="BA279" s="146">
        <f t="shared" si="60"/>
        <v>0</v>
      </c>
      <c r="BB279" s="149">
        <f t="shared" si="83"/>
        <v>17</v>
      </c>
      <c r="BC279" s="150">
        <f t="shared" si="84"/>
        <v>17</v>
      </c>
      <c r="BD279" s="150">
        <f t="shared" si="85"/>
        <v>17</v>
      </c>
      <c r="BE279" s="211" t="str">
        <f t="shared" si="86"/>
        <v/>
      </c>
      <c r="BH279" s="173">
        <f>IF(AND(Input_Product=Elig!$C279,Elig_MatchAll_Ct&lt;22,$BC279=(Elig_MatchAll_Ct-1),AF279=0),C279,0)</f>
        <v>0</v>
      </c>
      <c r="BI279" s="173">
        <f>IF(AND(Input_Product=Elig!$C279,Elig_MatchAll_Ct&lt;22,$BC279=(Elig_MatchAll_Ct-1),AG279=0),D279,0)</f>
        <v>0</v>
      </c>
      <c r="BJ279" s="173">
        <f>IF(AND(Input_Product=Elig!$C279,Elig_MatchAll_Ct&lt;22,$BC279=(Elig_MatchAll_Ct-1),AH279=0),E279,0)</f>
        <v>0</v>
      </c>
      <c r="BK279" s="173">
        <f>IF(AND(Input_Product=Elig!$C279,Elig_MatchAll_Ct&lt;22,$BC279=(Elig_MatchAll_Ct-1),AI279=0),F279,0)</f>
        <v>0</v>
      </c>
      <c r="BL279" s="173">
        <f>IF(AND(Input_Product=Elig!$C279,Elig_MatchAll_Ct&lt;22,$BC279=(Elig_MatchAll_Ct-1),AJ279=0),G279,0)</f>
        <v>0</v>
      </c>
      <c r="BM279" s="173">
        <f>IF(AND(Input_Product=Elig!$C279,Elig_MatchAll_Ct&lt;22,$BC279=(Elig_MatchAll_Ct-1),AK279=0),H279,0)</f>
        <v>0</v>
      </c>
      <c r="BN279" s="173">
        <f>IF(AND(Input_Product=Elig!$C279,Elig_MatchAll_Ct&lt;22,$BC279=(Elig_MatchAll_Ct-1),AL279=0),I279,0)</f>
        <v>0</v>
      </c>
      <c r="BO279" s="173">
        <f>IF(AND(Input_Product=Elig!$C279,Elig_MatchAll_Ct&lt;22,$BC279=(Elig_MatchAll_Ct-1),AM279=0),J279,0)</f>
        <v>0</v>
      </c>
      <c r="BP279" s="173">
        <f>IF(AND(Input_Product=Elig!$C279,Elig_MatchAll_Ct&lt;22,$BC279=(Elig_MatchAll_Ct-1),AN279=0),K279,0)</f>
        <v>0</v>
      </c>
      <c r="BQ279" s="173">
        <f>IF(AND(Input_Product=Elig!$C279,Elig_MatchAll_Ct&lt;22,$BC279=(Elig_MatchAll_Ct-1),AP279=0),L279,0)</f>
        <v>0</v>
      </c>
      <c r="BR279" s="173">
        <f>IF(AND(Input_Product=Elig!$C279,Elig_MatchAll_Ct&lt;22,$BC279=(Elig_MatchAll_Ct-1),AO279=0),M279,0)</f>
        <v>0</v>
      </c>
      <c r="BS279" s="173">
        <f>IF(AND(Input_Product=Elig!$C279,Elig_MatchAll_Ct&lt;22,$BC279=(Elig_MatchAll_Ct-1),AQ279=0),N279,0)</f>
        <v>0</v>
      </c>
      <c r="BT279" s="173">
        <f>IF(AND(Input_Product=Elig!$C279,Elig_MatchAll_Ct&lt;22,$BC279=(Elig_MatchAll_Ct-1),AR279=0),O279,0)</f>
        <v>0</v>
      </c>
      <c r="BU279" s="173">
        <f>IF(AND(Input_Product=Elig!$C279,Elig_MatchAll_Ct&lt;22,$BC279=(Elig_MatchAll_Ct-1),AS279=0),P279,0)</f>
        <v>0</v>
      </c>
      <c r="BV279" s="174">
        <f>IF(AND(Input_Product=Elig!$C279,Elig_MatchAll_Ct&lt;22,$BC279=(Elig_MatchAll_Ct-1),AT279=0),Q279,0)</f>
        <v>0</v>
      </c>
      <c r="BW279" s="175">
        <f>IF(AND(Input_Product=Elig!$C279,Elig_MatchAll_Ct&lt;22,$BC279=(Elig_MatchAll_Ct-1),AU279=0),R279,0)</f>
        <v>0</v>
      </c>
      <c r="BX279" s="176">
        <f>IF(AND(Input_Product=Elig!$C279,Elig_MatchAll_Ct&lt;22,$BC279=(Elig_MatchAll_Ct-1),AU279=0),S279,0)</f>
        <v>0</v>
      </c>
      <c r="BY279" s="175">
        <f>IF(AND(Input_Product=Elig!$C279,Elig_MatchAll_Ct&lt;22,$BC279=(Elig_MatchAll_Ct-1),AV279=0),T279,0)</f>
        <v>0</v>
      </c>
      <c r="BZ279" s="176">
        <f>IF(AND(Input_Product=Elig!$C279,Elig_MatchAll_Ct&lt;22,$BC279=(Elig_MatchAll_Ct-1),AV279=0),U279,0)</f>
        <v>0</v>
      </c>
      <c r="CA279" s="175">
        <f>IF(AND(Input_Product=Elig!$C279,Elig_MatchAll_Ct&lt;22,$BC279=(Elig_MatchAll_Ct-1),AW279=0),V279,0)</f>
        <v>0</v>
      </c>
      <c r="CB279" s="176">
        <f>IF(AND(Input_Product=Elig!$C279,Elig_MatchAll_Ct&lt;22,$BC279=(Elig_MatchAll_Ct-1),AW279=0),W279,0)</f>
        <v>0</v>
      </c>
      <c r="CC279" s="175">
        <f>IF(AND(Input_Product=Elig!$C279,Elig_MatchAll_Ct&lt;22,$BC279=(Elig_MatchAll_Ct-1),AX279=0),X279,0)</f>
        <v>0</v>
      </c>
      <c r="CD279" s="176">
        <f>IF(AND(Input_Product=Elig!$C279,Elig_MatchAll_Ct&lt;22,$BC279=(Elig_MatchAll_Ct-1),AX279=0),Y279,0)</f>
        <v>0</v>
      </c>
      <c r="CE279" s="175">
        <f>IF(AND(Input_LTV&lt;=AE279,Input_Product=Elig!$C279,Elig_MatchAll_Ct&lt;22,$BC279=(Elig_MatchAll_Ct-1),AY279=0),Z279,0)</f>
        <v>0</v>
      </c>
      <c r="CF279" s="176">
        <f>IF(AND(Input_LTV&lt;=AE279,Input_Product=Elig!$C279,Elig_MatchAll_Ct&lt;22,$BC279=(Elig_MatchAll_Ct-1),AY279=0),AA279,0)</f>
        <v>0</v>
      </c>
      <c r="CG279" s="175">
        <f>IF(AND(Input_Product=Elig!$C279,Elig_MatchAll_Ct&lt;22,$BC279=(Elig_MatchAll_Ct-1),AZ279=0),AB279,0)</f>
        <v>0</v>
      </c>
      <c r="CH279" s="176">
        <f>IF(AND(Input_Product=Elig!$C279,Elig_MatchAll_Ct&lt;22,$BC279=(Elig_MatchAll_Ct-1),AZ279=0),AC279,0)</f>
        <v>0</v>
      </c>
      <c r="CI279" s="175">
        <f>IF(AND(Input_Product=Elig!$C279,Elig_MatchAll_Ct&lt;22,$BC279=(Elig_MatchAll_Ct-1),BA279=0),AD279,0)</f>
        <v>0</v>
      </c>
      <c r="CJ279" s="176">
        <f>IF(AND(Input_Product=Elig!$C279,Elig_MatchAll_Ct&lt;22,$BC279=(Elig_MatchAll_Ct-1),BA279=0),AE279,0)</f>
        <v>0</v>
      </c>
    </row>
    <row r="280" spans="1:88" ht="10.15" customHeight="1" x14ac:dyDescent="0.25">
      <c r="A280" s="252" t="s">
        <v>76</v>
      </c>
      <c r="B280" s="252" t="s">
        <v>920</v>
      </c>
      <c r="C280" s="251" t="str">
        <f t="shared" si="93"/>
        <v>NonQM NOO</v>
      </c>
      <c r="D280" s="252" t="s">
        <v>1995</v>
      </c>
      <c r="E280" s="252" t="s">
        <v>166</v>
      </c>
      <c r="F280" s="252" t="s">
        <v>329</v>
      </c>
      <c r="G280" s="252" t="s">
        <v>178</v>
      </c>
      <c r="H280" s="252" t="s">
        <v>135</v>
      </c>
      <c r="I280" s="253" t="s">
        <v>16</v>
      </c>
      <c r="J280" s="253" t="s">
        <v>1130</v>
      </c>
      <c r="K280" s="253" t="s">
        <v>1398</v>
      </c>
      <c r="L280" s="252" t="s">
        <v>311</v>
      </c>
      <c r="M280" s="252" t="s">
        <v>2289</v>
      </c>
      <c r="N280" s="252" t="s">
        <v>1844</v>
      </c>
      <c r="O280" s="252" t="s">
        <v>309</v>
      </c>
      <c r="P280" s="252" t="s">
        <v>2434</v>
      </c>
      <c r="Q280" s="252" t="s">
        <v>293</v>
      </c>
      <c r="R280" s="252">
        <v>100000</v>
      </c>
      <c r="S280" s="252">
        <v>1000000</v>
      </c>
      <c r="T280" s="252">
        <v>0</v>
      </c>
      <c r="U280" s="252">
        <f t="shared" si="97"/>
        <v>1000000</v>
      </c>
      <c r="V280" s="252">
        <v>0</v>
      </c>
      <c r="W280" s="252">
        <v>50</v>
      </c>
      <c r="X280" s="252">
        <v>0</v>
      </c>
      <c r="Y280" s="252">
        <v>999</v>
      </c>
      <c r="Z280" s="254">
        <v>660</v>
      </c>
      <c r="AA280" s="254">
        <v>679</v>
      </c>
      <c r="AB280" s="1883">
        <v>0</v>
      </c>
      <c r="AC280" s="254">
        <v>999999</v>
      </c>
      <c r="AD280" s="252">
        <v>0</v>
      </c>
      <c r="AE280" s="255">
        <v>65</v>
      </c>
      <c r="AF280" s="144">
        <v>0</v>
      </c>
      <c r="AG280" s="145">
        <v>1</v>
      </c>
      <c r="AH280" s="145">
        <v>1</v>
      </c>
      <c r="AI280" s="145">
        <v>1</v>
      </c>
      <c r="AJ280" s="145">
        <v>0</v>
      </c>
      <c r="AK280" s="145">
        <v>1</v>
      </c>
      <c r="AL280" s="145">
        <v>0</v>
      </c>
      <c r="AM280" s="145">
        <v>1</v>
      </c>
      <c r="AN280" s="145">
        <v>1</v>
      </c>
      <c r="AO280" s="145">
        <v>1</v>
      </c>
      <c r="AP280" s="145">
        <v>1</v>
      </c>
      <c r="AQ280" s="145">
        <v>1</v>
      </c>
      <c r="AR280" s="145">
        <v>1</v>
      </c>
      <c r="AS280" s="145">
        <v>1</v>
      </c>
      <c r="AT280" s="145">
        <v>1</v>
      </c>
      <c r="AU280" s="145">
        <f t="shared" si="55"/>
        <v>1</v>
      </c>
      <c r="AV280" s="145">
        <f t="shared" si="56"/>
        <v>1</v>
      </c>
      <c r="AW280" s="145">
        <f t="shared" si="57"/>
        <v>1</v>
      </c>
      <c r="AX280" s="145">
        <f t="shared" si="73"/>
        <v>1</v>
      </c>
      <c r="AY280" s="145">
        <f t="shared" si="58"/>
        <v>0</v>
      </c>
      <c r="AZ280" s="145">
        <f t="shared" si="59"/>
        <v>1</v>
      </c>
      <c r="BA280" s="146">
        <f t="shared" si="60"/>
        <v>0</v>
      </c>
      <c r="BB280" s="149">
        <f t="shared" ref="BB280:BB331" si="98">SUM(AF280:BA280)</f>
        <v>17</v>
      </c>
      <c r="BC280" s="150">
        <f t="shared" ref="BC280:BC331" si="99">SUM(AF280:AZ280)</f>
        <v>17</v>
      </c>
      <c r="BD280" s="150">
        <f t="shared" ref="BD280:BD331" si="100">SUM(AG280:BA280)</f>
        <v>17</v>
      </c>
      <c r="BE280" s="211" t="str">
        <f t="shared" ref="BE280:BE331" si="101">IF(BD280=21,C280,"")</f>
        <v/>
      </c>
      <c r="BH280" s="173">
        <f>IF(AND(Input_Product=Elig!$C280,Elig_MatchAll_Ct&lt;22,$BC280=(Elig_MatchAll_Ct-1),AF280=0),C280,0)</f>
        <v>0</v>
      </c>
      <c r="BI280" s="173">
        <f>IF(AND(Input_Product=Elig!$C280,Elig_MatchAll_Ct&lt;22,$BC280=(Elig_MatchAll_Ct-1),AG280=0),D280,0)</f>
        <v>0</v>
      </c>
      <c r="BJ280" s="173">
        <f>IF(AND(Input_Product=Elig!$C280,Elig_MatchAll_Ct&lt;22,$BC280=(Elig_MatchAll_Ct-1),AH280=0),E280,0)</f>
        <v>0</v>
      </c>
      <c r="BK280" s="173">
        <f>IF(AND(Input_Product=Elig!$C280,Elig_MatchAll_Ct&lt;22,$BC280=(Elig_MatchAll_Ct-1),AI280=0),F280,0)</f>
        <v>0</v>
      </c>
      <c r="BL280" s="173">
        <f>IF(AND(Input_Product=Elig!$C280,Elig_MatchAll_Ct&lt;22,$BC280=(Elig_MatchAll_Ct-1),AJ280=0),G280,0)</f>
        <v>0</v>
      </c>
      <c r="BM280" s="173">
        <f>IF(AND(Input_Product=Elig!$C280,Elig_MatchAll_Ct&lt;22,$BC280=(Elig_MatchAll_Ct-1),AK280=0),H280,0)</f>
        <v>0</v>
      </c>
      <c r="BN280" s="173">
        <f>IF(AND(Input_Product=Elig!$C280,Elig_MatchAll_Ct&lt;22,$BC280=(Elig_MatchAll_Ct-1),AL280=0),I280,0)</f>
        <v>0</v>
      </c>
      <c r="BO280" s="173">
        <f>IF(AND(Input_Product=Elig!$C280,Elig_MatchAll_Ct&lt;22,$BC280=(Elig_MatchAll_Ct-1),AM280=0),J280,0)</f>
        <v>0</v>
      </c>
      <c r="BP280" s="173">
        <f>IF(AND(Input_Product=Elig!$C280,Elig_MatchAll_Ct&lt;22,$BC280=(Elig_MatchAll_Ct-1),AN280=0),K280,0)</f>
        <v>0</v>
      </c>
      <c r="BQ280" s="173">
        <f>IF(AND(Input_Product=Elig!$C280,Elig_MatchAll_Ct&lt;22,$BC280=(Elig_MatchAll_Ct-1),AP280=0),L280,0)</f>
        <v>0</v>
      </c>
      <c r="BR280" s="173">
        <f>IF(AND(Input_Product=Elig!$C280,Elig_MatchAll_Ct&lt;22,$BC280=(Elig_MatchAll_Ct-1),AO280=0),M280,0)</f>
        <v>0</v>
      </c>
      <c r="BS280" s="173">
        <f>IF(AND(Input_Product=Elig!$C280,Elig_MatchAll_Ct&lt;22,$BC280=(Elig_MatchAll_Ct-1),AQ280=0),N280,0)</f>
        <v>0</v>
      </c>
      <c r="BT280" s="173">
        <f>IF(AND(Input_Product=Elig!$C280,Elig_MatchAll_Ct&lt;22,$BC280=(Elig_MatchAll_Ct-1),AR280=0),O280,0)</f>
        <v>0</v>
      </c>
      <c r="BU280" s="173">
        <f>IF(AND(Input_Product=Elig!$C280,Elig_MatchAll_Ct&lt;22,$BC280=(Elig_MatchAll_Ct-1),AS280=0),P280,0)</f>
        <v>0</v>
      </c>
      <c r="BV280" s="174">
        <f>IF(AND(Input_Product=Elig!$C280,Elig_MatchAll_Ct&lt;22,$BC280=(Elig_MatchAll_Ct-1),AT280=0),Q280,0)</f>
        <v>0</v>
      </c>
      <c r="BW280" s="175">
        <f>IF(AND(Input_Product=Elig!$C280,Elig_MatchAll_Ct&lt;22,$BC280=(Elig_MatchAll_Ct-1),AU280=0),R280,0)</f>
        <v>0</v>
      </c>
      <c r="BX280" s="176">
        <f>IF(AND(Input_Product=Elig!$C280,Elig_MatchAll_Ct&lt;22,$BC280=(Elig_MatchAll_Ct-1),AU280=0),S280,0)</f>
        <v>0</v>
      </c>
      <c r="BY280" s="175">
        <f>IF(AND(Input_Product=Elig!$C280,Elig_MatchAll_Ct&lt;22,$BC280=(Elig_MatchAll_Ct-1),AV280=0),T280,0)</f>
        <v>0</v>
      </c>
      <c r="BZ280" s="176">
        <f>IF(AND(Input_Product=Elig!$C280,Elig_MatchAll_Ct&lt;22,$BC280=(Elig_MatchAll_Ct-1),AV280=0),U280,0)</f>
        <v>0</v>
      </c>
      <c r="CA280" s="175">
        <f>IF(AND(Input_Product=Elig!$C280,Elig_MatchAll_Ct&lt;22,$BC280=(Elig_MatchAll_Ct-1),AW280=0),V280,0)</f>
        <v>0</v>
      </c>
      <c r="CB280" s="176">
        <f>IF(AND(Input_Product=Elig!$C280,Elig_MatchAll_Ct&lt;22,$BC280=(Elig_MatchAll_Ct-1),AW280=0),W280,0)</f>
        <v>0</v>
      </c>
      <c r="CC280" s="175">
        <f>IF(AND(Input_Product=Elig!$C280,Elig_MatchAll_Ct&lt;22,$BC280=(Elig_MatchAll_Ct-1),AX280=0),X280,0)</f>
        <v>0</v>
      </c>
      <c r="CD280" s="176">
        <f>IF(AND(Input_Product=Elig!$C280,Elig_MatchAll_Ct&lt;22,$BC280=(Elig_MatchAll_Ct-1),AX280=0),Y280,0)</f>
        <v>0</v>
      </c>
      <c r="CE280" s="175">
        <f>IF(AND(Input_LTV&lt;=AE280,Input_Product=Elig!$C280,Elig_MatchAll_Ct&lt;22,$BC280=(Elig_MatchAll_Ct-1),AY280=0),Z280,0)</f>
        <v>0</v>
      </c>
      <c r="CF280" s="176">
        <f>IF(AND(Input_LTV&lt;=AE280,Input_Product=Elig!$C280,Elig_MatchAll_Ct&lt;22,$BC280=(Elig_MatchAll_Ct-1),AY280=0),AA280,0)</f>
        <v>0</v>
      </c>
      <c r="CG280" s="175">
        <f>IF(AND(Input_Product=Elig!$C280,Elig_MatchAll_Ct&lt;22,$BC280=(Elig_MatchAll_Ct-1),AZ280=0),AB280,0)</f>
        <v>0</v>
      </c>
      <c r="CH280" s="176">
        <f>IF(AND(Input_Product=Elig!$C280,Elig_MatchAll_Ct&lt;22,$BC280=(Elig_MatchAll_Ct-1),AZ280=0),AC280,0)</f>
        <v>0</v>
      </c>
      <c r="CI280" s="175">
        <f>IF(AND(Input_Product=Elig!$C280,Elig_MatchAll_Ct&lt;22,$BC280=(Elig_MatchAll_Ct-1),BA280=0),AD280,0)</f>
        <v>0</v>
      </c>
      <c r="CJ280" s="176">
        <f>IF(AND(Input_Product=Elig!$C280,Elig_MatchAll_Ct&lt;22,$BC280=(Elig_MatchAll_Ct-1),BA280=0),AE280,0)</f>
        <v>0</v>
      </c>
    </row>
    <row r="281" spans="1:88" ht="10.15" customHeight="1" x14ac:dyDescent="0.25">
      <c r="A281" s="252" t="s">
        <v>76</v>
      </c>
      <c r="B281" s="252" t="s">
        <v>921</v>
      </c>
      <c r="C281" s="246" t="str">
        <f t="shared" si="93"/>
        <v>NonQM NOO</v>
      </c>
      <c r="D281" s="247" t="s">
        <v>1995</v>
      </c>
      <c r="E281" s="248" t="s">
        <v>166</v>
      </c>
      <c r="F281" s="248" t="s">
        <v>329</v>
      </c>
      <c r="G281" s="248" t="s">
        <v>304</v>
      </c>
      <c r="H281" s="248" t="s">
        <v>135</v>
      </c>
      <c r="I281" s="247" t="s">
        <v>273</v>
      </c>
      <c r="J281" s="247" t="s">
        <v>1130</v>
      </c>
      <c r="K281" s="247" t="s">
        <v>1398</v>
      </c>
      <c r="L281" s="248" t="s">
        <v>311</v>
      </c>
      <c r="M281" s="248" t="s">
        <v>2289</v>
      </c>
      <c r="N281" s="248" t="s">
        <v>1844</v>
      </c>
      <c r="O281" s="248" t="s">
        <v>309</v>
      </c>
      <c r="P281" s="248" t="s">
        <v>2434</v>
      </c>
      <c r="Q281" s="248" t="s">
        <v>293</v>
      </c>
      <c r="R281" s="247">
        <v>100000</v>
      </c>
      <c r="S281" s="247">
        <v>1000000</v>
      </c>
      <c r="T281" s="247">
        <v>0</v>
      </c>
      <c r="U281" s="247">
        <v>0</v>
      </c>
      <c r="V281" s="247">
        <v>0</v>
      </c>
      <c r="W281" s="247">
        <v>55</v>
      </c>
      <c r="X281" s="247">
        <v>0</v>
      </c>
      <c r="Y281" s="247">
        <v>999</v>
      </c>
      <c r="Z281" s="249">
        <v>720</v>
      </c>
      <c r="AA281" s="249">
        <v>999</v>
      </c>
      <c r="AB281" s="1882">
        <v>0</v>
      </c>
      <c r="AC281" s="249">
        <v>999999</v>
      </c>
      <c r="AD281" s="247">
        <v>0</v>
      </c>
      <c r="AE281" s="250">
        <v>75</v>
      </c>
      <c r="AF281" s="144">
        <v>0</v>
      </c>
      <c r="AG281" s="145">
        <v>1</v>
      </c>
      <c r="AH281" s="145">
        <v>1</v>
      </c>
      <c r="AI281" s="145">
        <v>1</v>
      </c>
      <c r="AJ281" s="145">
        <v>0</v>
      </c>
      <c r="AK281" s="145">
        <v>1</v>
      </c>
      <c r="AL281" s="145">
        <v>1</v>
      </c>
      <c r="AM281" s="145">
        <v>1</v>
      </c>
      <c r="AN281" s="145">
        <v>1</v>
      </c>
      <c r="AO281" s="145">
        <v>1</v>
      </c>
      <c r="AP281" s="145">
        <v>1</v>
      </c>
      <c r="AQ281" s="145">
        <v>1</v>
      </c>
      <c r="AR281" s="145">
        <v>1</v>
      </c>
      <c r="AS281" s="145">
        <v>1</v>
      </c>
      <c r="AT281" s="145">
        <v>1</v>
      </c>
      <c r="AU281" s="145">
        <f t="shared" ref="AU281:AU340" si="102">IF(AND(Input_LoanAmt&gt;=Elig_LoanAmt_Min,Input_LoanAmt&lt;=Elig_LoanAmt_Max),1,0)</f>
        <v>1</v>
      </c>
      <c r="AV281" s="145">
        <f t="shared" ref="AV281:AV340" si="103">IF(AND(Input_CashoutAmt&gt;=Elig_CashoutAmt_Min,Input_CashoutAmt&lt;=Elig_CashoutAmt_Max),1,0)</f>
        <v>1</v>
      </c>
      <c r="AW281" s="145">
        <f t="shared" ref="AW281:AW340" si="104">IF(AND(Input_DTI&gt;=Elig_DTI_Min,Input_DTI&lt;=Elig_DTI_Max),1,0)</f>
        <v>1</v>
      </c>
      <c r="AX281" s="145">
        <f t="shared" si="73"/>
        <v>1</v>
      </c>
      <c r="AY281" s="145">
        <f t="shared" ref="AY281:AY340" si="105">IF(AND(Input_CreditScore&gt;=Elig_CreditScore_Min,Input_CreditScore&lt;=Elig_CreditScore_Max),1,0)</f>
        <v>1</v>
      </c>
      <c r="AZ281" s="145">
        <f t="shared" ref="AZ281:AZ340" si="106">IF(AND(Input_ReservesMonths&gt;=Elig_Reserves_Min,Input_ReservesMonths&lt;=Elig_Reserves_Max),1,0)</f>
        <v>1</v>
      </c>
      <c r="BA281" s="146">
        <f t="shared" ref="BA281:BA340" si="107">IF(AND(Input_LTV&gt;=Elig_LTV_Min,Input_LTV&lt;=Elig_LTV_Max),1,0)</f>
        <v>1</v>
      </c>
      <c r="BB281" s="149">
        <f t="shared" si="98"/>
        <v>20</v>
      </c>
      <c r="BC281" s="150">
        <f t="shared" si="99"/>
        <v>19</v>
      </c>
      <c r="BD281" s="150">
        <f t="shared" si="100"/>
        <v>20</v>
      </c>
      <c r="BE281" s="211" t="str">
        <f t="shared" si="101"/>
        <v/>
      </c>
      <c r="BH281" s="190">
        <f>IF(AND(Input_Product=Elig!$C281,Elig_MatchAll_Ct&lt;22,$BC281=(Elig_MatchAll_Ct-1),AF281=0),C281,0)</f>
        <v>0</v>
      </c>
      <c r="BI281" s="190">
        <f>IF(AND(Input_Product=Elig!$C281,Elig_MatchAll_Ct&lt;22,$BC281=(Elig_MatchAll_Ct-1),AG281=0),D281,0)</f>
        <v>0</v>
      </c>
      <c r="BJ281" s="190">
        <f>IF(AND(Input_Product=Elig!$C281,Elig_MatchAll_Ct&lt;22,$BC281=(Elig_MatchAll_Ct-1),AH281=0),E281,0)</f>
        <v>0</v>
      </c>
      <c r="BK281" s="190">
        <f>IF(AND(Input_Product=Elig!$C281,Elig_MatchAll_Ct&lt;22,$BC281=(Elig_MatchAll_Ct-1),AI281=0),F281,0)</f>
        <v>0</v>
      </c>
      <c r="BL281" s="190">
        <f>IF(AND(Input_Product=Elig!$C281,Elig_MatchAll_Ct&lt;22,$BC281=(Elig_MatchAll_Ct-1),AJ281=0),G281,0)</f>
        <v>0</v>
      </c>
      <c r="BM281" s="190">
        <f>IF(AND(Input_Product=Elig!$C281,Elig_MatchAll_Ct&lt;22,$BC281=(Elig_MatchAll_Ct-1),AK281=0),H281,0)</f>
        <v>0</v>
      </c>
      <c r="BN281" s="190">
        <f>IF(AND(Input_Product=Elig!$C281,Elig_MatchAll_Ct&lt;22,$BC281=(Elig_MatchAll_Ct-1),AL281=0),I281,0)</f>
        <v>0</v>
      </c>
      <c r="BO281" s="190">
        <f>IF(AND(Input_Product=Elig!$C281,Elig_MatchAll_Ct&lt;22,$BC281=(Elig_MatchAll_Ct-1),AM281=0),J281,0)</f>
        <v>0</v>
      </c>
      <c r="BP281" s="190">
        <f>IF(AND(Input_Product=Elig!$C281,Elig_MatchAll_Ct&lt;22,$BC281=(Elig_MatchAll_Ct-1),AN281=0),K281,0)</f>
        <v>0</v>
      </c>
      <c r="BQ281" s="190">
        <f>IF(AND(Input_Product=Elig!$C281,Elig_MatchAll_Ct&lt;22,$BC281=(Elig_MatchAll_Ct-1),AP281=0),L281,0)</f>
        <v>0</v>
      </c>
      <c r="BR281" s="190">
        <f>IF(AND(Input_Product=Elig!$C281,Elig_MatchAll_Ct&lt;22,$BC281=(Elig_MatchAll_Ct-1),AO281=0),M281,0)</f>
        <v>0</v>
      </c>
      <c r="BS281" s="190">
        <f>IF(AND(Input_Product=Elig!$C281,Elig_MatchAll_Ct&lt;22,$BC281=(Elig_MatchAll_Ct-1),AQ281=0),N281,0)</f>
        <v>0</v>
      </c>
      <c r="BT281" s="190">
        <f>IF(AND(Input_Product=Elig!$C281,Elig_MatchAll_Ct&lt;22,$BC281=(Elig_MatchAll_Ct-1),AR281=0),O281,0)</f>
        <v>0</v>
      </c>
      <c r="BU281" s="190">
        <f>IF(AND(Input_Product=Elig!$C281,Elig_MatchAll_Ct&lt;22,$BC281=(Elig_MatchAll_Ct-1),AS281=0),P281,0)</f>
        <v>0</v>
      </c>
      <c r="BV281" s="191">
        <f>IF(AND(Input_Product=Elig!$C281,Elig_MatchAll_Ct&lt;22,$BC281=(Elig_MatchAll_Ct-1),AT281=0),Q281,0)</f>
        <v>0</v>
      </c>
      <c r="BW281" s="186">
        <f>IF(AND(Input_Product=Elig!$C281,Elig_MatchAll_Ct&lt;22,$BC281=(Elig_MatchAll_Ct-1),AU281=0),R281,0)</f>
        <v>0</v>
      </c>
      <c r="BX281" s="187">
        <f>IF(AND(Input_Product=Elig!$C281,Elig_MatchAll_Ct&lt;22,$BC281=(Elig_MatchAll_Ct-1),AU281=0),S281,0)</f>
        <v>0</v>
      </c>
      <c r="BY281" s="186">
        <f>IF(AND(Input_Product=Elig!$C281,Elig_MatchAll_Ct&lt;22,$BC281=(Elig_MatchAll_Ct-1),AV281=0),T281,0)</f>
        <v>0</v>
      </c>
      <c r="BZ281" s="187">
        <f>IF(AND(Input_Product=Elig!$C281,Elig_MatchAll_Ct&lt;22,$BC281=(Elig_MatchAll_Ct-1),AV281=0),U281,0)</f>
        <v>0</v>
      </c>
      <c r="CA281" s="186">
        <f>IF(AND(Input_Product=Elig!$C281,Elig_MatchAll_Ct&lt;22,$BC281=(Elig_MatchAll_Ct-1),AW281=0),V281,0)</f>
        <v>0</v>
      </c>
      <c r="CB281" s="187">
        <f>IF(AND(Input_Product=Elig!$C281,Elig_MatchAll_Ct&lt;22,$BC281=(Elig_MatchAll_Ct-1),AW281=0),W281,0)</f>
        <v>0</v>
      </c>
      <c r="CC281" s="186">
        <f>IF(AND(Input_Product=Elig!$C281,Elig_MatchAll_Ct&lt;22,$BC281=(Elig_MatchAll_Ct-1),AX281=0),X281,0)</f>
        <v>0</v>
      </c>
      <c r="CD281" s="187">
        <f>IF(AND(Input_Product=Elig!$C281,Elig_MatchAll_Ct&lt;22,$BC281=(Elig_MatchAll_Ct-1),AX281=0),Y281,0)</f>
        <v>0</v>
      </c>
      <c r="CE281" s="186">
        <f>IF(AND(Input_LTV&lt;=AE281,Input_Product=Elig!$C281,Elig_MatchAll_Ct&lt;22,$BC281=(Elig_MatchAll_Ct-1),AY281=0),Z281,0)</f>
        <v>0</v>
      </c>
      <c r="CF281" s="187">
        <f>IF(AND(Input_LTV&lt;=AE281,Input_Product=Elig!$C281,Elig_MatchAll_Ct&lt;22,$BC281=(Elig_MatchAll_Ct-1),AY281=0),AA281,0)</f>
        <v>0</v>
      </c>
      <c r="CG281" s="186">
        <f>IF(AND(Input_Product=Elig!$C281,Elig_MatchAll_Ct&lt;22,$BC281=(Elig_MatchAll_Ct-1),AZ281=0),AB281,0)</f>
        <v>0</v>
      </c>
      <c r="CH281" s="187">
        <f>IF(AND(Input_Product=Elig!$C281,Elig_MatchAll_Ct&lt;22,$BC281=(Elig_MatchAll_Ct-1),AZ281=0),AC281,0)</f>
        <v>0</v>
      </c>
      <c r="CI281" s="186">
        <f>IF(AND(Input_Product=Elig!$C281,Elig_MatchAll_Ct&lt;22,$BC281=(Elig_MatchAll_Ct-1),BA281=0),AD281,0)</f>
        <v>0</v>
      </c>
      <c r="CJ281" s="187">
        <f>IF(AND(Input_Product=Elig!$C281,Elig_MatchAll_Ct&lt;22,$BC281=(Elig_MatchAll_Ct-1),BA281=0),AE281,0)</f>
        <v>0</v>
      </c>
    </row>
    <row r="282" spans="1:88" ht="10.15" customHeight="1" x14ac:dyDescent="0.25">
      <c r="A282" s="252" t="s">
        <v>76</v>
      </c>
      <c r="B282" s="252" t="s">
        <v>922</v>
      </c>
      <c r="C282" s="251" t="str">
        <f t="shared" si="93"/>
        <v>NonQM NOO</v>
      </c>
      <c r="D282" s="252" t="s">
        <v>1995</v>
      </c>
      <c r="E282" s="252" t="s">
        <v>166</v>
      </c>
      <c r="F282" s="252" t="s">
        <v>329</v>
      </c>
      <c r="G282" s="252" t="s">
        <v>304</v>
      </c>
      <c r="H282" s="252" t="s">
        <v>135</v>
      </c>
      <c r="I282" s="253" t="s">
        <v>273</v>
      </c>
      <c r="J282" s="253" t="s">
        <v>1130</v>
      </c>
      <c r="K282" s="253" t="s">
        <v>1398</v>
      </c>
      <c r="L282" s="252" t="s">
        <v>311</v>
      </c>
      <c r="M282" s="252" t="s">
        <v>2289</v>
      </c>
      <c r="N282" s="252" t="s">
        <v>1844</v>
      </c>
      <c r="O282" s="252" t="s">
        <v>309</v>
      </c>
      <c r="P282" s="252" t="s">
        <v>2434</v>
      </c>
      <c r="Q282" s="252" t="s">
        <v>293</v>
      </c>
      <c r="R282" s="252">
        <v>100000</v>
      </c>
      <c r="S282" s="252">
        <v>1000000</v>
      </c>
      <c r="T282" s="252">
        <v>0</v>
      </c>
      <c r="U282" s="252">
        <v>0</v>
      </c>
      <c r="V282" s="252">
        <v>0</v>
      </c>
      <c r="W282" s="252">
        <v>55</v>
      </c>
      <c r="X282" s="252">
        <v>0</v>
      </c>
      <c r="Y282" s="252">
        <v>999</v>
      </c>
      <c r="Z282" s="254">
        <v>700</v>
      </c>
      <c r="AA282" s="254">
        <v>719</v>
      </c>
      <c r="AB282" s="1883">
        <v>0</v>
      </c>
      <c r="AC282" s="254">
        <v>999999</v>
      </c>
      <c r="AD282" s="252">
        <v>0</v>
      </c>
      <c r="AE282" s="255">
        <v>75</v>
      </c>
      <c r="AF282" s="144">
        <v>0</v>
      </c>
      <c r="AG282" s="145">
        <v>1</v>
      </c>
      <c r="AH282" s="145">
        <v>1</v>
      </c>
      <c r="AI282" s="145">
        <v>1</v>
      </c>
      <c r="AJ282" s="145">
        <v>0</v>
      </c>
      <c r="AK282" s="145">
        <v>1</v>
      </c>
      <c r="AL282" s="145">
        <v>1</v>
      </c>
      <c r="AM282" s="145">
        <v>1</v>
      </c>
      <c r="AN282" s="145">
        <v>1</v>
      </c>
      <c r="AO282" s="145">
        <v>1</v>
      </c>
      <c r="AP282" s="145">
        <v>1</v>
      </c>
      <c r="AQ282" s="145">
        <v>1</v>
      </c>
      <c r="AR282" s="145">
        <v>1</v>
      </c>
      <c r="AS282" s="145">
        <v>1</v>
      </c>
      <c r="AT282" s="145">
        <v>1</v>
      </c>
      <c r="AU282" s="145">
        <f t="shared" si="102"/>
        <v>1</v>
      </c>
      <c r="AV282" s="145">
        <f t="shared" si="103"/>
        <v>1</v>
      </c>
      <c r="AW282" s="145">
        <f t="shared" si="104"/>
        <v>1</v>
      </c>
      <c r="AX282" s="145">
        <f t="shared" si="73"/>
        <v>1</v>
      </c>
      <c r="AY282" s="145">
        <f t="shared" si="105"/>
        <v>0</v>
      </c>
      <c r="AZ282" s="145">
        <f t="shared" si="106"/>
        <v>1</v>
      </c>
      <c r="BA282" s="146">
        <f t="shared" si="107"/>
        <v>1</v>
      </c>
      <c r="BB282" s="149">
        <f t="shared" si="98"/>
        <v>19</v>
      </c>
      <c r="BC282" s="150">
        <f t="shared" si="99"/>
        <v>18</v>
      </c>
      <c r="BD282" s="150">
        <f t="shared" si="100"/>
        <v>19</v>
      </c>
      <c r="BE282" s="211" t="str">
        <f t="shared" si="101"/>
        <v/>
      </c>
      <c r="BH282" s="173">
        <f>IF(AND(Input_Product=Elig!$C282,Elig_MatchAll_Ct&lt;22,$BC282=(Elig_MatchAll_Ct-1),AF282=0),C282,0)</f>
        <v>0</v>
      </c>
      <c r="BI282" s="173">
        <f>IF(AND(Input_Product=Elig!$C282,Elig_MatchAll_Ct&lt;22,$BC282=(Elig_MatchAll_Ct-1),AG282=0),D282,0)</f>
        <v>0</v>
      </c>
      <c r="BJ282" s="173">
        <f>IF(AND(Input_Product=Elig!$C282,Elig_MatchAll_Ct&lt;22,$BC282=(Elig_MatchAll_Ct-1),AH282=0),E282,0)</f>
        <v>0</v>
      </c>
      <c r="BK282" s="173">
        <f>IF(AND(Input_Product=Elig!$C282,Elig_MatchAll_Ct&lt;22,$BC282=(Elig_MatchAll_Ct-1),AI282=0),F282,0)</f>
        <v>0</v>
      </c>
      <c r="BL282" s="173">
        <f>IF(AND(Input_Product=Elig!$C282,Elig_MatchAll_Ct&lt;22,$BC282=(Elig_MatchAll_Ct-1),AJ282=0),G282,0)</f>
        <v>0</v>
      </c>
      <c r="BM282" s="173">
        <f>IF(AND(Input_Product=Elig!$C282,Elig_MatchAll_Ct&lt;22,$BC282=(Elig_MatchAll_Ct-1),AK282=0),H282,0)</f>
        <v>0</v>
      </c>
      <c r="BN282" s="173">
        <f>IF(AND(Input_Product=Elig!$C282,Elig_MatchAll_Ct&lt;22,$BC282=(Elig_MatchAll_Ct-1),AL282=0),I282,0)</f>
        <v>0</v>
      </c>
      <c r="BO282" s="173">
        <f>IF(AND(Input_Product=Elig!$C282,Elig_MatchAll_Ct&lt;22,$BC282=(Elig_MatchAll_Ct-1),AM282=0),J282,0)</f>
        <v>0</v>
      </c>
      <c r="BP282" s="173">
        <f>IF(AND(Input_Product=Elig!$C282,Elig_MatchAll_Ct&lt;22,$BC282=(Elig_MatchAll_Ct-1),AN282=0),K282,0)</f>
        <v>0</v>
      </c>
      <c r="BQ282" s="173">
        <f>IF(AND(Input_Product=Elig!$C282,Elig_MatchAll_Ct&lt;22,$BC282=(Elig_MatchAll_Ct-1),AP282=0),L282,0)</f>
        <v>0</v>
      </c>
      <c r="BR282" s="173">
        <f>IF(AND(Input_Product=Elig!$C282,Elig_MatchAll_Ct&lt;22,$BC282=(Elig_MatchAll_Ct-1),AO282=0),M282,0)</f>
        <v>0</v>
      </c>
      <c r="BS282" s="173">
        <f>IF(AND(Input_Product=Elig!$C282,Elig_MatchAll_Ct&lt;22,$BC282=(Elig_MatchAll_Ct-1),AQ282=0),N282,0)</f>
        <v>0</v>
      </c>
      <c r="BT282" s="173">
        <f>IF(AND(Input_Product=Elig!$C282,Elig_MatchAll_Ct&lt;22,$BC282=(Elig_MatchAll_Ct-1),AR282=0),O282,0)</f>
        <v>0</v>
      </c>
      <c r="BU282" s="173">
        <f>IF(AND(Input_Product=Elig!$C282,Elig_MatchAll_Ct&lt;22,$BC282=(Elig_MatchAll_Ct-1),AS282=0),P282,0)</f>
        <v>0</v>
      </c>
      <c r="BV282" s="174">
        <f>IF(AND(Input_Product=Elig!$C282,Elig_MatchAll_Ct&lt;22,$BC282=(Elig_MatchAll_Ct-1),AT282=0),Q282,0)</f>
        <v>0</v>
      </c>
      <c r="BW282" s="175">
        <f>IF(AND(Input_Product=Elig!$C282,Elig_MatchAll_Ct&lt;22,$BC282=(Elig_MatchAll_Ct-1),AU282=0),R282,0)</f>
        <v>0</v>
      </c>
      <c r="BX282" s="176">
        <f>IF(AND(Input_Product=Elig!$C282,Elig_MatchAll_Ct&lt;22,$BC282=(Elig_MatchAll_Ct-1),AU282=0),S282,0)</f>
        <v>0</v>
      </c>
      <c r="BY282" s="175">
        <f>IF(AND(Input_Product=Elig!$C282,Elig_MatchAll_Ct&lt;22,$BC282=(Elig_MatchAll_Ct-1),AV282=0),T282,0)</f>
        <v>0</v>
      </c>
      <c r="BZ282" s="176">
        <f>IF(AND(Input_Product=Elig!$C282,Elig_MatchAll_Ct&lt;22,$BC282=(Elig_MatchAll_Ct-1),AV282=0),U282,0)</f>
        <v>0</v>
      </c>
      <c r="CA282" s="175">
        <f>IF(AND(Input_Product=Elig!$C282,Elig_MatchAll_Ct&lt;22,$BC282=(Elig_MatchAll_Ct-1),AW282=0),V282,0)</f>
        <v>0</v>
      </c>
      <c r="CB282" s="176">
        <f>IF(AND(Input_Product=Elig!$C282,Elig_MatchAll_Ct&lt;22,$BC282=(Elig_MatchAll_Ct-1),AW282=0),W282,0)</f>
        <v>0</v>
      </c>
      <c r="CC282" s="175">
        <f>IF(AND(Input_Product=Elig!$C282,Elig_MatchAll_Ct&lt;22,$BC282=(Elig_MatchAll_Ct-1),AX282=0),X282,0)</f>
        <v>0</v>
      </c>
      <c r="CD282" s="176">
        <f>IF(AND(Input_Product=Elig!$C282,Elig_MatchAll_Ct&lt;22,$BC282=(Elig_MatchAll_Ct-1),AX282=0),Y282,0)</f>
        <v>0</v>
      </c>
      <c r="CE282" s="175">
        <f>IF(AND(Input_LTV&lt;=AE282,Input_Product=Elig!$C282,Elig_MatchAll_Ct&lt;22,$BC282=(Elig_MatchAll_Ct-1),AY282=0),Z282,0)</f>
        <v>0</v>
      </c>
      <c r="CF282" s="176">
        <f>IF(AND(Input_LTV&lt;=AE282,Input_Product=Elig!$C282,Elig_MatchAll_Ct&lt;22,$BC282=(Elig_MatchAll_Ct-1),AY282=0),AA282,0)</f>
        <v>0</v>
      </c>
      <c r="CG282" s="175">
        <f>IF(AND(Input_Product=Elig!$C282,Elig_MatchAll_Ct&lt;22,$BC282=(Elig_MatchAll_Ct-1),AZ282=0),AB282,0)</f>
        <v>0</v>
      </c>
      <c r="CH282" s="176">
        <f>IF(AND(Input_Product=Elig!$C282,Elig_MatchAll_Ct&lt;22,$BC282=(Elig_MatchAll_Ct-1),AZ282=0),AC282,0)</f>
        <v>0</v>
      </c>
      <c r="CI282" s="175">
        <f>IF(AND(Input_Product=Elig!$C282,Elig_MatchAll_Ct&lt;22,$BC282=(Elig_MatchAll_Ct-1),BA282=0),AD282,0)</f>
        <v>0</v>
      </c>
      <c r="CJ282" s="176">
        <f>IF(AND(Input_Product=Elig!$C282,Elig_MatchAll_Ct&lt;22,$BC282=(Elig_MatchAll_Ct-1),BA282=0),AE282,0)</f>
        <v>0</v>
      </c>
    </row>
    <row r="283" spans="1:88" ht="10.15" customHeight="1" x14ac:dyDescent="0.25">
      <c r="A283" s="252" t="s">
        <v>76</v>
      </c>
      <c r="B283" s="252" t="s">
        <v>923</v>
      </c>
      <c r="C283" s="251" t="str">
        <f t="shared" si="93"/>
        <v>NonQM NOO</v>
      </c>
      <c r="D283" s="252" t="s">
        <v>1995</v>
      </c>
      <c r="E283" s="252" t="s">
        <v>166</v>
      </c>
      <c r="F283" s="252" t="s">
        <v>329</v>
      </c>
      <c r="G283" s="252" t="s">
        <v>304</v>
      </c>
      <c r="H283" s="252" t="s">
        <v>135</v>
      </c>
      <c r="I283" s="253" t="s">
        <v>273</v>
      </c>
      <c r="J283" s="253" t="s">
        <v>1130</v>
      </c>
      <c r="K283" s="253" t="s">
        <v>1398</v>
      </c>
      <c r="L283" s="252" t="s">
        <v>311</v>
      </c>
      <c r="M283" s="252" t="s">
        <v>2289</v>
      </c>
      <c r="N283" s="252" t="s">
        <v>1844</v>
      </c>
      <c r="O283" s="252" t="s">
        <v>309</v>
      </c>
      <c r="P283" s="252" t="s">
        <v>2434</v>
      </c>
      <c r="Q283" s="252" t="s">
        <v>293</v>
      </c>
      <c r="R283" s="252">
        <v>100000</v>
      </c>
      <c r="S283" s="252">
        <v>1000000</v>
      </c>
      <c r="T283" s="252">
        <v>0</v>
      </c>
      <c r="U283" s="252">
        <v>0</v>
      </c>
      <c r="V283" s="252">
        <v>0</v>
      </c>
      <c r="W283" s="252">
        <v>55</v>
      </c>
      <c r="X283" s="252">
        <v>0</v>
      </c>
      <c r="Y283" s="252">
        <v>999</v>
      </c>
      <c r="Z283" s="254">
        <v>680</v>
      </c>
      <c r="AA283" s="254">
        <v>699</v>
      </c>
      <c r="AB283" s="1883">
        <v>0</v>
      </c>
      <c r="AC283" s="254">
        <v>999999</v>
      </c>
      <c r="AD283" s="252">
        <v>0</v>
      </c>
      <c r="AE283" s="255">
        <v>75</v>
      </c>
      <c r="AF283" s="144">
        <v>0</v>
      </c>
      <c r="AG283" s="145">
        <v>1</v>
      </c>
      <c r="AH283" s="145">
        <v>1</v>
      </c>
      <c r="AI283" s="145">
        <v>1</v>
      </c>
      <c r="AJ283" s="145">
        <v>0</v>
      </c>
      <c r="AK283" s="145">
        <v>1</v>
      </c>
      <c r="AL283" s="145">
        <v>1</v>
      </c>
      <c r="AM283" s="145">
        <v>1</v>
      </c>
      <c r="AN283" s="145">
        <v>1</v>
      </c>
      <c r="AO283" s="145">
        <v>1</v>
      </c>
      <c r="AP283" s="145">
        <v>1</v>
      </c>
      <c r="AQ283" s="145">
        <v>1</v>
      </c>
      <c r="AR283" s="145">
        <v>1</v>
      </c>
      <c r="AS283" s="145">
        <v>1</v>
      </c>
      <c r="AT283" s="145">
        <v>1</v>
      </c>
      <c r="AU283" s="145">
        <f t="shared" si="102"/>
        <v>1</v>
      </c>
      <c r="AV283" s="145">
        <f t="shared" si="103"/>
        <v>1</v>
      </c>
      <c r="AW283" s="145">
        <f t="shared" si="104"/>
        <v>1</v>
      </c>
      <c r="AX283" s="145">
        <f t="shared" si="73"/>
        <v>1</v>
      </c>
      <c r="AY283" s="145">
        <f t="shared" si="105"/>
        <v>0</v>
      </c>
      <c r="AZ283" s="145">
        <f t="shared" si="106"/>
        <v>1</v>
      </c>
      <c r="BA283" s="146">
        <f t="shared" si="107"/>
        <v>1</v>
      </c>
      <c r="BB283" s="149">
        <f t="shared" si="98"/>
        <v>19</v>
      </c>
      <c r="BC283" s="150">
        <f t="shared" si="99"/>
        <v>18</v>
      </c>
      <c r="BD283" s="150">
        <f t="shared" si="100"/>
        <v>19</v>
      </c>
      <c r="BE283" s="211" t="str">
        <f t="shared" si="101"/>
        <v/>
      </c>
      <c r="BH283" s="173">
        <f>IF(AND(Input_Product=Elig!$C283,Elig_MatchAll_Ct&lt;22,$BC283=(Elig_MatchAll_Ct-1),AF283=0),C283,0)</f>
        <v>0</v>
      </c>
      <c r="BI283" s="173">
        <f>IF(AND(Input_Product=Elig!$C283,Elig_MatchAll_Ct&lt;22,$BC283=(Elig_MatchAll_Ct-1),AG283=0),D283,0)</f>
        <v>0</v>
      </c>
      <c r="BJ283" s="173">
        <f>IF(AND(Input_Product=Elig!$C283,Elig_MatchAll_Ct&lt;22,$BC283=(Elig_MatchAll_Ct-1),AH283=0),E283,0)</f>
        <v>0</v>
      </c>
      <c r="BK283" s="173">
        <f>IF(AND(Input_Product=Elig!$C283,Elig_MatchAll_Ct&lt;22,$BC283=(Elig_MatchAll_Ct-1),AI283=0),F283,0)</f>
        <v>0</v>
      </c>
      <c r="BL283" s="173">
        <f>IF(AND(Input_Product=Elig!$C283,Elig_MatchAll_Ct&lt;22,$BC283=(Elig_MatchAll_Ct-1),AJ283=0),G283,0)</f>
        <v>0</v>
      </c>
      <c r="BM283" s="173">
        <f>IF(AND(Input_Product=Elig!$C283,Elig_MatchAll_Ct&lt;22,$BC283=(Elig_MatchAll_Ct-1),AK283=0),H283,0)</f>
        <v>0</v>
      </c>
      <c r="BN283" s="173">
        <f>IF(AND(Input_Product=Elig!$C283,Elig_MatchAll_Ct&lt;22,$BC283=(Elig_MatchAll_Ct-1),AL283=0),I283,0)</f>
        <v>0</v>
      </c>
      <c r="BO283" s="173">
        <f>IF(AND(Input_Product=Elig!$C283,Elig_MatchAll_Ct&lt;22,$BC283=(Elig_MatchAll_Ct-1),AM283=0),J283,0)</f>
        <v>0</v>
      </c>
      <c r="BP283" s="173">
        <f>IF(AND(Input_Product=Elig!$C283,Elig_MatchAll_Ct&lt;22,$BC283=(Elig_MatchAll_Ct-1),AN283=0),K283,0)</f>
        <v>0</v>
      </c>
      <c r="BQ283" s="173">
        <f>IF(AND(Input_Product=Elig!$C283,Elig_MatchAll_Ct&lt;22,$BC283=(Elig_MatchAll_Ct-1),AP283=0),L283,0)</f>
        <v>0</v>
      </c>
      <c r="BR283" s="173">
        <f>IF(AND(Input_Product=Elig!$C283,Elig_MatchAll_Ct&lt;22,$BC283=(Elig_MatchAll_Ct-1),AO283=0),M283,0)</f>
        <v>0</v>
      </c>
      <c r="BS283" s="173">
        <f>IF(AND(Input_Product=Elig!$C283,Elig_MatchAll_Ct&lt;22,$BC283=(Elig_MatchAll_Ct-1),AQ283=0),N283,0)</f>
        <v>0</v>
      </c>
      <c r="BT283" s="173">
        <f>IF(AND(Input_Product=Elig!$C283,Elig_MatchAll_Ct&lt;22,$BC283=(Elig_MatchAll_Ct-1),AR283=0),O283,0)</f>
        <v>0</v>
      </c>
      <c r="BU283" s="173">
        <f>IF(AND(Input_Product=Elig!$C283,Elig_MatchAll_Ct&lt;22,$BC283=(Elig_MatchAll_Ct-1),AS283=0),P283,0)</f>
        <v>0</v>
      </c>
      <c r="BV283" s="174">
        <f>IF(AND(Input_Product=Elig!$C283,Elig_MatchAll_Ct&lt;22,$BC283=(Elig_MatchAll_Ct-1),AT283=0),Q283,0)</f>
        <v>0</v>
      </c>
      <c r="BW283" s="175">
        <f>IF(AND(Input_Product=Elig!$C283,Elig_MatchAll_Ct&lt;22,$BC283=(Elig_MatchAll_Ct-1),AU283=0),R283,0)</f>
        <v>0</v>
      </c>
      <c r="BX283" s="176">
        <f>IF(AND(Input_Product=Elig!$C283,Elig_MatchAll_Ct&lt;22,$BC283=(Elig_MatchAll_Ct-1),AU283=0),S283,0)</f>
        <v>0</v>
      </c>
      <c r="BY283" s="175">
        <f>IF(AND(Input_Product=Elig!$C283,Elig_MatchAll_Ct&lt;22,$BC283=(Elig_MatchAll_Ct-1),AV283=0),T283,0)</f>
        <v>0</v>
      </c>
      <c r="BZ283" s="176">
        <f>IF(AND(Input_Product=Elig!$C283,Elig_MatchAll_Ct&lt;22,$BC283=(Elig_MatchAll_Ct-1),AV283=0),U283,0)</f>
        <v>0</v>
      </c>
      <c r="CA283" s="175">
        <f>IF(AND(Input_Product=Elig!$C283,Elig_MatchAll_Ct&lt;22,$BC283=(Elig_MatchAll_Ct-1),AW283=0),V283,0)</f>
        <v>0</v>
      </c>
      <c r="CB283" s="176">
        <f>IF(AND(Input_Product=Elig!$C283,Elig_MatchAll_Ct&lt;22,$BC283=(Elig_MatchAll_Ct-1),AW283=0),W283,0)</f>
        <v>0</v>
      </c>
      <c r="CC283" s="175">
        <f>IF(AND(Input_Product=Elig!$C283,Elig_MatchAll_Ct&lt;22,$BC283=(Elig_MatchAll_Ct-1),AX283=0),X283,0)</f>
        <v>0</v>
      </c>
      <c r="CD283" s="176">
        <f>IF(AND(Input_Product=Elig!$C283,Elig_MatchAll_Ct&lt;22,$BC283=(Elig_MatchAll_Ct-1),AX283=0),Y283,0)</f>
        <v>0</v>
      </c>
      <c r="CE283" s="175">
        <f>IF(AND(Input_LTV&lt;=AE283,Input_Product=Elig!$C283,Elig_MatchAll_Ct&lt;22,$BC283=(Elig_MatchAll_Ct-1),AY283=0),Z283,0)</f>
        <v>0</v>
      </c>
      <c r="CF283" s="176">
        <f>IF(AND(Input_LTV&lt;=AE283,Input_Product=Elig!$C283,Elig_MatchAll_Ct&lt;22,$BC283=(Elig_MatchAll_Ct-1),AY283=0),AA283,0)</f>
        <v>0</v>
      </c>
      <c r="CG283" s="175">
        <f>IF(AND(Input_Product=Elig!$C283,Elig_MatchAll_Ct&lt;22,$BC283=(Elig_MatchAll_Ct-1),AZ283=0),AB283,0)</f>
        <v>0</v>
      </c>
      <c r="CH283" s="176">
        <f>IF(AND(Input_Product=Elig!$C283,Elig_MatchAll_Ct&lt;22,$BC283=(Elig_MatchAll_Ct-1),AZ283=0),AC283,0)</f>
        <v>0</v>
      </c>
      <c r="CI283" s="175">
        <f>IF(AND(Input_Product=Elig!$C283,Elig_MatchAll_Ct&lt;22,$BC283=(Elig_MatchAll_Ct-1),BA283=0),AD283,0)</f>
        <v>0</v>
      </c>
      <c r="CJ283" s="176">
        <f>IF(AND(Input_Product=Elig!$C283,Elig_MatchAll_Ct&lt;22,$BC283=(Elig_MatchAll_Ct-1),BA283=0),AE283,0)</f>
        <v>0</v>
      </c>
    </row>
    <row r="284" spans="1:88" ht="10.15" customHeight="1" x14ac:dyDescent="0.25">
      <c r="A284" s="252" t="s">
        <v>76</v>
      </c>
      <c r="B284" s="252" t="s">
        <v>924</v>
      </c>
      <c r="C284" s="251" t="str">
        <f t="shared" si="93"/>
        <v>NonQM NOO</v>
      </c>
      <c r="D284" s="252" t="s">
        <v>1995</v>
      </c>
      <c r="E284" s="252" t="s">
        <v>166</v>
      </c>
      <c r="F284" s="252" t="s">
        <v>329</v>
      </c>
      <c r="G284" s="252" t="s">
        <v>304</v>
      </c>
      <c r="H284" s="252" t="s">
        <v>135</v>
      </c>
      <c r="I284" s="252" t="s">
        <v>273</v>
      </c>
      <c r="J284" s="252" t="s">
        <v>1130</v>
      </c>
      <c r="K284" s="252" t="s">
        <v>1398</v>
      </c>
      <c r="L284" s="252" t="s">
        <v>311</v>
      </c>
      <c r="M284" s="252" t="s">
        <v>2289</v>
      </c>
      <c r="N284" s="252" t="s">
        <v>1844</v>
      </c>
      <c r="O284" s="252" t="s">
        <v>309</v>
      </c>
      <c r="P284" s="252" t="s">
        <v>2434</v>
      </c>
      <c r="Q284" s="252" t="s">
        <v>293</v>
      </c>
      <c r="R284" s="252">
        <v>100000</v>
      </c>
      <c r="S284" s="252">
        <v>1000000</v>
      </c>
      <c r="T284" s="252">
        <v>0</v>
      </c>
      <c r="U284" s="252">
        <v>0</v>
      </c>
      <c r="V284" s="252">
        <v>0</v>
      </c>
      <c r="W284" s="252">
        <v>50</v>
      </c>
      <c r="X284" s="252">
        <v>0</v>
      </c>
      <c r="Y284" s="252">
        <v>999</v>
      </c>
      <c r="Z284" s="254">
        <v>660</v>
      </c>
      <c r="AA284" s="254">
        <v>679</v>
      </c>
      <c r="AB284" s="1883">
        <v>0</v>
      </c>
      <c r="AC284" s="254">
        <v>999999</v>
      </c>
      <c r="AD284" s="252">
        <v>0</v>
      </c>
      <c r="AE284" s="255">
        <v>70</v>
      </c>
      <c r="AF284" s="144">
        <v>0</v>
      </c>
      <c r="AG284" s="145">
        <v>1</v>
      </c>
      <c r="AH284" s="145">
        <v>1</v>
      </c>
      <c r="AI284" s="145">
        <v>1</v>
      </c>
      <c r="AJ284" s="145">
        <v>0</v>
      </c>
      <c r="AK284" s="145">
        <v>1</v>
      </c>
      <c r="AL284" s="145">
        <v>1</v>
      </c>
      <c r="AM284" s="145">
        <v>1</v>
      </c>
      <c r="AN284" s="145">
        <v>1</v>
      </c>
      <c r="AO284" s="145">
        <v>1</v>
      </c>
      <c r="AP284" s="145">
        <v>1</v>
      </c>
      <c r="AQ284" s="145">
        <v>1</v>
      </c>
      <c r="AR284" s="145">
        <v>1</v>
      </c>
      <c r="AS284" s="145">
        <v>1</v>
      </c>
      <c r="AT284" s="145">
        <v>1</v>
      </c>
      <c r="AU284" s="145">
        <f t="shared" si="102"/>
        <v>1</v>
      </c>
      <c r="AV284" s="145">
        <f t="shared" si="103"/>
        <v>1</v>
      </c>
      <c r="AW284" s="145">
        <f t="shared" si="104"/>
        <v>1</v>
      </c>
      <c r="AX284" s="145">
        <f t="shared" si="73"/>
        <v>1</v>
      </c>
      <c r="AY284" s="145">
        <f t="shared" si="105"/>
        <v>0</v>
      </c>
      <c r="AZ284" s="145">
        <f t="shared" si="106"/>
        <v>1</v>
      </c>
      <c r="BA284" s="146">
        <f t="shared" si="107"/>
        <v>1</v>
      </c>
      <c r="BB284" s="149">
        <f t="shared" si="98"/>
        <v>19</v>
      </c>
      <c r="BC284" s="150">
        <f t="shared" si="99"/>
        <v>18</v>
      </c>
      <c r="BD284" s="150">
        <f t="shared" si="100"/>
        <v>19</v>
      </c>
      <c r="BE284" s="211" t="str">
        <f t="shared" si="101"/>
        <v/>
      </c>
      <c r="BH284" s="173">
        <f>IF(AND(Input_Product=Elig!$C284,Elig_MatchAll_Ct&lt;22,$BC284=(Elig_MatchAll_Ct-1),AF284=0),C284,0)</f>
        <v>0</v>
      </c>
      <c r="BI284" s="173">
        <f>IF(AND(Input_Product=Elig!$C284,Elig_MatchAll_Ct&lt;22,$BC284=(Elig_MatchAll_Ct-1),AG284=0),D284,0)</f>
        <v>0</v>
      </c>
      <c r="BJ284" s="173">
        <f>IF(AND(Input_Product=Elig!$C284,Elig_MatchAll_Ct&lt;22,$BC284=(Elig_MatchAll_Ct-1),AH284=0),E284,0)</f>
        <v>0</v>
      </c>
      <c r="BK284" s="173">
        <f>IF(AND(Input_Product=Elig!$C284,Elig_MatchAll_Ct&lt;22,$BC284=(Elig_MatchAll_Ct-1),AI284=0),F284,0)</f>
        <v>0</v>
      </c>
      <c r="BL284" s="173">
        <f>IF(AND(Input_Product=Elig!$C284,Elig_MatchAll_Ct&lt;22,$BC284=(Elig_MatchAll_Ct-1),AJ284=0),G284,0)</f>
        <v>0</v>
      </c>
      <c r="BM284" s="173">
        <f>IF(AND(Input_Product=Elig!$C284,Elig_MatchAll_Ct&lt;22,$BC284=(Elig_MatchAll_Ct-1),AK284=0),H284,0)</f>
        <v>0</v>
      </c>
      <c r="BN284" s="173">
        <f>IF(AND(Input_Product=Elig!$C284,Elig_MatchAll_Ct&lt;22,$BC284=(Elig_MatchAll_Ct-1),AL284=0),I284,0)</f>
        <v>0</v>
      </c>
      <c r="BO284" s="173">
        <f>IF(AND(Input_Product=Elig!$C284,Elig_MatchAll_Ct&lt;22,$BC284=(Elig_MatchAll_Ct-1),AM284=0),J284,0)</f>
        <v>0</v>
      </c>
      <c r="BP284" s="173">
        <f>IF(AND(Input_Product=Elig!$C284,Elig_MatchAll_Ct&lt;22,$BC284=(Elig_MatchAll_Ct-1),AN284=0),K284,0)</f>
        <v>0</v>
      </c>
      <c r="BQ284" s="173">
        <f>IF(AND(Input_Product=Elig!$C284,Elig_MatchAll_Ct&lt;22,$BC284=(Elig_MatchAll_Ct-1),AP284=0),L284,0)</f>
        <v>0</v>
      </c>
      <c r="BR284" s="173">
        <f>IF(AND(Input_Product=Elig!$C284,Elig_MatchAll_Ct&lt;22,$BC284=(Elig_MatchAll_Ct-1),AO284=0),M284,0)</f>
        <v>0</v>
      </c>
      <c r="BS284" s="173">
        <f>IF(AND(Input_Product=Elig!$C284,Elig_MatchAll_Ct&lt;22,$BC284=(Elig_MatchAll_Ct-1),AQ284=0),N284,0)</f>
        <v>0</v>
      </c>
      <c r="BT284" s="173">
        <f>IF(AND(Input_Product=Elig!$C284,Elig_MatchAll_Ct&lt;22,$BC284=(Elig_MatchAll_Ct-1),AR284=0),O284,0)</f>
        <v>0</v>
      </c>
      <c r="BU284" s="173">
        <f>IF(AND(Input_Product=Elig!$C284,Elig_MatchAll_Ct&lt;22,$BC284=(Elig_MatchAll_Ct-1),AS284=0),P284,0)</f>
        <v>0</v>
      </c>
      <c r="BV284" s="174">
        <f>IF(AND(Input_Product=Elig!$C284,Elig_MatchAll_Ct&lt;22,$BC284=(Elig_MatchAll_Ct-1),AT284=0),Q284,0)</f>
        <v>0</v>
      </c>
      <c r="BW284" s="175">
        <f>IF(AND(Input_Product=Elig!$C284,Elig_MatchAll_Ct&lt;22,$BC284=(Elig_MatchAll_Ct-1),AU284=0),R284,0)</f>
        <v>0</v>
      </c>
      <c r="BX284" s="176">
        <f>IF(AND(Input_Product=Elig!$C284,Elig_MatchAll_Ct&lt;22,$BC284=(Elig_MatchAll_Ct-1),AU284=0),S284,0)</f>
        <v>0</v>
      </c>
      <c r="BY284" s="175">
        <f>IF(AND(Input_Product=Elig!$C284,Elig_MatchAll_Ct&lt;22,$BC284=(Elig_MatchAll_Ct-1),AV284=0),T284,0)</f>
        <v>0</v>
      </c>
      <c r="BZ284" s="176">
        <f>IF(AND(Input_Product=Elig!$C284,Elig_MatchAll_Ct&lt;22,$BC284=(Elig_MatchAll_Ct-1),AV284=0),U284,0)</f>
        <v>0</v>
      </c>
      <c r="CA284" s="175">
        <f>IF(AND(Input_Product=Elig!$C284,Elig_MatchAll_Ct&lt;22,$BC284=(Elig_MatchAll_Ct-1),AW284=0),V284,0)</f>
        <v>0</v>
      </c>
      <c r="CB284" s="176">
        <f>IF(AND(Input_Product=Elig!$C284,Elig_MatchAll_Ct&lt;22,$BC284=(Elig_MatchAll_Ct-1),AW284=0),W284,0)</f>
        <v>0</v>
      </c>
      <c r="CC284" s="175">
        <f>IF(AND(Input_Product=Elig!$C284,Elig_MatchAll_Ct&lt;22,$BC284=(Elig_MatchAll_Ct-1),AX284=0),X284,0)</f>
        <v>0</v>
      </c>
      <c r="CD284" s="176">
        <f>IF(AND(Input_Product=Elig!$C284,Elig_MatchAll_Ct&lt;22,$BC284=(Elig_MatchAll_Ct-1),AX284=0),Y284,0)</f>
        <v>0</v>
      </c>
      <c r="CE284" s="175">
        <f>IF(AND(Input_LTV&lt;=AE284,Input_Product=Elig!$C284,Elig_MatchAll_Ct&lt;22,$BC284=(Elig_MatchAll_Ct-1),AY284=0),Z284,0)</f>
        <v>0</v>
      </c>
      <c r="CF284" s="176">
        <f>IF(AND(Input_LTV&lt;=AE284,Input_Product=Elig!$C284,Elig_MatchAll_Ct&lt;22,$BC284=(Elig_MatchAll_Ct-1),AY284=0),AA284,0)</f>
        <v>0</v>
      </c>
      <c r="CG284" s="175">
        <f>IF(AND(Input_Product=Elig!$C284,Elig_MatchAll_Ct&lt;22,$BC284=(Elig_MatchAll_Ct-1),AZ284=0),AB284,0)</f>
        <v>0</v>
      </c>
      <c r="CH284" s="176">
        <f>IF(AND(Input_Product=Elig!$C284,Elig_MatchAll_Ct&lt;22,$BC284=(Elig_MatchAll_Ct-1),AZ284=0),AC284,0)</f>
        <v>0</v>
      </c>
      <c r="CI284" s="175">
        <f>IF(AND(Input_Product=Elig!$C284,Elig_MatchAll_Ct&lt;22,$BC284=(Elig_MatchAll_Ct-1),BA284=0),AD284,0)</f>
        <v>0</v>
      </c>
      <c r="CJ284" s="176">
        <f>IF(AND(Input_Product=Elig!$C284,Elig_MatchAll_Ct&lt;22,$BC284=(Elig_MatchAll_Ct-1),BA284=0),AE284,0)</f>
        <v>0</v>
      </c>
    </row>
    <row r="285" spans="1:88" ht="10.15" customHeight="1" x14ac:dyDescent="0.25">
      <c r="A285" s="252" t="s">
        <v>76</v>
      </c>
      <c r="B285" s="252" t="s">
        <v>925</v>
      </c>
      <c r="C285" s="246" t="str">
        <f t="shared" si="93"/>
        <v>NonQM NOO</v>
      </c>
      <c r="D285" s="247" t="s">
        <v>1995</v>
      </c>
      <c r="E285" s="248" t="s">
        <v>166</v>
      </c>
      <c r="F285" s="248" t="s">
        <v>329</v>
      </c>
      <c r="G285" s="248" t="s">
        <v>304</v>
      </c>
      <c r="H285" s="248" t="s">
        <v>135</v>
      </c>
      <c r="I285" s="247" t="s">
        <v>16</v>
      </c>
      <c r="J285" s="247" t="s">
        <v>1130</v>
      </c>
      <c r="K285" s="247" t="s">
        <v>1398</v>
      </c>
      <c r="L285" s="248" t="s">
        <v>311</v>
      </c>
      <c r="M285" s="248" t="s">
        <v>2289</v>
      </c>
      <c r="N285" s="248" t="s">
        <v>1844</v>
      </c>
      <c r="O285" s="248" t="s">
        <v>309</v>
      </c>
      <c r="P285" s="248" t="s">
        <v>2434</v>
      </c>
      <c r="Q285" s="248" t="s">
        <v>293</v>
      </c>
      <c r="R285" s="247">
        <v>100000</v>
      </c>
      <c r="S285" s="247">
        <v>1000000</v>
      </c>
      <c r="T285" s="247">
        <v>0</v>
      </c>
      <c r="U285" s="247">
        <f t="shared" ref="U285:U288" si="108">S285</f>
        <v>1000000</v>
      </c>
      <c r="V285" s="247">
        <v>0</v>
      </c>
      <c r="W285" s="247">
        <v>55</v>
      </c>
      <c r="X285" s="247">
        <v>0</v>
      </c>
      <c r="Y285" s="247">
        <v>999</v>
      </c>
      <c r="Z285" s="249">
        <v>720</v>
      </c>
      <c r="AA285" s="249">
        <v>999</v>
      </c>
      <c r="AB285" s="1882">
        <v>0</v>
      </c>
      <c r="AC285" s="249">
        <v>999999</v>
      </c>
      <c r="AD285" s="247">
        <v>0</v>
      </c>
      <c r="AE285" s="250">
        <v>70</v>
      </c>
      <c r="AF285" s="144">
        <v>0</v>
      </c>
      <c r="AG285" s="145">
        <v>1</v>
      </c>
      <c r="AH285" s="145">
        <v>1</v>
      </c>
      <c r="AI285" s="145">
        <v>1</v>
      </c>
      <c r="AJ285" s="145">
        <v>0</v>
      </c>
      <c r="AK285" s="145">
        <v>1</v>
      </c>
      <c r="AL285" s="145">
        <v>0</v>
      </c>
      <c r="AM285" s="145">
        <v>1</v>
      </c>
      <c r="AN285" s="145">
        <v>1</v>
      </c>
      <c r="AO285" s="145">
        <v>1</v>
      </c>
      <c r="AP285" s="145">
        <v>1</v>
      </c>
      <c r="AQ285" s="145">
        <v>1</v>
      </c>
      <c r="AR285" s="145">
        <v>1</v>
      </c>
      <c r="AS285" s="145">
        <v>1</v>
      </c>
      <c r="AT285" s="145">
        <v>1</v>
      </c>
      <c r="AU285" s="145">
        <f t="shared" si="102"/>
        <v>1</v>
      </c>
      <c r="AV285" s="145">
        <f t="shared" si="103"/>
        <v>1</v>
      </c>
      <c r="AW285" s="145">
        <f t="shared" si="104"/>
        <v>1</v>
      </c>
      <c r="AX285" s="145">
        <f t="shared" si="73"/>
        <v>1</v>
      </c>
      <c r="AY285" s="145">
        <f t="shared" si="105"/>
        <v>1</v>
      </c>
      <c r="AZ285" s="145">
        <f t="shared" si="106"/>
        <v>1</v>
      </c>
      <c r="BA285" s="146">
        <f t="shared" si="107"/>
        <v>1</v>
      </c>
      <c r="BB285" s="149">
        <f t="shared" si="98"/>
        <v>19</v>
      </c>
      <c r="BC285" s="150">
        <f t="shared" si="99"/>
        <v>18</v>
      </c>
      <c r="BD285" s="150">
        <f t="shared" si="100"/>
        <v>19</v>
      </c>
      <c r="BE285" s="211" t="str">
        <f t="shared" si="101"/>
        <v/>
      </c>
      <c r="BH285" s="190">
        <f>IF(AND(Input_Product=Elig!$C285,Elig_MatchAll_Ct&lt;22,$BC285=(Elig_MatchAll_Ct-1),AF285=0),C285,0)</f>
        <v>0</v>
      </c>
      <c r="BI285" s="190">
        <f>IF(AND(Input_Product=Elig!$C285,Elig_MatchAll_Ct&lt;22,$BC285=(Elig_MatchAll_Ct-1),AG285=0),D285,0)</f>
        <v>0</v>
      </c>
      <c r="BJ285" s="190">
        <f>IF(AND(Input_Product=Elig!$C285,Elig_MatchAll_Ct&lt;22,$BC285=(Elig_MatchAll_Ct-1),AH285=0),E285,0)</f>
        <v>0</v>
      </c>
      <c r="BK285" s="190">
        <f>IF(AND(Input_Product=Elig!$C285,Elig_MatchAll_Ct&lt;22,$BC285=(Elig_MatchAll_Ct-1),AI285=0),F285,0)</f>
        <v>0</v>
      </c>
      <c r="BL285" s="190">
        <f>IF(AND(Input_Product=Elig!$C285,Elig_MatchAll_Ct&lt;22,$BC285=(Elig_MatchAll_Ct-1),AJ285=0),G285,0)</f>
        <v>0</v>
      </c>
      <c r="BM285" s="190">
        <f>IF(AND(Input_Product=Elig!$C285,Elig_MatchAll_Ct&lt;22,$BC285=(Elig_MatchAll_Ct-1),AK285=0),H285,0)</f>
        <v>0</v>
      </c>
      <c r="BN285" s="190">
        <f>IF(AND(Input_Product=Elig!$C285,Elig_MatchAll_Ct&lt;22,$BC285=(Elig_MatchAll_Ct-1),AL285=0),I285,0)</f>
        <v>0</v>
      </c>
      <c r="BO285" s="190">
        <f>IF(AND(Input_Product=Elig!$C285,Elig_MatchAll_Ct&lt;22,$BC285=(Elig_MatchAll_Ct-1),AM285=0),J285,0)</f>
        <v>0</v>
      </c>
      <c r="BP285" s="190">
        <f>IF(AND(Input_Product=Elig!$C285,Elig_MatchAll_Ct&lt;22,$BC285=(Elig_MatchAll_Ct-1),AN285=0),K285,0)</f>
        <v>0</v>
      </c>
      <c r="BQ285" s="190">
        <f>IF(AND(Input_Product=Elig!$C285,Elig_MatchAll_Ct&lt;22,$BC285=(Elig_MatchAll_Ct-1),AP285=0),L285,0)</f>
        <v>0</v>
      </c>
      <c r="BR285" s="190">
        <f>IF(AND(Input_Product=Elig!$C285,Elig_MatchAll_Ct&lt;22,$BC285=(Elig_MatchAll_Ct-1),AO285=0),M285,0)</f>
        <v>0</v>
      </c>
      <c r="BS285" s="190">
        <f>IF(AND(Input_Product=Elig!$C285,Elig_MatchAll_Ct&lt;22,$BC285=(Elig_MatchAll_Ct-1),AQ285=0),N285,0)</f>
        <v>0</v>
      </c>
      <c r="BT285" s="190">
        <f>IF(AND(Input_Product=Elig!$C285,Elig_MatchAll_Ct&lt;22,$BC285=(Elig_MatchAll_Ct-1),AR285=0),O285,0)</f>
        <v>0</v>
      </c>
      <c r="BU285" s="190">
        <f>IF(AND(Input_Product=Elig!$C285,Elig_MatchAll_Ct&lt;22,$BC285=(Elig_MatchAll_Ct-1),AS285=0),P285,0)</f>
        <v>0</v>
      </c>
      <c r="BV285" s="191">
        <f>IF(AND(Input_Product=Elig!$C285,Elig_MatchAll_Ct&lt;22,$BC285=(Elig_MatchAll_Ct-1),AT285=0),Q285,0)</f>
        <v>0</v>
      </c>
      <c r="BW285" s="186">
        <f>IF(AND(Input_Product=Elig!$C285,Elig_MatchAll_Ct&lt;22,$BC285=(Elig_MatchAll_Ct-1),AU285=0),R285,0)</f>
        <v>0</v>
      </c>
      <c r="BX285" s="187">
        <f>IF(AND(Input_Product=Elig!$C285,Elig_MatchAll_Ct&lt;22,$BC285=(Elig_MatchAll_Ct-1),AU285=0),S285,0)</f>
        <v>0</v>
      </c>
      <c r="BY285" s="186">
        <f>IF(AND(Input_Product=Elig!$C285,Elig_MatchAll_Ct&lt;22,$BC285=(Elig_MatchAll_Ct-1),AV285=0),T285,0)</f>
        <v>0</v>
      </c>
      <c r="BZ285" s="187">
        <f>IF(AND(Input_Product=Elig!$C285,Elig_MatchAll_Ct&lt;22,$BC285=(Elig_MatchAll_Ct-1),AV285=0),U285,0)</f>
        <v>0</v>
      </c>
      <c r="CA285" s="186">
        <f>IF(AND(Input_Product=Elig!$C285,Elig_MatchAll_Ct&lt;22,$BC285=(Elig_MatchAll_Ct-1),AW285=0),V285,0)</f>
        <v>0</v>
      </c>
      <c r="CB285" s="187">
        <f>IF(AND(Input_Product=Elig!$C285,Elig_MatchAll_Ct&lt;22,$BC285=(Elig_MatchAll_Ct-1),AW285=0),W285,0)</f>
        <v>0</v>
      </c>
      <c r="CC285" s="186">
        <f>IF(AND(Input_Product=Elig!$C285,Elig_MatchAll_Ct&lt;22,$BC285=(Elig_MatchAll_Ct-1),AX285=0),X285,0)</f>
        <v>0</v>
      </c>
      <c r="CD285" s="187">
        <f>IF(AND(Input_Product=Elig!$C285,Elig_MatchAll_Ct&lt;22,$BC285=(Elig_MatchAll_Ct-1),AX285=0),Y285,0)</f>
        <v>0</v>
      </c>
      <c r="CE285" s="186">
        <f>IF(AND(Input_LTV&lt;=AE285,Input_Product=Elig!$C285,Elig_MatchAll_Ct&lt;22,$BC285=(Elig_MatchAll_Ct-1),AY285=0),Z285,0)</f>
        <v>0</v>
      </c>
      <c r="CF285" s="187">
        <f>IF(AND(Input_LTV&lt;=AE285,Input_Product=Elig!$C285,Elig_MatchAll_Ct&lt;22,$BC285=(Elig_MatchAll_Ct-1),AY285=0),AA285,0)</f>
        <v>0</v>
      </c>
      <c r="CG285" s="186">
        <f>IF(AND(Input_Product=Elig!$C285,Elig_MatchAll_Ct&lt;22,$BC285=(Elig_MatchAll_Ct-1),AZ285=0),AB285,0)</f>
        <v>0</v>
      </c>
      <c r="CH285" s="187">
        <f>IF(AND(Input_Product=Elig!$C285,Elig_MatchAll_Ct&lt;22,$BC285=(Elig_MatchAll_Ct-1),AZ285=0),AC285,0)</f>
        <v>0</v>
      </c>
      <c r="CI285" s="186">
        <f>IF(AND(Input_Product=Elig!$C285,Elig_MatchAll_Ct&lt;22,$BC285=(Elig_MatchAll_Ct-1),BA285=0),AD285,0)</f>
        <v>0</v>
      </c>
      <c r="CJ285" s="187">
        <f>IF(AND(Input_Product=Elig!$C285,Elig_MatchAll_Ct&lt;22,$BC285=(Elig_MatchAll_Ct-1),BA285=0),AE285,0)</f>
        <v>0</v>
      </c>
    </row>
    <row r="286" spans="1:88" ht="10.15" customHeight="1" x14ac:dyDescent="0.25">
      <c r="A286" s="252" t="s">
        <v>76</v>
      </c>
      <c r="B286" s="252" t="s">
        <v>926</v>
      </c>
      <c r="C286" s="251" t="str">
        <f t="shared" si="93"/>
        <v>NonQM NOO</v>
      </c>
      <c r="D286" s="252" t="s">
        <v>1995</v>
      </c>
      <c r="E286" s="252" t="s">
        <v>166</v>
      </c>
      <c r="F286" s="252" t="s">
        <v>329</v>
      </c>
      <c r="G286" s="252" t="s">
        <v>304</v>
      </c>
      <c r="H286" s="252" t="s">
        <v>135</v>
      </c>
      <c r="I286" s="253" t="s">
        <v>16</v>
      </c>
      <c r="J286" s="253" t="s">
        <v>1130</v>
      </c>
      <c r="K286" s="253" t="s">
        <v>1398</v>
      </c>
      <c r="L286" s="252" t="s">
        <v>311</v>
      </c>
      <c r="M286" s="252" t="s">
        <v>2289</v>
      </c>
      <c r="N286" s="252" t="s">
        <v>1844</v>
      </c>
      <c r="O286" s="252" t="s">
        <v>309</v>
      </c>
      <c r="P286" s="252" t="s">
        <v>2434</v>
      </c>
      <c r="Q286" s="252" t="s">
        <v>293</v>
      </c>
      <c r="R286" s="252">
        <v>100000</v>
      </c>
      <c r="S286" s="252">
        <v>1000000</v>
      </c>
      <c r="T286" s="252">
        <v>0</v>
      </c>
      <c r="U286" s="252">
        <f t="shared" si="108"/>
        <v>1000000</v>
      </c>
      <c r="V286" s="252">
        <v>0</v>
      </c>
      <c r="W286" s="252">
        <v>55</v>
      </c>
      <c r="X286" s="252">
        <v>0</v>
      </c>
      <c r="Y286" s="252">
        <v>999</v>
      </c>
      <c r="Z286" s="254">
        <v>700</v>
      </c>
      <c r="AA286" s="254">
        <v>719</v>
      </c>
      <c r="AB286" s="1883">
        <v>0</v>
      </c>
      <c r="AC286" s="254">
        <v>999999</v>
      </c>
      <c r="AD286" s="252">
        <v>0</v>
      </c>
      <c r="AE286" s="255">
        <v>70</v>
      </c>
      <c r="AF286" s="144">
        <v>0</v>
      </c>
      <c r="AG286" s="145">
        <v>1</v>
      </c>
      <c r="AH286" s="145">
        <v>1</v>
      </c>
      <c r="AI286" s="145">
        <v>1</v>
      </c>
      <c r="AJ286" s="145">
        <v>0</v>
      </c>
      <c r="AK286" s="145">
        <v>1</v>
      </c>
      <c r="AL286" s="145">
        <v>0</v>
      </c>
      <c r="AM286" s="145">
        <v>1</v>
      </c>
      <c r="AN286" s="145">
        <v>1</v>
      </c>
      <c r="AO286" s="145">
        <v>1</v>
      </c>
      <c r="AP286" s="145">
        <v>1</v>
      </c>
      <c r="AQ286" s="145">
        <v>1</v>
      </c>
      <c r="AR286" s="145">
        <v>1</v>
      </c>
      <c r="AS286" s="145">
        <v>1</v>
      </c>
      <c r="AT286" s="145">
        <v>1</v>
      </c>
      <c r="AU286" s="145">
        <f t="shared" si="102"/>
        <v>1</v>
      </c>
      <c r="AV286" s="145">
        <f t="shared" si="103"/>
        <v>1</v>
      </c>
      <c r="AW286" s="145">
        <f t="shared" si="104"/>
        <v>1</v>
      </c>
      <c r="AX286" s="145">
        <f t="shared" si="73"/>
        <v>1</v>
      </c>
      <c r="AY286" s="145">
        <f t="shared" si="105"/>
        <v>0</v>
      </c>
      <c r="AZ286" s="145">
        <f t="shared" si="106"/>
        <v>1</v>
      </c>
      <c r="BA286" s="146">
        <f t="shared" si="107"/>
        <v>1</v>
      </c>
      <c r="BB286" s="149">
        <f t="shared" si="98"/>
        <v>18</v>
      </c>
      <c r="BC286" s="150">
        <f t="shared" si="99"/>
        <v>17</v>
      </c>
      <c r="BD286" s="150">
        <f t="shared" si="100"/>
        <v>18</v>
      </c>
      <c r="BE286" s="211" t="str">
        <f t="shared" si="101"/>
        <v/>
      </c>
      <c r="BH286" s="173">
        <f>IF(AND(Input_Product=Elig!$C286,Elig_MatchAll_Ct&lt;22,$BC286=(Elig_MatchAll_Ct-1),AF286=0),C286,0)</f>
        <v>0</v>
      </c>
      <c r="BI286" s="173">
        <f>IF(AND(Input_Product=Elig!$C286,Elig_MatchAll_Ct&lt;22,$BC286=(Elig_MatchAll_Ct-1),AG286=0),D286,0)</f>
        <v>0</v>
      </c>
      <c r="BJ286" s="173">
        <f>IF(AND(Input_Product=Elig!$C286,Elig_MatchAll_Ct&lt;22,$BC286=(Elig_MatchAll_Ct-1),AH286=0),E286,0)</f>
        <v>0</v>
      </c>
      <c r="BK286" s="173">
        <f>IF(AND(Input_Product=Elig!$C286,Elig_MatchAll_Ct&lt;22,$BC286=(Elig_MatchAll_Ct-1),AI286=0),F286,0)</f>
        <v>0</v>
      </c>
      <c r="BL286" s="173">
        <f>IF(AND(Input_Product=Elig!$C286,Elig_MatchAll_Ct&lt;22,$BC286=(Elig_MatchAll_Ct-1),AJ286=0),G286,0)</f>
        <v>0</v>
      </c>
      <c r="BM286" s="173">
        <f>IF(AND(Input_Product=Elig!$C286,Elig_MatchAll_Ct&lt;22,$BC286=(Elig_MatchAll_Ct-1),AK286=0),H286,0)</f>
        <v>0</v>
      </c>
      <c r="BN286" s="173">
        <f>IF(AND(Input_Product=Elig!$C286,Elig_MatchAll_Ct&lt;22,$BC286=(Elig_MatchAll_Ct-1),AL286=0),I286,0)</f>
        <v>0</v>
      </c>
      <c r="BO286" s="173">
        <f>IF(AND(Input_Product=Elig!$C286,Elig_MatchAll_Ct&lt;22,$BC286=(Elig_MatchAll_Ct-1),AM286=0),J286,0)</f>
        <v>0</v>
      </c>
      <c r="BP286" s="173">
        <f>IF(AND(Input_Product=Elig!$C286,Elig_MatchAll_Ct&lt;22,$BC286=(Elig_MatchAll_Ct-1),AN286=0),K286,0)</f>
        <v>0</v>
      </c>
      <c r="BQ286" s="173">
        <f>IF(AND(Input_Product=Elig!$C286,Elig_MatchAll_Ct&lt;22,$BC286=(Elig_MatchAll_Ct-1),AP286=0),L286,0)</f>
        <v>0</v>
      </c>
      <c r="BR286" s="173">
        <f>IF(AND(Input_Product=Elig!$C286,Elig_MatchAll_Ct&lt;22,$BC286=(Elig_MatchAll_Ct-1),AO286=0),M286,0)</f>
        <v>0</v>
      </c>
      <c r="BS286" s="173">
        <f>IF(AND(Input_Product=Elig!$C286,Elig_MatchAll_Ct&lt;22,$BC286=(Elig_MatchAll_Ct-1),AQ286=0),N286,0)</f>
        <v>0</v>
      </c>
      <c r="BT286" s="173">
        <f>IF(AND(Input_Product=Elig!$C286,Elig_MatchAll_Ct&lt;22,$BC286=(Elig_MatchAll_Ct-1),AR286=0),O286,0)</f>
        <v>0</v>
      </c>
      <c r="BU286" s="173">
        <f>IF(AND(Input_Product=Elig!$C286,Elig_MatchAll_Ct&lt;22,$BC286=(Elig_MatchAll_Ct-1),AS286=0),P286,0)</f>
        <v>0</v>
      </c>
      <c r="BV286" s="174">
        <f>IF(AND(Input_Product=Elig!$C286,Elig_MatchAll_Ct&lt;22,$BC286=(Elig_MatchAll_Ct-1),AT286=0),Q286,0)</f>
        <v>0</v>
      </c>
      <c r="BW286" s="175">
        <f>IF(AND(Input_Product=Elig!$C286,Elig_MatchAll_Ct&lt;22,$BC286=(Elig_MatchAll_Ct-1),AU286=0),R286,0)</f>
        <v>0</v>
      </c>
      <c r="BX286" s="176">
        <f>IF(AND(Input_Product=Elig!$C286,Elig_MatchAll_Ct&lt;22,$BC286=(Elig_MatchAll_Ct-1),AU286=0),S286,0)</f>
        <v>0</v>
      </c>
      <c r="BY286" s="175">
        <f>IF(AND(Input_Product=Elig!$C286,Elig_MatchAll_Ct&lt;22,$BC286=(Elig_MatchAll_Ct-1),AV286=0),T286,0)</f>
        <v>0</v>
      </c>
      <c r="BZ286" s="176">
        <f>IF(AND(Input_Product=Elig!$C286,Elig_MatchAll_Ct&lt;22,$BC286=(Elig_MatchAll_Ct-1),AV286=0),U286,0)</f>
        <v>0</v>
      </c>
      <c r="CA286" s="175">
        <f>IF(AND(Input_Product=Elig!$C286,Elig_MatchAll_Ct&lt;22,$BC286=(Elig_MatchAll_Ct-1),AW286=0),V286,0)</f>
        <v>0</v>
      </c>
      <c r="CB286" s="176">
        <f>IF(AND(Input_Product=Elig!$C286,Elig_MatchAll_Ct&lt;22,$BC286=(Elig_MatchAll_Ct-1),AW286=0),W286,0)</f>
        <v>0</v>
      </c>
      <c r="CC286" s="175">
        <f>IF(AND(Input_Product=Elig!$C286,Elig_MatchAll_Ct&lt;22,$BC286=(Elig_MatchAll_Ct-1),AX286=0),X286,0)</f>
        <v>0</v>
      </c>
      <c r="CD286" s="176">
        <f>IF(AND(Input_Product=Elig!$C286,Elig_MatchAll_Ct&lt;22,$BC286=(Elig_MatchAll_Ct-1),AX286=0),Y286,0)</f>
        <v>0</v>
      </c>
      <c r="CE286" s="175">
        <f>IF(AND(Input_LTV&lt;=AE286,Input_Product=Elig!$C286,Elig_MatchAll_Ct&lt;22,$BC286=(Elig_MatchAll_Ct-1),AY286=0),Z286,0)</f>
        <v>0</v>
      </c>
      <c r="CF286" s="176">
        <f>IF(AND(Input_LTV&lt;=AE286,Input_Product=Elig!$C286,Elig_MatchAll_Ct&lt;22,$BC286=(Elig_MatchAll_Ct-1),AY286=0),AA286,0)</f>
        <v>0</v>
      </c>
      <c r="CG286" s="175">
        <f>IF(AND(Input_Product=Elig!$C286,Elig_MatchAll_Ct&lt;22,$BC286=(Elig_MatchAll_Ct-1),AZ286=0),AB286,0)</f>
        <v>0</v>
      </c>
      <c r="CH286" s="176">
        <f>IF(AND(Input_Product=Elig!$C286,Elig_MatchAll_Ct&lt;22,$BC286=(Elig_MatchAll_Ct-1),AZ286=0),AC286,0)</f>
        <v>0</v>
      </c>
      <c r="CI286" s="175">
        <f>IF(AND(Input_Product=Elig!$C286,Elig_MatchAll_Ct&lt;22,$BC286=(Elig_MatchAll_Ct-1),BA286=0),AD286,0)</f>
        <v>0</v>
      </c>
      <c r="CJ286" s="176">
        <f>IF(AND(Input_Product=Elig!$C286,Elig_MatchAll_Ct&lt;22,$BC286=(Elig_MatchAll_Ct-1),BA286=0),AE286,0)</f>
        <v>0</v>
      </c>
    </row>
    <row r="287" spans="1:88" ht="10.15" customHeight="1" x14ac:dyDescent="0.25">
      <c r="A287" s="252" t="s">
        <v>76</v>
      </c>
      <c r="B287" s="252" t="s">
        <v>927</v>
      </c>
      <c r="C287" s="251" t="str">
        <f t="shared" si="93"/>
        <v>NonQM NOO</v>
      </c>
      <c r="D287" s="252" t="s">
        <v>1995</v>
      </c>
      <c r="E287" s="252" t="s">
        <v>166</v>
      </c>
      <c r="F287" s="252" t="s">
        <v>329</v>
      </c>
      <c r="G287" s="252" t="s">
        <v>304</v>
      </c>
      <c r="H287" s="252" t="s">
        <v>135</v>
      </c>
      <c r="I287" s="253" t="s">
        <v>16</v>
      </c>
      <c r="J287" s="253" t="s">
        <v>1130</v>
      </c>
      <c r="K287" s="253" t="s">
        <v>1398</v>
      </c>
      <c r="L287" s="252" t="s">
        <v>311</v>
      </c>
      <c r="M287" s="252" t="s">
        <v>2289</v>
      </c>
      <c r="N287" s="252" t="s">
        <v>1844</v>
      </c>
      <c r="O287" s="252" t="s">
        <v>309</v>
      </c>
      <c r="P287" s="252" t="s">
        <v>2434</v>
      </c>
      <c r="Q287" s="252" t="s">
        <v>293</v>
      </c>
      <c r="R287" s="252">
        <v>100000</v>
      </c>
      <c r="S287" s="252">
        <v>1000000</v>
      </c>
      <c r="T287" s="252">
        <v>0</v>
      </c>
      <c r="U287" s="252">
        <f t="shared" si="108"/>
        <v>1000000</v>
      </c>
      <c r="V287" s="252">
        <v>0</v>
      </c>
      <c r="W287" s="252">
        <v>55</v>
      </c>
      <c r="X287" s="252">
        <v>0</v>
      </c>
      <c r="Y287" s="252">
        <v>999</v>
      </c>
      <c r="Z287" s="254">
        <v>680</v>
      </c>
      <c r="AA287" s="254">
        <v>699</v>
      </c>
      <c r="AB287" s="1883">
        <v>0</v>
      </c>
      <c r="AC287" s="254">
        <v>999999</v>
      </c>
      <c r="AD287" s="252">
        <v>0</v>
      </c>
      <c r="AE287" s="255">
        <v>65</v>
      </c>
      <c r="AF287" s="144">
        <v>0</v>
      </c>
      <c r="AG287" s="145">
        <v>1</v>
      </c>
      <c r="AH287" s="145">
        <v>1</v>
      </c>
      <c r="AI287" s="145">
        <v>1</v>
      </c>
      <c r="AJ287" s="145">
        <v>0</v>
      </c>
      <c r="AK287" s="145">
        <v>1</v>
      </c>
      <c r="AL287" s="145">
        <v>0</v>
      </c>
      <c r="AM287" s="145">
        <v>1</v>
      </c>
      <c r="AN287" s="145">
        <v>1</v>
      </c>
      <c r="AO287" s="145">
        <v>1</v>
      </c>
      <c r="AP287" s="145">
        <v>1</v>
      </c>
      <c r="AQ287" s="145">
        <v>1</v>
      </c>
      <c r="AR287" s="145">
        <v>1</v>
      </c>
      <c r="AS287" s="145">
        <v>1</v>
      </c>
      <c r="AT287" s="145">
        <v>1</v>
      </c>
      <c r="AU287" s="145">
        <f t="shared" si="102"/>
        <v>1</v>
      </c>
      <c r="AV287" s="145">
        <f t="shared" si="103"/>
        <v>1</v>
      </c>
      <c r="AW287" s="145">
        <f t="shared" si="104"/>
        <v>1</v>
      </c>
      <c r="AX287" s="145">
        <f t="shared" si="73"/>
        <v>1</v>
      </c>
      <c r="AY287" s="145">
        <f t="shared" si="105"/>
        <v>0</v>
      </c>
      <c r="AZ287" s="145">
        <f t="shared" si="106"/>
        <v>1</v>
      </c>
      <c r="BA287" s="146">
        <f t="shared" si="107"/>
        <v>0</v>
      </c>
      <c r="BB287" s="149">
        <f t="shared" si="98"/>
        <v>17</v>
      </c>
      <c r="BC287" s="150">
        <f t="shared" si="99"/>
        <v>17</v>
      </c>
      <c r="BD287" s="150">
        <f t="shared" si="100"/>
        <v>17</v>
      </c>
      <c r="BE287" s="211" t="str">
        <f t="shared" si="101"/>
        <v/>
      </c>
      <c r="BH287" s="173">
        <f>IF(AND(Input_Product=Elig!$C287,Elig_MatchAll_Ct&lt;22,$BC287=(Elig_MatchAll_Ct-1),AF287=0),C287,0)</f>
        <v>0</v>
      </c>
      <c r="BI287" s="173">
        <f>IF(AND(Input_Product=Elig!$C287,Elig_MatchAll_Ct&lt;22,$BC287=(Elig_MatchAll_Ct-1),AG287=0),D287,0)</f>
        <v>0</v>
      </c>
      <c r="BJ287" s="173">
        <f>IF(AND(Input_Product=Elig!$C287,Elig_MatchAll_Ct&lt;22,$BC287=(Elig_MatchAll_Ct-1),AH287=0),E287,0)</f>
        <v>0</v>
      </c>
      <c r="BK287" s="173">
        <f>IF(AND(Input_Product=Elig!$C287,Elig_MatchAll_Ct&lt;22,$BC287=(Elig_MatchAll_Ct-1),AI287=0),F287,0)</f>
        <v>0</v>
      </c>
      <c r="BL287" s="173">
        <f>IF(AND(Input_Product=Elig!$C287,Elig_MatchAll_Ct&lt;22,$BC287=(Elig_MatchAll_Ct-1),AJ287=0),G287,0)</f>
        <v>0</v>
      </c>
      <c r="BM287" s="173">
        <f>IF(AND(Input_Product=Elig!$C287,Elig_MatchAll_Ct&lt;22,$BC287=(Elig_MatchAll_Ct-1),AK287=0),H287,0)</f>
        <v>0</v>
      </c>
      <c r="BN287" s="173">
        <f>IF(AND(Input_Product=Elig!$C287,Elig_MatchAll_Ct&lt;22,$BC287=(Elig_MatchAll_Ct-1),AL287=0),I287,0)</f>
        <v>0</v>
      </c>
      <c r="BO287" s="173">
        <f>IF(AND(Input_Product=Elig!$C287,Elig_MatchAll_Ct&lt;22,$BC287=(Elig_MatchAll_Ct-1),AM287=0),J287,0)</f>
        <v>0</v>
      </c>
      <c r="BP287" s="173">
        <f>IF(AND(Input_Product=Elig!$C287,Elig_MatchAll_Ct&lt;22,$BC287=(Elig_MatchAll_Ct-1),AN287=0),K287,0)</f>
        <v>0</v>
      </c>
      <c r="BQ287" s="173">
        <f>IF(AND(Input_Product=Elig!$C287,Elig_MatchAll_Ct&lt;22,$BC287=(Elig_MatchAll_Ct-1),AP287=0),L287,0)</f>
        <v>0</v>
      </c>
      <c r="BR287" s="173">
        <f>IF(AND(Input_Product=Elig!$C287,Elig_MatchAll_Ct&lt;22,$BC287=(Elig_MatchAll_Ct-1),AO287=0),M287,0)</f>
        <v>0</v>
      </c>
      <c r="BS287" s="173">
        <f>IF(AND(Input_Product=Elig!$C287,Elig_MatchAll_Ct&lt;22,$BC287=(Elig_MatchAll_Ct-1),AQ287=0),N287,0)</f>
        <v>0</v>
      </c>
      <c r="BT287" s="173">
        <f>IF(AND(Input_Product=Elig!$C287,Elig_MatchAll_Ct&lt;22,$BC287=(Elig_MatchAll_Ct-1),AR287=0),O287,0)</f>
        <v>0</v>
      </c>
      <c r="BU287" s="173">
        <f>IF(AND(Input_Product=Elig!$C287,Elig_MatchAll_Ct&lt;22,$BC287=(Elig_MatchAll_Ct-1),AS287=0),P287,0)</f>
        <v>0</v>
      </c>
      <c r="BV287" s="174">
        <f>IF(AND(Input_Product=Elig!$C287,Elig_MatchAll_Ct&lt;22,$BC287=(Elig_MatchAll_Ct-1),AT287=0),Q287,0)</f>
        <v>0</v>
      </c>
      <c r="BW287" s="175">
        <f>IF(AND(Input_Product=Elig!$C287,Elig_MatchAll_Ct&lt;22,$BC287=(Elig_MatchAll_Ct-1),AU287=0),R287,0)</f>
        <v>0</v>
      </c>
      <c r="BX287" s="176">
        <f>IF(AND(Input_Product=Elig!$C287,Elig_MatchAll_Ct&lt;22,$BC287=(Elig_MatchAll_Ct-1),AU287=0),S287,0)</f>
        <v>0</v>
      </c>
      <c r="BY287" s="175">
        <f>IF(AND(Input_Product=Elig!$C287,Elig_MatchAll_Ct&lt;22,$BC287=(Elig_MatchAll_Ct-1),AV287=0),T287,0)</f>
        <v>0</v>
      </c>
      <c r="BZ287" s="176">
        <f>IF(AND(Input_Product=Elig!$C287,Elig_MatchAll_Ct&lt;22,$BC287=(Elig_MatchAll_Ct-1),AV287=0),U287,0)</f>
        <v>0</v>
      </c>
      <c r="CA287" s="175">
        <f>IF(AND(Input_Product=Elig!$C287,Elig_MatchAll_Ct&lt;22,$BC287=(Elig_MatchAll_Ct-1),AW287=0),V287,0)</f>
        <v>0</v>
      </c>
      <c r="CB287" s="176">
        <f>IF(AND(Input_Product=Elig!$C287,Elig_MatchAll_Ct&lt;22,$BC287=(Elig_MatchAll_Ct-1),AW287=0),W287,0)</f>
        <v>0</v>
      </c>
      <c r="CC287" s="175">
        <f>IF(AND(Input_Product=Elig!$C287,Elig_MatchAll_Ct&lt;22,$BC287=(Elig_MatchAll_Ct-1),AX287=0),X287,0)</f>
        <v>0</v>
      </c>
      <c r="CD287" s="176">
        <f>IF(AND(Input_Product=Elig!$C287,Elig_MatchAll_Ct&lt;22,$BC287=(Elig_MatchAll_Ct-1),AX287=0),Y287,0)</f>
        <v>0</v>
      </c>
      <c r="CE287" s="175">
        <f>IF(AND(Input_LTV&lt;=AE287,Input_Product=Elig!$C287,Elig_MatchAll_Ct&lt;22,$BC287=(Elig_MatchAll_Ct-1),AY287=0),Z287,0)</f>
        <v>0</v>
      </c>
      <c r="CF287" s="176">
        <f>IF(AND(Input_LTV&lt;=AE287,Input_Product=Elig!$C287,Elig_MatchAll_Ct&lt;22,$BC287=(Elig_MatchAll_Ct-1),AY287=0),AA287,0)</f>
        <v>0</v>
      </c>
      <c r="CG287" s="175">
        <f>IF(AND(Input_Product=Elig!$C287,Elig_MatchAll_Ct&lt;22,$BC287=(Elig_MatchAll_Ct-1),AZ287=0),AB287,0)</f>
        <v>0</v>
      </c>
      <c r="CH287" s="176">
        <f>IF(AND(Input_Product=Elig!$C287,Elig_MatchAll_Ct&lt;22,$BC287=(Elig_MatchAll_Ct-1),AZ287=0),AC287,0)</f>
        <v>0</v>
      </c>
      <c r="CI287" s="175">
        <f>IF(AND(Input_Product=Elig!$C287,Elig_MatchAll_Ct&lt;22,$BC287=(Elig_MatchAll_Ct-1),BA287=0),AD287,0)</f>
        <v>0</v>
      </c>
      <c r="CJ287" s="176">
        <f>IF(AND(Input_Product=Elig!$C287,Elig_MatchAll_Ct&lt;22,$BC287=(Elig_MatchAll_Ct-1),BA287=0),AE287,0)</f>
        <v>0</v>
      </c>
    </row>
    <row r="288" spans="1:88" ht="10.15" customHeight="1" x14ac:dyDescent="0.25">
      <c r="A288" s="252" t="s">
        <v>76</v>
      </c>
      <c r="B288" s="252" t="s">
        <v>928</v>
      </c>
      <c r="C288" s="251" t="str">
        <f t="shared" si="93"/>
        <v>NonQM NOO</v>
      </c>
      <c r="D288" s="252" t="s">
        <v>1995</v>
      </c>
      <c r="E288" s="252" t="s">
        <v>166</v>
      </c>
      <c r="F288" s="252" t="s">
        <v>329</v>
      </c>
      <c r="G288" s="252" t="s">
        <v>304</v>
      </c>
      <c r="H288" s="252" t="s">
        <v>135</v>
      </c>
      <c r="I288" s="252" t="s">
        <v>16</v>
      </c>
      <c r="J288" s="252" t="s">
        <v>1130</v>
      </c>
      <c r="K288" s="252" t="s">
        <v>1398</v>
      </c>
      <c r="L288" s="252" t="s">
        <v>311</v>
      </c>
      <c r="M288" s="252" t="s">
        <v>2289</v>
      </c>
      <c r="N288" s="252" t="s">
        <v>1844</v>
      </c>
      <c r="O288" s="252" t="s">
        <v>309</v>
      </c>
      <c r="P288" s="252" t="s">
        <v>2434</v>
      </c>
      <c r="Q288" s="252" t="s">
        <v>293</v>
      </c>
      <c r="R288" s="252">
        <v>100000</v>
      </c>
      <c r="S288" s="252">
        <v>1000000</v>
      </c>
      <c r="T288" s="252">
        <v>0</v>
      </c>
      <c r="U288" s="252">
        <f t="shared" si="108"/>
        <v>1000000</v>
      </c>
      <c r="V288" s="252">
        <v>0</v>
      </c>
      <c r="W288" s="252">
        <v>50</v>
      </c>
      <c r="X288" s="252">
        <v>0</v>
      </c>
      <c r="Y288" s="252">
        <v>999</v>
      </c>
      <c r="Z288" s="254">
        <v>660</v>
      </c>
      <c r="AA288" s="254">
        <v>679</v>
      </c>
      <c r="AB288" s="1883">
        <v>0</v>
      </c>
      <c r="AC288" s="254">
        <v>999999</v>
      </c>
      <c r="AD288" s="252">
        <v>0</v>
      </c>
      <c r="AE288" s="255">
        <v>65</v>
      </c>
      <c r="AF288" s="144">
        <v>0</v>
      </c>
      <c r="AG288" s="145">
        <v>1</v>
      </c>
      <c r="AH288" s="145">
        <v>1</v>
      </c>
      <c r="AI288" s="145">
        <v>1</v>
      </c>
      <c r="AJ288" s="145">
        <v>0</v>
      </c>
      <c r="AK288" s="145">
        <v>1</v>
      </c>
      <c r="AL288" s="145">
        <v>0</v>
      </c>
      <c r="AM288" s="145">
        <v>1</v>
      </c>
      <c r="AN288" s="145">
        <v>1</v>
      </c>
      <c r="AO288" s="145">
        <v>1</v>
      </c>
      <c r="AP288" s="145">
        <v>1</v>
      </c>
      <c r="AQ288" s="145">
        <v>1</v>
      </c>
      <c r="AR288" s="145">
        <v>1</v>
      </c>
      <c r="AS288" s="145">
        <v>1</v>
      </c>
      <c r="AT288" s="145">
        <v>1</v>
      </c>
      <c r="AU288" s="145">
        <f t="shared" si="102"/>
        <v>1</v>
      </c>
      <c r="AV288" s="145">
        <f t="shared" si="103"/>
        <v>1</v>
      </c>
      <c r="AW288" s="145">
        <f t="shared" si="104"/>
        <v>1</v>
      </c>
      <c r="AX288" s="145">
        <f t="shared" si="73"/>
        <v>1</v>
      </c>
      <c r="AY288" s="145">
        <f t="shared" si="105"/>
        <v>0</v>
      </c>
      <c r="AZ288" s="145">
        <f t="shared" si="106"/>
        <v>1</v>
      </c>
      <c r="BA288" s="146">
        <f t="shared" si="107"/>
        <v>0</v>
      </c>
      <c r="BB288" s="149">
        <f t="shared" si="98"/>
        <v>17</v>
      </c>
      <c r="BC288" s="150">
        <f t="shared" si="99"/>
        <v>17</v>
      </c>
      <c r="BD288" s="150">
        <f t="shared" si="100"/>
        <v>17</v>
      </c>
      <c r="BE288" s="211" t="str">
        <f t="shared" si="101"/>
        <v/>
      </c>
      <c r="BH288" s="173">
        <f>IF(AND(Input_Product=Elig!$C288,Elig_MatchAll_Ct&lt;22,$BC288=(Elig_MatchAll_Ct-1),AF288=0),C288,0)</f>
        <v>0</v>
      </c>
      <c r="BI288" s="173">
        <f>IF(AND(Input_Product=Elig!$C288,Elig_MatchAll_Ct&lt;22,$BC288=(Elig_MatchAll_Ct-1),AG288=0),D288,0)</f>
        <v>0</v>
      </c>
      <c r="BJ288" s="173">
        <f>IF(AND(Input_Product=Elig!$C288,Elig_MatchAll_Ct&lt;22,$BC288=(Elig_MatchAll_Ct-1),AH288=0),E288,0)</f>
        <v>0</v>
      </c>
      <c r="BK288" s="173">
        <f>IF(AND(Input_Product=Elig!$C288,Elig_MatchAll_Ct&lt;22,$BC288=(Elig_MatchAll_Ct-1),AI288=0),F288,0)</f>
        <v>0</v>
      </c>
      <c r="BL288" s="173">
        <f>IF(AND(Input_Product=Elig!$C288,Elig_MatchAll_Ct&lt;22,$BC288=(Elig_MatchAll_Ct-1),AJ288=0),G288,0)</f>
        <v>0</v>
      </c>
      <c r="BM288" s="173">
        <f>IF(AND(Input_Product=Elig!$C288,Elig_MatchAll_Ct&lt;22,$BC288=(Elig_MatchAll_Ct-1),AK288=0),H288,0)</f>
        <v>0</v>
      </c>
      <c r="BN288" s="173">
        <f>IF(AND(Input_Product=Elig!$C288,Elig_MatchAll_Ct&lt;22,$BC288=(Elig_MatchAll_Ct-1),AL288=0),I288,0)</f>
        <v>0</v>
      </c>
      <c r="BO288" s="173">
        <f>IF(AND(Input_Product=Elig!$C288,Elig_MatchAll_Ct&lt;22,$BC288=(Elig_MatchAll_Ct-1),AM288=0),J288,0)</f>
        <v>0</v>
      </c>
      <c r="BP288" s="173">
        <f>IF(AND(Input_Product=Elig!$C288,Elig_MatchAll_Ct&lt;22,$BC288=(Elig_MatchAll_Ct-1),AN288=0),K288,0)</f>
        <v>0</v>
      </c>
      <c r="BQ288" s="173">
        <f>IF(AND(Input_Product=Elig!$C288,Elig_MatchAll_Ct&lt;22,$BC288=(Elig_MatchAll_Ct-1),AP288=0),L288,0)</f>
        <v>0</v>
      </c>
      <c r="BR288" s="173">
        <f>IF(AND(Input_Product=Elig!$C288,Elig_MatchAll_Ct&lt;22,$BC288=(Elig_MatchAll_Ct-1),AO288=0),M288,0)</f>
        <v>0</v>
      </c>
      <c r="BS288" s="173">
        <f>IF(AND(Input_Product=Elig!$C288,Elig_MatchAll_Ct&lt;22,$BC288=(Elig_MatchAll_Ct-1),AQ288=0),N288,0)</f>
        <v>0</v>
      </c>
      <c r="BT288" s="173">
        <f>IF(AND(Input_Product=Elig!$C288,Elig_MatchAll_Ct&lt;22,$BC288=(Elig_MatchAll_Ct-1),AR288=0),O288,0)</f>
        <v>0</v>
      </c>
      <c r="BU288" s="173">
        <f>IF(AND(Input_Product=Elig!$C288,Elig_MatchAll_Ct&lt;22,$BC288=(Elig_MatchAll_Ct-1),AS288=0),P288,0)</f>
        <v>0</v>
      </c>
      <c r="BV288" s="174">
        <f>IF(AND(Input_Product=Elig!$C288,Elig_MatchAll_Ct&lt;22,$BC288=(Elig_MatchAll_Ct-1),AT288=0),Q288,0)</f>
        <v>0</v>
      </c>
      <c r="BW288" s="175">
        <f>IF(AND(Input_Product=Elig!$C288,Elig_MatchAll_Ct&lt;22,$BC288=(Elig_MatchAll_Ct-1),AU288=0),R288,0)</f>
        <v>0</v>
      </c>
      <c r="BX288" s="176">
        <f>IF(AND(Input_Product=Elig!$C288,Elig_MatchAll_Ct&lt;22,$BC288=(Elig_MatchAll_Ct-1),AU288=0),S288,0)</f>
        <v>0</v>
      </c>
      <c r="BY288" s="175">
        <f>IF(AND(Input_Product=Elig!$C288,Elig_MatchAll_Ct&lt;22,$BC288=(Elig_MatchAll_Ct-1),AV288=0),T288,0)</f>
        <v>0</v>
      </c>
      <c r="BZ288" s="176">
        <f>IF(AND(Input_Product=Elig!$C288,Elig_MatchAll_Ct&lt;22,$BC288=(Elig_MatchAll_Ct-1),AV288=0),U288,0)</f>
        <v>0</v>
      </c>
      <c r="CA288" s="175">
        <f>IF(AND(Input_Product=Elig!$C288,Elig_MatchAll_Ct&lt;22,$BC288=(Elig_MatchAll_Ct-1),AW288=0),V288,0)</f>
        <v>0</v>
      </c>
      <c r="CB288" s="176">
        <f>IF(AND(Input_Product=Elig!$C288,Elig_MatchAll_Ct&lt;22,$BC288=(Elig_MatchAll_Ct-1),AW288=0),W288,0)</f>
        <v>0</v>
      </c>
      <c r="CC288" s="175">
        <f>IF(AND(Input_Product=Elig!$C288,Elig_MatchAll_Ct&lt;22,$BC288=(Elig_MatchAll_Ct-1),AX288=0),X288,0)</f>
        <v>0</v>
      </c>
      <c r="CD288" s="176">
        <f>IF(AND(Input_Product=Elig!$C288,Elig_MatchAll_Ct&lt;22,$BC288=(Elig_MatchAll_Ct-1),AX288=0),Y288,0)</f>
        <v>0</v>
      </c>
      <c r="CE288" s="175">
        <f>IF(AND(Input_LTV&lt;=AE288,Input_Product=Elig!$C288,Elig_MatchAll_Ct&lt;22,$BC288=(Elig_MatchAll_Ct-1),AY288=0),Z288,0)</f>
        <v>0</v>
      </c>
      <c r="CF288" s="176">
        <f>IF(AND(Input_LTV&lt;=AE288,Input_Product=Elig!$C288,Elig_MatchAll_Ct&lt;22,$BC288=(Elig_MatchAll_Ct-1),AY288=0),AA288,0)</f>
        <v>0</v>
      </c>
      <c r="CG288" s="175">
        <f>IF(AND(Input_Product=Elig!$C288,Elig_MatchAll_Ct&lt;22,$BC288=(Elig_MatchAll_Ct-1),AZ288=0),AB288,0)</f>
        <v>0</v>
      </c>
      <c r="CH288" s="176">
        <f>IF(AND(Input_Product=Elig!$C288,Elig_MatchAll_Ct&lt;22,$BC288=(Elig_MatchAll_Ct-1),AZ288=0),AC288,0)</f>
        <v>0</v>
      </c>
      <c r="CI288" s="175">
        <f>IF(AND(Input_Product=Elig!$C288,Elig_MatchAll_Ct&lt;22,$BC288=(Elig_MatchAll_Ct-1),BA288=0),AD288,0)</f>
        <v>0</v>
      </c>
      <c r="CJ288" s="176">
        <f>IF(AND(Input_Product=Elig!$C288,Elig_MatchAll_Ct&lt;22,$BC288=(Elig_MatchAll_Ct-1),BA288=0),AE288,0)</f>
        <v>0</v>
      </c>
    </row>
    <row r="289" spans="1:88" ht="10.15" customHeight="1" x14ac:dyDescent="0.25">
      <c r="A289" s="252" t="s">
        <v>76</v>
      </c>
      <c r="B289" s="252" t="s">
        <v>929</v>
      </c>
      <c r="C289" s="246" t="str">
        <f t="shared" si="93"/>
        <v>NonQM NOO</v>
      </c>
      <c r="D289" s="247" t="s">
        <v>1995</v>
      </c>
      <c r="E289" s="248" t="s">
        <v>166</v>
      </c>
      <c r="F289" s="248" t="s">
        <v>329</v>
      </c>
      <c r="G289" s="248" t="s">
        <v>180</v>
      </c>
      <c r="H289" s="248" t="s">
        <v>135</v>
      </c>
      <c r="I289" s="247" t="s">
        <v>273</v>
      </c>
      <c r="J289" s="247" t="s">
        <v>1130</v>
      </c>
      <c r="K289" s="247" t="s">
        <v>1398</v>
      </c>
      <c r="L289" s="248" t="s">
        <v>311</v>
      </c>
      <c r="M289" s="248" t="s">
        <v>2289</v>
      </c>
      <c r="N289" s="248" t="s">
        <v>1844</v>
      </c>
      <c r="O289" s="248" t="s">
        <v>309</v>
      </c>
      <c r="P289" s="248" t="s">
        <v>2434</v>
      </c>
      <c r="Q289" s="248" t="s">
        <v>293</v>
      </c>
      <c r="R289" s="247">
        <v>100000</v>
      </c>
      <c r="S289" s="247">
        <v>1000000</v>
      </c>
      <c r="T289" s="247">
        <v>0</v>
      </c>
      <c r="U289" s="247">
        <v>0</v>
      </c>
      <c r="V289" s="247">
        <v>0</v>
      </c>
      <c r="W289" s="247">
        <v>55</v>
      </c>
      <c r="X289" s="247">
        <v>0.75</v>
      </c>
      <c r="Y289" s="247">
        <v>999</v>
      </c>
      <c r="Z289" s="249">
        <v>720</v>
      </c>
      <c r="AA289" s="249">
        <v>999</v>
      </c>
      <c r="AB289" s="1882">
        <v>0</v>
      </c>
      <c r="AC289" s="249">
        <v>999999</v>
      </c>
      <c r="AD289" s="247">
        <v>0</v>
      </c>
      <c r="AE289" s="250">
        <v>80</v>
      </c>
      <c r="AF289" s="144">
        <v>0</v>
      </c>
      <c r="AG289" s="145">
        <v>1</v>
      </c>
      <c r="AH289" s="145">
        <v>1</v>
      </c>
      <c r="AI289" s="145">
        <v>1</v>
      </c>
      <c r="AJ289" s="145">
        <v>1</v>
      </c>
      <c r="AK289" s="145">
        <v>1</v>
      </c>
      <c r="AL289" s="145">
        <v>1</v>
      </c>
      <c r="AM289" s="145">
        <v>1</v>
      </c>
      <c r="AN289" s="145">
        <v>1</v>
      </c>
      <c r="AO289" s="145">
        <v>1</v>
      </c>
      <c r="AP289" s="145">
        <v>1</v>
      </c>
      <c r="AQ289" s="145">
        <v>1</v>
      </c>
      <c r="AR289" s="145">
        <v>1</v>
      </c>
      <c r="AS289" s="145">
        <v>1</v>
      </c>
      <c r="AT289" s="145">
        <v>1</v>
      </c>
      <c r="AU289" s="145">
        <f t="shared" si="102"/>
        <v>1</v>
      </c>
      <c r="AV289" s="145">
        <f t="shared" si="103"/>
        <v>1</v>
      </c>
      <c r="AW289" s="145">
        <f t="shared" si="104"/>
        <v>1</v>
      </c>
      <c r="AX289" s="145">
        <f t="shared" si="73"/>
        <v>1</v>
      </c>
      <c r="AY289" s="145">
        <f t="shared" si="105"/>
        <v>1</v>
      </c>
      <c r="AZ289" s="145">
        <f t="shared" si="106"/>
        <v>1</v>
      </c>
      <c r="BA289" s="146">
        <f t="shared" si="107"/>
        <v>1</v>
      </c>
      <c r="BB289" s="149">
        <f t="shared" si="98"/>
        <v>21</v>
      </c>
      <c r="BC289" s="150">
        <f t="shared" si="99"/>
        <v>20</v>
      </c>
      <c r="BD289" s="150">
        <f t="shared" si="100"/>
        <v>21</v>
      </c>
      <c r="BE289" s="211" t="str">
        <f t="shared" si="101"/>
        <v>NonQM NOO</v>
      </c>
      <c r="BH289" s="190">
        <f>IF(AND(Input_Product=Elig!$C289,Elig_MatchAll_Ct&lt;22,$BC289=(Elig_MatchAll_Ct-1),AF289=0),C289,0)</f>
        <v>0</v>
      </c>
      <c r="BI289" s="190">
        <f>IF(AND(Input_Product=Elig!$C289,Elig_MatchAll_Ct&lt;22,$BC289=(Elig_MatchAll_Ct-1),AG289=0),D289,0)</f>
        <v>0</v>
      </c>
      <c r="BJ289" s="190">
        <f>IF(AND(Input_Product=Elig!$C289,Elig_MatchAll_Ct&lt;22,$BC289=(Elig_MatchAll_Ct-1),AH289=0),E289,0)</f>
        <v>0</v>
      </c>
      <c r="BK289" s="190">
        <f>IF(AND(Input_Product=Elig!$C289,Elig_MatchAll_Ct&lt;22,$BC289=(Elig_MatchAll_Ct-1),AI289=0),F289,0)</f>
        <v>0</v>
      </c>
      <c r="BL289" s="190">
        <f>IF(AND(Input_Product=Elig!$C289,Elig_MatchAll_Ct&lt;22,$BC289=(Elig_MatchAll_Ct-1),AJ289=0),G289,0)</f>
        <v>0</v>
      </c>
      <c r="BM289" s="190">
        <f>IF(AND(Input_Product=Elig!$C289,Elig_MatchAll_Ct&lt;22,$BC289=(Elig_MatchAll_Ct-1),AK289=0),H289,0)</f>
        <v>0</v>
      </c>
      <c r="BN289" s="190">
        <f>IF(AND(Input_Product=Elig!$C289,Elig_MatchAll_Ct&lt;22,$BC289=(Elig_MatchAll_Ct-1),AL289=0),I289,0)</f>
        <v>0</v>
      </c>
      <c r="BO289" s="190">
        <f>IF(AND(Input_Product=Elig!$C289,Elig_MatchAll_Ct&lt;22,$BC289=(Elig_MatchAll_Ct-1),AM289=0),J289,0)</f>
        <v>0</v>
      </c>
      <c r="BP289" s="190">
        <f>IF(AND(Input_Product=Elig!$C289,Elig_MatchAll_Ct&lt;22,$BC289=(Elig_MatchAll_Ct-1),AN289=0),K289,0)</f>
        <v>0</v>
      </c>
      <c r="BQ289" s="190">
        <f>IF(AND(Input_Product=Elig!$C289,Elig_MatchAll_Ct&lt;22,$BC289=(Elig_MatchAll_Ct-1),AP289=0),L289,0)</f>
        <v>0</v>
      </c>
      <c r="BR289" s="190">
        <f>IF(AND(Input_Product=Elig!$C289,Elig_MatchAll_Ct&lt;22,$BC289=(Elig_MatchAll_Ct-1),AO289=0),M289,0)</f>
        <v>0</v>
      </c>
      <c r="BS289" s="190">
        <f>IF(AND(Input_Product=Elig!$C289,Elig_MatchAll_Ct&lt;22,$BC289=(Elig_MatchAll_Ct-1),AQ289=0),N289,0)</f>
        <v>0</v>
      </c>
      <c r="BT289" s="190">
        <f>IF(AND(Input_Product=Elig!$C289,Elig_MatchAll_Ct&lt;22,$BC289=(Elig_MatchAll_Ct-1),AR289=0),O289,0)</f>
        <v>0</v>
      </c>
      <c r="BU289" s="190">
        <f>IF(AND(Input_Product=Elig!$C289,Elig_MatchAll_Ct&lt;22,$BC289=(Elig_MatchAll_Ct-1),AS289=0),P289,0)</f>
        <v>0</v>
      </c>
      <c r="BV289" s="191">
        <f>IF(AND(Input_Product=Elig!$C289,Elig_MatchAll_Ct&lt;22,$BC289=(Elig_MatchAll_Ct-1),AT289=0),Q289,0)</f>
        <v>0</v>
      </c>
      <c r="BW289" s="186">
        <f>IF(AND(Input_Product=Elig!$C289,Elig_MatchAll_Ct&lt;22,$BC289=(Elig_MatchAll_Ct-1),AU289=0),R289,0)</f>
        <v>0</v>
      </c>
      <c r="BX289" s="187">
        <f>IF(AND(Input_Product=Elig!$C289,Elig_MatchAll_Ct&lt;22,$BC289=(Elig_MatchAll_Ct-1),AU289=0),S289,0)</f>
        <v>0</v>
      </c>
      <c r="BY289" s="186">
        <f>IF(AND(Input_Product=Elig!$C289,Elig_MatchAll_Ct&lt;22,$BC289=(Elig_MatchAll_Ct-1),AV289=0),T289,0)</f>
        <v>0</v>
      </c>
      <c r="BZ289" s="187">
        <f>IF(AND(Input_Product=Elig!$C289,Elig_MatchAll_Ct&lt;22,$BC289=(Elig_MatchAll_Ct-1),AV289=0),U289,0)</f>
        <v>0</v>
      </c>
      <c r="CA289" s="186">
        <f>IF(AND(Input_Product=Elig!$C289,Elig_MatchAll_Ct&lt;22,$BC289=(Elig_MatchAll_Ct-1),AW289=0),V289,0)</f>
        <v>0</v>
      </c>
      <c r="CB289" s="187">
        <f>IF(AND(Input_Product=Elig!$C289,Elig_MatchAll_Ct&lt;22,$BC289=(Elig_MatchAll_Ct-1),AW289=0),W289,0)</f>
        <v>0</v>
      </c>
      <c r="CC289" s="186">
        <f>IF(AND(Input_Product=Elig!$C289,Elig_MatchAll_Ct&lt;22,$BC289=(Elig_MatchAll_Ct-1),AX289=0),X289,0)</f>
        <v>0</v>
      </c>
      <c r="CD289" s="187">
        <f>IF(AND(Input_Product=Elig!$C289,Elig_MatchAll_Ct&lt;22,$BC289=(Elig_MatchAll_Ct-1),AX289=0),Y289,0)</f>
        <v>0</v>
      </c>
      <c r="CE289" s="186">
        <f>IF(AND(Input_LTV&lt;=AE289,Input_Product=Elig!$C289,Elig_MatchAll_Ct&lt;22,$BC289=(Elig_MatchAll_Ct-1),AY289=0),Z289,0)</f>
        <v>0</v>
      </c>
      <c r="CF289" s="187">
        <f>IF(AND(Input_LTV&lt;=AE289,Input_Product=Elig!$C289,Elig_MatchAll_Ct&lt;22,$BC289=(Elig_MatchAll_Ct-1),AY289=0),AA289,0)</f>
        <v>0</v>
      </c>
      <c r="CG289" s="186">
        <f>IF(AND(Input_Product=Elig!$C289,Elig_MatchAll_Ct&lt;22,$BC289=(Elig_MatchAll_Ct-1),AZ289=0),AB289,0)</f>
        <v>0</v>
      </c>
      <c r="CH289" s="187">
        <f>IF(AND(Input_Product=Elig!$C289,Elig_MatchAll_Ct&lt;22,$BC289=(Elig_MatchAll_Ct-1),AZ289=0),AC289,0)</f>
        <v>0</v>
      </c>
      <c r="CI289" s="186">
        <f>IF(AND(Input_Product=Elig!$C289,Elig_MatchAll_Ct&lt;22,$BC289=(Elig_MatchAll_Ct-1),BA289=0),AD289,0)</f>
        <v>0</v>
      </c>
      <c r="CJ289" s="187">
        <f>IF(AND(Input_Product=Elig!$C289,Elig_MatchAll_Ct&lt;22,$BC289=(Elig_MatchAll_Ct-1),BA289=0),AE289,0)</f>
        <v>0</v>
      </c>
    </row>
    <row r="290" spans="1:88" ht="10.15" customHeight="1" x14ac:dyDescent="0.25">
      <c r="A290" s="252" t="s">
        <v>76</v>
      </c>
      <c r="B290" s="252" t="s">
        <v>930</v>
      </c>
      <c r="C290" s="251" t="str">
        <f t="shared" si="93"/>
        <v>NonQM NOO</v>
      </c>
      <c r="D290" s="252" t="s">
        <v>1995</v>
      </c>
      <c r="E290" s="252" t="s">
        <v>166</v>
      </c>
      <c r="F290" s="252" t="s">
        <v>329</v>
      </c>
      <c r="G290" s="252" t="s">
        <v>180</v>
      </c>
      <c r="H290" s="252" t="s">
        <v>135</v>
      </c>
      <c r="I290" s="253" t="s">
        <v>273</v>
      </c>
      <c r="J290" s="253" t="s">
        <v>1130</v>
      </c>
      <c r="K290" s="253" t="s">
        <v>1398</v>
      </c>
      <c r="L290" s="252" t="s">
        <v>311</v>
      </c>
      <c r="M290" s="252" t="s">
        <v>2289</v>
      </c>
      <c r="N290" s="252" t="s">
        <v>1844</v>
      </c>
      <c r="O290" s="252" t="s">
        <v>309</v>
      </c>
      <c r="P290" s="252" t="s">
        <v>2434</v>
      </c>
      <c r="Q290" s="252" t="s">
        <v>293</v>
      </c>
      <c r="R290" s="252">
        <v>100000</v>
      </c>
      <c r="S290" s="252">
        <v>1000000</v>
      </c>
      <c r="T290" s="252">
        <v>0</v>
      </c>
      <c r="U290" s="252">
        <v>0</v>
      </c>
      <c r="V290" s="252">
        <v>0</v>
      </c>
      <c r="W290" s="252">
        <v>55</v>
      </c>
      <c r="X290" s="252">
        <v>0.75</v>
      </c>
      <c r="Y290" s="252">
        <v>999</v>
      </c>
      <c r="Z290" s="254">
        <v>700</v>
      </c>
      <c r="AA290" s="254">
        <v>719</v>
      </c>
      <c r="AB290" s="1883">
        <v>0</v>
      </c>
      <c r="AC290" s="254">
        <v>999999</v>
      </c>
      <c r="AD290" s="252">
        <v>0</v>
      </c>
      <c r="AE290" s="255">
        <v>80</v>
      </c>
      <c r="AF290" s="144">
        <v>0</v>
      </c>
      <c r="AG290" s="145">
        <v>1</v>
      </c>
      <c r="AH290" s="145">
        <v>1</v>
      </c>
      <c r="AI290" s="145">
        <v>1</v>
      </c>
      <c r="AJ290" s="145">
        <v>1</v>
      </c>
      <c r="AK290" s="145">
        <v>1</v>
      </c>
      <c r="AL290" s="145">
        <v>1</v>
      </c>
      <c r="AM290" s="145">
        <v>1</v>
      </c>
      <c r="AN290" s="145">
        <v>1</v>
      </c>
      <c r="AO290" s="145">
        <v>1</v>
      </c>
      <c r="AP290" s="145">
        <v>1</v>
      </c>
      <c r="AQ290" s="145">
        <v>1</v>
      </c>
      <c r="AR290" s="145">
        <v>1</v>
      </c>
      <c r="AS290" s="145">
        <v>1</v>
      </c>
      <c r="AT290" s="145">
        <v>1</v>
      </c>
      <c r="AU290" s="145">
        <f t="shared" si="102"/>
        <v>1</v>
      </c>
      <c r="AV290" s="145">
        <f t="shared" si="103"/>
        <v>1</v>
      </c>
      <c r="AW290" s="145">
        <f t="shared" si="104"/>
        <v>1</v>
      </c>
      <c r="AX290" s="145">
        <f t="shared" si="73"/>
        <v>1</v>
      </c>
      <c r="AY290" s="145">
        <f t="shared" si="105"/>
        <v>0</v>
      </c>
      <c r="AZ290" s="145">
        <f t="shared" si="106"/>
        <v>1</v>
      </c>
      <c r="BA290" s="146">
        <f t="shared" si="107"/>
        <v>1</v>
      </c>
      <c r="BB290" s="149">
        <f t="shared" si="98"/>
        <v>20</v>
      </c>
      <c r="BC290" s="150">
        <f t="shared" si="99"/>
        <v>19</v>
      </c>
      <c r="BD290" s="150">
        <f t="shared" si="100"/>
        <v>20</v>
      </c>
      <c r="BE290" s="211" t="str">
        <f t="shared" si="101"/>
        <v/>
      </c>
      <c r="BH290" s="173">
        <f>IF(AND(Input_Product=Elig!$C290,Elig_MatchAll_Ct&lt;22,$BC290=(Elig_MatchAll_Ct-1),AF290=0),C290,0)</f>
        <v>0</v>
      </c>
      <c r="BI290" s="173">
        <f>IF(AND(Input_Product=Elig!$C290,Elig_MatchAll_Ct&lt;22,$BC290=(Elig_MatchAll_Ct-1),AG290=0),D290,0)</f>
        <v>0</v>
      </c>
      <c r="BJ290" s="173">
        <f>IF(AND(Input_Product=Elig!$C290,Elig_MatchAll_Ct&lt;22,$BC290=(Elig_MatchAll_Ct-1),AH290=0),E290,0)</f>
        <v>0</v>
      </c>
      <c r="BK290" s="173">
        <f>IF(AND(Input_Product=Elig!$C290,Elig_MatchAll_Ct&lt;22,$BC290=(Elig_MatchAll_Ct-1),AI290=0),F290,0)</f>
        <v>0</v>
      </c>
      <c r="BL290" s="173">
        <f>IF(AND(Input_Product=Elig!$C290,Elig_MatchAll_Ct&lt;22,$BC290=(Elig_MatchAll_Ct-1),AJ290=0),G290,0)</f>
        <v>0</v>
      </c>
      <c r="BM290" s="173">
        <f>IF(AND(Input_Product=Elig!$C290,Elig_MatchAll_Ct&lt;22,$BC290=(Elig_MatchAll_Ct-1),AK290=0),H290,0)</f>
        <v>0</v>
      </c>
      <c r="BN290" s="173">
        <f>IF(AND(Input_Product=Elig!$C290,Elig_MatchAll_Ct&lt;22,$BC290=(Elig_MatchAll_Ct-1),AL290=0),I290,0)</f>
        <v>0</v>
      </c>
      <c r="BO290" s="173">
        <f>IF(AND(Input_Product=Elig!$C290,Elig_MatchAll_Ct&lt;22,$BC290=(Elig_MatchAll_Ct-1),AM290=0),J290,0)</f>
        <v>0</v>
      </c>
      <c r="BP290" s="173">
        <f>IF(AND(Input_Product=Elig!$C290,Elig_MatchAll_Ct&lt;22,$BC290=(Elig_MatchAll_Ct-1),AN290=0),K290,0)</f>
        <v>0</v>
      </c>
      <c r="BQ290" s="173">
        <f>IF(AND(Input_Product=Elig!$C290,Elig_MatchAll_Ct&lt;22,$BC290=(Elig_MatchAll_Ct-1),AP290=0),L290,0)</f>
        <v>0</v>
      </c>
      <c r="BR290" s="173">
        <f>IF(AND(Input_Product=Elig!$C290,Elig_MatchAll_Ct&lt;22,$BC290=(Elig_MatchAll_Ct-1),AO290=0),M290,0)</f>
        <v>0</v>
      </c>
      <c r="BS290" s="173">
        <f>IF(AND(Input_Product=Elig!$C290,Elig_MatchAll_Ct&lt;22,$BC290=(Elig_MatchAll_Ct-1),AQ290=0),N290,0)</f>
        <v>0</v>
      </c>
      <c r="BT290" s="173">
        <f>IF(AND(Input_Product=Elig!$C290,Elig_MatchAll_Ct&lt;22,$BC290=(Elig_MatchAll_Ct-1),AR290=0),O290,0)</f>
        <v>0</v>
      </c>
      <c r="BU290" s="173">
        <f>IF(AND(Input_Product=Elig!$C290,Elig_MatchAll_Ct&lt;22,$BC290=(Elig_MatchAll_Ct-1),AS290=0),P290,0)</f>
        <v>0</v>
      </c>
      <c r="BV290" s="174">
        <f>IF(AND(Input_Product=Elig!$C290,Elig_MatchAll_Ct&lt;22,$BC290=(Elig_MatchAll_Ct-1),AT290=0),Q290,0)</f>
        <v>0</v>
      </c>
      <c r="BW290" s="175">
        <f>IF(AND(Input_Product=Elig!$C290,Elig_MatchAll_Ct&lt;22,$BC290=(Elig_MatchAll_Ct-1),AU290=0),R290,0)</f>
        <v>0</v>
      </c>
      <c r="BX290" s="176">
        <f>IF(AND(Input_Product=Elig!$C290,Elig_MatchAll_Ct&lt;22,$BC290=(Elig_MatchAll_Ct-1),AU290=0),S290,0)</f>
        <v>0</v>
      </c>
      <c r="BY290" s="175">
        <f>IF(AND(Input_Product=Elig!$C290,Elig_MatchAll_Ct&lt;22,$BC290=(Elig_MatchAll_Ct-1),AV290=0),T290,0)</f>
        <v>0</v>
      </c>
      <c r="BZ290" s="176">
        <f>IF(AND(Input_Product=Elig!$C290,Elig_MatchAll_Ct&lt;22,$BC290=(Elig_MatchAll_Ct-1),AV290=0),U290,0)</f>
        <v>0</v>
      </c>
      <c r="CA290" s="175">
        <f>IF(AND(Input_Product=Elig!$C290,Elig_MatchAll_Ct&lt;22,$BC290=(Elig_MatchAll_Ct-1),AW290=0),V290,0)</f>
        <v>0</v>
      </c>
      <c r="CB290" s="176">
        <f>IF(AND(Input_Product=Elig!$C290,Elig_MatchAll_Ct&lt;22,$BC290=(Elig_MatchAll_Ct-1),AW290=0),W290,0)</f>
        <v>0</v>
      </c>
      <c r="CC290" s="175">
        <f>IF(AND(Input_Product=Elig!$C290,Elig_MatchAll_Ct&lt;22,$BC290=(Elig_MatchAll_Ct-1),AX290=0),X290,0)</f>
        <v>0</v>
      </c>
      <c r="CD290" s="176">
        <f>IF(AND(Input_Product=Elig!$C290,Elig_MatchAll_Ct&lt;22,$BC290=(Elig_MatchAll_Ct-1),AX290=0),Y290,0)</f>
        <v>0</v>
      </c>
      <c r="CE290" s="175">
        <f>IF(AND(Input_LTV&lt;=AE290,Input_Product=Elig!$C290,Elig_MatchAll_Ct&lt;22,$BC290=(Elig_MatchAll_Ct-1),AY290=0),Z290,0)</f>
        <v>0</v>
      </c>
      <c r="CF290" s="176">
        <f>IF(AND(Input_LTV&lt;=AE290,Input_Product=Elig!$C290,Elig_MatchAll_Ct&lt;22,$BC290=(Elig_MatchAll_Ct-1),AY290=0),AA290,0)</f>
        <v>0</v>
      </c>
      <c r="CG290" s="175">
        <f>IF(AND(Input_Product=Elig!$C290,Elig_MatchAll_Ct&lt;22,$BC290=(Elig_MatchAll_Ct-1),AZ290=0),AB290,0)</f>
        <v>0</v>
      </c>
      <c r="CH290" s="176">
        <f>IF(AND(Input_Product=Elig!$C290,Elig_MatchAll_Ct&lt;22,$BC290=(Elig_MatchAll_Ct-1),AZ290=0),AC290,0)</f>
        <v>0</v>
      </c>
      <c r="CI290" s="175">
        <f>IF(AND(Input_Product=Elig!$C290,Elig_MatchAll_Ct&lt;22,$BC290=(Elig_MatchAll_Ct-1),BA290=0),AD290,0)</f>
        <v>0</v>
      </c>
      <c r="CJ290" s="176">
        <f>IF(AND(Input_Product=Elig!$C290,Elig_MatchAll_Ct&lt;22,$BC290=(Elig_MatchAll_Ct-1),BA290=0),AE290,0)</f>
        <v>0</v>
      </c>
    </row>
    <row r="291" spans="1:88" ht="10.15" customHeight="1" x14ac:dyDescent="0.25">
      <c r="A291" s="252" t="s">
        <v>76</v>
      </c>
      <c r="B291" s="252" t="s">
        <v>931</v>
      </c>
      <c r="C291" s="251" t="str">
        <f t="shared" si="93"/>
        <v>NonQM NOO</v>
      </c>
      <c r="D291" s="252" t="s">
        <v>1995</v>
      </c>
      <c r="E291" s="252" t="s">
        <v>166</v>
      </c>
      <c r="F291" s="252" t="s">
        <v>329</v>
      </c>
      <c r="G291" s="252" t="s">
        <v>180</v>
      </c>
      <c r="H291" s="252" t="s">
        <v>135</v>
      </c>
      <c r="I291" s="253" t="s">
        <v>273</v>
      </c>
      <c r="J291" s="253" t="s">
        <v>1130</v>
      </c>
      <c r="K291" s="253" t="s">
        <v>1398</v>
      </c>
      <c r="L291" s="252" t="s">
        <v>311</v>
      </c>
      <c r="M291" s="252" t="s">
        <v>2289</v>
      </c>
      <c r="N291" s="252" t="s">
        <v>1844</v>
      </c>
      <c r="O291" s="252" t="s">
        <v>309</v>
      </c>
      <c r="P291" s="252" t="s">
        <v>2434</v>
      </c>
      <c r="Q291" s="252" t="s">
        <v>293</v>
      </c>
      <c r="R291" s="252">
        <v>100000</v>
      </c>
      <c r="S291" s="252">
        <v>1000000</v>
      </c>
      <c r="T291" s="252">
        <v>0</v>
      </c>
      <c r="U291" s="252">
        <v>0</v>
      </c>
      <c r="V291" s="252">
        <v>0</v>
      </c>
      <c r="W291" s="252">
        <v>55</v>
      </c>
      <c r="X291" s="252">
        <v>0.75</v>
      </c>
      <c r="Y291" s="252">
        <v>999</v>
      </c>
      <c r="Z291" s="254">
        <v>680</v>
      </c>
      <c r="AA291" s="254">
        <v>699</v>
      </c>
      <c r="AB291" s="1883">
        <v>0</v>
      </c>
      <c r="AC291" s="254">
        <v>999999</v>
      </c>
      <c r="AD291" s="252">
        <v>0</v>
      </c>
      <c r="AE291" s="255">
        <v>80</v>
      </c>
      <c r="AF291" s="144">
        <v>0</v>
      </c>
      <c r="AG291" s="145">
        <v>1</v>
      </c>
      <c r="AH291" s="145">
        <v>1</v>
      </c>
      <c r="AI291" s="145">
        <v>1</v>
      </c>
      <c r="AJ291" s="145">
        <v>1</v>
      </c>
      <c r="AK291" s="145">
        <v>1</v>
      </c>
      <c r="AL291" s="145">
        <v>1</v>
      </c>
      <c r="AM291" s="145">
        <v>1</v>
      </c>
      <c r="AN291" s="145">
        <v>1</v>
      </c>
      <c r="AO291" s="145">
        <v>1</v>
      </c>
      <c r="AP291" s="145">
        <v>1</v>
      </c>
      <c r="AQ291" s="145">
        <v>1</v>
      </c>
      <c r="AR291" s="145">
        <v>1</v>
      </c>
      <c r="AS291" s="145">
        <v>1</v>
      </c>
      <c r="AT291" s="145">
        <v>1</v>
      </c>
      <c r="AU291" s="145">
        <f t="shared" si="102"/>
        <v>1</v>
      </c>
      <c r="AV291" s="145">
        <f t="shared" si="103"/>
        <v>1</v>
      </c>
      <c r="AW291" s="145">
        <f t="shared" si="104"/>
        <v>1</v>
      </c>
      <c r="AX291" s="145">
        <f t="shared" si="73"/>
        <v>1</v>
      </c>
      <c r="AY291" s="145">
        <f t="shared" si="105"/>
        <v>0</v>
      </c>
      <c r="AZ291" s="145">
        <f t="shared" si="106"/>
        <v>1</v>
      </c>
      <c r="BA291" s="146">
        <f t="shared" si="107"/>
        <v>1</v>
      </c>
      <c r="BB291" s="149">
        <f t="shared" si="98"/>
        <v>20</v>
      </c>
      <c r="BC291" s="150">
        <f t="shared" si="99"/>
        <v>19</v>
      </c>
      <c r="BD291" s="150">
        <f t="shared" si="100"/>
        <v>20</v>
      </c>
      <c r="BE291" s="211" t="str">
        <f t="shared" si="101"/>
        <v/>
      </c>
      <c r="BH291" s="173">
        <f>IF(AND(Input_Product=Elig!$C291,Elig_MatchAll_Ct&lt;22,$BC291=(Elig_MatchAll_Ct-1),AF291=0),C291,0)</f>
        <v>0</v>
      </c>
      <c r="BI291" s="173">
        <f>IF(AND(Input_Product=Elig!$C291,Elig_MatchAll_Ct&lt;22,$BC291=(Elig_MatchAll_Ct-1),AG291=0),D291,0)</f>
        <v>0</v>
      </c>
      <c r="BJ291" s="173">
        <f>IF(AND(Input_Product=Elig!$C291,Elig_MatchAll_Ct&lt;22,$BC291=(Elig_MatchAll_Ct-1),AH291=0),E291,0)</f>
        <v>0</v>
      </c>
      <c r="BK291" s="173">
        <f>IF(AND(Input_Product=Elig!$C291,Elig_MatchAll_Ct&lt;22,$BC291=(Elig_MatchAll_Ct-1),AI291=0),F291,0)</f>
        <v>0</v>
      </c>
      <c r="BL291" s="173">
        <f>IF(AND(Input_Product=Elig!$C291,Elig_MatchAll_Ct&lt;22,$BC291=(Elig_MatchAll_Ct-1),AJ291=0),G291,0)</f>
        <v>0</v>
      </c>
      <c r="BM291" s="173">
        <f>IF(AND(Input_Product=Elig!$C291,Elig_MatchAll_Ct&lt;22,$BC291=(Elig_MatchAll_Ct-1),AK291=0),H291,0)</f>
        <v>0</v>
      </c>
      <c r="BN291" s="173">
        <f>IF(AND(Input_Product=Elig!$C291,Elig_MatchAll_Ct&lt;22,$BC291=(Elig_MatchAll_Ct-1),AL291=0),I291,0)</f>
        <v>0</v>
      </c>
      <c r="BO291" s="173">
        <f>IF(AND(Input_Product=Elig!$C291,Elig_MatchAll_Ct&lt;22,$BC291=(Elig_MatchAll_Ct-1),AM291=0),J291,0)</f>
        <v>0</v>
      </c>
      <c r="BP291" s="173">
        <f>IF(AND(Input_Product=Elig!$C291,Elig_MatchAll_Ct&lt;22,$BC291=(Elig_MatchAll_Ct-1),AN291=0),K291,0)</f>
        <v>0</v>
      </c>
      <c r="BQ291" s="173">
        <f>IF(AND(Input_Product=Elig!$C291,Elig_MatchAll_Ct&lt;22,$BC291=(Elig_MatchAll_Ct-1),AP291=0),L291,0)</f>
        <v>0</v>
      </c>
      <c r="BR291" s="173">
        <f>IF(AND(Input_Product=Elig!$C291,Elig_MatchAll_Ct&lt;22,$BC291=(Elig_MatchAll_Ct-1),AO291=0),M291,0)</f>
        <v>0</v>
      </c>
      <c r="BS291" s="173">
        <f>IF(AND(Input_Product=Elig!$C291,Elig_MatchAll_Ct&lt;22,$BC291=(Elig_MatchAll_Ct-1),AQ291=0),N291,0)</f>
        <v>0</v>
      </c>
      <c r="BT291" s="173">
        <f>IF(AND(Input_Product=Elig!$C291,Elig_MatchAll_Ct&lt;22,$BC291=(Elig_MatchAll_Ct-1),AR291=0),O291,0)</f>
        <v>0</v>
      </c>
      <c r="BU291" s="173">
        <f>IF(AND(Input_Product=Elig!$C291,Elig_MatchAll_Ct&lt;22,$BC291=(Elig_MatchAll_Ct-1),AS291=0),P291,0)</f>
        <v>0</v>
      </c>
      <c r="BV291" s="174">
        <f>IF(AND(Input_Product=Elig!$C291,Elig_MatchAll_Ct&lt;22,$BC291=(Elig_MatchAll_Ct-1),AT291=0),Q291,0)</f>
        <v>0</v>
      </c>
      <c r="BW291" s="175">
        <f>IF(AND(Input_Product=Elig!$C291,Elig_MatchAll_Ct&lt;22,$BC291=(Elig_MatchAll_Ct-1),AU291=0),R291,0)</f>
        <v>0</v>
      </c>
      <c r="BX291" s="176">
        <f>IF(AND(Input_Product=Elig!$C291,Elig_MatchAll_Ct&lt;22,$BC291=(Elig_MatchAll_Ct-1),AU291=0),S291,0)</f>
        <v>0</v>
      </c>
      <c r="BY291" s="175">
        <f>IF(AND(Input_Product=Elig!$C291,Elig_MatchAll_Ct&lt;22,$BC291=(Elig_MatchAll_Ct-1),AV291=0),T291,0)</f>
        <v>0</v>
      </c>
      <c r="BZ291" s="176">
        <f>IF(AND(Input_Product=Elig!$C291,Elig_MatchAll_Ct&lt;22,$BC291=(Elig_MatchAll_Ct-1),AV291=0),U291,0)</f>
        <v>0</v>
      </c>
      <c r="CA291" s="175">
        <f>IF(AND(Input_Product=Elig!$C291,Elig_MatchAll_Ct&lt;22,$BC291=(Elig_MatchAll_Ct-1),AW291=0),V291,0)</f>
        <v>0</v>
      </c>
      <c r="CB291" s="176">
        <f>IF(AND(Input_Product=Elig!$C291,Elig_MatchAll_Ct&lt;22,$BC291=(Elig_MatchAll_Ct-1),AW291=0),W291,0)</f>
        <v>0</v>
      </c>
      <c r="CC291" s="175">
        <f>IF(AND(Input_Product=Elig!$C291,Elig_MatchAll_Ct&lt;22,$BC291=(Elig_MatchAll_Ct-1),AX291=0),X291,0)</f>
        <v>0</v>
      </c>
      <c r="CD291" s="176">
        <f>IF(AND(Input_Product=Elig!$C291,Elig_MatchAll_Ct&lt;22,$BC291=(Elig_MatchAll_Ct-1),AX291=0),Y291,0)</f>
        <v>0</v>
      </c>
      <c r="CE291" s="175">
        <f>IF(AND(Input_LTV&lt;=AE291,Input_Product=Elig!$C291,Elig_MatchAll_Ct&lt;22,$BC291=(Elig_MatchAll_Ct-1),AY291=0),Z291,0)</f>
        <v>0</v>
      </c>
      <c r="CF291" s="176">
        <f>IF(AND(Input_LTV&lt;=AE291,Input_Product=Elig!$C291,Elig_MatchAll_Ct&lt;22,$BC291=(Elig_MatchAll_Ct-1),AY291=0),AA291,0)</f>
        <v>0</v>
      </c>
      <c r="CG291" s="175">
        <f>IF(AND(Input_Product=Elig!$C291,Elig_MatchAll_Ct&lt;22,$BC291=(Elig_MatchAll_Ct-1),AZ291=0),AB291,0)</f>
        <v>0</v>
      </c>
      <c r="CH291" s="176">
        <f>IF(AND(Input_Product=Elig!$C291,Elig_MatchAll_Ct&lt;22,$BC291=(Elig_MatchAll_Ct-1),AZ291=0),AC291,0)</f>
        <v>0</v>
      </c>
      <c r="CI291" s="175">
        <f>IF(AND(Input_Product=Elig!$C291,Elig_MatchAll_Ct&lt;22,$BC291=(Elig_MatchAll_Ct-1),BA291=0),AD291,0)</f>
        <v>0</v>
      </c>
      <c r="CJ291" s="176">
        <f>IF(AND(Input_Product=Elig!$C291,Elig_MatchAll_Ct&lt;22,$BC291=(Elig_MatchAll_Ct-1),BA291=0),AE291,0)</f>
        <v>0</v>
      </c>
    </row>
    <row r="292" spans="1:88" ht="10.15" customHeight="1" x14ac:dyDescent="0.25">
      <c r="A292" s="252" t="s">
        <v>76</v>
      </c>
      <c r="B292" s="252" t="s">
        <v>932</v>
      </c>
      <c r="C292" s="251" t="str">
        <f t="shared" si="93"/>
        <v>NonQM NOO</v>
      </c>
      <c r="D292" s="252" t="s">
        <v>1995</v>
      </c>
      <c r="E292" s="252" t="s">
        <v>166</v>
      </c>
      <c r="F292" s="252" t="s">
        <v>329</v>
      </c>
      <c r="G292" s="252" t="s">
        <v>180</v>
      </c>
      <c r="H292" s="252" t="s">
        <v>135</v>
      </c>
      <c r="I292" s="252" t="s">
        <v>273</v>
      </c>
      <c r="J292" s="252" t="s">
        <v>1130</v>
      </c>
      <c r="K292" s="252" t="s">
        <v>1398</v>
      </c>
      <c r="L292" s="252" t="s">
        <v>311</v>
      </c>
      <c r="M292" s="252" t="s">
        <v>2289</v>
      </c>
      <c r="N292" s="252" t="s">
        <v>1844</v>
      </c>
      <c r="O292" s="252" t="s">
        <v>309</v>
      </c>
      <c r="P292" s="252" t="s">
        <v>2434</v>
      </c>
      <c r="Q292" s="252" t="s">
        <v>293</v>
      </c>
      <c r="R292" s="252">
        <v>100000</v>
      </c>
      <c r="S292" s="252">
        <v>1000000</v>
      </c>
      <c r="T292" s="252">
        <v>0</v>
      </c>
      <c r="U292" s="252">
        <v>0</v>
      </c>
      <c r="V292" s="252">
        <v>0</v>
      </c>
      <c r="W292" s="252">
        <v>50</v>
      </c>
      <c r="X292" s="261">
        <v>1</v>
      </c>
      <c r="Y292" s="252">
        <v>999</v>
      </c>
      <c r="Z292" s="1540">
        <v>660</v>
      </c>
      <c r="AA292" s="1540">
        <v>679</v>
      </c>
      <c r="AB292" s="1883">
        <v>0</v>
      </c>
      <c r="AC292" s="254">
        <v>999999</v>
      </c>
      <c r="AD292" s="252">
        <v>0</v>
      </c>
      <c r="AE292" s="255">
        <v>75</v>
      </c>
      <c r="AF292" s="144">
        <v>0</v>
      </c>
      <c r="AG292" s="145">
        <v>1</v>
      </c>
      <c r="AH292" s="145">
        <v>1</v>
      </c>
      <c r="AI292" s="145">
        <v>1</v>
      </c>
      <c r="AJ292" s="145">
        <v>1</v>
      </c>
      <c r="AK292" s="145">
        <v>1</v>
      </c>
      <c r="AL292" s="145">
        <v>1</v>
      </c>
      <c r="AM292" s="145">
        <v>1</v>
      </c>
      <c r="AN292" s="145">
        <v>1</v>
      </c>
      <c r="AO292" s="145">
        <v>1</v>
      </c>
      <c r="AP292" s="145">
        <v>1</v>
      </c>
      <c r="AQ292" s="145">
        <v>1</v>
      </c>
      <c r="AR292" s="145">
        <v>1</v>
      </c>
      <c r="AS292" s="145">
        <v>1</v>
      </c>
      <c r="AT292" s="145">
        <v>1</v>
      </c>
      <c r="AU292" s="145">
        <f t="shared" si="102"/>
        <v>1</v>
      </c>
      <c r="AV292" s="145">
        <f t="shared" si="103"/>
        <v>1</v>
      </c>
      <c r="AW292" s="145">
        <f t="shared" si="104"/>
        <v>1</v>
      </c>
      <c r="AX292" s="145">
        <f t="shared" si="73"/>
        <v>1</v>
      </c>
      <c r="AY292" s="145">
        <f t="shared" si="105"/>
        <v>0</v>
      </c>
      <c r="AZ292" s="145">
        <f t="shared" si="106"/>
        <v>1</v>
      </c>
      <c r="BA292" s="146">
        <f t="shared" si="107"/>
        <v>1</v>
      </c>
      <c r="BB292" s="149">
        <f t="shared" si="98"/>
        <v>20</v>
      </c>
      <c r="BC292" s="150">
        <f t="shared" si="99"/>
        <v>19</v>
      </c>
      <c r="BD292" s="150">
        <f t="shared" si="100"/>
        <v>20</v>
      </c>
      <c r="BE292" s="211" t="str">
        <f t="shared" si="101"/>
        <v/>
      </c>
      <c r="BH292" s="173">
        <f>IF(AND(Input_Product=Elig!$C292,Elig_MatchAll_Ct&lt;22,$BC292=(Elig_MatchAll_Ct-1),AF292=0),C292,0)</f>
        <v>0</v>
      </c>
      <c r="BI292" s="173">
        <f>IF(AND(Input_Product=Elig!$C292,Elig_MatchAll_Ct&lt;22,$BC292=(Elig_MatchAll_Ct-1),AG292=0),D292,0)</f>
        <v>0</v>
      </c>
      <c r="BJ292" s="173">
        <f>IF(AND(Input_Product=Elig!$C292,Elig_MatchAll_Ct&lt;22,$BC292=(Elig_MatchAll_Ct-1),AH292=0),E292,0)</f>
        <v>0</v>
      </c>
      <c r="BK292" s="173">
        <f>IF(AND(Input_Product=Elig!$C292,Elig_MatchAll_Ct&lt;22,$BC292=(Elig_MatchAll_Ct-1),AI292=0),F292,0)</f>
        <v>0</v>
      </c>
      <c r="BL292" s="173">
        <f>IF(AND(Input_Product=Elig!$C292,Elig_MatchAll_Ct&lt;22,$BC292=(Elig_MatchAll_Ct-1),AJ292=0),G292,0)</f>
        <v>0</v>
      </c>
      <c r="BM292" s="173">
        <f>IF(AND(Input_Product=Elig!$C292,Elig_MatchAll_Ct&lt;22,$BC292=(Elig_MatchAll_Ct-1),AK292=0),H292,0)</f>
        <v>0</v>
      </c>
      <c r="BN292" s="173">
        <f>IF(AND(Input_Product=Elig!$C292,Elig_MatchAll_Ct&lt;22,$BC292=(Elig_MatchAll_Ct-1),AL292=0),I292,0)</f>
        <v>0</v>
      </c>
      <c r="BO292" s="173">
        <f>IF(AND(Input_Product=Elig!$C292,Elig_MatchAll_Ct&lt;22,$BC292=(Elig_MatchAll_Ct-1),AM292=0),J292,0)</f>
        <v>0</v>
      </c>
      <c r="BP292" s="173">
        <f>IF(AND(Input_Product=Elig!$C292,Elig_MatchAll_Ct&lt;22,$BC292=(Elig_MatchAll_Ct-1),AN292=0),K292,0)</f>
        <v>0</v>
      </c>
      <c r="BQ292" s="173">
        <f>IF(AND(Input_Product=Elig!$C292,Elig_MatchAll_Ct&lt;22,$BC292=(Elig_MatchAll_Ct-1),AP292=0),L292,0)</f>
        <v>0</v>
      </c>
      <c r="BR292" s="173">
        <f>IF(AND(Input_Product=Elig!$C292,Elig_MatchAll_Ct&lt;22,$BC292=(Elig_MatchAll_Ct-1),AO292=0),M292,0)</f>
        <v>0</v>
      </c>
      <c r="BS292" s="173">
        <f>IF(AND(Input_Product=Elig!$C292,Elig_MatchAll_Ct&lt;22,$BC292=(Elig_MatchAll_Ct-1),AQ292=0),N292,0)</f>
        <v>0</v>
      </c>
      <c r="BT292" s="173">
        <f>IF(AND(Input_Product=Elig!$C292,Elig_MatchAll_Ct&lt;22,$BC292=(Elig_MatchAll_Ct-1),AR292=0),O292,0)</f>
        <v>0</v>
      </c>
      <c r="BU292" s="173">
        <f>IF(AND(Input_Product=Elig!$C292,Elig_MatchAll_Ct&lt;22,$BC292=(Elig_MatchAll_Ct-1),AS292=0),P292,0)</f>
        <v>0</v>
      </c>
      <c r="BV292" s="174">
        <f>IF(AND(Input_Product=Elig!$C292,Elig_MatchAll_Ct&lt;22,$BC292=(Elig_MatchAll_Ct-1),AT292=0),Q292,0)</f>
        <v>0</v>
      </c>
      <c r="BW292" s="175">
        <f>IF(AND(Input_Product=Elig!$C292,Elig_MatchAll_Ct&lt;22,$BC292=(Elig_MatchAll_Ct-1),AU292=0),R292,0)</f>
        <v>0</v>
      </c>
      <c r="BX292" s="176">
        <f>IF(AND(Input_Product=Elig!$C292,Elig_MatchAll_Ct&lt;22,$BC292=(Elig_MatchAll_Ct-1),AU292=0),S292,0)</f>
        <v>0</v>
      </c>
      <c r="BY292" s="175">
        <f>IF(AND(Input_Product=Elig!$C292,Elig_MatchAll_Ct&lt;22,$BC292=(Elig_MatchAll_Ct-1),AV292=0),T292,0)</f>
        <v>0</v>
      </c>
      <c r="BZ292" s="176">
        <f>IF(AND(Input_Product=Elig!$C292,Elig_MatchAll_Ct&lt;22,$BC292=(Elig_MatchAll_Ct-1),AV292=0),U292,0)</f>
        <v>0</v>
      </c>
      <c r="CA292" s="175">
        <f>IF(AND(Input_Product=Elig!$C292,Elig_MatchAll_Ct&lt;22,$BC292=(Elig_MatchAll_Ct-1),AW292=0),V292,0)</f>
        <v>0</v>
      </c>
      <c r="CB292" s="176">
        <f>IF(AND(Input_Product=Elig!$C292,Elig_MatchAll_Ct&lt;22,$BC292=(Elig_MatchAll_Ct-1),AW292=0),W292,0)</f>
        <v>0</v>
      </c>
      <c r="CC292" s="175">
        <f>IF(AND(Input_Product=Elig!$C292,Elig_MatchAll_Ct&lt;22,$BC292=(Elig_MatchAll_Ct-1),AX292=0),X292,0)</f>
        <v>0</v>
      </c>
      <c r="CD292" s="176">
        <f>IF(AND(Input_Product=Elig!$C292,Elig_MatchAll_Ct&lt;22,$BC292=(Elig_MatchAll_Ct-1),AX292=0),Y292,0)</f>
        <v>0</v>
      </c>
      <c r="CE292" s="175">
        <f>IF(AND(Input_LTV&lt;=AE292,Input_Product=Elig!$C292,Elig_MatchAll_Ct&lt;22,$BC292=(Elig_MatchAll_Ct-1),AY292=0),Z292,0)</f>
        <v>0</v>
      </c>
      <c r="CF292" s="176">
        <f>IF(AND(Input_LTV&lt;=AE292,Input_Product=Elig!$C292,Elig_MatchAll_Ct&lt;22,$BC292=(Elig_MatchAll_Ct-1),AY292=0),AA292,0)</f>
        <v>0</v>
      </c>
      <c r="CG292" s="175">
        <f>IF(AND(Input_Product=Elig!$C292,Elig_MatchAll_Ct&lt;22,$BC292=(Elig_MatchAll_Ct-1),AZ292=0),AB292,0)</f>
        <v>0</v>
      </c>
      <c r="CH292" s="176">
        <f>IF(AND(Input_Product=Elig!$C292,Elig_MatchAll_Ct&lt;22,$BC292=(Elig_MatchAll_Ct-1),AZ292=0),AC292,0)</f>
        <v>0</v>
      </c>
      <c r="CI292" s="175">
        <f>IF(AND(Input_Product=Elig!$C292,Elig_MatchAll_Ct&lt;22,$BC292=(Elig_MatchAll_Ct-1),BA292=0),AD292,0)</f>
        <v>0</v>
      </c>
      <c r="CJ292" s="176">
        <f>IF(AND(Input_Product=Elig!$C292,Elig_MatchAll_Ct&lt;22,$BC292=(Elig_MatchAll_Ct-1),BA292=0),AE292,0)</f>
        <v>0</v>
      </c>
    </row>
    <row r="293" spans="1:88" ht="10.15" customHeight="1" x14ac:dyDescent="0.25">
      <c r="A293" s="252" t="s">
        <v>76</v>
      </c>
      <c r="B293" s="252" t="s">
        <v>933</v>
      </c>
      <c r="C293" s="251" t="str">
        <f t="shared" si="93"/>
        <v>NonQM NOO</v>
      </c>
      <c r="D293" s="252" t="s">
        <v>1995</v>
      </c>
      <c r="E293" s="252" t="s">
        <v>166</v>
      </c>
      <c r="F293" s="252" t="s">
        <v>329</v>
      </c>
      <c r="G293" s="252" t="s">
        <v>180</v>
      </c>
      <c r="H293" s="252" t="s">
        <v>135</v>
      </c>
      <c r="I293" s="252" t="s">
        <v>273</v>
      </c>
      <c r="J293" s="252" t="s">
        <v>1130</v>
      </c>
      <c r="K293" s="252" t="s">
        <v>1398</v>
      </c>
      <c r="L293" s="252" t="s">
        <v>311</v>
      </c>
      <c r="M293" s="252" t="s">
        <v>2289</v>
      </c>
      <c r="N293" s="252" t="s">
        <v>1844</v>
      </c>
      <c r="O293" s="252" t="s">
        <v>45</v>
      </c>
      <c r="P293" s="252" t="s">
        <v>2434</v>
      </c>
      <c r="Q293" s="252" t="s">
        <v>293</v>
      </c>
      <c r="R293" s="252">
        <v>100000</v>
      </c>
      <c r="S293" s="252">
        <v>1000000</v>
      </c>
      <c r="T293" s="252">
        <v>0</v>
      </c>
      <c r="U293" s="252">
        <v>0</v>
      </c>
      <c r="V293" s="252">
        <v>0</v>
      </c>
      <c r="W293" s="252">
        <v>50</v>
      </c>
      <c r="X293" s="252">
        <v>1</v>
      </c>
      <c r="Y293" s="252">
        <v>999</v>
      </c>
      <c r="Z293" s="1540">
        <v>660</v>
      </c>
      <c r="AA293" s="1540">
        <v>679</v>
      </c>
      <c r="AB293" s="1883">
        <v>0</v>
      </c>
      <c r="AC293" s="254">
        <v>999999</v>
      </c>
      <c r="AD293" s="252">
        <v>0</v>
      </c>
      <c r="AE293" s="255">
        <v>75</v>
      </c>
      <c r="AF293" s="144">
        <v>0</v>
      </c>
      <c r="AG293" s="145">
        <v>1</v>
      </c>
      <c r="AH293" s="145">
        <v>1</v>
      </c>
      <c r="AI293" s="145">
        <v>1</v>
      </c>
      <c r="AJ293" s="145">
        <v>1</v>
      </c>
      <c r="AK293" s="145">
        <v>1</v>
      </c>
      <c r="AL293" s="145">
        <v>1</v>
      </c>
      <c r="AM293" s="145">
        <v>1</v>
      </c>
      <c r="AN293" s="145">
        <v>1</v>
      </c>
      <c r="AO293" s="145">
        <v>1</v>
      </c>
      <c r="AP293" s="145">
        <v>1</v>
      </c>
      <c r="AQ293" s="145">
        <v>1</v>
      </c>
      <c r="AR293" s="145">
        <v>0</v>
      </c>
      <c r="AS293" s="145">
        <v>1</v>
      </c>
      <c r="AT293" s="145">
        <v>1</v>
      </c>
      <c r="AU293" s="145">
        <f t="shared" si="102"/>
        <v>1</v>
      </c>
      <c r="AV293" s="145">
        <f t="shared" si="103"/>
        <v>1</v>
      </c>
      <c r="AW293" s="145">
        <f t="shared" si="104"/>
        <v>1</v>
      </c>
      <c r="AX293" s="145">
        <f t="shared" si="73"/>
        <v>1</v>
      </c>
      <c r="AY293" s="145">
        <f t="shared" si="105"/>
        <v>0</v>
      </c>
      <c r="AZ293" s="145">
        <f t="shared" si="106"/>
        <v>1</v>
      </c>
      <c r="BA293" s="146">
        <f t="shared" si="107"/>
        <v>1</v>
      </c>
      <c r="BB293" s="149">
        <f t="shared" si="98"/>
        <v>19</v>
      </c>
      <c r="BC293" s="150">
        <f t="shared" si="99"/>
        <v>18</v>
      </c>
      <c r="BD293" s="150">
        <f t="shared" si="100"/>
        <v>19</v>
      </c>
      <c r="BE293" s="211" t="str">
        <f t="shared" si="101"/>
        <v/>
      </c>
      <c r="BH293" s="173">
        <f>IF(AND(Input_Product=Elig!$C293,Elig_MatchAll_Ct&lt;22,$BC293=(Elig_MatchAll_Ct-1),AF293=0),C293,0)</f>
        <v>0</v>
      </c>
      <c r="BI293" s="173">
        <f>IF(AND(Input_Product=Elig!$C293,Elig_MatchAll_Ct&lt;22,$BC293=(Elig_MatchAll_Ct-1),AG293=0),D293,0)</f>
        <v>0</v>
      </c>
      <c r="BJ293" s="173">
        <f>IF(AND(Input_Product=Elig!$C293,Elig_MatchAll_Ct&lt;22,$BC293=(Elig_MatchAll_Ct-1),AH293=0),E293,0)</f>
        <v>0</v>
      </c>
      <c r="BK293" s="173">
        <f>IF(AND(Input_Product=Elig!$C293,Elig_MatchAll_Ct&lt;22,$BC293=(Elig_MatchAll_Ct-1),AI293=0),F293,0)</f>
        <v>0</v>
      </c>
      <c r="BL293" s="173">
        <f>IF(AND(Input_Product=Elig!$C293,Elig_MatchAll_Ct&lt;22,$BC293=(Elig_MatchAll_Ct-1),AJ293=0),G293,0)</f>
        <v>0</v>
      </c>
      <c r="BM293" s="173">
        <f>IF(AND(Input_Product=Elig!$C293,Elig_MatchAll_Ct&lt;22,$BC293=(Elig_MatchAll_Ct-1),AK293=0),H293,0)</f>
        <v>0</v>
      </c>
      <c r="BN293" s="173">
        <f>IF(AND(Input_Product=Elig!$C293,Elig_MatchAll_Ct&lt;22,$BC293=(Elig_MatchAll_Ct-1),AL293=0),I293,0)</f>
        <v>0</v>
      </c>
      <c r="BO293" s="173">
        <f>IF(AND(Input_Product=Elig!$C293,Elig_MatchAll_Ct&lt;22,$BC293=(Elig_MatchAll_Ct-1),AM293=0),J293,0)</f>
        <v>0</v>
      </c>
      <c r="BP293" s="173">
        <f>IF(AND(Input_Product=Elig!$C293,Elig_MatchAll_Ct&lt;22,$BC293=(Elig_MatchAll_Ct-1),AN293=0),K293,0)</f>
        <v>0</v>
      </c>
      <c r="BQ293" s="173">
        <f>IF(AND(Input_Product=Elig!$C293,Elig_MatchAll_Ct&lt;22,$BC293=(Elig_MatchAll_Ct-1),AP293=0),L293,0)</f>
        <v>0</v>
      </c>
      <c r="BR293" s="173">
        <f>IF(AND(Input_Product=Elig!$C293,Elig_MatchAll_Ct&lt;22,$BC293=(Elig_MatchAll_Ct-1),AO293=0),M293,0)</f>
        <v>0</v>
      </c>
      <c r="BS293" s="173">
        <f>IF(AND(Input_Product=Elig!$C293,Elig_MatchAll_Ct&lt;22,$BC293=(Elig_MatchAll_Ct-1),AQ293=0),N293,0)</f>
        <v>0</v>
      </c>
      <c r="BT293" s="173">
        <f>IF(AND(Input_Product=Elig!$C293,Elig_MatchAll_Ct&lt;22,$BC293=(Elig_MatchAll_Ct-1),AR293=0),O293,0)</f>
        <v>0</v>
      </c>
      <c r="BU293" s="173">
        <f>IF(AND(Input_Product=Elig!$C293,Elig_MatchAll_Ct&lt;22,$BC293=(Elig_MatchAll_Ct-1),AS293=0),P293,0)</f>
        <v>0</v>
      </c>
      <c r="BV293" s="174">
        <f>IF(AND(Input_Product=Elig!$C293,Elig_MatchAll_Ct&lt;22,$BC293=(Elig_MatchAll_Ct-1),AT293=0),Q293,0)</f>
        <v>0</v>
      </c>
      <c r="BW293" s="175">
        <f>IF(AND(Input_Product=Elig!$C293,Elig_MatchAll_Ct&lt;22,$BC293=(Elig_MatchAll_Ct-1),AU293=0),R293,0)</f>
        <v>0</v>
      </c>
      <c r="BX293" s="176">
        <f>IF(AND(Input_Product=Elig!$C293,Elig_MatchAll_Ct&lt;22,$BC293=(Elig_MatchAll_Ct-1),AU293=0),S293,0)</f>
        <v>0</v>
      </c>
      <c r="BY293" s="175">
        <f>IF(AND(Input_Product=Elig!$C293,Elig_MatchAll_Ct&lt;22,$BC293=(Elig_MatchAll_Ct-1),AV293=0),T293,0)</f>
        <v>0</v>
      </c>
      <c r="BZ293" s="176">
        <f>IF(AND(Input_Product=Elig!$C293,Elig_MatchAll_Ct&lt;22,$BC293=(Elig_MatchAll_Ct-1),AV293=0),U293,0)</f>
        <v>0</v>
      </c>
      <c r="CA293" s="175">
        <f>IF(AND(Input_Product=Elig!$C293,Elig_MatchAll_Ct&lt;22,$BC293=(Elig_MatchAll_Ct-1),AW293=0),V293,0)</f>
        <v>0</v>
      </c>
      <c r="CB293" s="176">
        <f>IF(AND(Input_Product=Elig!$C293,Elig_MatchAll_Ct&lt;22,$BC293=(Elig_MatchAll_Ct-1),AW293=0),W293,0)</f>
        <v>0</v>
      </c>
      <c r="CC293" s="175">
        <f>IF(AND(Input_Product=Elig!$C293,Elig_MatchAll_Ct&lt;22,$BC293=(Elig_MatchAll_Ct-1),AX293=0),X293,0)</f>
        <v>0</v>
      </c>
      <c r="CD293" s="176">
        <f>IF(AND(Input_Product=Elig!$C293,Elig_MatchAll_Ct&lt;22,$BC293=(Elig_MatchAll_Ct-1),AX293=0),Y293,0)</f>
        <v>0</v>
      </c>
      <c r="CE293" s="175">
        <f>IF(AND(Input_LTV&lt;=AE293,Input_Product=Elig!$C293,Elig_MatchAll_Ct&lt;22,$BC293=(Elig_MatchAll_Ct-1),AY293=0),Z293,0)</f>
        <v>0</v>
      </c>
      <c r="CF293" s="176">
        <f>IF(AND(Input_LTV&lt;=AE293,Input_Product=Elig!$C293,Elig_MatchAll_Ct&lt;22,$BC293=(Elig_MatchAll_Ct-1),AY293=0),AA293,0)</f>
        <v>0</v>
      </c>
      <c r="CG293" s="175">
        <f>IF(AND(Input_Product=Elig!$C293,Elig_MatchAll_Ct&lt;22,$BC293=(Elig_MatchAll_Ct-1),AZ293=0),AB293,0)</f>
        <v>0</v>
      </c>
      <c r="CH293" s="176">
        <f>IF(AND(Input_Product=Elig!$C293,Elig_MatchAll_Ct&lt;22,$BC293=(Elig_MatchAll_Ct-1),AZ293=0),AC293,0)</f>
        <v>0</v>
      </c>
      <c r="CI293" s="175">
        <f>IF(AND(Input_Product=Elig!$C293,Elig_MatchAll_Ct&lt;22,$BC293=(Elig_MatchAll_Ct-1),BA293=0),AD293,0)</f>
        <v>0</v>
      </c>
      <c r="CJ293" s="176">
        <f>IF(AND(Input_Product=Elig!$C293,Elig_MatchAll_Ct&lt;22,$BC293=(Elig_MatchAll_Ct-1),BA293=0),AE293,0)</f>
        <v>0</v>
      </c>
    </row>
    <row r="294" spans="1:88" ht="10.15" customHeight="1" x14ac:dyDescent="0.25">
      <c r="A294" s="252" t="s">
        <v>76</v>
      </c>
      <c r="B294" s="252" t="s">
        <v>934</v>
      </c>
      <c r="C294" s="251" t="str">
        <f t="shared" si="93"/>
        <v>NonQM NOO</v>
      </c>
      <c r="D294" s="252" t="s">
        <v>1995</v>
      </c>
      <c r="E294" s="252" t="s">
        <v>166</v>
      </c>
      <c r="F294" s="252" t="s">
        <v>329</v>
      </c>
      <c r="G294" s="252" t="s">
        <v>180</v>
      </c>
      <c r="H294" s="252" t="s">
        <v>135</v>
      </c>
      <c r="I294" s="252" t="s">
        <v>273</v>
      </c>
      <c r="J294" s="252" t="s">
        <v>1130</v>
      </c>
      <c r="K294" s="252" t="s">
        <v>1398</v>
      </c>
      <c r="L294" s="252" t="s">
        <v>311</v>
      </c>
      <c r="M294" s="252" t="s">
        <v>2289</v>
      </c>
      <c r="N294" s="252" t="s">
        <v>1844</v>
      </c>
      <c r="O294" s="252" t="s">
        <v>309</v>
      </c>
      <c r="P294" s="252" t="s">
        <v>2434</v>
      </c>
      <c r="Q294" s="252" t="s">
        <v>293</v>
      </c>
      <c r="R294" s="252">
        <v>100000</v>
      </c>
      <c r="S294" s="252">
        <v>1000000</v>
      </c>
      <c r="T294" s="252">
        <v>0</v>
      </c>
      <c r="U294" s="252">
        <v>0</v>
      </c>
      <c r="V294" s="252">
        <v>0</v>
      </c>
      <c r="W294" s="252">
        <v>50</v>
      </c>
      <c r="X294" s="261">
        <v>1</v>
      </c>
      <c r="Y294" s="252">
        <v>999</v>
      </c>
      <c r="Z294" s="254">
        <v>640</v>
      </c>
      <c r="AA294" s="254">
        <v>659</v>
      </c>
      <c r="AB294" s="1883">
        <v>0</v>
      </c>
      <c r="AC294" s="254">
        <v>999999</v>
      </c>
      <c r="AD294" s="252">
        <v>0</v>
      </c>
      <c r="AE294" s="255">
        <v>75</v>
      </c>
      <c r="AF294" s="144">
        <v>0</v>
      </c>
      <c r="AG294" s="145">
        <v>1</v>
      </c>
      <c r="AH294" s="145">
        <v>1</v>
      </c>
      <c r="AI294" s="145">
        <v>1</v>
      </c>
      <c r="AJ294" s="145">
        <v>1</v>
      </c>
      <c r="AK294" s="145">
        <v>1</v>
      </c>
      <c r="AL294" s="145">
        <v>1</v>
      </c>
      <c r="AM294" s="145">
        <v>1</v>
      </c>
      <c r="AN294" s="145">
        <v>1</v>
      </c>
      <c r="AO294" s="145">
        <v>1</v>
      </c>
      <c r="AP294" s="145">
        <v>1</v>
      </c>
      <c r="AQ294" s="145">
        <v>1</v>
      </c>
      <c r="AR294" s="145">
        <v>1</v>
      </c>
      <c r="AS294" s="145">
        <v>1</v>
      </c>
      <c r="AT294" s="145">
        <v>1</v>
      </c>
      <c r="AU294" s="145">
        <f t="shared" si="102"/>
        <v>1</v>
      </c>
      <c r="AV294" s="145">
        <f t="shared" si="103"/>
        <v>1</v>
      </c>
      <c r="AW294" s="145">
        <f t="shared" si="104"/>
        <v>1</v>
      </c>
      <c r="AX294" s="145">
        <f t="shared" si="73"/>
        <v>1</v>
      </c>
      <c r="AY294" s="145">
        <f t="shared" si="105"/>
        <v>0</v>
      </c>
      <c r="AZ294" s="145">
        <f t="shared" si="106"/>
        <v>1</v>
      </c>
      <c r="BA294" s="146">
        <f t="shared" si="107"/>
        <v>1</v>
      </c>
      <c r="BB294" s="149">
        <f t="shared" si="98"/>
        <v>20</v>
      </c>
      <c r="BC294" s="150">
        <f t="shared" si="99"/>
        <v>19</v>
      </c>
      <c r="BD294" s="150">
        <f t="shared" si="100"/>
        <v>20</v>
      </c>
      <c r="BE294" s="211" t="str">
        <f t="shared" si="101"/>
        <v/>
      </c>
      <c r="BH294" s="173">
        <f>IF(AND(Input_Product=Elig!$C294,Elig_MatchAll_Ct&lt;22,$BC294=(Elig_MatchAll_Ct-1),AF294=0),C294,0)</f>
        <v>0</v>
      </c>
      <c r="BI294" s="173">
        <f>IF(AND(Input_Product=Elig!$C294,Elig_MatchAll_Ct&lt;22,$BC294=(Elig_MatchAll_Ct-1),AG294=0),D294,0)</f>
        <v>0</v>
      </c>
      <c r="BJ294" s="173">
        <f>IF(AND(Input_Product=Elig!$C294,Elig_MatchAll_Ct&lt;22,$BC294=(Elig_MatchAll_Ct-1),AH294=0),E294,0)</f>
        <v>0</v>
      </c>
      <c r="BK294" s="173">
        <f>IF(AND(Input_Product=Elig!$C294,Elig_MatchAll_Ct&lt;22,$BC294=(Elig_MatchAll_Ct-1),AI294=0),F294,0)</f>
        <v>0</v>
      </c>
      <c r="BL294" s="173">
        <f>IF(AND(Input_Product=Elig!$C294,Elig_MatchAll_Ct&lt;22,$BC294=(Elig_MatchAll_Ct-1),AJ294=0),G294,0)</f>
        <v>0</v>
      </c>
      <c r="BM294" s="173">
        <f>IF(AND(Input_Product=Elig!$C294,Elig_MatchAll_Ct&lt;22,$BC294=(Elig_MatchAll_Ct-1),AK294=0),H294,0)</f>
        <v>0</v>
      </c>
      <c r="BN294" s="173">
        <f>IF(AND(Input_Product=Elig!$C294,Elig_MatchAll_Ct&lt;22,$BC294=(Elig_MatchAll_Ct-1),AL294=0),I294,0)</f>
        <v>0</v>
      </c>
      <c r="BO294" s="173">
        <f>IF(AND(Input_Product=Elig!$C294,Elig_MatchAll_Ct&lt;22,$BC294=(Elig_MatchAll_Ct-1),AM294=0),J294,0)</f>
        <v>0</v>
      </c>
      <c r="BP294" s="173">
        <f>IF(AND(Input_Product=Elig!$C294,Elig_MatchAll_Ct&lt;22,$BC294=(Elig_MatchAll_Ct-1),AN294=0),K294,0)</f>
        <v>0</v>
      </c>
      <c r="BQ294" s="173">
        <f>IF(AND(Input_Product=Elig!$C294,Elig_MatchAll_Ct&lt;22,$BC294=(Elig_MatchAll_Ct-1),AP294=0),L294,0)</f>
        <v>0</v>
      </c>
      <c r="BR294" s="173">
        <f>IF(AND(Input_Product=Elig!$C294,Elig_MatchAll_Ct&lt;22,$BC294=(Elig_MatchAll_Ct-1),AO294=0),M294,0)</f>
        <v>0</v>
      </c>
      <c r="BS294" s="173">
        <f>IF(AND(Input_Product=Elig!$C294,Elig_MatchAll_Ct&lt;22,$BC294=(Elig_MatchAll_Ct-1),AQ294=0),N294,0)</f>
        <v>0</v>
      </c>
      <c r="BT294" s="173">
        <f>IF(AND(Input_Product=Elig!$C294,Elig_MatchAll_Ct&lt;22,$BC294=(Elig_MatchAll_Ct-1),AR294=0),O294,0)</f>
        <v>0</v>
      </c>
      <c r="BU294" s="173">
        <f>IF(AND(Input_Product=Elig!$C294,Elig_MatchAll_Ct&lt;22,$BC294=(Elig_MatchAll_Ct-1),AS294=0),P294,0)</f>
        <v>0</v>
      </c>
      <c r="BV294" s="174">
        <f>IF(AND(Input_Product=Elig!$C294,Elig_MatchAll_Ct&lt;22,$BC294=(Elig_MatchAll_Ct-1),AT294=0),Q294,0)</f>
        <v>0</v>
      </c>
      <c r="BW294" s="175">
        <f>IF(AND(Input_Product=Elig!$C294,Elig_MatchAll_Ct&lt;22,$BC294=(Elig_MatchAll_Ct-1),AU294=0),R294,0)</f>
        <v>0</v>
      </c>
      <c r="BX294" s="176">
        <f>IF(AND(Input_Product=Elig!$C294,Elig_MatchAll_Ct&lt;22,$BC294=(Elig_MatchAll_Ct-1),AU294=0),S294,0)</f>
        <v>0</v>
      </c>
      <c r="BY294" s="175">
        <f>IF(AND(Input_Product=Elig!$C294,Elig_MatchAll_Ct&lt;22,$BC294=(Elig_MatchAll_Ct-1),AV294=0),T294,0)</f>
        <v>0</v>
      </c>
      <c r="BZ294" s="176">
        <f>IF(AND(Input_Product=Elig!$C294,Elig_MatchAll_Ct&lt;22,$BC294=(Elig_MatchAll_Ct-1),AV294=0),U294,0)</f>
        <v>0</v>
      </c>
      <c r="CA294" s="175">
        <f>IF(AND(Input_Product=Elig!$C294,Elig_MatchAll_Ct&lt;22,$BC294=(Elig_MatchAll_Ct-1),AW294=0),V294,0)</f>
        <v>0</v>
      </c>
      <c r="CB294" s="176">
        <f>IF(AND(Input_Product=Elig!$C294,Elig_MatchAll_Ct&lt;22,$BC294=(Elig_MatchAll_Ct-1),AW294=0),W294,0)</f>
        <v>0</v>
      </c>
      <c r="CC294" s="175">
        <f>IF(AND(Input_Product=Elig!$C294,Elig_MatchAll_Ct&lt;22,$BC294=(Elig_MatchAll_Ct-1),AX294=0),X294,0)</f>
        <v>0</v>
      </c>
      <c r="CD294" s="176">
        <f>IF(AND(Input_Product=Elig!$C294,Elig_MatchAll_Ct&lt;22,$BC294=(Elig_MatchAll_Ct-1),AX294=0),Y294,0)</f>
        <v>0</v>
      </c>
      <c r="CE294" s="175">
        <f>IF(AND(Input_LTV&lt;=AE294,Input_Product=Elig!$C294,Elig_MatchAll_Ct&lt;22,$BC294=(Elig_MatchAll_Ct-1),AY294=0),Z294,0)</f>
        <v>0</v>
      </c>
      <c r="CF294" s="176">
        <f>IF(AND(Input_LTV&lt;=AE294,Input_Product=Elig!$C294,Elig_MatchAll_Ct&lt;22,$BC294=(Elig_MatchAll_Ct-1),AY294=0),AA294,0)</f>
        <v>0</v>
      </c>
      <c r="CG294" s="175">
        <f>IF(AND(Input_Product=Elig!$C294,Elig_MatchAll_Ct&lt;22,$BC294=(Elig_MatchAll_Ct-1),AZ294=0),AB294,0)</f>
        <v>0</v>
      </c>
      <c r="CH294" s="176">
        <f>IF(AND(Input_Product=Elig!$C294,Elig_MatchAll_Ct&lt;22,$BC294=(Elig_MatchAll_Ct-1),AZ294=0),AC294,0)</f>
        <v>0</v>
      </c>
      <c r="CI294" s="175">
        <f>IF(AND(Input_Product=Elig!$C294,Elig_MatchAll_Ct&lt;22,$BC294=(Elig_MatchAll_Ct-1),BA294=0),AD294,0)</f>
        <v>0</v>
      </c>
      <c r="CJ294" s="176">
        <f>IF(AND(Input_Product=Elig!$C294,Elig_MatchAll_Ct&lt;22,$BC294=(Elig_MatchAll_Ct-1),BA294=0),AE294,0)</f>
        <v>0</v>
      </c>
    </row>
    <row r="295" spans="1:88" ht="10.15" customHeight="1" x14ac:dyDescent="0.25">
      <c r="A295" s="252" t="s">
        <v>76</v>
      </c>
      <c r="B295" s="252" t="s">
        <v>935</v>
      </c>
      <c r="C295" s="246" t="str">
        <f t="shared" si="93"/>
        <v>NonQM NOO</v>
      </c>
      <c r="D295" s="247" t="s">
        <v>1995</v>
      </c>
      <c r="E295" s="248" t="s">
        <v>166</v>
      </c>
      <c r="F295" s="248" t="s">
        <v>329</v>
      </c>
      <c r="G295" s="248" t="s">
        <v>180</v>
      </c>
      <c r="H295" s="248" t="s">
        <v>135</v>
      </c>
      <c r="I295" s="247" t="s">
        <v>16</v>
      </c>
      <c r="J295" s="247" t="s">
        <v>1130</v>
      </c>
      <c r="K295" s="247" t="s">
        <v>1398</v>
      </c>
      <c r="L295" s="248" t="s">
        <v>311</v>
      </c>
      <c r="M295" s="248" t="s">
        <v>2289</v>
      </c>
      <c r="N295" s="248" t="s">
        <v>1844</v>
      </c>
      <c r="O295" s="248" t="s">
        <v>309</v>
      </c>
      <c r="P295" s="248" t="s">
        <v>2434</v>
      </c>
      <c r="Q295" s="248" t="s">
        <v>293</v>
      </c>
      <c r="R295" s="247">
        <v>100000</v>
      </c>
      <c r="S295" s="247">
        <v>1000000</v>
      </c>
      <c r="T295" s="247">
        <v>0</v>
      </c>
      <c r="U295" s="247">
        <f t="shared" ref="U295:U300" si="109">S295</f>
        <v>1000000</v>
      </c>
      <c r="V295" s="247">
        <v>0</v>
      </c>
      <c r="W295" s="247">
        <v>55</v>
      </c>
      <c r="X295" s="276">
        <v>0.75</v>
      </c>
      <c r="Y295" s="247">
        <v>999</v>
      </c>
      <c r="Z295" s="249">
        <v>720</v>
      </c>
      <c r="AA295" s="249">
        <v>999</v>
      </c>
      <c r="AB295" s="1882">
        <v>0</v>
      </c>
      <c r="AC295" s="249">
        <v>999999</v>
      </c>
      <c r="AD295" s="247">
        <v>0</v>
      </c>
      <c r="AE295" s="250">
        <v>80</v>
      </c>
      <c r="AF295" s="144">
        <v>0</v>
      </c>
      <c r="AG295" s="145">
        <v>1</v>
      </c>
      <c r="AH295" s="145">
        <v>1</v>
      </c>
      <c r="AI295" s="145">
        <v>1</v>
      </c>
      <c r="AJ295" s="145">
        <v>1</v>
      </c>
      <c r="AK295" s="145">
        <v>1</v>
      </c>
      <c r="AL295" s="145">
        <v>0</v>
      </c>
      <c r="AM295" s="145">
        <v>1</v>
      </c>
      <c r="AN295" s="145">
        <v>1</v>
      </c>
      <c r="AO295" s="145">
        <v>1</v>
      </c>
      <c r="AP295" s="145">
        <v>1</v>
      </c>
      <c r="AQ295" s="145">
        <v>1</v>
      </c>
      <c r="AR295" s="145">
        <v>1</v>
      </c>
      <c r="AS295" s="145">
        <v>1</v>
      </c>
      <c r="AT295" s="145">
        <v>1</v>
      </c>
      <c r="AU295" s="145">
        <f t="shared" si="102"/>
        <v>1</v>
      </c>
      <c r="AV295" s="145">
        <f t="shared" si="103"/>
        <v>1</v>
      </c>
      <c r="AW295" s="145">
        <f t="shared" si="104"/>
        <v>1</v>
      </c>
      <c r="AX295" s="145">
        <f t="shared" si="73"/>
        <v>1</v>
      </c>
      <c r="AY295" s="145">
        <f t="shared" si="105"/>
        <v>1</v>
      </c>
      <c r="AZ295" s="145">
        <f t="shared" si="106"/>
        <v>1</v>
      </c>
      <c r="BA295" s="146">
        <f t="shared" si="107"/>
        <v>1</v>
      </c>
      <c r="BB295" s="149">
        <f t="shared" si="98"/>
        <v>20</v>
      </c>
      <c r="BC295" s="150">
        <f t="shared" si="99"/>
        <v>19</v>
      </c>
      <c r="BD295" s="150">
        <f t="shared" si="100"/>
        <v>20</v>
      </c>
      <c r="BE295" s="211" t="str">
        <f t="shared" si="101"/>
        <v/>
      </c>
      <c r="BH295" s="190">
        <f>IF(AND(Input_Product=Elig!$C295,Elig_MatchAll_Ct&lt;22,$BC295=(Elig_MatchAll_Ct-1),AF295=0),C295,0)</f>
        <v>0</v>
      </c>
      <c r="BI295" s="190">
        <f>IF(AND(Input_Product=Elig!$C295,Elig_MatchAll_Ct&lt;22,$BC295=(Elig_MatchAll_Ct-1),AG295=0),D295,0)</f>
        <v>0</v>
      </c>
      <c r="BJ295" s="190">
        <f>IF(AND(Input_Product=Elig!$C295,Elig_MatchAll_Ct&lt;22,$BC295=(Elig_MatchAll_Ct-1),AH295=0),E295,0)</f>
        <v>0</v>
      </c>
      <c r="BK295" s="190">
        <f>IF(AND(Input_Product=Elig!$C295,Elig_MatchAll_Ct&lt;22,$BC295=(Elig_MatchAll_Ct-1),AI295=0),F295,0)</f>
        <v>0</v>
      </c>
      <c r="BL295" s="190">
        <f>IF(AND(Input_Product=Elig!$C295,Elig_MatchAll_Ct&lt;22,$BC295=(Elig_MatchAll_Ct-1),AJ295=0),G295,0)</f>
        <v>0</v>
      </c>
      <c r="BM295" s="190">
        <f>IF(AND(Input_Product=Elig!$C295,Elig_MatchAll_Ct&lt;22,$BC295=(Elig_MatchAll_Ct-1),AK295=0),H295,0)</f>
        <v>0</v>
      </c>
      <c r="BN295" s="190">
        <f>IF(AND(Input_Product=Elig!$C295,Elig_MatchAll_Ct&lt;22,$BC295=(Elig_MatchAll_Ct-1),AL295=0),I295,0)</f>
        <v>0</v>
      </c>
      <c r="BO295" s="190">
        <f>IF(AND(Input_Product=Elig!$C295,Elig_MatchAll_Ct&lt;22,$BC295=(Elig_MatchAll_Ct-1),AM295=0),J295,0)</f>
        <v>0</v>
      </c>
      <c r="BP295" s="190">
        <f>IF(AND(Input_Product=Elig!$C295,Elig_MatchAll_Ct&lt;22,$BC295=(Elig_MatchAll_Ct-1),AN295=0),K295,0)</f>
        <v>0</v>
      </c>
      <c r="BQ295" s="190">
        <f>IF(AND(Input_Product=Elig!$C295,Elig_MatchAll_Ct&lt;22,$BC295=(Elig_MatchAll_Ct-1),AP295=0),L295,0)</f>
        <v>0</v>
      </c>
      <c r="BR295" s="190">
        <f>IF(AND(Input_Product=Elig!$C295,Elig_MatchAll_Ct&lt;22,$BC295=(Elig_MatchAll_Ct-1),AO295=0),M295,0)</f>
        <v>0</v>
      </c>
      <c r="BS295" s="190">
        <f>IF(AND(Input_Product=Elig!$C295,Elig_MatchAll_Ct&lt;22,$BC295=(Elig_MatchAll_Ct-1),AQ295=0),N295,0)</f>
        <v>0</v>
      </c>
      <c r="BT295" s="190">
        <f>IF(AND(Input_Product=Elig!$C295,Elig_MatchAll_Ct&lt;22,$BC295=(Elig_MatchAll_Ct-1),AR295=0),O295,0)</f>
        <v>0</v>
      </c>
      <c r="BU295" s="190">
        <f>IF(AND(Input_Product=Elig!$C295,Elig_MatchAll_Ct&lt;22,$BC295=(Elig_MatchAll_Ct-1),AS295=0),P295,0)</f>
        <v>0</v>
      </c>
      <c r="BV295" s="191">
        <f>IF(AND(Input_Product=Elig!$C295,Elig_MatchAll_Ct&lt;22,$BC295=(Elig_MatchAll_Ct-1),AT295=0),Q295,0)</f>
        <v>0</v>
      </c>
      <c r="BW295" s="186">
        <f>IF(AND(Input_Product=Elig!$C295,Elig_MatchAll_Ct&lt;22,$BC295=(Elig_MatchAll_Ct-1),AU295=0),R295,0)</f>
        <v>0</v>
      </c>
      <c r="BX295" s="187">
        <f>IF(AND(Input_Product=Elig!$C295,Elig_MatchAll_Ct&lt;22,$BC295=(Elig_MatchAll_Ct-1),AU295=0),S295,0)</f>
        <v>0</v>
      </c>
      <c r="BY295" s="186">
        <f>IF(AND(Input_Product=Elig!$C295,Elig_MatchAll_Ct&lt;22,$BC295=(Elig_MatchAll_Ct-1),AV295=0),T295,0)</f>
        <v>0</v>
      </c>
      <c r="BZ295" s="187">
        <f>IF(AND(Input_Product=Elig!$C295,Elig_MatchAll_Ct&lt;22,$BC295=(Elig_MatchAll_Ct-1),AV295=0),U295,0)</f>
        <v>0</v>
      </c>
      <c r="CA295" s="186">
        <f>IF(AND(Input_Product=Elig!$C295,Elig_MatchAll_Ct&lt;22,$BC295=(Elig_MatchAll_Ct-1),AW295=0),V295,0)</f>
        <v>0</v>
      </c>
      <c r="CB295" s="187">
        <f>IF(AND(Input_Product=Elig!$C295,Elig_MatchAll_Ct&lt;22,$BC295=(Elig_MatchAll_Ct-1),AW295=0),W295,0)</f>
        <v>0</v>
      </c>
      <c r="CC295" s="186">
        <f>IF(AND(Input_Product=Elig!$C295,Elig_MatchAll_Ct&lt;22,$BC295=(Elig_MatchAll_Ct-1),AX295=0),X295,0)</f>
        <v>0</v>
      </c>
      <c r="CD295" s="187">
        <f>IF(AND(Input_Product=Elig!$C295,Elig_MatchAll_Ct&lt;22,$BC295=(Elig_MatchAll_Ct-1),AX295=0),Y295,0)</f>
        <v>0</v>
      </c>
      <c r="CE295" s="186">
        <f>IF(AND(Input_LTV&lt;=AE295,Input_Product=Elig!$C295,Elig_MatchAll_Ct&lt;22,$BC295=(Elig_MatchAll_Ct-1),AY295=0),Z295,0)</f>
        <v>0</v>
      </c>
      <c r="CF295" s="187">
        <f>IF(AND(Input_LTV&lt;=AE295,Input_Product=Elig!$C295,Elig_MatchAll_Ct&lt;22,$BC295=(Elig_MatchAll_Ct-1),AY295=0),AA295,0)</f>
        <v>0</v>
      </c>
      <c r="CG295" s="186">
        <f>IF(AND(Input_Product=Elig!$C295,Elig_MatchAll_Ct&lt;22,$BC295=(Elig_MatchAll_Ct-1),AZ295=0),AB295,0)</f>
        <v>0</v>
      </c>
      <c r="CH295" s="187">
        <f>IF(AND(Input_Product=Elig!$C295,Elig_MatchAll_Ct&lt;22,$BC295=(Elig_MatchAll_Ct-1),AZ295=0),AC295,0)</f>
        <v>0</v>
      </c>
      <c r="CI295" s="186">
        <f>IF(AND(Input_Product=Elig!$C295,Elig_MatchAll_Ct&lt;22,$BC295=(Elig_MatchAll_Ct-1),BA295=0),AD295,0)</f>
        <v>0</v>
      </c>
      <c r="CJ295" s="187">
        <f>IF(AND(Input_Product=Elig!$C295,Elig_MatchAll_Ct&lt;22,$BC295=(Elig_MatchAll_Ct-1),BA295=0),AE295,0)</f>
        <v>0</v>
      </c>
    </row>
    <row r="296" spans="1:88" ht="10.15" customHeight="1" x14ac:dyDescent="0.25">
      <c r="A296" s="252" t="s">
        <v>76</v>
      </c>
      <c r="B296" s="252" t="s">
        <v>936</v>
      </c>
      <c r="C296" s="251" t="str">
        <f t="shared" si="93"/>
        <v>NonQM NOO</v>
      </c>
      <c r="D296" s="252" t="s">
        <v>1995</v>
      </c>
      <c r="E296" s="252" t="s">
        <v>166</v>
      </c>
      <c r="F296" s="252" t="s">
        <v>329</v>
      </c>
      <c r="G296" s="252" t="s">
        <v>180</v>
      </c>
      <c r="H296" s="252" t="s">
        <v>135</v>
      </c>
      <c r="I296" s="253" t="s">
        <v>16</v>
      </c>
      <c r="J296" s="253" t="s">
        <v>1130</v>
      </c>
      <c r="K296" s="253" t="s">
        <v>1398</v>
      </c>
      <c r="L296" s="252" t="s">
        <v>311</v>
      </c>
      <c r="M296" s="252" t="s">
        <v>2289</v>
      </c>
      <c r="N296" s="252" t="s">
        <v>1844</v>
      </c>
      <c r="O296" s="252" t="s">
        <v>309</v>
      </c>
      <c r="P296" s="252" t="s">
        <v>2434</v>
      </c>
      <c r="Q296" s="252" t="s">
        <v>293</v>
      </c>
      <c r="R296" s="252">
        <v>100000</v>
      </c>
      <c r="S296" s="252">
        <v>1000000</v>
      </c>
      <c r="T296" s="252">
        <v>0</v>
      </c>
      <c r="U296" s="252">
        <f t="shared" si="109"/>
        <v>1000000</v>
      </c>
      <c r="V296" s="252">
        <v>0</v>
      </c>
      <c r="W296" s="252">
        <v>55</v>
      </c>
      <c r="X296" s="261">
        <v>0.75</v>
      </c>
      <c r="Y296" s="252">
        <v>999</v>
      </c>
      <c r="Z296" s="254">
        <v>700</v>
      </c>
      <c r="AA296" s="254">
        <v>719</v>
      </c>
      <c r="AB296" s="1883">
        <v>0</v>
      </c>
      <c r="AC296" s="254">
        <v>999999</v>
      </c>
      <c r="AD296" s="252">
        <v>0</v>
      </c>
      <c r="AE296" s="255">
        <v>80</v>
      </c>
      <c r="AF296" s="144">
        <v>0</v>
      </c>
      <c r="AG296" s="145">
        <v>1</v>
      </c>
      <c r="AH296" s="145">
        <v>1</v>
      </c>
      <c r="AI296" s="145">
        <v>1</v>
      </c>
      <c r="AJ296" s="145">
        <v>1</v>
      </c>
      <c r="AK296" s="145">
        <v>1</v>
      </c>
      <c r="AL296" s="145">
        <v>0</v>
      </c>
      <c r="AM296" s="145">
        <v>1</v>
      </c>
      <c r="AN296" s="145">
        <v>1</v>
      </c>
      <c r="AO296" s="145">
        <v>1</v>
      </c>
      <c r="AP296" s="145">
        <v>1</v>
      </c>
      <c r="AQ296" s="145">
        <v>1</v>
      </c>
      <c r="AR296" s="145">
        <v>1</v>
      </c>
      <c r="AS296" s="145">
        <v>1</v>
      </c>
      <c r="AT296" s="145">
        <v>1</v>
      </c>
      <c r="AU296" s="145">
        <f t="shared" si="102"/>
        <v>1</v>
      </c>
      <c r="AV296" s="145">
        <f t="shared" si="103"/>
        <v>1</v>
      </c>
      <c r="AW296" s="145">
        <f t="shared" si="104"/>
        <v>1</v>
      </c>
      <c r="AX296" s="145">
        <f t="shared" si="73"/>
        <v>1</v>
      </c>
      <c r="AY296" s="145">
        <f t="shared" si="105"/>
        <v>0</v>
      </c>
      <c r="AZ296" s="145">
        <f t="shared" si="106"/>
        <v>1</v>
      </c>
      <c r="BA296" s="146">
        <f t="shared" si="107"/>
        <v>1</v>
      </c>
      <c r="BB296" s="149">
        <f t="shared" si="98"/>
        <v>19</v>
      </c>
      <c r="BC296" s="150">
        <f t="shared" si="99"/>
        <v>18</v>
      </c>
      <c r="BD296" s="150">
        <f t="shared" si="100"/>
        <v>19</v>
      </c>
      <c r="BE296" s="211" t="str">
        <f t="shared" si="101"/>
        <v/>
      </c>
      <c r="BH296" s="173">
        <f>IF(AND(Input_Product=Elig!$C296,Elig_MatchAll_Ct&lt;22,$BC296=(Elig_MatchAll_Ct-1),AF296=0),C296,0)</f>
        <v>0</v>
      </c>
      <c r="BI296" s="173">
        <f>IF(AND(Input_Product=Elig!$C296,Elig_MatchAll_Ct&lt;22,$BC296=(Elig_MatchAll_Ct-1),AG296=0),D296,0)</f>
        <v>0</v>
      </c>
      <c r="BJ296" s="173">
        <f>IF(AND(Input_Product=Elig!$C296,Elig_MatchAll_Ct&lt;22,$BC296=(Elig_MatchAll_Ct-1),AH296=0),E296,0)</f>
        <v>0</v>
      </c>
      <c r="BK296" s="173">
        <f>IF(AND(Input_Product=Elig!$C296,Elig_MatchAll_Ct&lt;22,$BC296=(Elig_MatchAll_Ct-1),AI296=0),F296,0)</f>
        <v>0</v>
      </c>
      <c r="BL296" s="173">
        <f>IF(AND(Input_Product=Elig!$C296,Elig_MatchAll_Ct&lt;22,$BC296=(Elig_MatchAll_Ct-1),AJ296=0),G296,0)</f>
        <v>0</v>
      </c>
      <c r="BM296" s="173">
        <f>IF(AND(Input_Product=Elig!$C296,Elig_MatchAll_Ct&lt;22,$BC296=(Elig_MatchAll_Ct-1),AK296=0),H296,0)</f>
        <v>0</v>
      </c>
      <c r="BN296" s="173">
        <f>IF(AND(Input_Product=Elig!$C296,Elig_MatchAll_Ct&lt;22,$BC296=(Elig_MatchAll_Ct-1),AL296=0),I296,0)</f>
        <v>0</v>
      </c>
      <c r="BO296" s="173">
        <f>IF(AND(Input_Product=Elig!$C296,Elig_MatchAll_Ct&lt;22,$BC296=(Elig_MatchAll_Ct-1),AM296=0),J296,0)</f>
        <v>0</v>
      </c>
      <c r="BP296" s="173">
        <f>IF(AND(Input_Product=Elig!$C296,Elig_MatchAll_Ct&lt;22,$BC296=(Elig_MatchAll_Ct-1),AN296=0),K296,0)</f>
        <v>0</v>
      </c>
      <c r="BQ296" s="173">
        <f>IF(AND(Input_Product=Elig!$C296,Elig_MatchAll_Ct&lt;22,$BC296=(Elig_MatchAll_Ct-1),AP296=0),L296,0)</f>
        <v>0</v>
      </c>
      <c r="BR296" s="173">
        <f>IF(AND(Input_Product=Elig!$C296,Elig_MatchAll_Ct&lt;22,$BC296=(Elig_MatchAll_Ct-1),AO296=0),M296,0)</f>
        <v>0</v>
      </c>
      <c r="BS296" s="173">
        <f>IF(AND(Input_Product=Elig!$C296,Elig_MatchAll_Ct&lt;22,$BC296=(Elig_MatchAll_Ct-1),AQ296=0),N296,0)</f>
        <v>0</v>
      </c>
      <c r="BT296" s="173">
        <f>IF(AND(Input_Product=Elig!$C296,Elig_MatchAll_Ct&lt;22,$BC296=(Elig_MatchAll_Ct-1),AR296=0),O296,0)</f>
        <v>0</v>
      </c>
      <c r="BU296" s="173">
        <f>IF(AND(Input_Product=Elig!$C296,Elig_MatchAll_Ct&lt;22,$BC296=(Elig_MatchAll_Ct-1),AS296=0),P296,0)</f>
        <v>0</v>
      </c>
      <c r="BV296" s="174">
        <f>IF(AND(Input_Product=Elig!$C296,Elig_MatchAll_Ct&lt;22,$BC296=(Elig_MatchAll_Ct-1),AT296=0),Q296,0)</f>
        <v>0</v>
      </c>
      <c r="BW296" s="175">
        <f>IF(AND(Input_Product=Elig!$C296,Elig_MatchAll_Ct&lt;22,$BC296=(Elig_MatchAll_Ct-1),AU296=0),R296,0)</f>
        <v>0</v>
      </c>
      <c r="BX296" s="176">
        <f>IF(AND(Input_Product=Elig!$C296,Elig_MatchAll_Ct&lt;22,$BC296=(Elig_MatchAll_Ct-1),AU296=0),S296,0)</f>
        <v>0</v>
      </c>
      <c r="BY296" s="175">
        <f>IF(AND(Input_Product=Elig!$C296,Elig_MatchAll_Ct&lt;22,$BC296=(Elig_MatchAll_Ct-1),AV296=0),T296,0)</f>
        <v>0</v>
      </c>
      <c r="BZ296" s="176">
        <f>IF(AND(Input_Product=Elig!$C296,Elig_MatchAll_Ct&lt;22,$BC296=(Elig_MatchAll_Ct-1),AV296=0),U296,0)</f>
        <v>0</v>
      </c>
      <c r="CA296" s="175">
        <f>IF(AND(Input_Product=Elig!$C296,Elig_MatchAll_Ct&lt;22,$BC296=(Elig_MatchAll_Ct-1),AW296=0),V296,0)</f>
        <v>0</v>
      </c>
      <c r="CB296" s="176">
        <f>IF(AND(Input_Product=Elig!$C296,Elig_MatchAll_Ct&lt;22,$BC296=(Elig_MatchAll_Ct-1),AW296=0),W296,0)</f>
        <v>0</v>
      </c>
      <c r="CC296" s="175">
        <f>IF(AND(Input_Product=Elig!$C296,Elig_MatchAll_Ct&lt;22,$BC296=(Elig_MatchAll_Ct-1),AX296=0),X296,0)</f>
        <v>0</v>
      </c>
      <c r="CD296" s="176">
        <f>IF(AND(Input_Product=Elig!$C296,Elig_MatchAll_Ct&lt;22,$BC296=(Elig_MatchAll_Ct-1),AX296=0),Y296,0)</f>
        <v>0</v>
      </c>
      <c r="CE296" s="175">
        <f>IF(AND(Input_LTV&lt;=AE296,Input_Product=Elig!$C296,Elig_MatchAll_Ct&lt;22,$BC296=(Elig_MatchAll_Ct-1),AY296=0),Z296,0)</f>
        <v>0</v>
      </c>
      <c r="CF296" s="176">
        <f>IF(AND(Input_LTV&lt;=AE296,Input_Product=Elig!$C296,Elig_MatchAll_Ct&lt;22,$BC296=(Elig_MatchAll_Ct-1),AY296=0),AA296,0)</f>
        <v>0</v>
      </c>
      <c r="CG296" s="175">
        <f>IF(AND(Input_Product=Elig!$C296,Elig_MatchAll_Ct&lt;22,$BC296=(Elig_MatchAll_Ct-1),AZ296=0),AB296,0)</f>
        <v>0</v>
      </c>
      <c r="CH296" s="176">
        <f>IF(AND(Input_Product=Elig!$C296,Elig_MatchAll_Ct&lt;22,$BC296=(Elig_MatchAll_Ct-1),AZ296=0),AC296,0)</f>
        <v>0</v>
      </c>
      <c r="CI296" s="175">
        <f>IF(AND(Input_Product=Elig!$C296,Elig_MatchAll_Ct&lt;22,$BC296=(Elig_MatchAll_Ct-1),BA296=0),AD296,0)</f>
        <v>0</v>
      </c>
      <c r="CJ296" s="176">
        <f>IF(AND(Input_Product=Elig!$C296,Elig_MatchAll_Ct&lt;22,$BC296=(Elig_MatchAll_Ct-1),BA296=0),AE296,0)</f>
        <v>0</v>
      </c>
    </row>
    <row r="297" spans="1:88" ht="10.15" customHeight="1" x14ac:dyDescent="0.25">
      <c r="A297" s="252" t="s">
        <v>76</v>
      </c>
      <c r="B297" s="252" t="s">
        <v>937</v>
      </c>
      <c r="C297" s="251" t="str">
        <f t="shared" si="93"/>
        <v>NonQM NOO</v>
      </c>
      <c r="D297" s="252" t="s">
        <v>1995</v>
      </c>
      <c r="E297" s="252" t="s">
        <v>166</v>
      </c>
      <c r="F297" s="252" t="s">
        <v>329</v>
      </c>
      <c r="G297" s="252" t="s">
        <v>180</v>
      </c>
      <c r="H297" s="252" t="s">
        <v>135</v>
      </c>
      <c r="I297" s="253" t="s">
        <v>16</v>
      </c>
      <c r="J297" s="253" t="s">
        <v>1130</v>
      </c>
      <c r="K297" s="253" t="s">
        <v>1398</v>
      </c>
      <c r="L297" s="252" t="s">
        <v>311</v>
      </c>
      <c r="M297" s="252" t="s">
        <v>2289</v>
      </c>
      <c r="N297" s="252" t="s">
        <v>1844</v>
      </c>
      <c r="O297" s="252" t="s">
        <v>309</v>
      </c>
      <c r="P297" s="252" t="s">
        <v>2434</v>
      </c>
      <c r="Q297" s="252" t="s">
        <v>293</v>
      </c>
      <c r="R297" s="252">
        <v>100000</v>
      </c>
      <c r="S297" s="252">
        <v>1000000</v>
      </c>
      <c r="T297" s="252">
        <v>0</v>
      </c>
      <c r="U297" s="252">
        <f t="shared" si="109"/>
        <v>1000000</v>
      </c>
      <c r="V297" s="252">
        <v>0</v>
      </c>
      <c r="W297" s="252">
        <v>55</v>
      </c>
      <c r="X297" s="261">
        <v>0.75</v>
      </c>
      <c r="Y297" s="252">
        <v>999</v>
      </c>
      <c r="Z297" s="254">
        <v>680</v>
      </c>
      <c r="AA297" s="254">
        <v>699</v>
      </c>
      <c r="AB297" s="1883">
        <v>0</v>
      </c>
      <c r="AC297" s="254">
        <v>999999</v>
      </c>
      <c r="AD297" s="252">
        <v>0</v>
      </c>
      <c r="AE297" s="255">
        <v>75</v>
      </c>
      <c r="AF297" s="144">
        <v>0</v>
      </c>
      <c r="AG297" s="145">
        <v>1</v>
      </c>
      <c r="AH297" s="145">
        <v>1</v>
      </c>
      <c r="AI297" s="145">
        <v>1</v>
      </c>
      <c r="AJ297" s="145">
        <v>1</v>
      </c>
      <c r="AK297" s="145">
        <v>1</v>
      </c>
      <c r="AL297" s="145">
        <v>0</v>
      </c>
      <c r="AM297" s="145">
        <v>1</v>
      </c>
      <c r="AN297" s="145">
        <v>1</v>
      </c>
      <c r="AO297" s="145">
        <v>1</v>
      </c>
      <c r="AP297" s="145">
        <v>1</v>
      </c>
      <c r="AQ297" s="145">
        <v>1</v>
      </c>
      <c r="AR297" s="145">
        <v>1</v>
      </c>
      <c r="AS297" s="145">
        <v>1</v>
      </c>
      <c r="AT297" s="145">
        <v>1</v>
      </c>
      <c r="AU297" s="145">
        <f t="shared" si="102"/>
        <v>1</v>
      </c>
      <c r="AV297" s="145">
        <f t="shared" si="103"/>
        <v>1</v>
      </c>
      <c r="AW297" s="145">
        <f t="shared" si="104"/>
        <v>1</v>
      </c>
      <c r="AX297" s="145">
        <f t="shared" si="73"/>
        <v>1</v>
      </c>
      <c r="AY297" s="145">
        <f t="shared" si="105"/>
        <v>0</v>
      </c>
      <c r="AZ297" s="145">
        <f t="shared" si="106"/>
        <v>1</v>
      </c>
      <c r="BA297" s="146">
        <f t="shared" si="107"/>
        <v>1</v>
      </c>
      <c r="BB297" s="149">
        <f t="shared" si="98"/>
        <v>19</v>
      </c>
      <c r="BC297" s="150">
        <f t="shared" si="99"/>
        <v>18</v>
      </c>
      <c r="BD297" s="150">
        <f t="shared" si="100"/>
        <v>19</v>
      </c>
      <c r="BE297" s="211" t="str">
        <f t="shared" si="101"/>
        <v/>
      </c>
      <c r="BH297" s="173">
        <f>IF(AND(Input_Product=Elig!$C297,Elig_MatchAll_Ct&lt;22,$BC297=(Elig_MatchAll_Ct-1),AF297=0),C297,0)</f>
        <v>0</v>
      </c>
      <c r="BI297" s="173">
        <f>IF(AND(Input_Product=Elig!$C297,Elig_MatchAll_Ct&lt;22,$BC297=(Elig_MatchAll_Ct-1),AG297=0),D297,0)</f>
        <v>0</v>
      </c>
      <c r="BJ297" s="173">
        <f>IF(AND(Input_Product=Elig!$C297,Elig_MatchAll_Ct&lt;22,$BC297=(Elig_MatchAll_Ct-1),AH297=0),E297,0)</f>
        <v>0</v>
      </c>
      <c r="BK297" s="173">
        <f>IF(AND(Input_Product=Elig!$C297,Elig_MatchAll_Ct&lt;22,$BC297=(Elig_MatchAll_Ct-1),AI297=0),F297,0)</f>
        <v>0</v>
      </c>
      <c r="BL297" s="173">
        <f>IF(AND(Input_Product=Elig!$C297,Elig_MatchAll_Ct&lt;22,$BC297=(Elig_MatchAll_Ct-1),AJ297=0),G297,0)</f>
        <v>0</v>
      </c>
      <c r="BM297" s="173">
        <f>IF(AND(Input_Product=Elig!$C297,Elig_MatchAll_Ct&lt;22,$BC297=(Elig_MatchAll_Ct-1),AK297=0),H297,0)</f>
        <v>0</v>
      </c>
      <c r="BN297" s="173">
        <f>IF(AND(Input_Product=Elig!$C297,Elig_MatchAll_Ct&lt;22,$BC297=(Elig_MatchAll_Ct-1),AL297=0),I297,0)</f>
        <v>0</v>
      </c>
      <c r="BO297" s="173">
        <f>IF(AND(Input_Product=Elig!$C297,Elig_MatchAll_Ct&lt;22,$BC297=(Elig_MatchAll_Ct-1),AM297=0),J297,0)</f>
        <v>0</v>
      </c>
      <c r="BP297" s="173">
        <f>IF(AND(Input_Product=Elig!$C297,Elig_MatchAll_Ct&lt;22,$BC297=(Elig_MatchAll_Ct-1),AN297=0),K297,0)</f>
        <v>0</v>
      </c>
      <c r="BQ297" s="173">
        <f>IF(AND(Input_Product=Elig!$C297,Elig_MatchAll_Ct&lt;22,$BC297=(Elig_MatchAll_Ct-1),AP297=0),L297,0)</f>
        <v>0</v>
      </c>
      <c r="BR297" s="173">
        <f>IF(AND(Input_Product=Elig!$C297,Elig_MatchAll_Ct&lt;22,$BC297=(Elig_MatchAll_Ct-1),AO297=0),M297,0)</f>
        <v>0</v>
      </c>
      <c r="BS297" s="173">
        <f>IF(AND(Input_Product=Elig!$C297,Elig_MatchAll_Ct&lt;22,$BC297=(Elig_MatchAll_Ct-1),AQ297=0),N297,0)</f>
        <v>0</v>
      </c>
      <c r="BT297" s="173">
        <f>IF(AND(Input_Product=Elig!$C297,Elig_MatchAll_Ct&lt;22,$BC297=(Elig_MatchAll_Ct-1),AR297=0),O297,0)</f>
        <v>0</v>
      </c>
      <c r="BU297" s="173">
        <f>IF(AND(Input_Product=Elig!$C297,Elig_MatchAll_Ct&lt;22,$BC297=(Elig_MatchAll_Ct-1),AS297=0),P297,0)</f>
        <v>0</v>
      </c>
      <c r="BV297" s="174">
        <f>IF(AND(Input_Product=Elig!$C297,Elig_MatchAll_Ct&lt;22,$BC297=(Elig_MatchAll_Ct-1),AT297=0),Q297,0)</f>
        <v>0</v>
      </c>
      <c r="BW297" s="175">
        <f>IF(AND(Input_Product=Elig!$C297,Elig_MatchAll_Ct&lt;22,$BC297=(Elig_MatchAll_Ct-1),AU297=0),R297,0)</f>
        <v>0</v>
      </c>
      <c r="BX297" s="176">
        <f>IF(AND(Input_Product=Elig!$C297,Elig_MatchAll_Ct&lt;22,$BC297=(Elig_MatchAll_Ct-1),AU297=0),S297,0)</f>
        <v>0</v>
      </c>
      <c r="BY297" s="175">
        <f>IF(AND(Input_Product=Elig!$C297,Elig_MatchAll_Ct&lt;22,$BC297=(Elig_MatchAll_Ct-1),AV297=0),T297,0)</f>
        <v>0</v>
      </c>
      <c r="BZ297" s="176">
        <f>IF(AND(Input_Product=Elig!$C297,Elig_MatchAll_Ct&lt;22,$BC297=(Elig_MatchAll_Ct-1),AV297=0),U297,0)</f>
        <v>0</v>
      </c>
      <c r="CA297" s="175">
        <f>IF(AND(Input_Product=Elig!$C297,Elig_MatchAll_Ct&lt;22,$BC297=(Elig_MatchAll_Ct-1),AW297=0),V297,0)</f>
        <v>0</v>
      </c>
      <c r="CB297" s="176">
        <f>IF(AND(Input_Product=Elig!$C297,Elig_MatchAll_Ct&lt;22,$BC297=(Elig_MatchAll_Ct-1),AW297=0),W297,0)</f>
        <v>0</v>
      </c>
      <c r="CC297" s="175">
        <f>IF(AND(Input_Product=Elig!$C297,Elig_MatchAll_Ct&lt;22,$BC297=(Elig_MatchAll_Ct-1),AX297=0),X297,0)</f>
        <v>0</v>
      </c>
      <c r="CD297" s="176">
        <f>IF(AND(Input_Product=Elig!$C297,Elig_MatchAll_Ct&lt;22,$BC297=(Elig_MatchAll_Ct-1),AX297=0),Y297,0)</f>
        <v>0</v>
      </c>
      <c r="CE297" s="175">
        <f>IF(AND(Input_LTV&lt;=AE297,Input_Product=Elig!$C297,Elig_MatchAll_Ct&lt;22,$BC297=(Elig_MatchAll_Ct-1),AY297=0),Z297,0)</f>
        <v>0</v>
      </c>
      <c r="CF297" s="176">
        <f>IF(AND(Input_LTV&lt;=AE297,Input_Product=Elig!$C297,Elig_MatchAll_Ct&lt;22,$BC297=(Elig_MatchAll_Ct-1),AY297=0),AA297,0)</f>
        <v>0</v>
      </c>
      <c r="CG297" s="175">
        <f>IF(AND(Input_Product=Elig!$C297,Elig_MatchAll_Ct&lt;22,$BC297=(Elig_MatchAll_Ct-1),AZ297=0),AB297,0)</f>
        <v>0</v>
      </c>
      <c r="CH297" s="176">
        <f>IF(AND(Input_Product=Elig!$C297,Elig_MatchAll_Ct&lt;22,$BC297=(Elig_MatchAll_Ct-1),AZ297=0),AC297,0)</f>
        <v>0</v>
      </c>
      <c r="CI297" s="175">
        <f>IF(AND(Input_Product=Elig!$C297,Elig_MatchAll_Ct&lt;22,$BC297=(Elig_MatchAll_Ct-1),BA297=0),AD297,0)</f>
        <v>0</v>
      </c>
      <c r="CJ297" s="176">
        <f>IF(AND(Input_Product=Elig!$C297,Elig_MatchAll_Ct&lt;22,$BC297=(Elig_MatchAll_Ct-1),BA297=0),AE297,0)</f>
        <v>0</v>
      </c>
    </row>
    <row r="298" spans="1:88" ht="10.15" customHeight="1" x14ac:dyDescent="0.25">
      <c r="A298" s="252" t="s">
        <v>76</v>
      </c>
      <c r="B298" s="252" t="s">
        <v>938</v>
      </c>
      <c r="C298" s="251" t="str">
        <f t="shared" si="93"/>
        <v>NonQM NOO</v>
      </c>
      <c r="D298" s="252" t="s">
        <v>1995</v>
      </c>
      <c r="E298" s="252" t="s">
        <v>166</v>
      </c>
      <c r="F298" s="252" t="s">
        <v>329</v>
      </c>
      <c r="G298" s="252" t="s">
        <v>180</v>
      </c>
      <c r="H298" s="252" t="s">
        <v>135</v>
      </c>
      <c r="I298" s="252" t="s">
        <v>16</v>
      </c>
      <c r="J298" s="252" t="s">
        <v>1130</v>
      </c>
      <c r="K298" s="252" t="s">
        <v>1398</v>
      </c>
      <c r="L298" s="252" t="s">
        <v>311</v>
      </c>
      <c r="M298" s="252" t="s">
        <v>2289</v>
      </c>
      <c r="N298" s="252" t="s">
        <v>1844</v>
      </c>
      <c r="O298" s="252" t="s">
        <v>309</v>
      </c>
      <c r="P298" s="252" t="s">
        <v>2434</v>
      </c>
      <c r="Q298" s="252" t="s">
        <v>293</v>
      </c>
      <c r="R298" s="252">
        <v>100000</v>
      </c>
      <c r="S298" s="252">
        <v>1000000</v>
      </c>
      <c r="T298" s="252">
        <v>0</v>
      </c>
      <c r="U298" s="252">
        <f t="shared" si="109"/>
        <v>1000000</v>
      </c>
      <c r="V298" s="252">
        <v>0</v>
      </c>
      <c r="W298" s="252">
        <v>50</v>
      </c>
      <c r="X298" s="252">
        <v>1</v>
      </c>
      <c r="Y298" s="252">
        <v>999</v>
      </c>
      <c r="Z298" s="1540">
        <v>660</v>
      </c>
      <c r="AA298" s="1540">
        <v>679</v>
      </c>
      <c r="AB298" s="1883">
        <v>0</v>
      </c>
      <c r="AC298" s="254">
        <v>999999</v>
      </c>
      <c r="AD298" s="252">
        <v>0</v>
      </c>
      <c r="AE298" s="255">
        <v>75</v>
      </c>
      <c r="AF298" s="144">
        <v>0</v>
      </c>
      <c r="AG298" s="145">
        <v>1</v>
      </c>
      <c r="AH298" s="145">
        <v>1</v>
      </c>
      <c r="AI298" s="145">
        <v>1</v>
      </c>
      <c r="AJ298" s="145">
        <v>1</v>
      </c>
      <c r="AK298" s="145">
        <v>1</v>
      </c>
      <c r="AL298" s="145">
        <v>0</v>
      </c>
      <c r="AM298" s="145">
        <v>1</v>
      </c>
      <c r="AN298" s="145">
        <v>1</v>
      </c>
      <c r="AO298" s="145">
        <v>1</v>
      </c>
      <c r="AP298" s="145">
        <v>1</v>
      </c>
      <c r="AQ298" s="145">
        <v>1</v>
      </c>
      <c r="AR298" s="145">
        <v>1</v>
      </c>
      <c r="AS298" s="145">
        <v>1</v>
      </c>
      <c r="AT298" s="145">
        <v>1</v>
      </c>
      <c r="AU298" s="145">
        <f t="shared" si="102"/>
        <v>1</v>
      </c>
      <c r="AV298" s="145">
        <f t="shared" si="103"/>
        <v>1</v>
      </c>
      <c r="AW298" s="145">
        <f t="shared" si="104"/>
        <v>1</v>
      </c>
      <c r="AX298" s="145">
        <f t="shared" ref="AX298:AX359" si="110">IF(AND(Input_DSCR&gt;=Elig_DSCR_Min,Input_DSCR&lt;=Elig_DSCR_Max),1,0)</f>
        <v>1</v>
      </c>
      <c r="AY298" s="145">
        <f t="shared" si="105"/>
        <v>0</v>
      </c>
      <c r="AZ298" s="145">
        <f t="shared" si="106"/>
        <v>1</v>
      </c>
      <c r="BA298" s="146">
        <f t="shared" si="107"/>
        <v>1</v>
      </c>
      <c r="BB298" s="149">
        <f t="shared" si="98"/>
        <v>19</v>
      </c>
      <c r="BC298" s="150">
        <f t="shared" si="99"/>
        <v>18</v>
      </c>
      <c r="BD298" s="150">
        <f t="shared" si="100"/>
        <v>19</v>
      </c>
      <c r="BE298" s="211" t="str">
        <f t="shared" si="101"/>
        <v/>
      </c>
      <c r="BH298" s="173">
        <f>IF(AND(Input_Product=Elig!$C298,Elig_MatchAll_Ct&lt;22,$BC298=(Elig_MatchAll_Ct-1),AF298=0),C298,0)</f>
        <v>0</v>
      </c>
      <c r="BI298" s="173">
        <f>IF(AND(Input_Product=Elig!$C298,Elig_MatchAll_Ct&lt;22,$BC298=(Elig_MatchAll_Ct-1),AG298=0),D298,0)</f>
        <v>0</v>
      </c>
      <c r="BJ298" s="173">
        <f>IF(AND(Input_Product=Elig!$C298,Elig_MatchAll_Ct&lt;22,$BC298=(Elig_MatchAll_Ct-1),AH298=0),E298,0)</f>
        <v>0</v>
      </c>
      <c r="BK298" s="173">
        <f>IF(AND(Input_Product=Elig!$C298,Elig_MatchAll_Ct&lt;22,$BC298=(Elig_MatchAll_Ct-1),AI298=0),F298,0)</f>
        <v>0</v>
      </c>
      <c r="BL298" s="173">
        <f>IF(AND(Input_Product=Elig!$C298,Elig_MatchAll_Ct&lt;22,$BC298=(Elig_MatchAll_Ct-1),AJ298=0),G298,0)</f>
        <v>0</v>
      </c>
      <c r="BM298" s="173">
        <f>IF(AND(Input_Product=Elig!$C298,Elig_MatchAll_Ct&lt;22,$BC298=(Elig_MatchAll_Ct-1),AK298=0),H298,0)</f>
        <v>0</v>
      </c>
      <c r="BN298" s="173">
        <f>IF(AND(Input_Product=Elig!$C298,Elig_MatchAll_Ct&lt;22,$BC298=(Elig_MatchAll_Ct-1),AL298=0),I298,0)</f>
        <v>0</v>
      </c>
      <c r="BO298" s="173">
        <f>IF(AND(Input_Product=Elig!$C298,Elig_MatchAll_Ct&lt;22,$BC298=(Elig_MatchAll_Ct-1),AM298=0),J298,0)</f>
        <v>0</v>
      </c>
      <c r="BP298" s="173">
        <f>IF(AND(Input_Product=Elig!$C298,Elig_MatchAll_Ct&lt;22,$BC298=(Elig_MatchAll_Ct-1),AN298=0),K298,0)</f>
        <v>0</v>
      </c>
      <c r="BQ298" s="173">
        <f>IF(AND(Input_Product=Elig!$C298,Elig_MatchAll_Ct&lt;22,$BC298=(Elig_MatchAll_Ct-1),AP298=0),L298,0)</f>
        <v>0</v>
      </c>
      <c r="BR298" s="173">
        <f>IF(AND(Input_Product=Elig!$C298,Elig_MatchAll_Ct&lt;22,$BC298=(Elig_MatchAll_Ct-1),AO298=0),M298,0)</f>
        <v>0</v>
      </c>
      <c r="BS298" s="173">
        <f>IF(AND(Input_Product=Elig!$C298,Elig_MatchAll_Ct&lt;22,$BC298=(Elig_MatchAll_Ct-1),AQ298=0),N298,0)</f>
        <v>0</v>
      </c>
      <c r="BT298" s="173">
        <f>IF(AND(Input_Product=Elig!$C298,Elig_MatchAll_Ct&lt;22,$BC298=(Elig_MatchAll_Ct-1),AR298=0),O298,0)</f>
        <v>0</v>
      </c>
      <c r="BU298" s="173">
        <f>IF(AND(Input_Product=Elig!$C298,Elig_MatchAll_Ct&lt;22,$BC298=(Elig_MatchAll_Ct-1),AS298=0),P298,0)</f>
        <v>0</v>
      </c>
      <c r="BV298" s="174">
        <f>IF(AND(Input_Product=Elig!$C298,Elig_MatchAll_Ct&lt;22,$BC298=(Elig_MatchAll_Ct-1),AT298=0),Q298,0)</f>
        <v>0</v>
      </c>
      <c r="BW298" s="175">
        <f>IF(AND(Input_Product=Elig!$C298,Elig_MatchAll_Ct&lt;22,$BC298=(Elig_MatchAll_Ct-1),AU298=0),R298,0)</f>
        <v>0</v>
      </c>
      <c r="BX298" s="176">
        <f>IF(AND(Input_Product=Elig!$C298,Elig_MatchAll_Ct&lt;22,$BC298=(Elig_MatchAll_Ct-1),AU298=0),S298,0)</f>
        <v>0</v>
      </c>
      <c r="BY298" s="175">
        <f>IF(AND(Input_Product=Elig!$C298,Elig_MatchAll_Ct&lt;22,$BC298=(Elig_MatchAll_Ct-1),AV298=0),T298,0)</f>
        <v>0</v>
      </c>
      <c r="BZ298" s="176">
        <f>IF(AND(Input_Product=Elig!$C298,Elig_MatchAll_Ct&lt;22,$BC298=(Elig_MatchAll_Ct-1),AV298=0),U298,0)</f>
        <v>0</v>
      </c>
      <c r="CA298" s="175">
        <f>IF(AND(Input_Product=Elig!$C298,Elig_MatchAll_Ct&lt;22,$BC298=(Elig_MatchAll_Ct-1),AW298=0),V298,0)</f>
        <v>0</v>
      </c>
      <c r="CB298" s="176">
        <f>IF(AND(Input_Product=Elig!$C298,Elig_MatchAll_Ct&lt;22,$BC298=(Elig_MatchAll_Ct-1),AW298=0),W298,0)</f>
        <v>0</v>
      </c>
      <c r="CC298" s="175">
        <f>IF(AND(Input_Product=Elig!$C298,Elig_MatchAll_Ct&lt;22,$BC298=(Elig_MatchAll_Ct-1),AX298=0),X298,0)</f>
        <v>0</v>
      </c>
      <c r="CD298" s="176">
        <f>IF(AND(Input_Product=Elig!$C298,Elig_MatchAll_Ct&lt;22,$BC298=(Elig_MatchAll_Ct-1),AX298=0),Y298,0)</f>
        <v>0</v>
      </c>
      <c r="CE298" s="175">
        <f>IF(AND(Input_LTV&lt;=AE298,Input_Product=Elig!$C298,Elig_MatchAll_Ct&lt;22,$BC298=(Elig_MatchAll_Ct-1),AY298=0),Z298,0)</f>
        <v>0</v>
      </c>
      <c r="CF298" s="176">
        <f>IF(AND(Input_LTV&lt;=AE298,Input_Product=Elig!$C298,Elig_MatchAll_Ct&lt;22,$BC298=(Elig_MatchAll_Ct-1),AY298=0),AA298,0)</f>
        <v>0</v>
      </c>
      <c r="CG298" s="175">
        <f>IF(AND(Input_Product=Elig!$C298,Elig_MatchAll_Ct&lt;22,$BC298=(Elig_MatchAll_Ct-1),AZ298=0),AB298,0)</f>
        <v>0</v>
      </c>
      <c r="CH298" s="176">
        <f>IF(AND(Input_Product=Elig!$C298,Elig_MatchAll_Ct&lt;22,$BC298=(Elig_MatchAll_Ct-1),AZ298=0),AC298,0)</f>
        <v>0</v>
      </c>
      <c r="CI298" s="175">
        <f>IF(AND(Input_Product=Elig!$C298,Elig_MatchAll_Ct&lt;22,$BC298=(Elig_MatchAll_Ct-1),BA298=0),AD298,0)</f>
        <v>0</v>
      </c>
      <c r="CJ298" s="176">
        <f>IF(AND(Input_Product=Elig!$C298,Elig_MatchAll_Ct&lt;22,$BC298=(Elig_MatchAll_Ct-1),BA298=0),AE298,0)</f>
        <v>0</v>
      </c>
    </row>
    <row r="299" spans="1:88" ht="10.15" customHeight="1" x14ac:dyDescent="0.25">
      <c r="A299" s="252" t="s">
        <v>76</v>
      </c>
      <c r="B299" s="252" t="s">
        <v>939</v>
      </c>
      <c r="C299" s="251" t="str">
        <f t="shared" si="93"/>
        <v>NonQM NOO</v>
      </c>
      <c r="D299" s="252" t="s">
        <v>1995</v>
      </c>
      <c r="E299" s="252" t="s">
        <v>166</v>
      </c>
      <c r="F299" s="252" t="s">
        <v>329</v>
      </c>
      <c r="G299" s="252" t="s">
        <v>180</v>
      </c>
      <c r="H299" s="252" t="s">
        <v>135</v>
      </c>
      <c r="I299" s="252" t="s">
        <v>16</v>
      </c>
      <c r="J299" s="252" t="s">
        <v>1130</v>
      </c>
      <c r="K299" s="252" t="s">
        <v>1398</v>
      </c>
      <c r="L299" s="252" t="s">
        <v>311</v>
      </c>
      <c r="M299" s="252" t="s">
        <v>2289</v>
      </c>
      <c r="N299" s="252" t="s">
        <v>1844</v>
      </c>
      <c r="O299" s="252" t="s">
        <v>45</v>
      </c>
      <c r="P299" s="252" t="s">
        <v>2434</v>
      </c>
      <c r="Q299" s="252" t="s">
        <v>293</v>
      </c>
      <c r="R299" s="252">
        <v>100000</v>
      </c>
      <c r="S299" s="252">
        <v>1000000</v>
      </c>
      <c r="T299" s="252">
        <v>0</v>
      </c>
      <c r="U299" s="252">
        <f t="shared" si="109"/>
        <v>1000000</v>
      </c>
      <c r="V299" s="252">
        <v>0</v>
      </c>
      <c r="W299" s="252">
        <v>50</v>
      </c>
      <c r="X299" s="252">
        <v>1</v>
      </c>
      <c r="Y299" s="252">
        <v>999</v>
      </c>
      <c r="Z299" s="1540">
        <v>660</v>
      </c>
      <c r="AA299" s="1540">
        <v>679</v>
      </c>
      <c r="AB299" s="1883">
        <v>0</v>
      </c>
      <c r="AC299" s="254">
        <v>999999</v>
      </c>
      <c r="AD299" s="252">
        <v>0</v>
      </c>
      <c r="AE299" s="255">
        <v>75</v>
      </c>
      <c r="AF299" s="144">
        <v>0</v>
      </c>
      <c r="AG299" s="145">
        <v>1</v>
      </c>
      <c r="AH299" s="145">
        <v>1</v>
      </c>
      <c r="AI299" s="145">
        <v>1</v>
      </c>
      <c r="AJ299" s="145">
        <v>1</v>
      </c>
      <c r="AK299" s="145">
        <v>1</v>
      </c>
      <c r="AL299" s="145">
        <v>0</v>
      </c>
      <c r="AM299" s="145">
        <v>1</v>
      </c>
      <c r="AN299" s="145">
        <v>1</v>
      </c>
      <c r="AO299" s="145">
        <v>1</v>
      </c>
      <c r="AP299" s="145">
        <v>1</v>
      </c>
      <c r="AQ299" s="145">
        <v>1</v>
      </c>
      <c r="AR299" s="145">
        <v>0</v>
      </c>
      <c r="AS299" s="145">
        <v>1</v>
      </c>
      <c r="AT299" s="145">
        <v>1</v>
      </c>
      <c r="AU299" s="145">
        <f t="shared" si="102"/>
        <v>1</v>
      </c>
      <c r="AV299" s="145">
        <f t="shared" si="103"/>
        <v>1</v>
      </c>
      <c r="AW299" s="145">
        <f t="shared" si="104"/>
        <v>1</v>
      </c>
      <c r="AX299" s="145">
        <f t="shared" si="110"/>
        <v>1</v>
      </c>
      <c r="AY299" s="145">
        <f t="shared" si="105"/>
        <v>0</v>
      </c>
      <c r="AZ299" s="145">
        <f t="shared" si="106"/>
        <v>1</v>
      </c>
      <c r="BA299" s="146">
        <f t="shared" si="107"/>
        <v>1</v>
      </c>
      <c r="BB299" s="149">
        <f t="shared" si="98"/>
        <v>18</v>
      </c>
      <c r="BC299" s="150">
        <f t="shared" si="99"/>
        <v>17</v>
      </c>
      <c r="BD299" s="150">
        <f t="shared" si="100"/>
        <v>18</v>
      </c>
      <c r="BE299" s="211" t="str">
        <f t="shared" si="101"/>
        <v/>
      </c>
      <c r="BH299" s="173">
        <f>IF(AND(Input_Product=Elig!$C299,Elig_MatchAll_Ct&lt;22,$BC299=(Elig_MatchAll_Ct-1),AF299=0),C299,0)</f>
        <v>0</v>
      </c>
      <c r="BI299" s="173">
        <f>IF(AND(Input_Product=Elig!$C299,Elig_MatchAll_Ct&lt;22,$BC299=(Elig_MatchAll_Ct-1),AG299=0),D299,0)</f>
        <v>0</v>
      </c>
      <c r="BJ299" s="173">
        <f>IF(AND(Input_Product=Elig!$C299,Elig_MatchAll_Ct&lt;22,$BC299=(Elig_MatchAll_Ct-1),AH299=0),E299,0)</f>
        <v>0</v>
      </c>
      <c r="BK299" s="173">
        <f>IF(AND(Input_Product=Elig!$C299,Elig_MatchAll_Ct&lt;22,$BC299=(Elig_MatchAll_Ct-1),AI299=0),F299,0)</f>
        <v>0</v>
      </c>
      <c r="BL299" s="173">
        <f>IF(AND(Input_Product=Elig!$C299,Elig_MatchAll_Ct&lt;22,$BC299=(Elig_MatchAll_Ct-1),AJ299=0),G299,0)</f>
        <v>0</v>
      </c>
      <c r="BM299" s="173">
        <f>IF(AND(Input_Product=Elig!$C299,Elig_MatchAll_Ct&lt;22,$BC299=(Elig_MatchAll_Ct-1),AK299=0),H299,0)</f>
        <v>0</v>
      </c>
      <c r="BN299" s="173">
        <f>IF(AND(Input_Product=Elig!$C299,Elig_MatchAll_Ct&lt;22,$BC299=(Elig_MatchAll_Ct-1),AL299=0),I299,0)</f>
        <v>0</v>
      </c>
      <c r="BO299" s="173">
        <f>IF(AND(Input_Product=Elig!$C299,Elig_MatchAll_Ct&lt;22,$BC299=(Elig_MatchAll_Ct-1),AM299=0),J299,0)</f>
        <v>0</v>
      </c>
      <c r="BP299" s="173">
        <f>IF(AND(Input_Product=Elig!$C299,Elig_MatchAll_Ct&lt;22,$BC299=(Elig_MatchAll_Ct-1),AN299=0),K299,0)</f>
        <v>0</v>
      </c>
      <c r="BQ299" s="173">
        <f>IF(AND(Input_Product=Elig!$C299,Elig_MatchAll_Ct&lt;22,$BC299=(Elig_MatchAll_Ct-1),AP299=0),L299,0)</f>
        <v>0</v>
      </c>
      <c r="BR299" s="173">
        <f>IF(AND(Input_Product=Elig!$C299,Elig_MatchAll_Ct&lt;22,$BC299=(Elig_MatchAll_Ct-1),AO299=0),M299,0)</f>
        <v>0</v>
      </c>
      <c r="BS299" s="173">
        <f>IF(AND(Input_Product=Elig!$C299,Elig_MatchAll_Ct&lt;22,$BC299=(Elig_MatchAll_Ct-1),AQ299=0),N299,0)</f>
        <v>0</v>
      </c>
      <c r="BT299" s="173">
        <f>IF(AND(Input_Product=Elig!$C299,Elig_MatchAll_Ct&lt;22,$BC299=(Elig_MatchAll_Ct-1),AR299=0),O299,0)</f>
        <v>0</v>
      </c>
      <c r="BU299" s="173">
        <f>IF(AND(Input_Product=Elig!$C299,Elig_MatchAll_Ct&lt;22,$BC299=(Elig_MatchAll_Ct-1),AS299=0),P299,0)</f>
        <v>0</v>
      </c>
      <c r="BV299" s="174">
        <f>IF(AND(Input_Product=Elig!$C299,Elig_MatchAll_Ct&lt;22,$BC299=(Elig_MatchAll_Ct-1),AT299=0),Q299,0)</f>
        <v>0</v>
      </c>
      <c r="BW299" s="175">
        <f>IF(AND(Input_Product=Elig!$C299,Elig_MatchAll_Ct&lt;22,$BC299=(Elig_MatchAll_Ct-1),AU299=0),R299,0)</f>
        <v>0</v>
      </c>
      <c r="BX299" s="176">
        <f>IF(AND(Input_Product=Elig!$C299,Elig_MatchAll_Ct&lt;22,$BC299=(Elig_MatchAll_Ct-1),AU299=0),S299,0)</f>
        <v>0</v>
      </c>
      <c r="BY299" s="175">
        <f>IF(AND(Input_Product=Elig!$C299,Elig_MatchAll_Ct&lt;22,$BC299=(Elig_MatchAll_Ct-1),AV299=0),T299,0)</f>
        <v>0</v>
      </c>
      <c r="BZ299" s="176">
        <f>IF(AND(Input_Product=Elig!$C299,Elig_MatchAll_Ct&lt;22,$BC299=(Elig_MatchAll_Ct-1),AV299=0),U299,0)</f>
        <v>0</v>
      </c>
      <c r="CA299" s="175">
        <f>IF(AND(Input_Product=Elig!$C299,Elig_MatchAll_Ct&lt;22,$BC299=(Elig_MatchAll_Ct-1),AW299=0),V299,0)</f>
        <v>0</v>
      </c>
      <c r="CB299" s="176">
        <f>IF(AND(Input_Product=Elig!$C299,Elig_MatchAll_Ct&lt;22,$BC299=(Elig_MatchAll_Ct-1),AW299=0),W299,0)</f>
        <v>0</v>
      </c>
      <c r="CC299" s="175">
        <f>IF(AND(Input_Product=Elig!$C299,Elig_MatchAll_Ct&lt;22,$BC299=(Elig_MatchAll_Ct-1),AX299=0),X299,0)</f>
        <v>0</v>
      </c>
      <c r="CD299" s="176">
        <f>IF(AND(Input_Product=Elig!$C299,Elig_MatchAll_Ct&lt;22,$BC299=(Elig_MatchAll_Ct-1),AX299=0),Y299,0)</f>
        <v>0</v>
      </c>
      <c r="CE299" s="175">
        <f>IF(AND(Input_LTV&lt;=AE299,Input_Product=Elig!$C299,Elig_MatchAll_Ct&lt;22,$BC299=(Elig_MatchAll_Ct-1),AY299=0),Z299,0)</f>
        <v>0</v>
      </c>
      <c r="CF299" s="176">
        <f>IF(AND(Input_LTV&lt;=AE299,Input_Product=Elig!$C299,Elig_MatchAll_Ct&lt;22,$BC299=(Elig_MatchAll_Ct-1),AY299=0),AA299,0)</f>
        <v>0</v>
      </c>
      <c r="CG299" s="175">
        <f>IF(AND(Input_Product=Elig!$C299,Elig_MatchAll_Ct&lt;22,$BC299=(Elig_MatchAll_Ct-1),AZ299=0),AB299,0)</f>
        <v>0</v>
      </c>
      <c r="CH299" s="176">
        <f>IF(AND(Input_Product=Elig!$C299,Elig_MatchAll_Ct&lt;22,$BC299=(Elig_MatchAll_Ct-1),AZ299=0),AC299,0)</f>
        <v>0</v>
      </c>
      <c r="CI299" s="175">
        <f>IF(AND(Input_Product=Elig!$C299,Elig_MatchAll_Ct&lt;22,$BC299=(Elig_MatchAll_Ct-1),BA299=0),AD299,0)</f>
        <v>0</v>
      </c>
      <c r="CJ299" s="176">
        <f>IF(AND(Input_Product=Elig!$C299,Elig_MatchAll_Ct&lt;22,$BC299=(Elig_MatchAll_Ct-1),BA299=0),AE299,0)</f>
        <v>0</v>
      </c>
    </row>
    <row r="300" spans="1:88" ht="10.15" customHeight="1" x14ac:dyDescent="0.25">
      <c r="A300" s="252" t="s">
        <v>76</v>
      </c>
      <c r="B300" s="252" t="s">
        <v>940</v>
      </c>
      <c r="C300" s="251" t="str">
        <f t="shared" si="93"/>
        <v>NonQM NOO</v>
      </c>
      <c r="D300" s="252" t="s">
        <v>1995</v>
      </c>
      <c r="E300" s="252" t="s">
        <v>166</v>
      </c>
      <c r="F300" s="252" t="s">
        <v>329</v>
      </c>
      <c r="G300" s="252" t="s">
        <v>180</v>
      </c>
      <c r="H300" s="252" t="s">
        <v>135</v>
      </c>
      <c r="I300" s="252" t="s">
        <v>16</v>
      </c>
      <c r="J300" s="252" t="s">
        <v>1130</v>
      </c>
      <c r="K300" s="252" t="s">
        <v>1398</v>
      </c>
      <c r="L300" s="252" t="s">
        <v>311</v>
      </c>
      <c r="M300" s="252" t="s">
        <v>2289</v>
      </c>
      <c r="N300" s="252" t="s">
        <v>1844</v>
      </c>
      <c r="O300" s="252" t="s">
        <v>309</v>
      </c>
      <c r="P300" s="252" t="s">
        <v>2434</v>
      </c>
      <c r="Q300" s="252" t="s">
        <v>293</v>
      </c>
      <c r="R300" s="252">
        <v>100000</v>
      </c>
      <c r="S300" s="252">
        <v>1000000</v>
      </c>
      <c r="T300" s="252">
        <v>0</v>
      </c>
      <c r="U300" s="252">
        <f t="shared" si="109"/>
        <v>1000000</v>
      </c>
      <c r="V300" s="252">
        <v>0</v>
      </c>
      <c r="W300" s="252">
        <v>50</v>
      </c>
      <c r="X300" s="252">
        <v>1</v>
      </c>
      <c r="Y300" s="252">
        <v>999</v>
      </c>
      <c r="Z300" s="254">
        <v>640</v>
      </c>
      <c r="AA300" s="254">
        <v>659</v>
      </c>
      <c r="AB300" s="1883">
        <v>0</v>
      </c>
      <c r="AC300" s="254">
        <v>999999</v>
      </c>
      <c r="AD300" s="252">
        <v>0</v>
      </c>
      <c r="AE300" s="255">
        <v>70</v>
      </c>
      <c r="AF300" s="144">
        <v>0</v>
      </c>
      <c r="AG300" s="145">
        <v>1</v>
      </c>
      <c r="AH300" s="145">
        <v>1</v>
      </c>
      <c r="AI300" s="145">
        <v>1</v>
      </c>
      <c r="AJ300" s="145">
        <v>1</v>
      </c>
      <c r="AK300" s="145">
        <v>1</v>
      </c>
      <c r="AL300" s="145">
        <v>0</v>
      </c>
      <c r="AM300" s="145">
        <v>1</v>
      </c>
      <c r="AN300" s="145">
        <v>1</v>
      </c>
      <c r="AO300" s="145">
        <v>1</v>
      </c>
      <c r="AP300" s="145">
        <v>1</v>
      </c>
      <c r="AQ300" s="145">
        <v>1</v>
      </c>
      <c r="AR300" s="145">
        <v>1</v>
      </c>
      <c r="AS300" s="145">
        <v>1</v>
      </c>
      <c r="AT300" s="145">
        <v>1</v>
      </c>
      <c r="AU300" s="145">
        <f t="shared" si="102"/>
        <v>1</v>
      </c>
      <c r="AV300" s="145">
        <f t="shared" si="103"/>
        <v>1</v>
      </c>
      <c r="AW300" s="145">
        <f t="shared" si="104"/>
        <v>1</v>
      </c>
      <c r="AX300" s="145">
        <f t="shared" si="110"/>
        <v>1</v>
      </c>
      <c r="AY300" s="145">
        <f t="shared" si="105"/>
        <v>0</v>
      </c>
      <c r="AZ300" s="145">
        <f t="shared" si="106"/>
        <v>1</v>
      </c>
      <c r="BA300" s="146">
        <f t="shared" si="107"/>
        <v>1</v>
      </c>
      <c r="BB300" s="149">
        <f t="shared" si="98"/>
        <v>19</v>
      </c>
      <c r="BC300" s="150">
        <f t="shared" si="99"/>
        <v>18</v>
      </c>
      <c r="BD300" s="150">
        <f t="shared" si="100"/>
        <v>19</v>
      </c>
      <c r="BE300" s="211" t="str">
        <f t="shared" si="101"/>
        <v/>
      </c>
      <c r="BH300" s="173">
        <f>IF(AND(Input_Product=Elig!$C300,Elig_MatchAll_Ct&lt;22,$BC300=(Elig_MatchAll_Ct-1),AF300=0),C300,0)</f>
        <v>0</v>
      </c>
      <c r="BI300" s="173">
        <f>IF(AND(Input_Product=Elig!$C300,Elig_MatchAll_Ct&lt;22,$BC300=(Elig_MatchAll_Ct-1),AG300=0),D300,0)</f>
        <v>0</v>
      </c>
      <c r="BJ300" s="173">
        <f>IF(AND(Input_Product=Elig!$C300,Elig_MatchAll_Ct&lt;22,$BC300=(Elig_MatchAll_Ct-1),AH300=0),E300,0)</f>
        <v>0</v>
      </c>
      <c r="BK300" s="173">
        <f>IF(AND(Input_Product=Elig!$C300,Elig_MatchAll_Ct&lt;22,$BC300=(Elig_MatchAll_Ct-1),AI300=0),F300,0)</f>
        <v>0</v>
      </c>
      <c r="BL300" s="173">
        <f>IF(AND(Input_Product=Elig!$C300,Elig_MatchAll_Ct&lt;22,$BC300=(Elig_MatchAll_Ct-1),AJ300=0),G300,0)</f>
        <v>0</v>
      </c>
      <c r="BM300" s="173">
        <f>IF(AND(Input_Product=Elig!$C300,Elig_MatchAll_Ct&lt;22,$BC300=(Elig_MatchAll_Ct-1),AK300=0),H300,0)</f>
        <v>0</v>
      </c>
      <c r="BN300" s="173">
        <f>IF(AND(Input_Product=Elig!$C300,Elig_MatchAll_Ct&lt;22,$BC300=(Elig_MatchAll_Ct-1),AL300=0),I300,0)</f>
        <v>0</v>
      </c>
      <c r="BO300" s="173">
        <f>IF(AND(Input_Product=Elig!$C300,Elig_MatchAll_Ct&lt;22,$BC300=(Elig_MatchAll_Ct-1),AM300=0),J300,0)</f>
        <v>0</v>
      </c>
      <c r="BP300" s="173">
        <f>IF(AND(Input_Product=Elig!$C300,Elig_MatchAll_Ct&lt;22,$BC300=(Elig_MatchAll_Ct-1),AN300=0),K300,0)</f>
        <v>0</v>
      </c>
      <c r="BQ300" s="173">
        <f>IF(AND(Input_Product=Elig!$C300,Elig_MatchAll_Ct&lt;22,$BC300=(Elig_MatchAll_Ct-1),AP300=0),L300,0)</f>
        <v>0</v>
      </c>
      <c r="BR300" s="173">
        <f>IF(AND(Input_Product=Elig!$C300,Elig_MatchAll_Ct&lt;22,$BC300=(Elig_MatchAll_Ct-1),AO300=0),M300,0)</f>
        <v>0</v>
      </c>
      <c r="BS300" s="173">
        <f>IF(AND(Input_Product=Elig!$C300,Elig_MatchAll_Ct&lt;22,$BC300=(Elig_MatchAll_Ct-1),AQ300=0),N300,0)</f>
        <v>0</v>
      </c>
      <c r="BT300" s="173">
        <f>IF(AND(Input_Product=Elig!$C300,Elig_MatchAll_Ct&lt;22,$BC300=(Elig_MatchAll_Ct-1),AR300=0),O300,0)</f>
        <v>0</v>
      </c>
      <c r="BU300" s="173">
        <f>IF(AND(Input_Product=Elig!$C300,Elig_MatchAll_Ct&lt;22,$BC300=(Elig_MatchAll_Ct-1),AS300=0),P300,0)</f>
        <v>0</v>
      </c>
      <c r="BV300" s="174">
        <f>IF(AND(Input_Product=Elig!$C300,Elig_MatchAll_Ct&lt;22,$BC300=(Elig_MatchAll_Ct-1),AT300=0),Q300,0)</f>
        <v>0</v>
      </c>
      <c r="BW300" s="175">
        <f>IF(AND(Input_Product=Elig!$C300,Elig_MatchAll_Ct&lt;22,$BC300=(Elig_MatchAll_Ct-1),AU300=0),R300,0)</f>
        <v>0</v>
      </c>
      <c r="BX300" s="176">
        <f>IF(AND(Input_Product=Elig!$C300,Elig_MatchAll_Ct&lt;22,$BC300=(Elig_MatchAll_Ct-1),AU300=0),S300,0)</f>
        <v>0</v>
      </c>
      <c r="BY300" s="175">
        <f>IF(AND(Input_Product=Elig!$C300,Elig_MatchAll_Ct&lt;22,$BC300=(Elig_MatchAll_Ct-1),AV300=0),T300,0)</f>
        <v>0</v>
      </c>
      <c r="BZ300" s="176">
        <f>IF(AND(Input_Product=Elig!$C300,Elig_MatchAll_Ct&lt;22,$BC300=(Elig_MatchAll_Ct-1),AV300=0),U300,0)</f>
        <v>0</v>
      </c>
      <c r="CA300" s="175">
        <f>IF(AND(Input_Product=Elig!$C300,Elig_MatchAll_Ct&lt;22,$BC300=(Elig_MatchAll_Ct-1),AW300=0),V300,0)</f>
        <v>0</v>
      </c>
      <c r="CB300" s="176">
        <f>IF(AND(Input_Product=Elig!$C300,Elig_MatchAll_Ct&lt;22,$BC300=(Elig_MatchAll_Ct-1),AW300=0),W300,0)</f>
        <v>0</v>
      </c>
      <c r="CC300" s="175">
        <f>IF(AND(Input_Product=Elig!$C300,Elig_MatchAll_Ct&lt;22,$BC300=(Elig_MatchAll_Ct-1),AX300=0),X300,0)</f>
        <v>0</v>
      </c>
      <c r="CD300" s="176">
        <f>IF(AND(Input_Product=Elig!$C300,Elig_MatchAll_Ct&lt;22,$BC300=(Elig_MatchAll_Ct-1),AX300=0),Y300,0)</f>
        <v>0</v>
      </c>
      <c r="CE300" s="175">
        <f>IF(AND(Input_LTV&lt;=AE300,Input_Product=Elig!$C300,Elig_MatchAll_Ct&lt;22,$BC300=(Elig_MatchAll_Ct-1),AY300=0),Z300,0)</f>
        <v>0</v>
      </c>
      <c r="CF300" s="176">
        <f>IF(AND(Input_LTV&lt;=AE300,Input_Product=Elig!$C300,Elig_MatchAll_Ct&lt;22,$BC300=(Elig_MatchAll_Ct-1),AY300=0),AA300,0)</f>
        <v>0</v>
      </c>
      <c r="CG300" s="175">
        <f>IF(AND(Input_Product=Elig!$C300,Elig_MatchAll_Ct&lt;22,$BC300=(Elig_MatchAll_Ct-1),AZ300=0),AB300,0)</f>
        <v>0</v>
      </c>
      <c r="CH300" s="176">
        <f>IF(AND(Input_Product=Elig!$C300,Elig_MatchAll_Ct&lt;22,$BC300=(Elig_MatchAll_Ct-1),AZ300=0),AC300,0)</f>
        <v>0</v>
      </c>
      <c r="CI300" s="175">
        <f>IF(AND(Input_Product=Elig!$C300,Elig_MatchAll_Ct&lt;22,$BC300=(Elig_MatchAll_Ct-1),BA300=0),AD300,0)</f>
        <v>0</v>
      </c>
      <c r="CJ300" s="176">
        <f>IF(AND(Input_Product=Elig!$C300,Elig_MatchAll_Ct&lt;22,$BC300=(Elig_MatchAll_Ct-1),BA300=0),AE300,0)</f>
        <v>0</v>
      </c>
    </row>
    <row r="301" spans="1:88" ht="10.15" customHeight="1" x14ac:dyDescent="0.25">
      <c r="A301" s="261" t="s">
        <v>2507</v>
      </c>
      <c r="B301" s="261" t="s">
        <v>2487</v>
      </c>
      <c r="C301" s="1930" t="str">
        <f t="shared" si="93"/>
        <v>NonQM NOO</v>
      </c>
      <c r="D301" s="276" t="s">
        <v>1995</v>
      </c>
      <c r="E301" s="1537" t="s">
        <v>166</v>
      </c>
      <c r="F301" s="1537" t="s">
        <v>329</v>
      </c>
      <c r="G301" s="1537" t="s">
        <v>180</v>
      </c>
      <c r="H301" s="1537" t="s">
        <v>135</v>
      </c>
      <c r="I301" s="276" t="s">
        <v>273</v>
      </c>
      <c r="J301" s="276" t="s">
        <v>1130</v>
      </c>
      <c r="K301" s="1930" t="s">
        <v>2516</v>
      </c>
      <c r="L301" s="1537" t="s">
        <v>311</v>
      </c>
      <c r="M301" s="1537" t="s">
        <v>2289</v>
      </c>
      <c r="N301" s="1537" t="s">
        <v>1844</v>
      </c>
      <c r="O301" s="1985" t="s">
        <v>2196</v>
      </c>
      <c r="P301" s="1985" t="s">
        <v>2422</v>
      </c>
      <c r="Q301" s="1985" t="s">
        <v>49</v>
      </c>
      <c r="R301" s="1930">
        <v>150000</v>
      </c>
      <c r="S301" s="276">
        <v>1000000</v>
      </c>
      <c r="T301" s="276">
        <v>0</v>
      </c>
      <c r="U301" s="276">
        <v>0</v>
      </c>
      <c r="V301" s="276">
        <v>0</v>
      </c>
      <c r="W301" s="276">
        <v>55</v>
      </c>
      <c r="X301" s="276">
        <v>0.01</v>
      </c>
      <c r="Y301" s="276">
        <v>0.74999999999989997</v>
      </c>
      <c r="Z301" s="1882">
        <v>720</v>
      </c>
      <c r="AA301" s="1882">
        <v>999</v>
      </c>
      <c r="AB301" s="1882">
        <v>0</v>
      </c>
      <c r="AC301" s="1882">
        <v>999999</v>
      </c>
      <c r="AD301" s="276">
        <v>0</v>
      </c>
      <c r="AE301" s="1538">
        <v>80</v>
      </c>
      <c r="AF301" s="144">
        <v>0</v>
      </c>
      <c r="AG301" s="145">
        <v>1</v>
      </c>
      <c r="AH301" s="145">
        <v>1</v>
      </c>
      <c r="AI301" s="145">
        <v>1</v>
      </c>
      <c r="AJ301" s="145">
        <v>1</v>
      </c>
      <c r="AK301" s="145">
        <v>1</v>
      </c>
      <c r="AL301" s="145">
        <v>1</v>
      </c>
      <c r="AM301" s="145">
        <v>1</v>
      </c>
      <c r="AN301" s="145">
        <v>1</v>
      </c>
      <c r="AO301" s="145">
        <v>1</v>
      </c>
      <c r="AP301" s="145">
        <v>1</v>
      </c>
      <c r="AQ301" s="145">
        <v>1</v>
      </c>
      <c r="AR301" s="145">
        <v>1</v>
      </c>
      <c r="AS301" s="145">
        <v>1</v>
      </c>
      <c r="AT301" s="145">
        <v>0</v>
      </c>
      <c r="AU301" s="145">
        <f t="shared" si="102"/>
        <v>1</v>
      </c>
      <c r="AV301" s="145">
        <f t="shared" si="103"/>
        <v>1</v>
      </c>
      <c r="AW301" s="145">
        <f t="shared" si="104"/>
        <v>1</v>
      </c>
      <c r="AX301" s="145">
        <f t="shared" si="110"/>
        <v>0</v>
      </c>
      <c r="AY301" s="145">
        <f t="shared" si="105"/>
        <v>1</v>
      </c>
      <c r="AZ301" s="145">
        <f t="shared" si="106"/>
        <v>1</v>
      </c>
      <c r="BA301" s="146">
        <f t="shared" si="107"/>
        <v>1</v>
      </c>
      <c r="BB301" s="149">
        <f t="shared" ref="BB301:BB307" si="111">SUM(AF301:BA301)</f>
        <v>19</v>
      </c>
      <c r="BC301" s="150">
        <f t="shared" ref="BC301:BC307" si="112">SUM(AF301:AZ301)</f>
        <v>18</v>
      </c>
      <c r="BD301" s="150">
        <f t="shared" ref="BD301:BD307" si="113">SUM(AG301:BA301)</f>
        <v>19</v>
      </c>
      <c r="BE301" s="211" t="str">
        <f t="shared" ref="BE301:BE307" si="114">IF(BD301=21,C301,"")</f>
        <v/>
      </c>
      <c r="BH301" s="190">
        <f>IF(AND(Input_Product=Elig!$C301,Elig_MatchAll_Ct&lt;22,$BC301=(Elig_MatchAll_Ct-1),AF301=0),C301,0)</f>
        <v>0</v>
      </c>
      <c r="BI301" s="190">
        <f>IF(AND(Input_Product=Elig!$C301,Elig_MatchAll_Ct&lt;22,$BC301=(Elig_MatchAll_Ct-1),AG301=0),D301,0)</f>
        <v>0</v>
      </c>
      <c r="BJ301" s="190">
        <f>IF(AND(Input_Product=Elig!$C301,Elig_MatchAll_Ct&lt;22,$BC301=(Elig_MatchAll_Ct-1),AH301=0),E301,0)</f>
        <v>0</v>
      </c>
      <c r="BK301" s="190">
        <f>IF(AND(Input_Product=Elig!$C301,Elig_MatchAll_Ct&lt;22,$BC301=(Elig_MatchAll_Ct-1),AI301=0),F301,0)</f>
        <v>0</v>
      </c>
      <c r="BL301" s="190">
        <f>IF(AND(Input_Product=Elig!$C301,Elig_MatchAll_Ct&lt;22,$BC301=(Elig_MatchAll_Ct-1),AJ301=0),G301,0)</f>
        <v>0</v>
      </c>
      <c r="BM301" s="190">
        <f>IF(AND(Input_Product=Elig!$C301,Elig_MatchAll_Ct&lt;22,$BC301=(Elig_MatchAll_Ct-1),AK301=0),H301,0)</f>
        <v>0</v>
      </c>
      <c r="BN301" s="190">
        <f>IF(AND(Input_Product=Elig!$C301,Elig_MatchAll_Ct&lt;22,$BC301=(Elig_MatchAll_Ct-1),AL301=0),I301,0)</f>
        <v>0</v>
      </c>
      <c r="BO301" s="190">
        <f>IF(AND(Input_Product=Elig!$C301,Elig_MatchAll_Ct&lt;22,$BC301=(Elig_MatchAll_Ct-1),AM301=0),J301,0)</f>
        <v>0</v>
      </c>
      <c r="BP301" s="190">
        <f>IF(AND(Input_Product=Elig!$C301,Elig_MatchAll_Ct&lt;22,$BC301=(Elig_MatchAll_Ct-1),AN301=0),K301,0)</f>
        <v>0</v>
      </c>
      <c r="BQ301" s="190">
        <f>IF(AND(Input_Product=Elig!$C301,Elig_MatchAll_Ct&lt;22,$BC301=(Elig_MatchAll_Ct-1),AP301=0),L301,0)</f>
        <v>0</v>
      </c>
      <c r="BR301" s="190">
        <f>IF(AND(Input_Product=Elig!$C301,Elig_MatchAll_Ct&lt;22,$BC301=(Elig_MatchAll_Ct-1),AO301=0),M301,0)</f>
        <v>0</v>
      </c>
      <c r="BS301" s="190">
        <f>IF(AND(Input_Product=Elig!$C301,Elig_MatchAll_Ct&lt;22,$BC301=(Elig_MatchAll_Ct-1),AQ301=0),N301,0)</f>
        <v>0</v>
      </c>
      <c r="BT301" s="190">
        <f>IF(AND(Input_Product=Elig!$C301,Elig_MatchAll_Ct&lt;22,$BC301=(Elig_MatchAll_Ct-1),AR301=0),O301,0)</f>
        <v>0</v>
      </c>
      <c r="BU301" s="190">
        <f>IF(AND(Input_Product=Elig!$C301,Elig_MatchAll_Ct&lt;22,$BC301=(Elig_MatchAll_Ct-1),AS301=0),P301,0)</f>
        <v>0</v>
      </c>
      <c r="BV301" s="191">
        <f>IF(AND(Input_Product=Elig!$C301,Elig_MatchAll_Ct&lt;22,$BC301=(Elig_MatchAll_Ct-1),AT301=0),Q301,0)</f>
        <v>0</v>
      </c>
      <c r="BW301" s="186">
        <f>IF(AND(Input_Product=Elig!$C301,Elig_MatchAll_Ct&lt;22,$BC301=(Elig_MatchAll_Ct-1),AU301=0),R301,0)</f>
        <v>0</v>
      </c>
      <c r="BX301" s="187">
        <f>IF(AND(Input_Product=Elig!$C301,Elig_MatchAll_Ct&lt;22,$BC301=(Elig_MatchAll_Ct-1),AU301=0),S301,0)</f>
        <v>0</v>
      </c>
      <c r="BY301" s="186">
        <f>IF(AND(Input_Product=Elig!$C301,Elig_MatchAll_Ct&lt;22,$BC301=(Elig_MatchAll_Ct-1),AV301=0),T301,0)</f>
        <v>0</v>
      </c>
      <c r="BZ301" s="187">
        <f>IF(AND(Input_Product=Elig!$C301,Elig_MatchAll_Ct&lt;22,$BC301=(Elig_MatchAll_Ct-1),AV301=0),U301,0)</f>
        <v>0</v>
      </c>
      <c r="CA301" s="186">
        <f>IF(AND(Input_Product=Elig!$C301,Elig_MatchAll_Ct&lt;22,$BC301=(Elig_MatchAll_Ct-1),AW301=0),V301,0)</f>
        <v>0</v>
      </c>
      <c r="CB301" s="187">
        <f>IF(AND(Input_Product=Elig!$C301,Elig_MatchAll_Ct&lt;22,$BC301=(Elig_MatchAll_Ct-1),AW301=0),W301,0)</f>
        <v>0</v>
      </c>
      <c r="CC301" s="186">
        <f>IF(AND(Input_Product=Elig!$C301,Elig_MatchAll_Ct&lt;22,$BC301=(Elig_MatchAll_Ct-1),AX301=0),X301,0)</f>
        <v>0</v>
      </c>
      <c r="CD301" s="187">
        <f>IF(AND(Input_Product=Elig!$C301,Elig_MatchAll_Ct&lt;22,$BC301=(Elig_MatchAll_Ct-1),AX301=0),Y301,0)</f>
        <v>0</v>
      </c>
      <c r="CE301" s="186">
        <f>IF(AND(Input_LTV&lt;=AE301,Input_Product=Elig!$C301,Elig_MatchAll_Ct&lt;22,$BC301=(Elig_MatchAll_Ct-1),AY301=0),Z301,0)</f>
        <v>0</v>
      </c>
      <c r="CF301" s="187">
        <f>IF(AND(Input_LTV&lt;=AE301,Input_Product=Elig!$C301,Elig_MatchAll_Ct&lt;22,$BC301=(Elig_MatchAll_Ct-1),AY301=0),AA301,0)</f>
        <v>0</v>
      </c>
      <c r="CG301" s="186">
        <f>IF(AND(Input_Product=Elig!$C301,Elig_MatchAll_Ct&lt;22,$BC301=(Elig_MatchAll_Ct-1),AZ301=0),AB301,0)</f>
        <v>0</v>
      </c>
      <c r="CH301" s="187">
        <f>IF(AND(Input_Product=Elig!$C301,Elig_MatchAll_Ct&lt;22,$BC301=(Elig_MatchAll_Ct-1),AZ301=0),AC301,0)</f>
        <v>0</v>
      </c>
      <c r="CI301" s="186">
        <f>IF(AND(Input_Product=Elig!$C301,Elig_MatchAll_Ct&lt;22,$BC301=(Elig_MatchAll_Ct-1),BA301=0),AD301,0)</f>
        <v>0</v>
      </c>
      <c r="CJ301" s="187">
        <f>IF(AND(Input_Product=Elig!$C301,Elig_MatchAll_Ct&lt;22,$BC301=(Elig_MatchAll_Ct-1),BA301=0),AE301,0)</f>
        <v>0</v>
      </c>
    </row>
    <row r="302" spans="1:88" ht="10.15" customHeight="1" x14ac:dyDescent="0.25">
      <c r="A302" s="261" t="s">
        <v>2507</v>
      </c>
      <c r="B302" s="261" t="s">
        <v>2488</v>
      </c>
      <c r="C302" s="1970" t="str">
        <f t="shared" si="93"/>
        <v>NonQM NOO</v>
      </c>
      <c r="D302" s="261" t="s">
        <v>1995</v>
      </c>
      <c r="E302" s="261" t="s">
        <v>166</v>
      </c>
      <c r="F302" s="261" t="s">
        <v>329</v>
      </c>
      <c r="G302" s="261" t="s">
        <v>180</v>
      </c>
      <c r="H302" s="261" t="s">
        <v>135</v>
      </c>
      <c r="I302" s="1544" t="s">
        <v>273</v>
      </c>
      <c r="J302" s="1544" t="s">
        <v>1130</v>
      </c>
      <c r="K302" s="1930" t="s">
        <v>2516</v>
      </c>
      <c r="L302" s="261" t="s">
        <v>311</v>
      </c>
      <c r="M302" s="261" t="s">
        <v>2289</v>
      </c>
      <c r="N302" s="261" t="s">
        <v>1844</v>
      </c>
      <c r="O302" s="1985" t="s">
        <v>2196</v>
      </c>
      <c r="P302" s="1985" t="s">
        <v>2422</v>
      </c>
      <c r="Q302" s="1985" t="s">
        <v>49</v>
      </c>
      <c r="R302" s="1930">
        <v>150000</v>
      </c>
      <c r="S302" s="261">
        <v>1000000</v>
      </c>
      <c r="T302" s="261">
        <v>0</v>
      </c>
      <c r="U302" s="261">
        <v>0</v>
      </c>
      <c r="V302" s="261">
        <v>0</v>
      </c>
      <c r="W302" s="261">
        <v>55</v>
      </c>
      <c r="X302" s="276">
        <v>0.01</v>
      </c>
      <c r="Y302" s="261">
        <v>0.74999999999989997</v>
      </c>
      <c r="Z302" s="1883">
        <v>700</v>
      </c>
      <c r="AA302" s="1883">
        <v>719</v>
      </c>
      <c r="AB302" s="1883">
        <v>0</v>
      </c>
      <c r="AC302" s="1883">
        <v>999999</v>
      </c>
      <c r="AD302" s="261">
        <v>0</v>
      </c>
      <c r="AE302" s="1539">
        <v>80</v>
      </c>
      <c r="AF302" s="144">
        <v>0</v>
      </c>
      <c r="AG302" s="145">
        <v>1</v>
      </c>
      <c r="AH302" s="145">
        <v>1</v>
      </c>
      <c r="AI302" s="145">
        <v>1</v>
      </c>
      <c r="AJ302" s="145">
        <v>1</v>
      </c>
      <c r="AK302" s="145">
        <v>1</v>
      </c>
      <c r="AL302" s="145">
        <v>1</v>
      </c>
      <c r="AM302" s="145">
        <v>1</v>
      </c>
      <c r="AN302" s="145">
        <v>1</v>
      </c>
      <c r="AO302" s="145">
        <v>1</v>
      </c>
      <c r="AP302" s="145">
        <v>1</v>
      </c>
      <c r="AQ302" s="145">
        <v>1</v>
      </c>
      <c r="AR302" s="145">
        <v>1</v>
      </c>
      <c r="AS302" s="145">
        <v>1</v>
      </c>
      <c r="AT302" s="145">
        <v>0</v>
      </c>
      <c r="AU302" s="145">
        <f t="shared" si="102"/>
        <v>1</v>
      </c>
      <c r="AV302" s="145">
        <f t="shared" si="103"/>
        <v>1</v>
      </c>
      <c r="AW302" s="145">
        <f t="shared" si="104"/>
        <v>1</v>
      </c>
      <c r="AX302" s="145">
        <f t="shared" si="110"/>
        <v>0</v>
      </c>
      <c r="AY302" s="145">
        <f t="shared" si="105"/>
        <v>0</v>
      </c>
      <c r="AZ302" s="145">
        <f t="shared" si="106"/>
        <v>1</v>
      </c>
      <c r="BA302" s="146">
        <f t="shared" si="107"/>
        <v>1</v>
      </c>
      <c r="BB302" s="149">
        <f t="shared" si="111"/>
        <v>18</v>
      </c>
      <c r="BC302" s="150">
        <f t="shared" si="112"/>
        <v>17</v>
      </c>
      <c r="BD302" s="150">
        <f t="shared" si="113"/>
        <v>18</v>
      </c>
      <c r="BE302" s="211" t="str">
        <f t="shared" si="114"/>
        <v/>
      </c>
      <c r="BH302" s="173">
        <f>IF(AND(Input_Product=Elig!$C302,Elig_MatchAll_Ct&lt;22,$BC302=(Elig_MatchAll_Ct-1),AF302=0),C302,0)</f>
        <v>0</v>
      </c>
      <c r="BI302" s="173">
        <f>IF(AND(Input_Product=Elig!$C302,Elig_MatchAll_Ct&lt;22,$BC302=(Elig_MatchAll_Ct-1),AG302=0),D302,0)</f>
        <v>0</v>
      </c>
      <c r="BJ302" s="173">
        <f>IF(AND(Input_Product=Elig!$C302,Elig_MatchAll_Ct&lt;22,$BC302=(Elig_MatchAll_Ct-1),AH302=0),E302,0)</f>
        <v>0</v>
      </c>
      <c r="BK302" s="173">
        <f>IF(AND(Input_Product=Elig!$C302,Elig_MatchAll_Ct&lt;22,$BC302=(Elig_MatchAll_Ct-1),AI302=0),F302,0)</f>
        <v>0</v>
      </c>
      <c r="BL302" s="173">
        <f>IF(AND(Input_Product=Elig!$C302,Elig_MatchAll_Ct&lt;22,$BC302=(Elig_MatchAll_Ct-1),AJ302=0),G302,0)</f>
        <v>0</v>
      </c>
      <c r="BM302" s="173">
        <f>IF(AND(Input_Product=Elig!$C302,Elig_MatchAll_Ct&lt;22,$BC302=(Elig_MatchAll_Ct-1),AK302=0),H302,0)</f>
        <v>0</v>
      </c>
      <c r="BN302" s="173">
        <f>IF(AND(Input_Product=Elig!$C302,Elig_MatchAll_Ct&lt;22,$BC302=(Elig_MatchAll_Ct-1),AL302=0),I302,0)</f>
        <v>0</v>
      </c>
      <c r="BO302" s="173">
        <f>IF(AND(Input_Product=Elig!$C302,Elig_MatchAll_Ct&lt;22,$BC302=(Elig_MatchAll_Ct-1),AM302=0),J302,0)</f>
        <v>0</v>
      </c>
      <c r="BP302" s="173">
        <f>IF(AND(Input_Product=Elig!$C302,Elig_MatchAll_Ct&lt;22,$BC302=(Elig_MatchAll_Ct-1),AN302=0),K302,0)</f>
        <v>0</v>
      </c>
      <c r="BQ302" s="173">
        <f>IF(AND(Input_Product=Elig!$C302,Elig_MatchAll_Ct&lt;22,$BC302=(Elig_MatchAll_Ct-1),AP302=0),L302,0)</f>
        <v>0</v>
      </c>
      <c r="BR302" s="173">
        <f>IF(AND(Input_Product=Elig!$C302,Elig_MatchAll_Ct&lt;22,$BC302=(Elig_MatchAll_Ct-1),AO302=0),M302,0)</f>
        <v>0</v>
      </c>
      <c r="BS302" s="173">
        <f>IF(AND(Input_Product=Elig!$C302,Elig_MatchAll_Ct&lt;22,$BC302=(Elig_MatchAll_Ct-1),AQ302=0),N302,0)</f>
        <v>0</v>
      </c>
      <c r="BT302" s="173">
        <f>IF(AND(Input_Product=Elig!$C302,Elig_MatchAll_Ct&lt;22,$BC302=(Elig_MatchAll_Ct-1),AR302=0),O302,0)</f>
        <v>0</v>
      </c>
      <c r="BU302" s="173">
        <f>IF(AND(Input_Product=Elig!$C302,Elig_MatchAll_Ct&lt;22,$BC302=(Elig_MatchAll_Ct-1),AS302=0),P302,0)</f>
        <v>0</v>
      </c>
      <c r="BV302" s="174">
        <f>IF(AND(Input_Product=Elig!$C302,Elig_MatchAll_Ct&lt;22,$BC302=(Elig_MatchAll_Ct-1),AT302=0),Q302,0)</f>
        <v>0</v>
      </c>
      <c r="BW302" s="175">
        <f>IF(AND(Input_Product=Elig!$C302,Elig_MatchAll_Ct&lt;22,$BC302=(Elig_MatchAll_Ct-1),AU302=0),R302,0)</f>
        <v>0</v>
      </c>
      <c r="BX302" s="176">
        <f>IF(AND(Input_Product=Elig!$C302,Elig_MatchAll_Ct&lt;22,$BC302=(Elig_MatchAll_Ct-1),AU302=0),S302,0)</f>
        <v>0</v>
      </c>
      <c r="BY302" s="175">
        <f>IF(AND(Input_Product=Elig!$C302,Elig_MatchAll_Ct&lt;22,$BC302=(Elig_MatchAll_Ct-1),AV302=0),T302,0)</f>
        <v>0</v>
      </c>
      <c r="BZ302" s="176">
        <f>IF(AND(Input_Product=Elig!$C302,Elig_MatchAll_Ct&lt;22,$BC302=(Elig_MatchAll_Ct-1),AV302=0),U302,0)</f>
        <v>0</v>
      </c>
      <c r="CA302" s="175">
        <f>IF(AND(Input_Product=Elig!$C302,Elig_MatchAll_Ct&lt;22,$BC302=(Elig_MatchAll_Ct-1),AW302=0),V302,0)</f>
        <v>0</v>
      </c>
      <c r="CB302" s="176">
        <f>IF(AND(Input_Product=Elig!$C302,Elig_MatchAll_Ct&lt;22,$BC302=(Elig_MatchAll_Ct-1),AW302=0),W302,0)</f>
        <v>0</v>
      </c>
      <c r="CC302" s="175">
        <f>IF(AND(Input_Product=Elig!$C302,Elig_MatchAll_Ct&lt;22,$BC302=(Elig_MatchAll_Ct-1),AX302=0),X302,0)</f>
        <v>0</v>
      </c>
      <c r="CD302" s="176">
        <f>IF(AND(Input_Product=Elig!$C302,Elig_MatchAll_Ct&lt;22,$BC302=(Elig_MatchAll_Ct-1),AX302=0),Y302,0)</f>
        <v>0</v>
      </c>
      <c r="CE302" s="175">
        <f>IF(AND(Input_LTV&lt;=AE302,Input_Product=Elig!$C302,Elig_MatchAll_Ct&lt;22,$BC302=(Elig_MatchAll_Ct-1),AY302=0),Z302,0)</f>
        <v>0</v>
      </c>
      <c r="CF302" s="176">
        <f>IF(AND(Input_LTV&lt;=AE302,Input_Product=Elig!$C302,Elig_MatchAll_Ct&lt;22,$BC302=(Elig_MatchAll_Ct-1),AY302=0),AA302,0)</f>
        <v>0</v>
      </c>
      <c r="CG302" s="175">
        <f>IF(AND(Input_Product=Elig!$C302,Elig_MatchAll_Ct&lt;22,$BC302=(Elig_MatchAll_Ct-1),AZ302=0),AB302,0)</f>
        <v>0</v>
      </c>
      <c r="CH302" s="176">
        <f>IF(AND(Input_Product=Elig!$C302,Elig_MatchAll_Ct&lt;22,$BC302=(Elig_MatchAll_Ct-1),AZ302=0),AC302,0)</f>
        <v>0</v>
      </c>
      <c r="CI302" s="175">
        <f>IF(AND(Input_Product=Elig!$C302,Elig_MatchAll_Ct&lt;22,$BC302=(Elig_MatchAll_Ct-1),BA302=0),AD302,0)</f>
        <v>0</v>
      </c>
      <c r="CJ302" s="176">
        <f>IF(AND(Input_Product=Elig!$C302,Elig_MatchAll_Ct&lt;22,$BC302=(Elig_MatchAll_Ct-1),BA302=0),AE302,0)</f>
        <v>0</v>
      </c>
    </row>
    <row r="303" spans="1:88" ht="10.15" customHeight="1" x14ac:dyDescent="0.25">
      <c r="A303" s="261" t="s">
        <v>2507</v>
      </c>
      <c r="B303" s="261" t="s">
        <v>2509</v>
      </c>
      <c r="C303" s="1970" t="str">
        <f t="shared" si="93"/>
        <v>NonQM NOO</v>
      </c>
      <c r="D303" s="261" t="s">
        <v>1995</v>
      </c>
      <c r="E303" s="261" t="s">
        <v>166</v>
      </c>
      <c r="F303" s="261" t="s">
        <v>329</v>
      </c>
      <c r="G303" s="261" t="s">
        <v>180</v>
      </c>
      <c r="H303" s="261" t="s">
        <v>135</v>
      </c>
      <c r="I303" s="1544" t="s">
        <v>273</v>
      </c>
      <c r="J303" s="1544" t="s">
        <v>1130</v>
      </c>
      <c r="K303" s="1930" t="s">
        <v>2516</v>
      </c>
      <c r="L303" s="261" t="s">
        <v>311</v>
      </c>
      <c r="M303" s="261" t="s">
        <v>2289</v>
      </c>
      <c r="N303" s="261" t="s">
        <v>1844</v>
      </c>
      <c r="O303" s="1985" t="s">
        <v>2196</v>
      </c>
      <c r="P303" s="1985" t="s">
        <v>2422</v>
      </c>
      <c r="Q303" s="1985" t="s">
        <v>49</v>
      </c>
      <c r="R303" s="1930">
        <v>150000</v>
      </c>
      <c r="S303" s="261">
        <v>1000000</v>
      </c>
      <c r="T303" s="261">
        <v>0</v>
      </c>
      <c r="U303" s="261">
        <v>0</v>
      </c>
      <c r="V303" s="261">
        <v>0</v>
      </c>
      <c r="W303" s="261">
        <v>55</v>
      </c>
      <c r="X303" s="276">
        <v>0.01</v>
      </c>
      <c r="Y303" s="261">
        <v>0.74999999999989997</v>
      </c>
      <c r="Z303" s="1883">
        <v>680</v>
      </c>
      <c r="AA303" s="1883">
        <v>699</v>
      </c>
      <c r="AB303" s="1883">
        <v>0</v>
      </c>
      <c r="AC303" s="1883">
        <v>999999</v>
      </c>
      <c r="AD303" s="261">
        <v>0</v>
      </c>
      <c r="AE303" s="1539">
        <v>80</v>
      </c>
      <c r="AF303" s="144">
        <v>0</v>
      </c>
      <c r="AG303" s="145">
        <v>1</v>
      </c>
      <c r="AH303" s="145">
        <v>1</v>
      </c>
      <c r="AI303" s="145">
        <v>1</v>
      </c>
      <c r="AJ303" s="145">
        <v>1</v>
      </c>
      <c r="AK303" s="145">
        <v>1</v>
      </c>
      <c r="AL303" s="145">
        <v>1</v>
      </c>
      <c r="AM303" s="145">
        <v>1</v>
      </c>
      <c r="AN303" s="145">
        <v>1</v>
      </c>
      <c r="AO303" s="145">
        <v>1</v>
      </c>
      <c r="AP303" s="145">
        <v>1</v>
      </c>
      <c r="AQ303" s="145">
        <v>1</v>
      </c>
      <c r="AR303" s="145">
        <v>1</v>
      </c>
      <c r="AS303" s="145">
        <v>1</v>
      </c>
      <c r="AT303" s="145">
        <v>0</v>
      </c>
      <c r="AU303" s="145">
        <f t="shared" si="102"/>
        <v>1</v>
      </c>
      <c r="AV303" s="145">
        <f t="shared" si="103"/>
        <v>1</v>
      </c>
      <c r="AW303" s="145">
        <f t="shared" si="104"/>
        <v>1</v>
      </c>
      <c r="AX303" s="145">
        <f t="shared" si="110"/>
        <v>0</v>
      </c>
      <c r="AY303" s="145">
        <f t="shared" si="105"/>
        <v>0</v>
      </c>
      <c r="AZ303" s="145">
        <f t="shared" si="106"/>
        <v>1</v>
      </c>
      <c r="BA303" s="146">
        <f t="shared" si="107"/>
        <v>1</v>
      </c>
      <c r="BB303" s="149">
        <f t="shared" si="111"/>
        <v>18</v>
      </c>
      <c r="BC303" s="150">
        <f t="shared" si="112"/>
        <v>17</v>
      </c>
      <c r="BD303" s="150">
        <f t="shared" si="113"/>
        <v>18</v>
      </c>
      <c r="BE303" s="211" t="str">
        <f t="shared" si="114"/>
        <v/>
      </c>
      <c r="BH303" s="173">
        <f>IF(AND(Input_Product=Elig!$C303,Elig_MatchAll_Ct&lt;22,$BC303=(Elig_MatchAll_Ct-1),AF303=0),C303,0)</f>
        <v>0</v>
      </c>
      <c r="BI303" s="173">
        <f>IF(AND(Input_Product=Elig!$C303,Elig_MatchAll_Ct&lt;22,$BC303=(Elig_MatchAll_Ct-1),AG303=0),D303,0)</f>
        <v>0</v>
      </c>
      <c r="BJ303" s="173">
        <f>IF(AND(Input_Product=Elig!$C303,Elig_MatchAll_Ct&lt;22,$BC303=(Elig_MatchAll_Ct-1),AH303=0),E303,0)</f>
        <v>0</v>
      </c>
      <c r="BK303" s="173">
        <f>IF(AND(Input_Product=Elig!$C303,Elig_MatchAll_Ct&lt;22,$BC303=(Elig_MatchAll_Ct-1),AI303=0),F303,0)</f>
        <v>0</v>
      </c>
      <c r="BL303" s="173">
        <f>IF(AND(Input_Product=Elig!$C303,Elig_MatchAll_Ct&lt;22,$BC303=(Elig_MatchAll_Ct-1),AJ303=0),G303,0)</f>
        <v>0</v>
      </c>
      <c r="BM303" s="173">
        <f>IF(AND(Input_Product=Elig!$C303,Elig_MatchAll_Ct&lt;22,$BC303=(Elig_MatchAll_Ct-1),AK303=0),H303,0)</f>
        <v>0</v>
      </c>
      <c r="BN303" s="173">
        <f>IF(AND(Input_Product=Elig!$C303,Elig_MatchAll_Ct&lt;22,$BC303=(Elig_MatchAll_Ct-1),AL303=0),I303,0)</f>
        <v>0</v>
      </c>
      <c r="BO303" s="173">
        <f>IF(AND(Input_Product=Elig!$C303,Elig_MatchAll_Ct&lt;22,$BC303=(Elig_MatchAll_Ct-1),AM303=0),J303,0)</f>
        <v>0</v>
      </c>
      <c r="BP303" s="173">
        <f>IF(AND(Input_Product=Elig!$C303,Elig_MatchAll_Ct&lt;22,$BC303=(Elig_MatchAll_Ct-1),AN303=0),K303,0)</f>
        <v>0</v>
      </c>
      <c r="BQ303" s="173">
        <f>IF(AND(Input_Product=Elig!$C303,Elig_MatchAll_Ct&lt;22,$BC303=(Elig_MatchAll_Ct-1),AP303=0),L303,0)</f>
        <v>0</v>
      </c>
      <c r="BR303" s="173">
        <f>IF(AND(Input_Product=Elig!$C303,Elig_MatchAll_Ct&lt;22,$BC303=(Elig_MatchAll_Ct-1),AO303=0),M303,0)</f>
        <v>0</v>
      </c>
      <c r="BS303" s="173">
        <f>IF(AND(Input_Product=Elig!$C303,Elig_MatchAll_Ct&lt;22,$BC303=(Elig_MatchAll_Ct-1),AQ303=0),N303,0)</f>
        <v>0</v>
      </c>
      <c r="BT303" s="173">
        <f>IF(AND(Input_Product=Elig!$C303,Elig_MatchAll_Ct&lt;22,$BC303=(Elig_MatchAll_Ct-1),AR303=0),O303,0)</f>
        <v>0</v>
      </c>
      <c r="BU303" s="173">
        <f>IF(AND(Input_Product=Elig!$C303,Elig_MatchAll_Ct&lt;22,$BC303=(Elig_MatchAll_Ct-1),AS303=0),P303,0)</f>
        <v>0</v>
      </c>
      <c r="BV303" s="174">
        <f>IF(AND(Input_Product=Elig!$C303,Elig_MatchAll_Ct&lt;22,$BC303=(Elig_MatchAll_Ct-1),AT303=0),Q303,0)</f>
        <v>0</v>
      </c>
      <c r="BW303" s="175">
        <f>IF(AND(Input_Product=Elig!$C303,Elig_MatchAll_Ct&lt;22,$BC303=(Elig_MatchAll_Ct-1),AU303=0),R303,0)</f>
        <v>0</v>
      </c>
      <c r="BX303" s="176">
        <f>IF(AND(Input_Product=Elig!$C303,Elig_MatchAll_Ct&lt;22,$BC303=(Elig_MatchAll_Ct-1),AU303=0),S303,0)</f>
        <v>0</v>
      </c>
      <c r="BY303" s="175">
        <f>IF(AND(Input_Product=Elig!$C303,Elig_MatchAll_Ct&lt;22,$BC303=(Elig_MatchAll_Ct-1),AV303=0),T303,0)</f>
        <v>0</v>
      </c>
      <c r="BZ303" s="176">
        <f>IF(AND(Input_Product=Elig!$C303,Elig_MatchAll_Ct&lt;22,$BC303=(Elig_MatchAll_Ct-1),AV303=0),U303,0)</f>
        <v>0</v>
      </c>
      <c r="CA303" s="175">
        <f>IF(AND(Input_Product=Elig!$C303,Elig_MatchAll_Ct&lt;22,$BC303=(Elig_MatchAll_Ct-1),AW303=0),V303,0)</f>
        <v>0</v>
      </c>
      <c r="CB303" s="176">
        <f>IF(AND(Input_Product=Elig!$C303,Elig_MatchAll_Ct&lt;22,$BC303=(Elig_MatchAll_Ct-1),AW303=0),W303,0)</f>
        <v>0</v>
      </c>
      <c r="CC303" s="175">
        <f>IF(AND(Input_Product=Elig!$C303,Elig_MatchAll_Ct&lt;22,$BC303=(Elig_MatchAll_Ct-1),AX303=0),X303,0)</f>
        <v>0</v>
      </c>
      <c r="CD303" s="176">
        <f>IF(AND(Input_Product=Elig!$C303,Elig_MatchAll_Ct&lt;22,$BC303=(Elig_MatchAll_Ct-1),AX303=0),Y303,0)</f>
        <v>0</v>
      </c>
      <c r="CE303" s="175">
        <f>IF(AND(Input_LTV&lt;=AE303,Input_Product=Elig!$C303,Elig_MatchAll_Ct&lt;22,$BC303=(Elig_MatchAll_Ct-1),AY303=0),Z303,0)</f>
        <v>0</v>
      </c>
      <c r="CF303" s="176">
        <f>IF(AND(Input_LTV&lt;=AE303,Input_Product=Elig!$C303,Elig_MatchAll_Ct&lt;22,$BC303=(Elig_MatchAll_Ct-1),AY303=0),AA303,0)</f>
        <v>0</v>
      </c>
      <c r="CG303" s="175">
        <f>IF(AND(Input_Product=Elig!$C303,Elig_MatchAll_Ct&lt;22,$BC303=(Elig_MatchAll_Ct-1),AZ303=0),AB303,0)</f>
        <v>0</v>
      </c>
      <c r="CH303" s="176">
        <f>IF(AND(Input_Product=Elig!$C303,Elig_MatchAll_Ct&lt;22,$BC303=(Elig_MatchAll_Ct-1),AZ303=0),AC303,0)</f>
        <v>0</v>
      </c>
      <c r="CI303" s="175">
        <f>IF(AND(Input_Product=Elig!$C303,Elig_MatchAll_Ct&lt;22,$BC303=(Elig_MatchAll_Ct-1),BA303=0),AD303,0)</f>
        <v>0</v>
      </c>
      <c r="CJ303" s="176">
        <f>IF(AND(Input_Product=Elig!$C303,Elig_MatchAll_Ct&lt;22,$BC303=(Elig_MatchAll_Ct-1),BA303=0),AE303,0)</f>
        <v>0</v>
      </c>
    </row>
    <row r="304" spans="1:88" ht="10.15" customHeight="1" x14ac:dyDescent="0.25">
      <c r="A304" s="261" t="s">
        <v>2507</v>
      </c>
      <c r="B304" s="261" t="s">
        <v>2510</v>
      </c>
      <c r="C304" s="1970" t="str">
        <f t="shared" si="93"/>
        <v>NonQM NOO</v>
      </c>
      <c r="D304" s="261" t="s">
        <v>1995</v>
      </c>
      <c r="E304" s="261" t="s">
        <v>166</v>
      </c>
      <c r="F304" s="261" t="s">
        <v>329</v>
      </c>
      <c r="G304" s="261" t="s">
        <v>180</v>
      </c>
      <c r="H304" s="261" t="s">
        <v>135</v>
      </c>
      <c r="I304" s="261" t="s">
        <v>34</v>
      </c>
      <c r="J304" s="261" t="s">
        <v>1130</v>
      </c>
      <c r="K304" s="1930" t="s">
        <v>2516</v>
      </c>
      <c r="L304" s="261" t="s">
        <v>311</v>
      </c>
      <c r="M304" s="261" t="s">
        <v>2289</v>
      </c>
      <c r="N304" s="261" t="s">
        <v>1844</v>
      </c>
      <c r="O304" s="1985" t="s">
        <v>2196</v>
      </c>
      <c r="P304" s="1985" t="s">
        <v>2422</v>
      </c>
      <c r="Q304" s="1985" t="s">
        <v>49</v>
      </c>
      <c r="R304" s="1930">
        <v>150000</v>
      </c>
      <c r="S304" s="261">
        <v>1000000</v>
      </c>
      <c r="T304" s="261">
        <v>0</v>
      </c>
      <c r="U304" s="261">
        <v>0</v>
      </c>
      <c r="V304" s="261">
        <v>0</v>
      </c>
      <c r="W304" s="261">
        <v>50</v>
      </c>
      <c r="X304" s="276">
        <v>0.01</v>
      </c>
      <c r="Y304" s="261">
        <v>0.74999999999989997</v>
      </c>
      <c r="Z304" s="1883">
        <v>660</v>
      </c>
      <c r="AA304" s="1883">
        <v>679</v>
      </c>
      <c r="AB304" s="1883">
        <v>0</v>
      </c>
      <c r="AC304" s="1883">
        <v>999999</v>
      </c>
      <c r="AD304" s="261">
        <v>0</v>
      </c>
      <c r="AE304" s="1539">
        <v>75</v>
      </c>
      <c r="AF304" s="144">
        <v>0</v>
      </c>
      <c r="AG304" s="145">
        <v>1</v>
      </c>
      <c r="AH304" s="145">
        <v>1</v>
      </c>
      <c r="AI304" s="145">
        <v>1</v>
      </c>
      <c r="AJ304" s="145">
        <v>1</v>
      </c>
      <c r="AK304" s="145">
        <v>1</v>
      </c>
      <c r="AL304" s="145">
        <v>1</v>
      </c>
      <c r="AM304" s="145">
        <v>1</v>
      </c>
      <c r="AN304" s="145">
        <v>1</v>
      </c>
      <c r="AO304" s="145">
        <v>1</v>
      </c>
      <c r="AP304" s="145">
        <v>1</v>
      </c>
      <c r="AQ304" s="145">
        <v>1</v>
      </c>
      <c r="AR304" s="145">
        <v>1</v>
      </c>
      <c r="AS304" s="145">
        <v>1</v>
      </c>
      <c r="AT304" s="145">
        <v>0</v>
      </c>
      <c r="AU304" s="145">
        <f t="shared" si="102"/>
        <v>1</v>
      </c>
      <c r="AV304" s="145">
        <f t="shared" si="103"/>
        <v>1</v>
      </c>
      <c r="AW304" s="145">
        <f t="shared" si="104"/>
        <v>1</v>
      </c>
      <c r="AX304" s="145">
        <f t="shared" si="110"/>
        <v>0</v>
      </c>
      <c r="AY304" s="145">
        <f t="shared" si="105"/>
        <v>0</v>
      </c>
      <c r="AZ304" s="145">
        <f t="shared" si="106"/>
        <v>1</v>
      </c>
      <c r="BA304" s="146">
        <f t="shared" si="107"/>
        <v>1</v>
      </c>
      <c r="BB304" s="149">
        <f t="shared" si="111"/>
        <v>18</v>
      </c>
      <c r="BC304" s="150">
        <f t="shared" si="112"/>
        <v>17</v>
      </c>
      <c r="BD304" s="150">
        <f t="shared" si="113"/>
        <v>18</v>
      </c>
      <c r="BE304" s="211" t="str">
        <f t="shared" si="114"/>
        <v/>
      </c>
      <c r="BH304" s="173">
        <f>IF(AND(Input_Product=Elig!$C304,Elig_MatchAll_Ct&lt;22,$BC304=(Elig_MatchAll_Ct-1),AF304=0),C304,0)</f>
        <v>0</v>
      </c>
      <c r="BI304" s="173">
        <f>IF(AND(Input_Product=Elig!$C304,Elig_MatchAll_Ct&lt;22,$BC304=(Elig_MatchAll_Ct-1),AG304=0),D304,0)</f>
        <v>0</v>
      </c>
      <c r="BJ304" s="173">
        <f>IF(AND(Input_Product=Elig!$C304,Elig_MatchAll_Ct&lt;22,$BC304=(Elig_MatchAll_Ct-1),AH304=0),E304,0)</f>
        <v>0</v>
      </c>
      <c r="BK304" s="173">
        <f>IF(AND(Input_Product=Elig!$C304,Elig_MatchAll_Ct&lt;22,$BC304=(Elig_MatchAll_Ct-1),AI304=0),F304,0)</f>
        <v>0</v>
      </c>
      <c r="BL304" s="173">
        <f>IF(AND(Input_Product=Elig!$C304,Elig_MatchAll_Ct&lt;22,$BC304=(Elig_MatchAll_Ct-1),AJ304=0),G304,0)</f>
        <v>0</v>
      </c>
      <c r="BM304" s="173">
        <f>IF(AND(Input_Product=Elig!$C304,Elig_MatchAll_Ct&lt;22,$BC304=(Elig_MatchAll_Ct-1),AK304=0),H304,0)</f>
        <v>0</v>
      </c>
      <c r="BN304" s="173">
        <f>IF(AND(Input_Product=Elig!$C304,Elig_MatchAll_Ct&lt;22,$BC304=(Elig_MatchAll_Ct-1),AL304=0),I304,0)</f>
        <v>0</v>
      </c>
      <c r="BO304" s="173">
        <f>IF(AND(Input_Product=Elig!$C304,Elig_MatchAll_Ct&lt;22,$BC304=(Elig_MatchAll_Ct-1),AM304=0),J304,0)</f>
        <v>0</v>
      </c>
      <c r="BP304" s="173">
        <f>IF(AND(Input_Product=Elig!$C304,Elig_MatchAll_Ct&lt;22,$BC304=(Elig_MatchAll_Ct-1),AN304=0),K304,0)</f>
        <v>0</v>
      </c>
      <c r="BQ304" s="173">
        <f>IF(AND(Input_Product=Elig!$C304,Elig_MatchAll_Ct&lt;22,$BC304=(Elig_MatchAll_Ct-1),AP304=0),L304,0)</f>
        <v>0</v>
      </c>
      <c r="BR304" s="173">
        <f>IF(AND(Input_Product=Elig!$C304,Elig_MatchAll_Ct&lt;22,$BC304=(Elig_MatchAll_Ct-1),AO304=0),M304,0)</f>
        <v>0</v>
      </c>
      <c r="BS304" s="173">
        <f>IF(AND(Input_Product=Elig!$C304,Elig_MatchAll_Ct&lt;22,$BC304=(Elig_MatchAll_Ct-1),AQ304=0),N304,0)</f>
        <v>0</v>
      </c>
      <c r="BT304" s="173">
        <f>IF(AND(Input_Product=Elig!$C304,Elig_MatchAll_Ct&lt;22,$BC304=(Elig_MatchAll_Ct-1),AR304=0),O304,0)</f>
        <v>0</v>
      </c>
      <c r="BU304" s="173">
        <f>IF(AND(Input_Product=Elig!$C304,Elig_MatchAll_Ct&lt;22,$BC304=(Elig_MatchAll_Ct-1),AS304=0),P304,0)</f>
        <v>0</v>
      </c>
      <c r="BV304" s="174">
        <f>IF(AND(Input_Product=Elig!$C304,Elig_MatchAll_Ct&lt;22,$BC304=(Elig_MatchAll_Ct-1),AT304=0),Q304,0)</f>
        <v>0</v>
      </c>
      <c r="BW304" s="175">
        <f>IF(AND(Input_Product=Elig!$C304,Elig_MatchAll_Ct&lt;22,$BC304=(Elig_MatchAll_Ct-1),AU304=0),R304,0)</f>
        <v>0</v>
      </c>
      <c r="BX304" s="176">
        <f>IF(AND(Input_Product=Elig!$C304,Elig_MatchAll_Ct&lt;22,$BC304=(Elig_MatchAll_Ct-1),AU304=0),S304,0)</f>
        <v>0</v>
      </c>
      <c r="BY304" s="175">
        <f>IF(AND(Input_Product=Elig!$C304,Elig_MatchAll_Ct&lt;22,$BC304=(Elig_MatchAll_Ct-1),AV304=0),T304,0)</f>
        <v>0</v>
      </c>
      <c r="BZ304" s="176">
        <f>IF(AND(Input_Product=Elig!$C304,Elig_MatchAll_Ct&lt;22,$BC304=(Elig_MatchAll_Ct-1),AV304=0),U304,0)</f>
        <v>0</v>
      </c>
      <c r="CA304" s="175">
        <f>IF(AND(Input_Product=Elig!$C304,Elig_MatchAll_Ct&lt;22,$BC304=(Elig_MatchAll_Ct-1),AW304=0),V304,0)</f>
        <v>0</v>
      </c>
      <c r="CB304" s="176">
        <f>IF(AND(Input_Product=Elig!$C304,Elig_MatchAll_Ct&lt;22,$BC304=(Elig_MatchAll_Ct-1),AW304=0),W304,0)</f>
        <v>0</v>
      </c>
      <c r="CC304" s="175">
        <f>IF(AND(Input_Product=Elig!$C304,Elig_MatchAll_Ct&lt;22,$BC304=(Elig_MatchAll_Ct-1),AX304=0),X304,0)</f>
        <v>0</v>
      </c>
      <c r="CD304" s="176">
        <f>IF(AND(Input_Product=Elig!$C304,Elig_MatchAll_Ct&lt;22,$BC304=(Elig_MatchAll_Ct-1),AX304=0),Y304,0)</f>
        <v>0</v>
      </c>
      <c r="CE304" s="175">
        <f>IF(AND(Input_LTV&lt;=AE304,Input_Product=Elig!$C304,Elig_MatchAll_Ct&lt;22,$BC304=(Elig_MatchAll_Ct-1),AY304=0),Z304,0)</f>
        <v>0</v>
      </c>
      <c r="CF304" s="176">
        <f>IF(AND(Input_LTV&lt;=AE304,Input_Product=Elig!$C304,Elig_MatchAll_Ct&lt;22,$BC304=(Elig_MatchAll_Ct-1),AY304=0),AA304,0)</f>
        <v>0</v>
      </c>
      <c r="CG304" s="175">
        <f>IF(AND(Input_Product=Elig!$C304,Elig_MatchAll_Ct&lt;22,$BC304=(Elig_MatchAll_Ct-1),AZ304=0),AB304,0)</f>
        <v>0</v>
      </c>
      <c r="CH304" s="176">
        <f>IF(AND(Input_Product=Elig!$C304,Elig_MatchAll_Ct&lt;22,$BC304=(Elig_MatchAll_Ct-1),AZ304=0),AC304,0)</f>
        <v>0</v>
      </c>
      <c r="CI304" s="175">
        <f>IF(AND(Input_Product=Elig!$C304,Elig_MatchAll_Ct&lt;22,$BC304=(Elig_MatchAll_Ct-1),BA304=0),AD304,0)</f>
        <v>0</v>
      </c>
      <c r="CJ304" s="176">
        <f>IF(AND(Input_Product=Elig!$C304,Elig_MatchAll_Ct&lt;22,$BC304=(Elig_MatchAll_Ct-1),BA304=0),AE304,0)</f>
        <v>0</v>
      </c>
    </row>
    <row r="305" spans="1:88" ht="10.15" customHeight="1" x14ac:dyDescent="0.25">
      <c r="A305" s="261" t="s">
        <v>2507</v>
      </c>
      <c r="B305" s="261" t="s">
        <v>2489</v>
      </c>
      <c r="C305" s="1930" t="str">
        <f t="shared" si="93"/>
        <v>NonQM NOO</v>
      </c>
      <c r="D305" s="276" t="s">
        <v>1995</v>
      </c>
      <c r="E305" s="1537" t="s">
        <v>166</v>
      </c>
      <c r="F305" s="1537" t="s">
        <v>329</v>
      </c>
      <c r="G305" s="1537" t="s">
        <v>180</v>
      </c>
      <c r="H305" s="1537" t="s">
        <v>135</v>
      </c>
      <c r="I305" s="276" t="s">
        <v>16</v>
      </c>
      <c r="J305" s="276" t="s">
        <v>1130</v>
      </c>
      <c r="K305" s="1930" t="s">
        <v>2516</v>
      </c>
      <c r="L305" s="1537" t="s">
        <v>311</v>
      </c>
      <c r="M305" s="1537" t="s">
        <v>2289</v>
      </c>
      <c r="N305" s="1537" t="s">
        <v>1844</v>
      </c>
      <c r="O305" s="1985" t="s">
        <v>2196</v>
      </c>
      <c r="P305" s="1985" t="s">
        <v>2422</v>
      </c>
      <c r="Q305" s="1985" t="s">
        <v>49</v>
      </c>
      <c r="R305" s="1930">
        <v>150000</v>
      </c>
      <c r="S305" s="276">
        <v>1000000</v>
      </c>
      <c r="T305" s="276">
        <v>0</v>
      </c>
      <c r="U305" s="276">
        <f t="shared" ref="U305:U307" si="115">S305</f>
        <v>1000000</v>
      </c>
      <c r="V305" s="276">
        <v>0</v>
      </c>
      <c r="W305" s="276">
        <v>55</v>
      </c>
      <c r="X305" s="276">
        <v>0.01</v>
      </c>
      <c r="Y305" s="276">
        <v>0.74999999999989997</v>
      </c>
      <c r="Z305" s="1882">
        <v>720</v>
      </c>
      <c r="AA305" s="1882">
        <v>999</v>
      </c>
      <c r="AB305" s="1882">
        <v>0</v>
      </c>
      <c r="AC305" s="1882">
        <v>999999</v>
      </c>
      <c r="AD305" s="276">
        <v>0</v>
      </c>
      <c r="AE305" s="1538">
        <v>80</v>
      </c>
      <c r="AF305" s="144">
        <v>0</v>
      </c>
      <c r="AG305" s="145">
        <v>1</v>
      </c>
      <c r="AH305" s="145">
        <v>1</v>
      </c>
      <c r="AI305" s="145">
        <v>1</v>
      </c>
      <c r="AJ305" s="145">
        <v>1</v>
      </c>
      <c r="AK305" s="145">
        <v>1</v>
      </c>
      <c r="AL305" s="145">
        <v>0</v>
      </c>
      <c r="AM305" s="145">
        <v>1</v>
      </c>
      <c r="AN305" s="145">
        <v>1</v>
      </c>
      <c r="AO305" s="145">
        <v>1</v>
      </c>
      <c r="AP305" s="145">
        <v>1</v>
      </c>
      <c r="AQ305" s="145">
        <v>1</v>
      </c>
      <c r="AR305" s="145">
        <v>1</v>
      </c>
      <c r="AS305" s="145">
        <v>1</v>
      </c>
      <c r="AT305" s="145">
        <v>0</v>
      </c>
      <c r="AU305" s="145">
        <f t="shared" si="102"/>
        <v>1</v>
      </c>
      <c r="AV305" s="145">
        <f t="shared" si="103"/>
        <v>1</v>
      </c>
      <c r="AW305" s="145">
        <f t="shared" si="104"/>
        <v>1</v>
      </c>
      <c r="AX305" s="145">
        <f t="shared" si="110"/>
        <v>0</v>
      </c>
      <c r="AY305" s="145">
        <f t="shared" si="105"/>
        <v>1</v>
      </c>
      <c r="AZ305" s="145">
        <f t="shared" si="106"/>
        <v>1</v>
      </c>
      <c r="BA305" s="146">
        <f t="shared" si="107"/>
        <v>1</v>
      </c>
      <c r="BB305" s="149">
        <f t="shared" si="111"/>
        <v>18</v>
      </c>
      <c r="BC305" s="150">
        <f t="shared" si="112"/>
        <v>17</v>
      </c>
      <c r="BD305" s="150">
        <f t="shared" si="113"/>
        <v>18</v>
      </c>
      <c r="BE305" s="211" t="str">
        <f t="shared" si="114"/>
        <v/>
      </c>
      <c r="BH305" s="190">
        <f>IF(AND(Input_Product=Elig!$C305,Elig_MatchAll_Ct&lt;22,$BC305=(Elig_MatchAll_Ct-1),AF305=0),C305,0)</f>
        <v>0</v>
      </c>
      <c r="BI305" s="190">
        <f>IF(AND(Input_Product=Elig!$C305,Elig_MatchAll_Ct&lt;22,$BC305=(Elig_MatchAll_Ct-1),AG305=0),D305,0)</f>
        <v>0</v>
      </c>
      <c r="BJ305" s="190">
        <f>IF(AND(Input_Product=Elig!$C305,Elig_MatchAll_Ct&lt;22,$BC305=(Elig_MatchAll_Ct-1),AH305=0),E305,0)</f>
        <v>0</v>
      </c>
      <c r="BK305" s="190">
        <f>IF(AND(Input_Product=Elig!$C305,Elig_MatchAll_Ct&lt;22,$BC305=(Elig_MatchAll_Ct-1),AI305=0),F305,0)</f>
        <v>0</v>
      </c>
      <c r="BL305" s="190">
        <f>IF(AND(Input_Product=Elig!$C305,Elig_MatchAll_Ct&lt;22,$BC305=(Elig_MatchAll_Ct-1),AJ305=0),G305,0)</f>
        <v>0</v>
      </c>
      <c r="BM305" s="190">
        <f>IF(AND(Input_Product=Elig!$C305,Elig_MatchAll_Ct&lt;22,$BC305=(Elig_MatchAll_Ct-1),AK305=0),H305,0)</f>
        <v>0</v>
      </c>
      <c r="BN305" s="190">
        <f>IF(AND(Input_Product=Elig!$C305,Elig_MatchAll_Ct&lt;22,$BC305=(Elig_MatchAll_Ct-1),AL305=0),I305,0)</f>
        <v>0</v>
      </c>
      <c r="BO305" s="190">
        <f>IF(AND(Input_Product=Elig!$C305,Elig_MatchAll_Ct&lt;22,$BC305=(Elig_MatchAll_Ct-1),AM305=0),J305,0)</f>
        <v>0</v>
      </c>
      <c r="BP305" s="190">
        <f>IF(AND(Input_Product=Elig!$C305,Elig_MatchAll_Ct&lt;22,$BC305=(Elig_MatchAll_Ct-1),AN305=0),K305,0)</f>
        <v>0</v>
      </c>
      <c r="BQ305" s="190">
        <f>IF(AND(Input_Product=Elig!$C305,Elig_MatchAll_Ct&lt;22,$BC305=(Elig_MatchAll_Ct-1),AP305=0),L305,0)</f>
        <v>0</v>
      </c>
      <c r="BR305" s="190">
        <f>IF(AND(Input_Product=Elig!$C305,Elig_MatchAll_Ct&lt;22,$BC305=(Elig_MatchAll_Ct-1),AO305=0),M305,0)</f>
        <v>0</v>
      </c>
      <c r="BS305" s="190">
        <f>IF(AND(Input_Product=Elig!$C305,Elig_MatchAll_Ct&lt;22,$BC305=(Elig_MatchAll_Ct-1),AQ305=0),N305,0)</f>
        <v>0</v>
      </c>
      <c r="BT305" s="190">
        <f>IF(AND(Input_Product=Elig!$C305,Elig_MatchAll_Ct&lt;22,$BC305=(Elig_MatchAll_Ct-1),AR305=0),O305,0)</f>
        <v>0</v>
      </c>
      <c r="BU305" s="190">
        <f>IF(AND(Input_Product=Elig!$C305,Elig_MatchAll_Ct&lt;22,$BC305=(Elig_MatchAll_Ct-1),AS305=0),P305,0)</f>
        <v>0</v>
      </c>
      <c r="BV305" s="191">
        <f>IF(AND(Input_Product=Elig!$C305,Elig_MatchAll_Ct&lt;22,$BC305=(Elig_MatchAll_Ct-1),AT305=0),Q305,0)</f>
        <v>0</v>
      </c>
      <c r="BW305" s="186">
        <f>IF(AND(Input_Product=Elig!$C305,Elig_MatchAll_Ct&lt;22,$BC305=(Elig_MatchAll_Ct-1),AU305=0),R305,0)</f>
        <v>0</v>
      </c>
      <c r="BX305" s="187">
        <f>IF(AND(Input_Product=Elig!$C305,Elig_MatchAll_Ct&lt;22,$BC305=(Elig_MatchAll_Ct-1),AU305=0),S305,0)</f>
        <v>0</v>
      </c>
      <c r="BY305" s="186">
        <f>IF(AND(Input_Product=Elig!$C305,Elig_MatchAll_Ct&lt;22,$BC305=(Elig_MatchAll_Ct-1),AV305=0),T305,0)</f>
        <v>0</v>
      </c>
      <c r="BZ305" s="187">
        <f>IF(AND(Input_Product=Elig!$C305,Elig_MatchAll_Ct&lt;22,$BC305=(Elig_MatchAll_Ct-1),AV305=0),U305,0)</f>
        <v>0</v>
      </c>
      <c r="CA305" s="186">
        <f>IF(AND(Input_Product=Elig!$C305,Elig_MatchAll_Ct&lt;22,$BC305=(Elig_MatchAll_Ct-1),AW305=0),V305,0)</f>
        <v>0</v>
      </c>
      <c r="CB305" s="187">
        <f>IF(AND(Input_Product=Elig!$C305,Elig_MatchAll_Ct&lt;22,$BC305=(Elig_MatchAll_Ct-1),AW305=0),W305,0)</f>
        <v>0</v>
      </c>
      <c r="CC305" s="186">
        <f>IF(AND(Input_Product=Elig!$C305,Elig_MatchAll_Ct&lt;22,$BC305=(Elig_MatchAll_Ct-1),AX305=0),X305,0)</f>
        <v>0</v>
      </c>
      <c r="CD305" s="187">
        <f>IF(AND(Input_Product=Elig!$C305,Elig_MatchAll_Ct&lt;22,$BC305=(Elig_MatchAll_Ct-1),AX305=0),Y305,0)</f>
        <v>0</v>
      </c>
      <c r="CE305" s="186">
        <f>IF(AND(Input_LTV&lt;=AE305,Input_Product=Elig!$C305,Elig_MatchAll_Ct&lt;22,$BC305=(Elig_MatchAll_Ct-1),AY305=0),Z305,0)</f>
        <v>0</v>
      </c>
      <c r="CF305" s="187">
        <f>IF(AND(Input_LTV&lt;=AE305,Input_Product=Elig!$C305,Elig_MatchAll_Ct&lt;22,$BC305=(Elig_MatchAll_Ct-1),AY305=0),AA305,0)</f>
        <v>0</v>
      </c>
      <c r="CG305" s="186">
        <f>IF(AND(Input_Product=Elig!$C305,Elig_MatchAll_Ct&lt;22,$BC305=(Elig_MatchAll_Ct-1),AZ305=0),AB305,0)</f>
        <v>0</v>
      </c>
      <c r="CH305" s="187">
        <f>IF(AND(Input_Product=Elig!$C305,Elig_MatchAll_Ct&lt;22,$BC305=(Elig_MatchAll_Ct-1),AZ305=0),AC305,0)</f>
        <v>0</v>
      </c>
      <c r="CI305" s="186">
        <f>IF(AND(Input_Product=Elig!$C305,Elig_MatchAll_Ct&lt;22,$BC305=(Elig_MatchAll_Ct-1),BA305=0),AD305,0)</f>
        <v>0</v>
      </c>
      <c r="CJ305" s="187">
        <f>IF(AND(Input_Product=Elig!$C305,Elig_MatchAll_Ct&lt;22,$BC305=(Elig_MatchAll_Ct-1),BA305=0),AE305,0)</f>
        <v>0</v>
      </c>
    </row>
    <row r="306" spans="1:88" ht="10.15" customHeight="1" x14ac:dyDescent="0.25">
      <c r="A306" s="261" t="s">
        <v>2507</v>
      </c>
      <c r="B306" s="261" t="s">
        <v>2490</v>
      </c>
      <c r="C306" s="1970" t="str">
        <f t="shared" si="93"/>
        <v>NonQM NOO</v>
      </c>
      <c r="D306" s="261" t="s">
        <v>1995</v>
      </c>
      <c r="E306" s="261" t="s">
        <v>166</v>
      </c>
      <c r="F306" s="261" t="s">
        <v>329</v>
      </c>
      <c r="G306" s="261" t="s">
        <v>180</v>
      </c>
      <c r="H306" s="261" t="s">
        <v>135</v>
      </c>
      <c r="I306" s="1544" t="s">
        <v>16</v>
      </c>
      <c r="J306" s="1544" t="s">
        <v>1130</v>
      </c>
      <c r="K306" s="1930" t="s">
        <v>2516</v>
      </c>
      <c r="L306" s="261" t="s">
        <v>311</v>
      </c>
      <c r="M306" s="261" t="s">
        <v>2289</v>
      </c>
      <c r="N306" s="261" t="s">
        <v>1844</v>
      </c>
      <c r="O306" s="1985" t="s">
        <v>2196</v>
      </c>
      <c r="P306" s="1985" t="s">
        <v>2422</v>
      </c>
      <c r="Q306" s="1985" t="s">
        <v>49</v>
      </c>
      <c r="R306" s="1930">
        <v>150000</v>
      </c>
      <c r="S306" s="261">
        <v>1000000</v>
      </c>
      <c r="T306" s="261">
        <v>0</v>
      </c>
      <c r="U306" s="261">
        <f t="shared" si="115"/>
        <v>1000000</v>
      </c>
      <c r="V306" s="261">
        <v>0</v>
      </c>
      <c r="W306" s="261">
        <v>55</v>
      </c>
      <c r="X306" s="276">
        <v>0.01</v>
      </c>
      <c r="Y306" s="261">
        <v>0.74999999999989997</v>
      </c>
      <c r="Z306" s="1883">
        <v>700</v>
      </c>
      <c r="AA306" s="1883">
        <v>719</v>
      </c>
      <c r="AB306" s="1883">
        <v>0</v>
      </c>
      <c r="AC306" s="1883">
        <v>999999</v>
      </c>
      <c r="AD306" s="261">
        <v>0</v>
      </c>
      <c r="AE306" s="1539">
        <v>80</v>
      </c>
      <c r="AF306" s="144">
        <v>0</v>
      </c>
      <c r="AG306" s="145">
        <v>1</v>
      </c>
      <c r="AH306" s="145">
        <v>1</v>
      </c>
      <c r="AI306" s="145">
        <v>1</v>
      </c>
      <c r="AJ306" s="145">
        <v>1</v>
      </c>
      <c r="AK306" s="145">
        <v>1</v>
      </c>
      <c r="AL306" s="145">
        <v>0</v>
      </c>
      <c r="AM306" s="145">
        <v>1</v>
      </c>
      <c r="AN306" s="145">
        <v>1</v>
      </c>
      <c r="AO306" s="145">
        <v>1</v>
      </c>
      <c r="AP306" s="145">
        <v>1</v>
      </c>
      <c r="AQ306" s="145">
        <v>1</v>
      </c>
      <c r="AR306" s="145">
        <v>1</v>
      </c>
      <c r="AS306" s="145">
        <v>1</v>
      </c>
      <c r="AT306" s="145">
        <v>0</v>
      </c>
      <c r="AU306" s="145">
        <f t="shared" si="102"/>
        <v>1</v>
      </c>
      <c r="AV306" s="145">
        <f t="shared" si="103"/>
        <v>1</v>
      </c>
      <c r="AW306" s="145">
        <f t="shared" si="104"/>
        <v>1</v>
      </c>
      <c r="AX306" s="145">
        <f t="shared" si="110"/>
        <v>0</v>
      </c>
      <c r="AY306" s="145">
        <f t="shared" si="105"/>
        <v>0</v>
      </c>
      <c r="AZ306" s="145">
        <f t="shared" si="106"/>
        <v>1</v>
      </c>
      <c r="BA306" s="146">
        <f t="shared" si="107"/>
        <v>1</v>
      </c>
      <c r="BB306" s="149">
        <f t="shared" si="111"/>
        <v>17</v>
      </c>
      <c r="BC306" s="150">
        <f t="shared" si="112"/>
        <v>16</v>
      </c>
      <c r="BD306" s="150">
        <f t="shared" si="113"/>
        <v>17</v>
      </c>
      <c r="BE306" s="211" t="str">
        <f t="shared" si="114"/>
        <v/>
      </c>
      <c r="BH306" s="173">
        <f>IF(AND(Input_Product=Elig!$C306,Elig_MatchAll_Ct&lt;22,$BC306=(Elig_MatchAll_Ct-1),AF306=0),C306,0)</f>
        <v>0</v>
      </c>
      <c r="BI306" s="173">
        <f>IF(AND(Input_Product=Elig!$C306,Elig_MatchAll_Ct&lt;22,$BC306=(Elig_MatchAll_Ct-1),AG306=0),D306,0)</f>
        <v>0</v>
      </c>
      <c r="BJ306" s="173">
        <f>IF(AND(Input_Product=Elig!$C306,Elig_MatchAll_Ct&lt;22,$BC306=(Elig_MatchAll_Ct-1),AH306=0),E306,0)</f>
        <v>0</v>
      </c>
      <c r="BK306" s="173">
        <f>IF(AND(Input_Product=Elig!$C306,Elig_MatchAll_Ct&lt;22,$BC306=(Elig_MatchAll_Ct-1),AI306=0),F306,0)</f>
        <v>0</v>
      </c>
      <c r="BL306" s="173">
        <f>IF(AND(Input_Product=Elig!$C306,Elig_MatchAll_Ct&lt;22,$BC306=(Elig_MatchAll_Ct-1),AJ306=0),G306,0)</f>
        <v>0</v>
      </c>
      <c r="BM306" s="173">
        <f>IF(AND(Input_Product=Elig!$C306,Elig_MatchAll_Ct&lt;22,$BC306=(Elig_MatchAll_Ct-1),AK306=0),H306,0)</f>
        <v>0</v>
      </c>
      <c r="BN306" s="173">
        <f>IF(AND(Input_Product=Elig!$C306,Elig_MatchAll_Ct&lt;22,$BC306=(Elig_MatchAll_Ct-1),AL306=0),I306,0)</f>
        <v>0</v>
      </c>
      <c r="BO306" s="173">
        <f>IF(AND(Input_Product=Elig!$C306,Elig_MatchAll_Ct&lt;22,$BC306=(Elig_MatchAll_Ct-1),AM306=0),J306,0)</f>
        <v>0</v>
      </c>
      <c r="BP306" s="173">
        <f>IF(AND(Input_Product=Elig!$C306,Elig_MatchAll_Ct&lt;22,$BC306=(Elig_MatchAll_Ct-1),AN306=0),K306,0)</f>
        <v>0</v>
      </c>
      <c r="BQ306" s="173">
        <f>IF(AND(Input_Product=Elig!$C306,Elig_MatchAll_Ct&lt;22,$BC306=(Elig_MatchAll_Ct-1),AP306=0),L306,0)</f>
        <v>0</v>
      </c>
      <c r="BR306" s="173">
        <f>IF(AND(Input_Product=Elig!$C306,Elig_MatchAll_Ct&lt;22,$BC306=(Elig_MatchAll_Ct-1),AO306=0),M306,0)</f>
        <v>0</v>
      </c>
      <c r="BS306" s="173">
        <f>IF(AND(Input_Product=Elig!$C306,Elig_MatchAll_Ct&lt;22,$BC306=(Elig_MatchAll_Ct-1),AQ306=0),N306,0)</f>
        <v>0</v>
      </c>
      <c r="BT306" s="173">
        <f>IF(AND(Input_Product=Elig!$C306,Elig_MatchAll_Ct&lt;22,$BC306=(Elig_MatchAll_Ct-1),AR306=0),O306,0)</f>
        <v>0</v>
      </c>
      <c r="BU306" s="173">
        <f>IF(AND(Input_Product=Elig!$C306,Elig_MatchAll_Ct&lt;22,$BC306=(Elig_MatchAll_Ct-1),AS306=0),P306,0)</f>
        <v>0</v>
      </c>
      <c r="BV306" s="174">
        <f>IF(AND(Input_Product=Elig!$C306,Elig_MatchAll_Ct&lt;22,$BC306=(Elig_MatchAll_Ct-1),AT306=0),Q306,0)</f>
        <v>0</v>
      </c>
      <c r="BW306" s="175">
        <f>IF(AND(Input_Product=Elig!$C306,Elig_MatchAll_Ct&lt;22,$BC306=(Elig_MatchAll_Ct-1),AU306=0),R306,0)</f>
        <v>0</v>
      </c>
      <c r="BX306" s="176">
        <f>IF(AND(Input_Product=Elig!$C306,Elig_MatchAll_Ct&lt;22,$BC306=(Elig_MatchAll_Ct-1),AU306=0),S306,0)</f>
        <v>0</v>
      </c>
      <c r="BY306" s="175">
        <f>IF(AND(Input_Product=Elig!$C306,Elig_MatchAll_Ct&lt;22,$BC306=(Elig_MatchAll_Ct-1),AV306=0),T306,0)</f>
        <v>0</v>
      </c>
      <c r="BZ306" s="176">
        <f>IF(AND(Input_Product=Elig!$C306,Elig_MatchAll_Ct&lt;22,$BC306=(Elig_MatchAll_Ct-1),AV306=0),U306,0)</f>
        <v>0</v>
      </c>
      <c r="CA306" s="175">
        <f>IF(AND(Input_Product=Elig!$C306,Elig_MatchAll_Ct&lt;22,$BC306=(Elig_MatchAll_Ct-1),AW306=0),V306,0)</f>
        <v>0</v>
      </c>
      <c r="CB306" s="176">
        <f>IF(AND(Input_Product=Elig!$C306,Elig_MatchAll_Ct&lt;22,$BC306=(Elig_MatchAll_Ct-1),AW306=0),W306,0)</f>
        <v>0</v>
      </c>
      <c r="CC306" s="175">
        <f>IF(AND(Input_Product=Elig!$C306,Elig_MatchAll_Ct&lt;22,$BC306=(Elig_MatchAll_Ct-1),AX306=0),X306,0)</f>
        <v>0</v>
      </c>
      <c r="CD306" s="176">
        <f>IF(AND(Input_Product=Elig!$C306,Elig_MatchAll_Ct&lt;22,$BC306=(Elig_MatchAll_Ct-1),AX306=0),Y306,0)</f>
        <v>0</v>
      </c>
      <c r="CE306" s="175">
        <f>IF(AND(Input_LTV&lt;=AE306,Input_Product=Elig!$C306,Elig_MatchAll_Ct&lt;22,$BC306=(Elig_MatchAll_Ct-1),AY306=0),Z306,0)</f>
        <v>0</v>
      </c>
      <c r="CF306" s="176">
        <f>IF(AND(Input_LTV&lt;=AE306,Input_Product=Elig!$C306,Elig_MatchAll_Ct&lt;22,$BC306=(Elig_MatchAll_Ct-1),AY306=0),AA306,0)</f>
        <v>0</v>
      </c>
      <c r="CG306" s="175">
        <f>IF(AND(Input_Product=Elig!$C306,Elig_MatchAll_Ct&lt;22,$BC306=(Elig_MatchAll_Ct-1),AZ306=0),AB306,0)</f>
        <v>0</v>
      </c>
      <c r="CH306" s="176">
        <f>IF(AND(Input_Product=Elig!$C306,Elig_MatchAll_Ct&lt;22,$BC306=(Elig_MatchAll_Ct-1),AZ306=0),AC306,0)</f>
        <v>0</v>
      </c>
      <c r="CI306" s="175">
        <f>IF(AND(Input_Product=Elig!$C306,Elig_MatchAll_Ct&lt;22,$BC306=(Elig_MatchAll_Ct-1),BA306=0),AD306,0)</f>
        <v>0</v>
      </c>
      <c r="CJ306" s="176">
        <f>IF(AND(Input_Product=Elig!$C306,Elig_MatchAll_Ct&lt;22,$BC306=(Elig_MatchAll_Ct-1),BA306=0),AE306,0)</f>
        <v>0</v>
      </c>
    </row>
    <row r="307" spans="1:88" ht="10.15" customHeight="1" x14ac:dyDescent="0.25">
      <c r="A307" s="261" t="s">
        <v>2507</v>
      </c>
      <c r="B307" s="261" t="s">
        <v>2511</v>
      </c>
      <c r="C307" s="1970" t="str">
        <f t="shared" si="93"/>
        <v>NonQM NOO</v>
      </c>
      <c r="D307" s="261" t="s">
        <v>1995</v>
      </c>
      <c r="E307" s="261" t="s">
        <v>166</v>
      </c>
      <c r="F307" s="261" t="s">
        <v>329</v>
      </c>
      <c r="G307" s="261" t="s">
        <v>180</v>
      </c>
      <c r="H307" s="261" t="s">
        <v>135</v>
      </c>
      <c r="I307" s="1544" t="s">
        <v>16</v>
      </c>
      <c r="J307" s="1544" t="s">
        <v>1130</v>
      </c>
      <c r="K307" s="1930" t="s">
        <v>2516</v>
      </c>
      <c r="L307" s="261" t="s">
        <v>311</v>
      </c>
      <c r="M307" s="261" t="s">
        <v>2289</v>
      </c>
      <c r="N307" s="261" t="s">
        <v>1844</v>
      </c>
      <c r="O307" s="1985" t="s">
        <v>2196</v>
      </c>
      <c r="P307" s="1985" t="s">
        <v>2422</v>
      </c>
      <c r="Q307" s="1985" t="s">
        <v>49</v>
      </c>
      <c r="R307" s="1970">
        <v>150000</v>
      </c>
      <c r="S307" s="261">
        <v>1000000</v>
      </c>
      <c r="T307" s="261">
        <v>0</v>
      </c>
      <c r="U307" s="261">
        <f t="shared" si="115"/>
        <v>1000000</v>
      </c>
      <c r="V307" s="261">
        <v>0</v>
      </c>
      <c r="W307" s="261">
        <v>55</v>
      </c>
      <c r="X307" s="276">
        <v>0.01</v>
      </c>
      <c r="Y307" s="276">
        <v>0.74999999999989997</v>
      </c>
      <c r="Z307" s="1883">
        <v>680</v>
      </c>
      <c r="AA307" s="1883">
        <v>699</v>
      </c>
      <c r="AB307" s="1883">
        <v>0</v>
      </c>
      <c r="AC307" s="1883">
        <v>999999</v>
      </c>
      <c r="AD307" s="261">
        <v>0</v>
      </c>
      <c r="AE307" s="1539">
        <v>75</v>
      </c>
      <c r="AF307" s="144">
        <v>0</v>
      </c>
      <c r="AG307" s="145">
        <v>1</v>
      </c>
      <c r="AH307" s="145">
        <v>1</v>
      </c>
      <c r="AI307" s="145">
        <v>1</v>
      </c>
      <c r="AJ307" s="145">
        <v>1</v>
      </c>
      <c r="AK307" s="145">
        <v>1</v>
      </c>
      <c r="AL307" s="145">
        <v>0</v>
      </c>
      <c r="AM307" s="145">
        <v>1</v>
      </c>
      <c r="AN307" s="145">
        <v>1</v>
      </c>
      <c r="AO307" s="145">
        <v>1</v>
      </c>
      <c r="AP307" s="145">
        <v>1</v>
      </c>
      <c r="AQ307" s="145">
        <v>1</v>
      </c>
      <c r="AR307" s="145">
        <v>1</v>
      </c>
      <c r="AS307" s="145">
        <v>1</v>
      </c>
      <c r="AT307" s="145">
        <v>0</v>
      </c>
      <c r="AU307" s="145">
        <f t="shared" si="102"/>
        <v>1</v>
      </c>
      <c r="AV307" s="145">
        <f t="shared" si="103"/>
        <v>1</v>
      </c>
      <c r="AW307" s="145">
        <f t="shared" si="104"/>
        <v>1</v>
      </c>
      <c r="AX307" s="145">
        <f t="shared" si="110"/>
        <v>0</v>
      </c>
      <c r="AY307" s="145">
        <f t="shared" si="105"/>
        <v>0</v>
      </c>
      <c r="AZ307" s="145">
        <f t="shared" si="106"/>
        <v>1</v>
      </c>
      <c r="BA307" s="146">
        <f t="shared" si="107"/>
        <v>1</v>
      </c>
      <c r="BB307" s="149">
        <f t="shared" si="111"/>
        <v>17</v>
      </c>
      <c r="BC307" s="150">
        <f t="shared" si="112"/>
        <v>16</v>
      </c>
      <c r="BD307" s="150">
        <f t="shared" si="113"/>
        <v>17</v>
      </c>
      <c r="BE307" s="211" t="str">
        <f t="shared" si="114"/>
        <v/>
      </c>
      <c r="BH307" s="173">
        <f>IF(AND(Input_Product=Elig!$C307,Elig_MatchAll_Ct&lt;22,$BC307=(Elig_MatchAll_Ct-1),AF307=0),C307,0)</f>
        <v>0</v>
      </c>
      <c r="BI307" s="173">
        <f>IF(AND(Input_Product=Elig!$C307,Elig_MatchAll_Ct&lt;22,$BC307=(Elig_MatchAll_Ct-1),AG307=0),D307,0)</f>
        <v>0</v>
      </c>
      <c r="BJ307" s="173">
        <f>IF(AND(Input_Product=Elig!$C307,Elig_MatchAll_Ct&lt;22,$BC307=(Elig_MatchAll_Ct-1),AH307=0),E307,0)</f>
        <v>0</v>
      </c>
      <c r="BK307" s="173">
        <f>IF(AND(Input_Product=Elig!$C307,Elig_MatchAll_Ct&lt;22,$BC307=(Elig_MatchAll_Ct-1),AI307=0),F307,0)</f>
        <v>0</v>
      </c>
      <c r="BL307" s="173">
        <f>IF(AND(Input_Product=Elig!$C307,Elig_MatchAll_Ct&lt;22,$BC307=(Elig_MatchAll_Ct-1),AJ307=0),G307,0)</f>
        <v>0</v>
      </c>
      <c r="BM307" s="173">
        <f>IF(AND(Input_Product=Elig!$C307,Elig_MatchAll_Ct&lt;22,$BC307=(Elig_MatchAll_Ct-1),AK307=0),H307,0)</f>
        <v>0</v>
      </c>
      <c r="BN307" s="173">
        <f>IF(AND(Input_Product=Elig!$C307,Elig_MatchAll_Ct&lt;22,$BC307=(Elig_MatchAll_Ct-1),AL307=0),I307,0)</f>
        <v>0</v>
      </c>
      <c r="BO307" s="173">
        <f>IF(AND(Input_Product=Elig!$C307,Elig_MatchAll_Ct&lt;22,$BC307=(Elig_MatchAll_Ct-1),AM307=0),J307,0)</f>
        <v>0</v>
      </c>
      <c r="BP307" s="173">
        <f>IF(AND(Input_Product=Elig!$C307,Elig_MatchAll_Ct&lt;22,$BC307=(Elig_MatchAll_Ct-1),AN307=0),K307,0)</f>
        <v>0</v>
      </c>
      <c r="BQ307" s="173">
        <f>IF(AND(Input_Product=Elig!$C307,Elig_MatchAll_Ct&lt;22,$BC307=(Elig_MatchAll_Ct-1),AP307=0),L307,0)</f>
        <v>0</v>
      </c>
      <c r="BR307" s="173">
        <f>IF(AND(Input_Product=Elig!$C307,Elig_MatchAll_Ct&lt;22,$BC307=(Elig_MatchAll_Ct-1),AO307=0),M307,0)</f>
        <v>0</v>
      </c>
      <c r="BS307" s="173">
        <f>IF(AND(Input_Product=Elig!$C307,Elig_MatchAll_Ct&lt;22,$BC307=(Elig_MatchAll_Ct-1),AQ307=0),N307,0)</f>
        <v>0</v>
      </c>
      <c r="BT307" s="173">
        <f>IF(AND(Input_Product=Elig!$C307,Elig_MatchAll_Ct&lt;22,$BC307=(Elig_MatchAll_Ct-1),AR307=0),O307,0)</f>
        <v>0</v>
      </c>
      <c r="BU307" s="173">
        <f>IF(AND(Input_Product=Elig!$C307,Elig_MatchAll_Ct&lt;22,$BC307=(Elig_MatchAll_Ct-1),AS307=0),P307,0)</f>
        <v>0</v>
      </c>
      <c r="BV307" s="174">
        <f>IF(AND(Input_Product=Elig!$C307,Elig_MatchAll_Ct&lt;22,$BC307=(Elig_MatchAll_Ct-1),AT307=0),Q307,0)</f>
        <v>0</v>
      </c>
      <c r="BW307" s="175">
        <f>IF(AND(Input_Product=Elig!$C307,Elig_MatchAll_Ct&lt;22,$BC307=(Elig_MatchAll_Ct-1),AU307=0),R307,0)</f>
        <v>0</v>
      </c>
      <c r="BX307" s="176">
        <f>IF(AND(Input_Product=Elig!$C307,Elig_MatchAll_Ct&lt;22,$BC307=(Elig_MatchAll_Ct-1),AU307=0),S307,0)</f>
        <v>0</v>
      </c>
      <c r="BY307" s="175">
        <f>IF(AND(Input_Product=Elig!$C307,Elig_MatchAll_Ct&lt;22,$BC307=(Elig_MatchAll_Ct-1),AV307=0),T307,0)</f>
        <v>0</v>
      </c>
      <c r="BZ307" s="176">
        <f>IF(AND(Input_Product=Elig!$C307,Elig_MatchAll_Ct&lt;22,$BC307=(Elig_MatchAll_Ct-1),AV307=0),U307,0)</f>
        <v>0</v>
      </c>
      <c r="CA307" s="175">
        <f>IF(AND(Input_Product=Elig!$C307,Elig_MatchAll_Ct&lt;22,$BC307=(Elig_MatchAll_Ct-1),AW307=0),V307,0)</f>
        <v>0</v>
      </c>
      <c r="CB307" s="176">
        <f>IF(AND(Input_Product=Elig!$C307,Elig_MatchAll_Ct&lt;22,$BC307=(Elig_MatchAll_Ct-1),AW307=0),W307,0)</f>
        <v>0</v>
      </c>
      <c r="CC307" s="175">
        <f>IF(AND(Input_Product=Elig!$C307,Elig_MatchAll_Ct&lt;22,$BC307=(Elig_MatchAll_Ct-1),AX307=0),X307,0)</f>
        <v>0</v>
      </c>
      <c r="CD307" s="176">
        <f>IF(AND(Input_Product=Elig!$C307,Elig_MatchAll_Ct&lt;22,$BC307=(Elig_MatchAll_Ct-1),AX307=0),Y307,0)</f>
        <v>0</v>
      </c>
      <c r="CE307" s="175">
        <f>IF(AND(Input_LTV&lt;=AE307,Input_Product=Elig!$C307,Elig_MatchAll_Ct&lt;22,$BC307=(Elig_MatchAll_Ct-1),AY307=0),Z307,0)</f>
        <v>0</v>
      </c>
      <c r="CF307" s="176">
        <f>IF(AND(Input_LTV&lt;=AE307,Input_Product=Elig!$C307,Elig_MatchAll_Ct&lt;22,$BC307=(Elig_MatchAll_Ct-1),AY307=0),AA307,0)</f>
        <v>0</v>
      </c>
      <c r="CG307" s="175">
        <f>IF(AND(Input_Product=Elig!$C307,Elig_MatchAll_Ct&lt;22,$BC307=(Elig_MatchAll_Ct-1),AZ307=0),AB307,0)</f>
        <v>0</v>
      </c>
      <c r="CH307" s="176">
        <f>IF(AND(Input_Product=Elig!$C307,Elig_MatchAll_Ct&lt;22,$BC307=(Elig_MatchAll_Ct-1),AZ307=0),AC307,0)</f>
        <v>0</v>
      </c>
      <c r="CI307" s="175">
        <f>IF(AND(Input_Product=Elig!$C307,Elig_MatchAll_Ct&lt;22,$BC307=(Elig_MatchAll_Ct-1),BA307=0),AD307,0)</f>
        <v>0</v>
      </c>
      <c r="CJ307" s="176">
        <f>IF(AND(Input_Product=Elig!$C307,Elig_MatchAll_Ct&lt;22,$BC307=(Elig_MatchAll_Ct-1),BA307=0),AE307,0)</f>
        <v>0</v>
      </c>
    </row>
    <row r="308" spans="1:88" ht="10.15" customHeight="1" x14ac:dyDescent="0.25">
      <c r="A308" s="252" t="s">
        <v>76</v>
      </c>
      <c r="B308" s="252" t="s">
        <v>941</v>
      </c>
      <c r="C308" s="246" t="str">
        <f t="shared" si="93"/>
        <v>NonQM NOO</v>
      </c>
      <c r="D308" s="247" t="s">
        <v>1995</v>
      </c>
      <c r="E308" s="248" t="s">
        <v>166</v>
      </c>
      <c r="F308" s="248" t="s">
        <v>329</v>
      </c>
      <c r="G308" s="248" t="s">
        <v>302</v>
      </c>
      <c r="H308" s="248" t="s">
        <v>135</v>
      </c>
      <c r="I308" s="247" t="s">
        <v>273</v>
      </c>
      <c r="J308" s="247" t="s">
        <v>1130</v>
      </c>
      <c r="K308" s="247" t="s">
        <v>1398</v>
      </c>
      <c r="L308" s="248" t="s">
        <v>311</v>
      </c>
      <c r="M308" s="248" t="s">
        <v>2289</v>
      </c>
      <c r="N308" s="248" t="s">
        <v>1844</v>
      </c>
      <c r="O308" s="248" t="s">
        <v>309</v>
      </c>
      <c r="P308" s="248" t="s">
        <v>2434</v>
      </c>
      <c r="Q308" s="248" t="s">
        <v>293</v>
      </c>
      <c r="R308" s="247">
        <v>1000000.01</v>
      </c>
      <c r="S308" s="247">
        <v>1500000</v>
      </c>
      <c r="T308" s="247">
        <v>0</v>
      </c>
      <c r="U308" s="247">
        <v>0</v>
      </c>
      <c r="V308" s="247">
        <v>0</v>
      </c>
      <c r="W308" s="247">
        <v>55</v>
      </c>
      <c r="X308" s="247">
        <v>0</v>
      </c>
      <c r="Y308" s="247">
        <v>999</v>
      </c>
      <c r="Z308" s="249">
        <v>720</v>
      </c>
      <c r="AA308" s="249">
        <v>999</v>
      </c>
      <c r="AB308" s="1882">
        <v>0</v>
      </c>
      <c r="AC308" s="249">
        <v>999999</v>
      </c>
      <c r="AD308" s="247">
        <v>0</v>
      </c>
      <c r="AE308" s="250">
        <v>85</v>
      </c>
      <c r="AF308" s="144">
        <v>0</v>
      </c>
      <c r="AG308" s="145">
        <v>1</v>
      </c>
      <c r="AH308" s="145">
        <v>1</v>
      </c>
      <c r="AI308" s="145">
        <v>1</v>
      </c>
      <c r="AJ308" s="145">
        <v>0</v>
      </c>
      <c r="AK308" s="145">
        <v>1</v>
      </c>
      <c r="AL308" s="145">
        <v>1</v>
      </c>
      <c r="AM308" s="145">
        <v>1</v>
      </c>
      <c r="AN308" s="145">
        <v>1</v>
      </c>
      <c r="AO308" s="145">
        <v>1</v>
      </c>
      <c r="AP308" s="145">
        <v>1</v>
      </c>
      <c r="AQ308" s="145">
        <v>1</v>
      </c>
      <c r="AR308" s="145">
        <v>1</v>
      </c>
      <c r="AS308" s="145">
        <v>1</v>
      </c>
      <c r="AT308" s="145">
        <v>1</v>
      </c>
      <c r="AU308" s="145">
        <f t="shared" si="102"/>
        <v>0</v>
      </c>
      <c r="AV308" s="145">
        <f t="shared" si="103"/>
        <v>1</v>
      </c>
      <c r="AW308" s="145">
        <f t="shared" si="104"/>
        <v>1</v>
      </c>
      <c r="AX308" s="145">
        <f t="shared" si="110"/>
        <v>1</v>
      </c>
      <c r="AY308" s="145">
        <f t="shared" si="105"/>
        <v>1</v>
      </c>
      <c r="AZ308" s="145">
        <f t="shared" si="106"/>
        <v>1</v>
      </c>
      <c r="BA308" s="146">
        <f t="shared" si="107"/>
        <v>1</v>
      </c>
      <c r="BB308" s="149">
        <f t="shared" si="98"/>
        <v>19</v>
      </c>
      <c r="BC308" s="150">
        <f t="shared" si="99"/>
        <v>18</v>
      </c>
      <c r="BD308" s="150">
        <f t="shared" si="100"/>
        <v>19</v>
      </c>
      <c r="BE308" s="211" t="str">
        <f t="shared" si="101"/>
        <v/>
      </c>
      <c r="BH308" s="190">
        <f>IF(AND(Input_Product=Elig!$C308,Elig_MatchAll_Ct&lt;22,$BC308=(Elig_MatchAll_Ct-1),AF308=0),C308,0)</f>
        <v>0</v>
      </c>
      <c r="BI308" s="190">
        <f>IF(AND(Input_Product=Elig!$C308,Elig_MatchAll_Ct&lt;22,$BC308=(Elig_MatchAll_Ct-1),AG308=0),D308,0)</f>
        <v>0</v>
      </c>
      <c r="BJ308" s="190">
        <f>IF(AND(Input_Product=Elig!$C308,Elig_MatchAll_Ct&lt;22,$BC308=(Elig_MatchAll_Ct-1),AH308=0),E308,0)</f>
        <v>0</v>
      </c>
      <c r="BK308" s="190">
        <f>IF(AND(Input_Product=Elig!$C308,Elig_MatchAll_Ct&lt;22,$BC308=(Elig_MatchAll_Ct-1),AI308=0),F308,0)</f>
        <v>0</v>
      </c>
      <c r="BL308" s="190">
        <f>IF(AND(Input_Product=Elig!$C308,Elig_MatchAll_Ct&lt;22,$BC308=(Elig_MatchAll_Ct-1),AJ308=0),G308,0)</f>
        <v>0</v>
      </c>
      <c r="BM308" s="190">
        <f>IF(AND(Input_Product=Elig!$C308,Elig_MatchAll_Ct&lt;22,$BC308=(Elig_MatchAll_Ct-1),AK308=0),H308,0)</f>
        <v>0</v>
      </c>
      <c r="BN308" s="190">
        <f>IF(AND(Input_Product=Elig!$C308,Elig_MatchAll_Ct&lt;22,$BC308=(Elig_MatchAll_Ct-1),AL308=0),I308,0)</f>
        <v>0</v>
      </c>
      <c r="BO308" s="190">
        <f>IF(AND(Input_Product=Elig!$C308,Elig_MatchAll_Ct&lt;22,$BC308=(Elig_MatchAll_Ct-1),AM308=0),J308,0)</f>
        <v>0</v>
      </c>
      <c r="BP308" s="190">
        <f>IF(AND(Input_Product=Elig!$C308,Elig_MatchAll_Ct&lt;22,$BC308=(Elig_MatchAll_Ct-1),AN308=0),K308,0)</f>
        <v>0</v>
      </c>
      <c r="BQ308" s="190">
        <f>IF(AND(Input_Product=Elig!$C308,Elig_MatchAll_Ct&lt;22,$BC308=(Elig_MatchAll_Ct-1),AP308=0),L308,0)</f>
        <v>0</v>
      </c>
      <c r="BR308" s="190">
        <f>IF(AND(Input_Product=Elig!$C308,Elig_MatchAll_Ct&lt;22,$BC308=(Elig_MatchAll_Ct-1),AO308=0),M308,0)</f>
        <v>0</v>
      </c>
      <c r="BS308" s="190">
        <f>IF(AND(Input_Product=Elig!$C308,Elig_MatchAll_Ct&lt;22,$BC308=(Elig_MatchAll_Ct-1),AQ308=0),N308,0)</f>
        <v>0</v>
      </c>
      <c r="BT308" s="190">
        <f>IF(AND(Input_Product=Elig!$C308,Elig_MatchAll_Ct&lt;22,$BC308=(Elig_MatchAll_Ct-1),AR308=0),O308,0)</f>
        <v>0</v>
      </c>
      <c r="BU308" s="190">
        <f>IF(AND(Input_Product=Elig!$C308,Elig_MatchAll_Ct&lt;22,$BC308=(Elig_MatchAll_Ct-1),AS308=0),P308,0)</f>
        <v>0</v>
      </c>
      <c r="BV308" s="191">
        <f>IF(AND(Input_Product=Elig!$C308,Elig_MatchAll_Ct&lt;22,$BC308=(Elig_MatchAll_Ct-1),AT308=0),Q308,0)</f>
        <v>0</v>
      </c>
      <c r="BW308" s="186">
        <f>IF(AND(Input_Product=Elig!$C308,Elig_MatchAll_Ct&lt;22,$BC308=(Elig_MatchAll_Ct-1),AU308=0),R308,0)</f>
        <v>0</v>
      </c>
      <c r="BX308" s="187">
        <f>IF(AND(Input_Product=Elig!$C308,Elig_MatchAll_Ct&lt;22,$BC308=(Elig_MatchAll_Ct-1),AU308=0),S308,0)</f>
        <v>0</v>
      </c>
      <c r="BY308" s="186">
        <f>IF(AND(Input_Product=Elig!$C308,Elig_MatchAll_Ct&lt;22,$BC308=(Elig_MatchAll_Ct-1),AV308=0),T308,0)</f>
        <v>0</v>
      </c>
      <c r="BZ308" s="187">
        <f>IF(AND(Input_Product=Elig!$C308,Elig_MatchAll_Ct&lt;22,$BC308=(Elig_MatchAll_Ct-1),AV308=0),U308,0)</f>
        <v>0</v>
      </c>
      <c r="CA308" s="186">
        <f>IF(AND(Input_Product=Elig!$C308,Elig_MatchAll_Ct&lt;22,$BC308=(Elig_MatchAll_Ct-1),AW308=0),V308,0)</f>
        <v>0</v>
      </c>
      <c r="CB308" s="187">
        <f>IF(AND(Input_Product=Elig!$C308,Elig_MatchAll_Ct&lt;22,$BC308=(Elig_MatchAll_Ct-1),AW308=0),W308,0)</f>
        <v>0</v>
      </c>
      <c r="CC308" s="186">
        <f>IF(AND(Input_Product=Elig!$C308,Elig_MatchAll_Ct&lt;22,$BC308=(Elig_MatchAll_Ct-1),AX308=0),X308,0)</f>
        <v>0</v>
      </c>
      <c r="CD308" s="187">
        <f>IF(AND(Input_Product=Elig!$C308,Elig_MatchAll_Ct&lt;22,$BC308=(Elig_MatchAll_Ct-1),AX308=0),Y308,0)</f>
        <v>0</v>
      </c>
      <c r="CE308" s="186">
        <f>IF(AND(Input_LTV&lt;=AE308,Input_Product=Elig!$C308,Elig_MatchAll_Ct&lt;22,$BC308=(Elig_MatchAll_Ct-1),AY308=0),Z308,0)</f>
        <v>0</v>
      </c>
      <c r="CF308" s="187">
        <f>IF(AND(Input_LTV&lt;=AE308,Input_Product=Elig!$C308,Elig_MatchAll_Ct&lt;22,$BC308=(Elig_MatchAll_Ct-1),AY308=0),AA308,0)</f>
        <v>0</v>
      </c>
      <c r="CG308" s="186">
        <f>IF(AND(Input_Product=Elig!$C308,Elig_MatchAll_Ct&lt;22,$BC308=(Elig_MatchAll_Ct-1),AZ308=0),AB308,0)</f>
        <v>0</v>
      </c>
      <c r="CH308" s="187">
        <f>IF(AND(Input_Product=Elig!$C308,Elig_MatchAll_Ct&lt;22,$BC308=(Elig_MatchAll_Ct-1),AZ308=0),AC308,0)</f>
        <v>0</v>
      </c>
      <c r="CI308" s="186">
        <f>IF(AND(Input_Product=Elig!$C308,Elig_MatchAll_Ct&lt;22,$BC308=(Elig_MatchAll_Ct-1),BA308=0),AD308,0)</f>
        <v>0</v>
      </c>
      <c r="CJ308" s="187">
        <f>IF(AND(Input_Product=Elig!$C308,Elig_MatchAll_Ct&lt;22,$BC308=(Elig_MatchAll_Ct-1),BA308=0),AE308,0)</f>
        <v>0</v>
      </c>
    </row>
    <row r="309" spans="1:88" ht="10.15" customHeight="1" x14ac:dyDescent="0.25">
      <c r="A309" s="252" t="s">
        <v>76</v>
      </c>
      <c r="B309" s="252" t="s">
        <v>942</v>
      </c>
      <c r="C309" s="251" t="str">
        <f t="shared" si="93"/>
        <v>NonQM NOO</v>
      </c>
      <c r="D309" s="252" t="s">
        <v>1995</v>
      </c>
      <c r="E309" s="252" t="s">
        <v>166</v>
      </c>
      <c r="F309" s="252" t="s">
        <v>329</v>
      </c>
      <c r="G309" s="252" t="s">
        <v>302</v>
      </c>
      <c r="H309" s="252" t="s">
        <v>135</v>
      </c>
      <c r="I309" s="253" t="s">
        <v>273</v>
      </c>
      <c r="J309" s="253" t="s">
        <v>1130</v>
      </c>
      <c r="K309" s="253" t="s">
        <v>1398</v>
      </c>
      <c r="L309" s="252" t="s">
        <v>311</v>
      </c>
      <c r="M309" s="252" t="s">
        <v>2289</v>
      </c>
      <c r="N309" s="252" t="s">
        <v>1844</v>
      </c>
      <c r="O309" s="252" t="s">
        <v>309</v>
      </c>
      <c r="P309" s="252" t="s">
        <v>2434</v>
      </c>
      <c r="Q309" s="252" t="s">
        <v>293</v>
      </c>
      <c r="R309" s="252">
        <v>1000000.01</v>
      </c>
      <c r="S309" s="252">
        <v>1500000</v>
      </c>
      <c r="T309" s="252">
        <v>0</v>
      </c>
      <c r="U309" s="252">
        <v>0</v>
      </c>
      <c r="V309" s="252">
        <v>0</v>
      </c>
      <c r="W309" s="252">
        <v>55</v>
      </c>
      <c r="X309" s="252">
        <v>0</v>
      </c>
      <c r="Y309" s="252">
        <v>999</v>
      </c>
      <c r="Z309" s="254">
        <v>700</v>
      </c>
      <c r="AA309" s="254">
        <v>719</v>
      </c>
      <c r="AB309" s="1883">
        <v>0</v>
      </c>
      <c r="AC309" s="254">
        <v>999999</v>
      </c>
      <c r="AD309" s="252">
        <v>0</v>
      </c>
      <c r="AE309" s="255">
        <v>80</v>
      </c>
      <c r="AF309" s="144">
        <v>0</v>
      </c>
      <c r="AG309" s="145">
        <v>1</v>
      </c>
      <c r="AH309" s="145">
        <v>1</v>
      </c>
      <c r="AI309" s="145">
        <v>1</v>
      </c>
      <c r="AJ309" s="145">
        <v>0</v>
      </c>
      <c r="AK309" s="145">
        <v>1</v>
      </c>
      <c r="AL309" s="145">
        <v>1</v>
      </c>
      <c r="AM309" s="145">
        <v>1</v>
      </c>
      <c r="AN309" s="145">
        <v>1</v>
      </c>
      <c r="AO309" s="145">
        <v>1</v>
      </c>
      <c r="AP309" s="145">
        <v>1</v>
      </c>
      <c r="AQ309" s="145">
        <v>1</v>
      </c>
      <c r="AR309" s="145">
        <v>1</v>
      </c>
      <c r="AS309" s="145">
        <v>1</v>
      </c>
      <c r="AT309" s="145">
        <v>1</v>
      </c>
      <c r="AU309" s="145">
        <f t="shared" si="102"/>
        <v>0</v>
      </c>
      <c r="AV309" s="145">
        <f t="shared" si="103"/>
        <v>1</v>
      </c>
      <c r="AW309" s="145">
        <f t="shared" si="104"/>
        <v>1</v>
      </c>
      <c r="AX309" s="145">
        <f t="shared" si="110"/>
        <v>1</v>
      </c>
      <c r="AY309" s="145">
        <f t="shared" si="105"/>
        <v>0</v>
      </c>
      <c r="AZ309" s="145">
        <f t="shared" si="106"/>
        <v>1</v>
      </c>
      <c r="BA309" s="146">
        <f t="shared" si="107"/>
        <v>1</v>
      </c>
      <c r="BB309" s="149">
        <f t="shared" si="98"/>
        <v>18</v>
      </c>
      <c r="BC309" s="150">
        <f t="shared" si="99"/>
        <v>17</v>
      </c>
      <c r="BD309" s="150">
        <f t="shared" si="100"/>
        <v>18</v>
      </c>
      <c r="BE309" s="211" t="str">
        <f t="shared" si="101"/>
        <v/>
      </c>
      <c r="BH309" s="173">
        <f>IF(AND(Input_Product=Elig!$C309,Elig_MatchAll_Ct&lt;22,$BC309=(Elig_MatchAll_Ct-1),AF309=0),C309,0)</f>
        <v>0</v>
      </c>
      <c r="BI309" s="173">
        <f>IF(AND(Input_Product=Elig!$C309,Elig_MatchAll_Ct&lt;22,$BC309=(Elig_MatchAll_Ct-1),AG309=0),D309,0)</f>
        <v>0</v>
      </c>
      <c r="BJ309" s="173">
        <f>IF(AND(Input_Product=Elig!$C309,Elig_MatchAll_Ct&lt;22,$BC309=(Elig_MatchAll_Ct-1),AH309=0),E309,0)</f>
        <v>0</v>
      </c>
      <c r="BK309" s="173">
        <f>IF(AND(Input_Product=Elig!$C309,Elig_MatchAll_Ct&lt;22,$BC309=(Elig_MatchAll_Ct-1),AI309=0),F309,0)</f>
        <v>0</v>
      </c>
      <c r="BL309" s="173">
        <f>IF(AND(Input_Product=Elig!$C309,Elig_MatchAll_Ct&lt;22,$BC309=(Elig_MatchAll_Ct-1),AJ309=0),G309,0)</f>
        <v>0</v>
      </c>
      <c r="BM309" s="173">
        <f>IF(AND(Input_Product=Elig!$C309,Elig_MatchAll_Ct&lt;22,$BC309=(Elig_MatchAll_Ct-1),AK309=0),H309,0)</f>
        <v>0</v>
      </c>
      <c r="BN309" s="173">
        <f>IF(AND(Input_Product=Elig!$C309,Elig_MatchAll_Ct&lt;22,$BC309=(Elig_MatchAll_Ct-1),AL309=0),I309,0)</f>
        <v>0</v>
      </c>
      <c r="BO309" s="173">
        <f>IF(AND(Input_Product=Elig!$C309,Elig_MatchAll_Ct&lt;22,$BC309=(Elig_MatchAll_Ct-1),AM309=0),J309,0)</f>
        <v>0</v>
      </c>
      <c r="BP309" s="173">
        <f>IF(AND(Input_Product=Elig!$C309,Elig_MatchAll_Ct&lt;22,$BC309=(Elig_MatchAll_Ct-1),AN309=0),K309,0)</f>
        <v>0</v>
      </c>
      <c r="BQ309" s="173">
        <f>IF(AND(Input_Product=Elig!$C309,Elig_MatchAll_Ct&lt;22,$BC309=(Elig_MatchAll_Ct-1),AP309=0),L309,0)</f>
        <v>0</v>
      </c>
      <c r="BR309" s="173">
        <f>IF(AND(Input_Product=Elig!$C309,Elig_MatchAll_Ct&lt;22,$BC309=(Elig_MatchAll_Ct-1),AO309=0),M309,0)</f>
        <v>0</v>
      </c>
      <c r="BS309" s="173">
        <f>IF(AND(Input_Product=Elig!$C309,Elig_MatchAll_Ct&lt;22,$BC309=(Elig_MatchAll_Ct-1),AQ309=0),N309,0)</f>
        <v>0</v>
      </c>
      <c r="BT309" s="173">
        <f>IF(AND(Input_Product=Elig!$C309,Elig_MatchAll_Ct&lt;22,$BC309=(Elig_MatchAll_Ct-1),AR309=0),O309,0)</f>
        <v>0</v>
      </c>
      <c r="BU309" s="173">
        <f>IF(AND(Input_Product=Elig!$C309,Elig_MatchAll_Ct&lt;22,$BC309=(Elig_MatchAll_Ct-1),AS309=0),P309,0)</f>
        <v>0</v>
      </c>
      <c r="BV309" s="174">
        <f>IF(AND(Input_Product=Elig!$C309,Elig_MatchAll_Ct&lt;22,$BC309=(Elig_MatchAll_Ct-1),AT309=0),Q309,0)</f>
        <v>0</v>
      </c>
      <c r="BW309" s="175">
        <f>IF(AND(Input_Product=Elig!$C309,Elig_MatchAll_Ct&lt;22,$BC309=(Elig_MatchAll_Ct-1),AU309=0),R309,0)</f>
        <v>0</v>
      </c>
      <c r="BX309" s="176">
        <f>IF(AND(Input_Product=Elig!$C309,Elig_MatchAll_Ct&lt;22,$BC309=(Elig_MatchAll_Ct-1),AU309=0),S309,0)</f>
        <v>0</v>
      </c>
      <c r="BY309" s="175">
        <f>IF(AND(Input_Product=Elig!$C309,Elig_MatchAll_Ct&lt;22,$BC309=(Elig_MatchAll_Ct-1),AV309=0),T309,0)</f>
        <v>0</v>
      </c>
      <c r="BZ309" s="176">
        <f>IF(AND(Input_Product=Elig!$C309,Elig_MatchAll_Ct&lt;22,$BC309=(Elig_MatchAll_Ct-1),AV309=0),U309,0)</f>
        <v>0</v>
      </c>
      <c r="CA309" s="175">
        <f>IF(AND(Input_Product=Elig!$C309,Elig_MatchAll_Ct&lt;22,$BC309=(Elig_MatchAll_Ct-1),AW309=0),V309,0)</f>
        <v>0</v>
      </c>
      <c r="CB309" s="176">
        <f>IF(AND(Input_Product=Elig!$C309,Elig_MatchAll_Ct&lt;22,$BC309=(Elig_MatchAll_Ct-1),AW309=0),W309,0)</f>
        <v>0</v>
      </c>
      <c r="CC309" s="175">
        <f>IF(AND(Input_Product=Elig!$C309,Elig_MatchAll_Ct&lt;22,$BC309=(Elig_MatchAll_Ct-1),AX309=0),X309,0)</f>
        <v>0</v>
      </c>
      <c r="CD309" s="176">
        <f>IF(AND(Input_Product=Elig!$C309,Elig_MatchAll_Ct&lt;22,$BC309=(Elig_MatchAll_Ct-1),AX309=0),Y309,0)</f>
        <v>0</v>
      </c>
      <c r="CE309" s="175">
        <f>IF(AND(Input_LTV&lt;=AE309,Input_Product=Elig!$C309,Elig_MatchAll_Ct&lt;22,$BC309=(Elig_MatchAll_Ct-1),AY309=0),Z309,0)</f>
        <v>0</v>
      </c>
      <c r="CF309" s="176">
        <f>IF(AND(Input_LTV&lt;=AE309,Input_Product=Elig!$C309,Elig_MatchAll_Ct&lt;22,$BC309=(Elig_MatchAll_Ct-1),AY309=0),AA309,0)</f>
        <v>0</v>
      </c>
      <c r="CG309" s="175">
        <f>IF(AND(Input_Product=Elig!$C309,Elig_MatchAll_Ct&lt;22,$BC309=(Elig_MatchAll_Ct-1),AZ309=0),AB309,0)</f>
        <v>0</v>
      </c>
      <c r="CH309" s="176">
        <f>IF(AND(Input_Product=Elig!$C309,Elig_MatchAll_Ct&lt;22,$BC309=(Elig_MatchAll_Ct-1),AZ309=0),AC309,0)</f>
        <v>0</v>
      </c>
      <c r="CI309" s="175">
        <f>IF(AND(Input_Product=Elig!$C309,Elig_MatchAll_Ct&lt;22,$BC309=(Elig_MatchAll_Ct-1),BA309=0),AD309,0)</f>
        <v>0</v>
      </c>
      <c r="CJ309" s="176">
        <f>IF(AND(Input_Product=Elig!$C309,Elig_MatchAll_Ct&lt;22,$BC309=(Elig_MatchAll_Ct-1),BA309=0),AE309,0)</f>
        <v>0</v>
      </c>
    </row>
    <row r="310" spans="1:88" ht="10.15" customHeight="1" x14ac:dyDescent="0.25">
      <c r="A310" s="252" t="s">
        <v>76</v>
      </c>
      <c r="B310" s="252" t="s">
        <v>943</v>
      </c>
      <c r="C310" s="251" t="str">
        <f t="shared" si="93"/>
        <v>NonQM NOO</v>
      </c>
      <c r="D310" s="252" t="s">
        <v>1995</v>
      </c>
      <c r="E310" s="252" t="s">
        <v>166</v>
      </c>
      <c r="F310" s="252" t="s">
        <v>329</v>
      </c>
      <c r="G310" s="252" t="s">
        <v>302</v>
      </c>
      <c r="H310" s="252" t="s">
        <v>135</v>
      </c>
      <c r="I310" s="253" t="s">
        <v>273</v>
      </c>
      <c r="J310" s="253" t="s">
        <v>1130</v>
      </c>
      <c r="K310" s="253" t="s">
        <v>1398</v>
      </c>
      <c r="L310" s="252" t="s">
        <v>311</v>
      </c>
      <c r="M310" s="252" t="s">
        <v>2289</v>
      </c>
      <c r="N310" s="252" t="s">
        <v>1844</v>
      </c>
      <c r="O310" s="252" t="s">
        <v>309</v>
      </c>
      <c r="P310" s="252" t="s">
        <v>2434</v>
      </c>
      <c r="Q310" s="252" t="s">
        <v>293</v>
      </c>
      <c r="R310" s="252">
        <v>1000000.01</v>
      </c>
      <c r="S310" s="252">
        <v>1500000</v>
      </c>
      <c r="T310" s="252">
        <v>0</v>
      </c>
      <c r="U310" s="252">
        <v>0</v>
      </c>
      <c r="V310" s="252">
        <v>0</v>
      </c>
      <c r="W310" s="252">
        <v>55</v>
      </c>
      <c r="X310" s="252">
        <v>0</v>
      </c>
      <c r="Y310" s="252">
        <v>999</v>
      </c>
      <c r="Z310" s="254">
        <v>680</v>
      </c>
      <c r="AA310" s="254">
        <v>699</v>
      </c>
      <c r="AB310" s="1883">
        <v>0</v>
      </c>
      <c r="AC310" s="254">
        <v>999999</v>
      </c>
      <c r="AD310" s="252">
        <v>0</v>
      </c>
      <c r="AE310" s="255">
        <v>80</v>
      </c>
      <c r="AF310" s="144">
        <v>0</v>
      </c>
      <c r="AG310" s="145">
        <v>1</v>
      </c>
      <c r="AH310" s="145">
        <v>1</v>
      </c>
      <c r="AI310" s="145">
        <v>1</v>
      </c>
      <c r="AJ310" s="145">
        <v>0</v>
      </c>
      <c r="AK310" s="145">
        <v>1</v>
      </c>
      <c r="AL310" s="145">
        <v>1</v>
      </c>
      <c r="AM310" s="145">
        <v>1</v>
      </c>
      <c r="AN310" s="145">
        <v>1</v>
      </c>
      <c r="AO310" s="145">
        <v>1</v>
      </c>
      <c r="AP310" s="145">
        <v>1</v>
      </c>
      <c r="AQ310" s="145">
        <v>1</v>
      </c>
      <c r="AR310" s="145">
        <v>1</v>
      </c>
      <c r="AS310" s="145">
        <v>1</v>
      </c>
      <c r="AT310" s="145">
        <v>1</v>
      </c>
      <c r="AU310" s="145">
        <f t="shared" si="102"/>
        <v>0</v>
      </c>
      <c r="AV310" s="145">
        <f t="shared" si="103"/>
        <v>1</v>
      </c>
      <c r="AW310" s="145">
        <f t="shared" si="104"/>
        <v>1</v>
      </c>
      <c r="AX310" s="145">
        <f t="shared" si="110"/>
        <v>1</v>
      </c>
      <c r="AY310" s="145">
        <f t="shared" si="105"/>
        <v>0</v>
      </c>
      <c r="AZ310" s="145">
        <f t="shared" si="106"/>
        <v>1</v>
      </c>
      <c r="BA310" s="146">
        <f t="shared" si="107"/>
        <v>1</v>
      </c>
      <c r="BB310" s="149">
        <f t="shared" si="98"/>
        <v>18</v>
      </c>
      <c r="BC310" s="150">
        <f t="shared" si="99"/>
        <v>17</v>
      </c>
      <c r="BD310" s="150">
        <f t="shared" si="100"/>
        <v>18</v>
      </c>
      <c r="BE310" s="211" t="str">
        <f t="shared" si="101"/>
        <v/>
      </c>
      <c r="BH310" s="173">
        <f>IF(AND(Input_Product=Elig!$C310,Elig_MatchAll_Ct&lt;22,$BC310=(Elig_MatchAll_Ct-1),AF310=0),C310,0)</f>
        <v>0</v>
      </c>
      <c r="BI310" s="173">
        <f>IF(AND(Input_Product=Elig!$C310,Elig_MatchAll_Ct&lt;22,$BC310=(Elig_MatchAll_Ct-1),AG310=0),D310,0)</f>
        <v>0</v>
      </c>
      <c r="BJ310" s="173">
        <f>IF(AND(Input_Product=Elig!$C310,Elig_MatchAll_Ct&lt;22,$BC310=(Elig_MatchAll_Ct-1),AH310=0),E310,0)</f>
        <v>0</v>
      </c>
      <c r="BK310" s="173">
        <f>IF(AND(Input_Product=Elig!$C310,Elig_MatchAll_Ct&lt;22,$BC310=(Elig_MatchAll_Ct-1),AI310=0),F310,0)</f>
        <v>0</v>
      </c>
      <c r="BL310" s="173">
        <f>IF(AND(Input_Product=Elig!$C310,Elig_MatchAll_Ct&lt;22,$BC310=(Elig_MatchAll_Ct-1),AJ310=0),G310,0)</f>
        <v>0</v>
      </c>
      <c r="BM310" s="173">
        <f>IF(AND(Input_Product=Elig!$C310,Elig_MatchAll_Ct&lt;22,$BC310=(Elig_MatchAll_Ct-1),AK310=0),H310,0)</f>
        <v>0</v>
      </c>
      <c r="BN310" s="173">
        <f>IF(AND(Input_Product=Elig!$C310,Elig_MatchAll_Ct&lt;22,$BC310=(Elig_MatchAll_Ct-1),AL310=0),I310,0)</f>
        <v>0</v>
      </c>
      <c r="BO310" s="173">
        <f>IF(AND(Input_Product=Elig!$C310,Elig_MatchAll_Ct&lt;22,$BC310=(Elig_MatchAll_Ct-1),AM310=0),J310,0)</f>
        <v>0</v>
      </c>
      <c r="BP310" s="173">
        <f>IF(AND(Input_Product=Elig!$C310,Elig_MatchAll_Ct&lt;22,$BC310=(Elig_MatchAll_Ct-1),AN310=0),K310,0)</f>
        <v>0</v>
      </c>
      <c r="BQ310" s="173">
        <f>IF(AND(Input_Product=Elig!$C310,Elig_MatchAll_Ct&lt;22,$BC310=(Elig_MatchAll_Ct-1),AP310=0),L310,0)</f>
        <v>0</v>
      </c>
      <c r="BR310" s="173">
        <f>IF(AND(Input_Product=Elig!$C310,Elig_MatchAll_Ct&lt;22,$BC310=(Elig_MatchAll_Ct-1),AO310=0),M310,0)</f>
        <v>0</v>
      </c>
      <c r="BS310" s="173">
        <f>IF(AND(Input_Product=Elig!$C310,Elig_MatchAll_Ct&lt;22,$BC310=(Elig_MatchAll_Ct-1),AQ310=0),N310,0)</f>
        <v>0</v>
      </c>
      <c r="BT310" s="173">
        <f>IF(AND(Input_Product=Elig!$C310,Elig_MatchAll_Ct&lt;22,$BC310=(Elig_MatchAll_Ct-1),AR310=0),O310,0)</f>
        <v>0</v>
      </c>
      <c r="BU310" s="173">
        <f>IF(AND(Input_Product=Elig!$C310,Elig_MatchAll_Ct&lt;22,$BC310=(Elig_MatchAll_Ct-1),AS310=0),P310,0)</f>
        <v>0</v>
      </c>
      <c r="BV310" s="174">
        <f>IF(AND(Input_Product=Elig!$C310,Elig_MatchAll_Ct&lt;22,$BC310=(Elig_MatchAll_Ct-1),AT310=0),Q310,0)</f>
        <v>0</v>
      </c>
      <c r="BW310" s="175">
        <f>IF(AND(Input_Product=Elig!$C310,Elig_MatchAll_Ct&lt;22,$BC310=(Elig_MatchAll_Ct-1),AU310=0),R310,0)</f>
        <v>0</v>
      </c>
      <c r="BX310" s="176">
        <f>IF(AND(Input_Product=Elig!$C310,Elig_MatchAll_Ct&lt;22,$BC310=(Elig_MatchAll_Ct-1),AU310=0),S310,0)</f>
        <v>0</v>
      </c>
      <c r="BY310" s="175">
        <f>IF(AND(Input_Product=Elig!$C310,Elig_MatchAll_Ct&lt;22,$BC310=(Elig_MatchAll_Ct-1),AV310=0),T310,0)</f>
        <v>0</v>
      </c>
      <c r="BZ310" s="176">
        <f>IF(AND(Input_Product=Elig!$C310,Elig_MatchAll_Ct&lt;22,$BC310=(Elig_MatchAll_Ct-1),AV310=0),U310,0)</f>
        <v>0</v>
      </c>
      <c r="CA310" s="175">
        <f>IF(AND(Input_Product=Elig!$C310,Elig_MatchAll_Ct&lt;22,$BC310=(Elig_MatchAll_Ct-1),AW310=0),V310,0)</f>
        <v>0</v>
      </c>
      <c r="CB310" s="176">
        <f>IF(AND(Input_Product=Elig!$C310,Elig_MatchAll_Ct&lt;22,$BC310=(Elig_MatchAll_Ct-1),AW310=0),W310,0)</f>
        <v>0</v>
      </c>
      <c r="CC310" s="175">
        <f>IF(AND(Input_Product=Elig!$C310,Elig_MatchAll_Ct&lt;22,$BC310=(Elig_MatchAll_Ct-1),AX310=0),X310,0)</f>
        <v>0</v>
      </c>
      <c r="CD310" s="176">
        <f>IF(AND(Input_Product=Elig!$C310,Elig_MatchAll_Ct&lt;22,$BC310=(Elig_MatchAll_Ct-1),AX310=0),Y310,0)</f>
        <v>0</v>
      </c>
      <c r="CE310" s="175">
        <f>IF(AND(Input_LTV&lt;=AE310,Input_Product=Elig!$C310,Elig_MatchAll_Ct&lt;22,$BC310=(Elig_MatchAll_Ct-1),AY310=0),Z310,0)</f>
        <v>0</v>
      </c>
      <c r="CF310" s="176">
        <f>IF(AND(Input_LTV&lt;=AE310,Input_Product=Elig!$C310,Elig_MatchAll_Ct&lt;22,$BC310=(Elig_MatchAll_Ct-1),AY310=0),AA310,0)</f>
        <v>0</v>
      </c>
      <c r="CG310" s="175">
        <f>IF(AND(Input_Product=Elig!$C310,Elig_MatchAll_Ct&lt;22,$BC310=(Elig_MatchAll_Ct-1),AZ310=0),AB310,0)</f>
        <v>0</v>
      </c>
      <c r="CH310" s="176">
        <f>IF(AND(Input_Product=Elig!$C310,Elig_MatchAll_Ct&lt;22,$BC310=(Elig_MatchAll_Ct-1),AZ310=0),AC310,0)</f>
        <v>0</v>
      </c>
      <c r="CI310" s="175">
        <f>IF(AND(Input_Product=Elig!$C310,Elig_MatchAll_Ct&lt;22,$BC310=(Elig_MatchAll_Ct-1),BA310=0),AD310,0)</f>
        <v>0</v>
      </c>
      <c r="CJ310" s="176">
        <f>IF(AND(Input_Product=Elig!$C310,Elig_MatchAll_Ct&lt;22,$BC310=(Elig_MatchAll_Ct-1),BA310=0),AE310,0)</f>
        <v>0</v>
      </c>
    </row>
    <row r="311" spans="1:88" ht="10.15" customHeight="1" x14ac:dyDescent="0.25">
      <c r="A311" s="252" t="s">
        <v>76</v>
      </c>
      <c r="B311" s="252" t="s">
        <v>944</v>
      </c>
      <c r="C311" s="251" t="str">
        <f t="shared" si="93"/>
        <v>NonQM NOO</v>
      </c>
      <c r="D311" s="252" t="s">
        <v>1995</v>
      </c>
      <c r="E311" s="252" t="s">
        <v>166</v>
      </c>
      <c r="F311" s="252" t="s">
        <v>329</v>
      </c>
      <c r="G311" s="252" t="s">
        <v>302</v>
      </c>
      <c r="H311" s="252" t="s">
        <v>135</v>
      </c>
      <c r="I311" s="252" t="s">
        <v>273</v>
      </c>
      <c r="J311" s="252" t="s">
        <v>1130</v>
      </c>
      <c r="K311" s="252" t="s">
        <v>1398</v>
      </c>
      <c r="L311" s="252" t="s">
        <v>311</v>
      </c>
      <c r="M311" s="252" t="s">
        <v>2289</v>
      </c>
      <c r="N311" s="252" t="s">
        <v>1844</v>
      </c>
      <c r="O311" s="252" t="s">
        <v>309</v>
      </c>
      <c r="P311" s="252" t="s">
        <v>2434</v>
      </c>
      <c r="Q311" s="252" t="s">
        <v>293</v>
      </c>
      <c r="R311" s="252">
        <v>1000000.01</v>
      </c>
      <c r="S311" s="252">
        <v>1500000</v>
      </c>
      <c r="T311" s="252">
        <v>0</v>
      </c>
      <c r="U311" s="252">
        <v>0</v>
      </c>
      <c r="V311" s="252">
        <v>0</v>
      </c>
      <c r="W311" s="252">
        <v>50</v>
      </c>
      <c r="X311" s="252">
        <v>0</v>
      </c>
      <c r="Y311" s="252">
        <v>999</v>
      </c>
      <c r="Z311" s="254">
        <v>660</v>
      </c>
      <c r="AA311" s="254">
        <v>679</v>
      </c>
      <c r="AB311" s="1883">
        <v>0</v>
      </c>
      <c r="AC311" s="254">
        <v>999999</v>
      </c>
      <c r="AD311" s="252">
        <v>0</v>
      </c>
      <c r="AE311" s="255">
        <v>75</v>
      </c>
      <c r="AF311" s="144">
        <v>0</v>
      </c>
      <c r="AG311" s="145">
        <v>1</v>
      </c>
      <c r="AH311" s="145">
        <v>1</v>
      </c>
      <c r="AI311" s="145">
        <v>1</v>
      </c>
      <c r="AJ311" s="145">
        <v>0</v>
      </c>
      <c r="AK311" s="145">
        <v>1</v>
      </c>
      <c r="AL311" s="145">
        <v>1</v>
      </c>
      <c r="AM311" s="145">
        <v>1</v>
      </c>
      <c r="AN311" s="145">
        <v>1</v>
      </c>
      <c r="AO311" s="145">
        <v>1</v>
      </c>
      <c r="AP311" s="145">
        <v>1</v>
      </c>
      <c r="AQ311" s="145">
        <v>1</v>
      </c>
      <c r="AR311" s="145">
        <v>1</v>
      </c>
      <c r="AS311" s="145">
        <v>1</v>
      </c>
      <c r="AT311" s="145">
        <v>1</v>
      </c>
      <c r="AU311" s="145">
        <f t="shared" si="102"/>
        <v>0</v>
      </c>
      <c r="AV311" s="145">
        <f t="shared" si="103"/>
        <v>1</v>
      </c>
      <c r="AW311" s="145">
        <f t="shared" si="104"/>
        <v>1</v>
      </c>
      <c r="AX311" s="145">
        <f t="shared" si="110"/>
        <v>1</v>
      </c>
      <c r="AY311" s="145">
        <f t="shared" si="105"/>
        <v>0</v>
      </c>
      <c r="AZ311" s="145">
        <f t="shared" si="106"/>
        <v>1</v>
      </c>
      <c r="BA311" s="146">
        <f t="shared" si="107"/>
        <v>1</v>
      </c>
      <c r="BB311" s="149">
        <f t="shared" si="98"/>
        <v>18</v>
      </c>
      <c r="BC311" s="150">
        <f t="shared" si="99"/>
        <v>17</v>
      </c>
      <c r="BD311" s="150">
        <f t="shared" si="100"/>
        <v>18</v>
      </c>
      <c r="BE311" s="211" t="str">
        <f t="shared" si="101"/>
        <v/>
      </c>
      <c r="BH311" s="173">
        <f>IF(AND(Input_Product=Elig!$C311,Elig_MatchAll_Ct&lt;22,$BC311=(Elig_MatchAll_Ct-1),AF311=0),C311,0)</f>
        <v>0</v>
      </c>
      <c r="BI311" s="173">
        <f>IF(AND(Input_Product=Elig!$C311,Elig_MatchAll_Ct&lt;22,$BC311=(Elig_MatchAll_Ct-1),AG311=0),D311,0)</f>
        <v>0</v>
      </c>
      <c r="BJ311" s="173">
        <f>IF(AND(Input_Product=Elig!$C311,Elig_MatchAll_Ct&lt;22,$BC311=(Elig_MatchAll_Ct-1),AH311=0),E311,0)</f>
        <v>0</v>
      </c>
      <c r="BK311" s="173">
        <f>IF(AND(Input_Product=Elig!$C311,Elig_MatchAll_Ct&lt;22,$BC311=(Elig_MatchAll_Ct-1),AI311=0),F311,0)</f>
        <v>0</v>
      </c>
      <c r="BL311" s="173">
        <f>IF(AND(Input_Product=Elig!$C311,Elig_MatchAll_Ct&lt;22,$BC311=(Elig_MatchAll_Ct-1),AJ311=0),G311,0)</f>
        <v>0</v>
      </c>
      <c r="BM311" s="173">
        <f>IF(AND(Input_Product=Elig!$C311,Elig_MatchAll_Ct&lt;22,$BC311=(Elig_MatchAll_Ct-1),AK311=0),H311,0)</f>
        <v>0</v>
      </c>
      <c r="BN311" s="173">
        <f>IF(AND(Input_Product=Elig!$C311,Elig_MatchAll_Ct&lt;22,$BC311=(Elig_MatchAll_Ct-1),AL311=0),I311,0)</f>
        <v>0</v>
      </c>
      <c r="BO311" s="173">
        <f>IF(AND(Input_Product=Elig!$C311,Elig_MatchAll_Ct&lt;22,$BC311=(Elig_MatchAll_Ct-1),AM311=0),J311,0)</f>
        <v>0</v>
      </c>
      <c r="BP311" s="173">
        <f>IF(AND(Input_Product=Elig!$C311,Elig_MatchAll_Ct&lt;22,$BC311=(Elig_MatchAll_Ct-1),AN311=0),K311,0)</f>
        <v>0</v>
      </c>
      <c r="BQ311" s="173">
        <f>IF(AND(Input_Product=Elig!$C311,Elig_MatchAll_Ct&lt;22,$BC311=(Elig_MatchAll_Ct-1),AP311=0),L311,0)</f>
        <v>0</v>
      </c>
      <c r="BR311" s="173">
        <f>IF(AND(Input_Product=Elig!$C311,Elig_MatchAll_Ct&lt;22,$BC311=(Elig_MatchAll_Ct-1),AO311=0),M311,0)</f>
        <v>0</v>
      </c>
      <c r="BS311" s="173">
        <f>IF(AND(Input_Product=Elig!$C311,Elig_MatchAll_Ct&lt;22,$BC311=(Elig_MatchAll_Ct-1),AQ311=0),N311,0)</f>
        <v>0</v>
      </c>
      <c r="BT311" s="173">
        <f>IF(AND(Input_Product=Elig!$C311,Elig_MatchAll_Ct&lt;22,$BC311=(Elig_MatchAll_Ct-1),AR311=0),O311,0)</f>
        <v>0</v>
      </c>
      <c r="BU311" s="173">
        <f>IF(AND(Input_Product=Elig!$C311,Elig_MatchAll_Ct&lt;22,$BC311=(Elig_MatchAll_Ct-1),AS311=0),P311,0)</f>
        <v>0</v>
      </c>
      <c r="BV311" s="174">
        <f>IF(AND(Input_Product=Elig!$C311,Elig_MatchAll_Ct&lt;22,$BC311=(Elig_MatchAll_Ct-1),AT311=0),Q311,0)</f>
        <v>0</v>
      </c>
      <c r="BW311" s="175">
        <f>IF(AND(Input_Product=Elig!$C311,Elig_MatchAll_Ct&lt;22,$BC311=(Elig_MatchAll_Ct-1),AU311=0),R311,0)</f>
        <v>0</v>
      </c>
      <c r="BX311" s="176">
        <f>IF(AND(Input_Product=Elig!$C311,Elig_MatchAll_Ct&lt;22,$BC311=(Elig_MatchAll_Ct-1),AU311=0),S311,0)</f>
        <v>0</v>
      </c>
      <c r="BY311" s="175">
        <f>IF(AND(Input_Product=Elig!$C311,Elig_MatchAll_Ct&lt;22,$BC311=(Elig_MatchAll_Ct-1),AV311=0),T311,0)</f>
        <v>0</v>
      </c>
      <c r="BZ311" s="176">
        <f>IF(AND(Input_Product=Elig!$C311,Elig_MatchAll_Ct&lt;22,$BC311=(Elig_MatchAll_Ct-1),AV311=0),U311,0)</f>
        <v>0</v>
      </c>
      <c r="CA311" s="175">
        <f>IF(AND(Input_Product=Elig!$C311,Elig_MatchAll_Ct&lt;22,$BC311=(Elig_MatchAll_Ct-1),AW311=0),V311,0)</f>
        <v>0</v>
      </c>
      <c r="CB311" s="176">
        <f>IF(AND(Input_Product=Elig!$C311,Elig_MatchAll_Ct&lt;22,$BC311=(Elig_MatchAll_Ct-1),AW311=0),W311,0)</f>
        <v>0</v>
      </c>
      <c r="CC311" s="175">
        <f>IF(AND(Input_Product=Elig!$C311,Elig_MatchAll_Ct&lt;22,$BC311=(Elig_MatchAll_Ct-1),AX311=0),X311,0)</f>
        <v>0</v>
      </c>
      <c r="CD311" s="176">
        <f>IF(AND(Input_Product=Elig!$C311,Elig_MatchAll_Ct&lt;22,$BC311=(Elig_MatchAll_Ct-1),AX311=0),Y311,0)</f>
        <v>0</v>
      </c>
      <c r="CE311" s="175">
        <f>IF(AND(Input_LTV&lt;=AE311,Input_Product=Elig!$C311,Elig_MatchAll_Ct&lt;22,$BC311=(Elig_MatchAll_Ct-1),AY311=0),Z311,0)</f>
        <v>0</v>
      </c>
      <c r="CF311" s="176">
        <f>IF(AND(Input_LTV&lt;=AE311,Input_Product=Elig!$C311,Elig_MatchAll_Ct&lt;22,$BC311=(Elig_MatchAll_Ct-1),AY311=0),AA311,0)</f>
        <v>0</v>
      </c>
      <c r="CG311" s="175">
        <f>IF(AND(Input_Product=Elig!$C311,Elig_MatchAll_Ct&lt;22,$BC311=(Elig_MatchAll_Ct-1),AZ311=0),AB311,0)</f>
        <v>0</v>
      </c>
      <c r="CH311" s="176">
        <f>IF(AND(Input_Product=Elig!$C311,Elig_MatchAll_Ct&lt;22,$BC311=(Elig_MatchAll_Ct-1),AZ311=0),AC311,0)</f>
        <v>0</v>
      </c>
      <c r="CI311" s="175">
        <f>IF(AND(Input_Product=Elig!$C311,Elig_MatchAll_Ct&lt;22,$BC311=(Elig_MatchAll_Ct-1),BA311=0),AD311,0)</f>
        <v>0</v>
      </c>
      <c r="CJ311" s="176">
        <f>IF(AND(Input_Product=Elig!$C311,Elig_MatchAll_Ct&lt;22,$BC311=(Elig_MatchAll_Ct-1),BA311=0),AE311,0)</f>
        <v>0</v>
      </c>
    </row>
    <row r="312" spans="1:88" ht="10.15" customHeight="1" x14ac:dyDescent="0.25">
      <c r="A312" s="252" t="s">
        <v>76</v>
      </c>
      <c r="B312" s="252" t="s">
        <v>945</v>
      </c>
      <c r="C312" s="246" t="str">
        <f t="shared" ref="C312:C372" si="116">Input_Name_Product2</f>
        <v>NonQM NOO</v>
      </c>
      <c r="D312" s="247" t="s">
        <v>1995</v>
      </c>
      <c r="E312" s="248" t="s">
        <v>166</v>
      </c>
      <c r="F312" s="248" t="s">
        <v>329</v>
      </c>
      <c r="G312" s="248" t="s">
        <v>302</v>
      </c>
      <c r="H312" s="248" t="s">
        <v>135</v>
      </c>
      <c r="I312" s="247" t="s">
        <v>16</v>
      </c>
      <c r="J312" s="247" t="s">
        <v>1130</v>
      </c>
      <c r="K312" s="247" t="s">
        <v>1398</v>
      </c>
      <c r="L312" s="248" t="s">
        <v>311</v>
      </c>
      <c r="M312" s="248" t="s">
        <v>2289</v>
      </c>
      <c r="N312" s="248" t="s">
        <v>1844</v>
      </c>
      <c r="O312" s="248" t="s">
        <v>309</v>
      </c>
      <c r="P312" s="248" t="s">
        <v>2434</v>
      </c>
      <c r="Q312" s="248" t="s">
        <v>293</v>
      </c>
      <c r="R312" s="247">
        <v>1000000.01</v>
      </c>
      <c r="S312" s="247">
        <v>1500000</v>
      </c>
      <c r="T312" s="247">
        <v>0</v>
      </c>
      <c r="U312" s="247">
        <f t="shared" ref="U312:U315" si="117">S312</f>
        <v>1500000</v>
      </c>
      <c r="V312" s="247">
        <v>0</v>
      </c>
      <c r="W312" s="247">
        <v>55</v>
      </c>
      <c r="X312" s="247">
        <v>0</v>
      </c>
      <c r="Y312" s="247">
        <v>999</v>
      </c>
      <c r="Z312" s="249">
        <v>720</v>
      </c>
      <c r="AA312" s="249">
        <v>999</v>
      </c>
      <c r="AB312" s="1882">
        <v>0</v>
      </c>
      <c r="AC312" s="249">
        <v>999999</v>
      </c>
      <c r="AD312" s="247">
        <v>0</v>
      </c>
      <c r="AE312" s="250">
        <v>80</v>
      </c>
      <c r="AF312" s="144">
        <v>0</v>
      </c>
      <c r="AG312" s="145">
        <v>1</v>
      </c>
      <c r="AH312" s="145">
        <v>1</v>
      </c>
      <c r="AI312" s="145">
        <v>1</v>
      </c>
      <c r="AJ312" s="145">
        <v>0</v>
      </c>
      <c r="AK312" s="145">
        <v>1</v>
      </c>
      <c r="AL312" s="145">
        <v>0</v>
      </c>
      <c r="AM312" s="145">
        <v>1</v>
      </c>
      <c r="AN312" s="145">
        <v>1</v>
      </c>
      <c r="AO312" s="145">
        <v>1</v>
      </c>
      <c r="AP312" s="145">
        <v>1</v>
      </c>
      <c r="AQ312" s="145">
        <v>1</v>
      </c>
      <c r="AR312" s="145">
        <v>1</v>
      </c>
      <c r="AS312" s="145">
        <v>1</v>
      </c>
      <c r="AT312" s="145">
        <v>1</v>
      </c>
      <c r="AU312" s="145">
        <f t="shared" si="102"/>
        <v>0</v>
      </c>
      <c r="AV312" s="145">
        <f t="shared" si="103"/>
        <v>1</v>
      </c>
      <c r="AW312" s="145">
        <f t="shared" si="104"/>
        <v>1</v>
      </c>
      <c r="AX312" s="145">
        <f t="shared" si="110"/>
        <v>1</v>
      </c>
      <c r="AY312" s="145">
        <f t="shared" si="105"/>
        <v>1</v>
      </c>
      <c r="AZ312" s="145">
        <f t="shared" si="106"/>
        <v>1</v>
      </c>
      <c r="BA312" s="146">
        <f t="shared" si="107"/>
        <v>1</v>
      </c>
      <c r="BB312" s="149">
        <f t="shared" si="98"/>
        <v>18</v>
      </c>
      <c r="BC312" s="150">
        <f t="shared" si="99"/>
        <v>17</v>
      </c>
      <c r="BD312" s="150">
        <f t="shared" si="100"/>
        <v>18</v>
      </c>
      <c r="BE312" s="211" t="str">
        <f t="shared" si="101"/>
        <v/>
      </c>
      <c r="BH312" s="190">
        <f>IF(AND(Input_Product=Elig!$C312,Elig_MatchAll_Ct&lt;22,$BC312=(Elig_MatchAll_Ct-1),AF312=0),C312,0)</f>
        <v>0</v>
      </c>
      <c r="BI312" s="190">
        <f>IF(AND(Input_Product=Elig!$C312,Elig_MatchAll_Ct&lt;22,$BC312=(Elig_MatchAll_Ct-1),AG312=0),D312,0)</f>
        <v>0</v>
      </c>
      <c r="BJ312" s="190">
        <f>IF(AND(Input_Product=Elig!$C312,Elig_MatchAll_Ct&lt;22,$BC312=(Elig_MatchAll_Ct-1),AH312=0),E312,0)</f>
        <v>0</v>
      </c>
      <c r="BK312" s="190">
        <f>IF(AND(Input_Product=Elig!$C312,Elig_MatchAll_Ct&lt;22,$BC312=(Elig_MatchAll_Ct-1),AI312=0),F312,0)</f>
        <v>0</v>
      </c>
      <c r="BL312" s="190">
        <f>IF(AND(Input_Product=Elig!$C312,Elig_MatchAll_Ct&lt;22,$BC312=(Elig_MatchAll_Ct-1),AJ312=0),G312,0)</f>
        <v>0</v>
      </c>
      <c r="BM312" s="190">
        <f>IF(AND(Input_Product=Elig!$C312,Elig_MatchAll_Ct&lt;22,$BC312=(Elig_MatchAll_Ct-1),AK312=0),H312,0)</f>
        <v>0</v>
      </c>
      <c r="BN312" s="190">
        <f>IF(AND(Input_Product=Elig!$C312,Elig_MatchAll_Ct&lt;22,$BC312=(Elig_MatchAll_Ct-1),AL312=0),I312,0)</f>
        <v>0</v>
      </c>
      <c r="BO312" s="190">
        <f>IF(AND(Input_Product=Elig!$C312,Elig_MatchAll_Ct&lt;22,$BC312=(Elig_MatchAll_Ct-1),AM312=0),J312,0)</f>
        <v>0</v>
      </c>
      <c r="BP312" s="190">
        <f>IF(AND(Input_Product=Elig!$C312,Elig_MatchAll_Ct&lt;22,$BC312=(Elig_MatchAll_Ct-1),AN312=0),K312,0)</f>
        <v>0</v>
      </c>
      <c r="BQ312" s="190">
        <f>IF(AND(Input_Product=Elig!$C312,Elig_MatchAll_Ct&lt;22,$BC312=(Elig_MatchAll_Ct-1),AP312=0),L312,0)</f>
        <v>0</v>
      </c>
      <c r="BR312" s="190">
        <f>IF(AND(Input_Product=Elig!$C312,Elig_MatchAll_Ct&lt;22,$BC312=(Elig_MatchAll_Ct-1),AO312=0),M312,0)</f>
        <v>0</v>
      </c>
      <c r="BS312" s="190">
        <f>IF(AND(Input_Product=Elig!$C312,Elig_MatchAll_Ct&lt;22,$BC312=(Elig_MatchAll_Ct-1),AQ312=0),N312,0)</f>
        <v>0</v>
      </c>
      <c r="BT312" s="190">
        <f>IF(AND(Input_Product=Elig!$C312,Elig_MatchAll_Ct&lt;22,$BC312=(Elig_MatchAll_Ct-1),AR312=0),O312,0)</f>
        <v>0</v>
      </c>
      <c r="BU312" s="190">
        <f>IF(AND(Input_Product=Elig!$C312,Elig_MatchAll_Ct&lt;22,$BC312=(Elig_MatchAll_Ct-1),AS312=0),P312,0)</f>
        <v>0</v>
      </c>
      <c r="BV312" s="191">
        <f>IF(AND(Input_Product=Elig!$C312,Elig_MatchAll_Ct&lt;22,$BC312=(Elig_MatchAll_Ct-1),AT312=0),Q312,0)</f>
        <v>0</v>
      </c>
      <c r="BW312" s="186">
        <f>IF(AND(Input_Product=Elig!$C312,Elig_MatchAll_Ct&lt;22,$BC312=(Elig_MatchAll_Ct-1),AU312=0),R312,0)</f>
        <v>0</v>
      </c>
      <c r="BX312" s="187">
        <f>IF(AND(Input_Product=Elig!$C312,Elig_MatchAll_Ct&lt;22,$BC312=(Elig_MatchAll_Ct-1),AU312=0),S312,0)</f>
        <v>0</v>
      </c>
      <c r="BY312" s="186">
        <f>IF(AND(Input_Product=Elig!$C312,Elig_MatchAll_Ct&lt;22,$BC312=(Elig_MatchAll_Ct-1),AV312=0),T312,0)</f>
        <v>0</v>
      </c>
      <c r="BZ312" s="187">
        <f>IF(AND(Input_Product=Elig!$C312,Elig_MatchAll_Ct&lt;22,$BC312=(Elig_MatchAll_Ct-1),AV312=0),U312,0)</f>
        <v>0</v>
      </c>
      <c r="CA312" s="186">
        <f>IF(AND(Input_Product=Elig!$C312,Elig_MatchAll_Ct&lt;22,$BC312=(Elig_MatchAll_Ct-1),AW312=0),V312,0)</f>
        <v>0</v>
      </c>
      <c r="CB312" s="187">
        <f>IF(AND(Input_Product=Elig!$C312,Elig_MatchAll_Ct&lt;22,$BC312=(Elig_MatchAll_Ct-1),AW312=0),W312,0)</f>
        <v>0</v>
      </c>
      <c r="CC312" s="186">
        <f>IF(AND(Input_Product=Elig!$C312,Elig_MatchAll_Ct&lt;22,$BC312=(Elig_MatchAll_Ct-1),AX312=0),X312,0)</f>
        <v>0</v>
      </c>
      <c r="CD312" s="187">
        <f>IF(AND(Input_Product=Elig!$C312,Elig_MatchAll_Ct&lt;22,$BC312=(Elig_MatchAll_Ct-1),AX312=0),Y312,0)</f>
        <v>0</v>
      </c>
      <c r="CE312" s="186">
        <f>IF(AND(Input_LTV&lt;=AE312,Input_Product=Elig!$C312,Elig_MatchAll_Ct&lt;22,$BC312=(Elig_MatchAll_Ct-1),AY312=0),Z312,0)</f>
        <v>0</v>
      </c>
      <c r="CF312" s="187">
        <f>IF(AND(Input_LTV&lt;=AE312,Input_Product=Elig!$C312,Elig_MatchAll_Ct&lt;22,$BC312=(Elig_MatchAll_Ct-1),AY312=0),AA312,0)</f>
        <v>0</v>
      </c>
      <c r="CG312" s="186">
        <f>IF(AND(Input_Product=Elig!$C312,Elig_MatchAll_Ct&lt;22,$BC312=(Elig_MatchAll_Ct-1),AZ312=0),AB312,0)</f>
        <v>0</v>
      </c>
      <c r="CH312" s="187">
        <f>IF(AND(Input_Product=Elig!$C312,Elig_MatchAll_Ct&lt;22,$BC312=(Elig_MatchAll_Ct-1),AZ312=0),AC312,0)</f>
        <v>0</v>
      </c>
      <c r="CI312" s="186">
        <f>IF(AND(Input_Product=Elig!$C312,Elig_MatchAll_Ct&lt;22,$BC312=(Elig_MatchAll_Ct-1),BA312=0),AD312,0)</f>
        <v>0</v>
      </c>
      <c r="CJ312" s="187">
        <f>IF(AND(Input_Product=Elig!$C312,Elig_MatchAll_Ct&lt;22,$BC312=(Elig_MatchAll_Ct-1),BA312=0),AE312,0)</f>
        <v>0</v>
      </c>
    </row>
    <row r="313" spans="1:88" ht="10.15" customHeight="1" x14ac:dyDescent="0.25">
      <c r="A313" s="252" t="s">
        <v>76</v>
      </c>
      <c r="B313" s="252" t="s">
        <v>946</v>
      </c>
      <c r="C313" s="251" t="str">
        <f t="shared" si="116"/>
        <v>NonQM NOO</v>
      </c>
      <c r="D313" s="252" t="s">
        <v>1995</v>
      </c>
      <c r="E313" s="252" t="s">
        <v>166</v>
      </c>
      <c r="F313" s="252" t="s">
        <v>329</v>
      </c>
      <c r="G313" s="252" t="s">
        <v>302</v>
      </c>
      <c r="H313" s="252" t="s">
        <v>135</v>
      </c>
      <c r="I313" s="253" t="s">
        <v>16</v>
      </c>
      <c r="J313" s="253" t="s">
        <v>1130</v>
      </c>
      <c r="K313" s="253" t="s">
        <v>1398</v>
      </c>
      <c r="L313" s="252" t="s">
        <v>311</v>
      </c>
      <c r="M313" s="252" t="s">
        <v>2289</v>
      </c>
      <c r="N313" s="252" t="s">
        <v>1844</v>
      </c>
      <c r="O313" s="252" t="s">
        <v>309</v>
      </c>
      <c r="P313" s="252" t="s">
        <v>2434</v>
      </c>
      <c r="Q313" s="252" t="s">
        <v>293</v>
      </c>
      <c r="R313" s="252">
        <v>1000000.01</v>
      </c>
      <c r="S313" s="252">
        <v>1500000</v>
      </c>
      <c r="T313" s="252">
        <v>0</v>
      </c>
      <c r="U313" s="252">
        <f t="shared" si="117"/>
        <v>1500000</v>
      </c>
      <c r="V313" s="252">
        <v>0</v>
      </c>
      <c r="W313" s="252">
        <v>55</v>
      </c>
      <c r="X313" s="252">
        <v>0</v>
      </c>
      <c r="Y313" s="252">
        <v>999</v>
      </c>
      <c r="Z313" s="254">
        <v>700</v>
      </c>
      <c r="AA313" s="254">
        <v>719</v>
      </c>
      <c r="AB313" s="1883">
        <v>0</v>
      </c>
      <c r="AC313" s="254">
        <v>999999</v>
      </c>
      <c r="AD313" s="252">
        <v>0</v>
      </c>
      <c r="AE313" s="255">
        <v>75</v>
      </c>
      <c r="AF313" s="144">
        <v>0</v>
      </c>
      <c r="AG313" s="145">
        <v>1</v>
      </c>
      <c r="AH313" s="145">
        <v>1</v>
      </c>
      <c r="AI313" s="145">
        <v>1</v>
      </c>
      <c r="AJ313" s="145">
        <v>0</v>
      </c>
      <c r="AK313" s="145">
        <v>1</v>
      </c>
      <c r="AL313" s="145">
        <v>0</v>
      </c>
      <c r="AM313" s="145">
        <v>1</v>
      </c>
      <c r="AN313" s="145">
        <v>1</v>
      </c>
      <c r="AO313" s="145">
        <v>1</v>
      </c>
      <c r="AP313" s="145">
        <v>1</v>
      </c>
      <c r="AQ313" s="145">
        <v>1</v>
      </c>
      <c r="AR313" s="145">
        <v>1</v>
      </c>
      <c r="AS313" s="145">
        <v>1</v>
      </c>
      <c r="AT313" s="145">
        <v>1</v>
      </c>
      <c r="AU313" s="145">
        <f t="shared" si="102"/>
        <v>0</v>
      </c>
      <c r="AV313" s="145">
        <f t="shared" si="103"/>
        <v>1</v>
      </c>
      <c r="AW313" s="145">
        <f t="shared" si="104"/>
        <v>1</v>
      </c>
      <c r="AX313" s="145">
        <f t="shared" si="110"/>
        <v>1</v>
      </c>
      <c r="AY313" s="145">
        <f t="shared" si="105"/>
        <v>0</v>
      </c>
      <c r="AZ313" s="145">
        <f t="shared" si="106"/>
        <v>1</v>
      </c>
      <c r="BA313" s="146">
        <f t="shared" si="107"/>
        <v>1</v>
      </c>
      <c r="BB313" s="149">
        <f t="shared" si="98"/>
        <v>17</v>
      </c>
      <c r="BC313" s="150">
        <f t="shared" si="99"/>
        <v>16</v>
      </c>
      <c r="BD313" s="150">
        <f t="shared" si="100"/>
        <v>17</v>
      </c>
      <c r="BE313" s="211" t="str">
        <f t="shared" si="101"/>
        <v/>
      </c>
      <c r="BH313" s="173">
        <f>IF(AND(Input_Product=Elig!$C313,Elig_MatchAll_Ct&lt;22,$BC313=(Elig_MatchAll_Ct-1),AF313=0),C313,0)</f>
        <v>0</v>
      </c>
      <c r="BI313" s="173">
        <f>IF(AND(Input_Product=Elig!$C313,Elig_MatchAll_Ct&lt;22,$BC313=(Elig_MatchAll_Ct-1),AG313=0),D313,0)</f>
        <v>0</v>
      </c>
      <c r="BJ313" s="173">
        <f>IF(AND(Input_Product=Elig!$C313,Elig_MatchAll_Ct&lt;22,$BC313=(Elig_MatchAll_Ct-1),AH313=0),E313,0)</f>
        <v>0</v>
      </c>
      <c r="BK313" s="173">
        <f>IF(AND(Input_Product=Elig!$C313,Elig_MatchAll_Ct&lt;22,$BC313=(Elig_MatchAll_Ct-1),AI313=0),F313,0)</f>
        <v>0</v>
      </c>
      <c r="BL313" s="173">
        <f>IF(AND(Input_Product=Elig!$C313,Elig_MatchAll_Ct&lt;22,$BC313=(Elig_MatchAll_Ct-1),AJ313=0),G313,0)</f>
        <v>0</v>
      </c>
      <c r="BM313" s="173">
        <f>IF(AND(Input_Product=Elig!$C313,Elig_MatchAll_Ct&lt;22,$BC313=(Elig_MatchAll_Ct-1),AK313=0),H313,0)</f>
        <v>0</v>
      </c>
      <c r="BN313" s="173">
        <f>IF(AND(Input_Product=Elig!$C313,Elig_MatchAll_Ct&lt;22,$BC313=(Elig_MatchAll_Ct-1),AL313=0),I313,0)</f>
        <v>0</v>
      </c>
      <c r="BO313" s="173">
        <f>IF(AND(Input_Product=Elig!$C313,Elig_MatchAll_Ct&lt;22,$BC313=(Elig_MatchAll_Ct-1),AM313=0),J313,0)</f>
        <v>0</v>
      </c>
      <c r="BP313" s="173">
        <f>IF(AND(Input_Product=Elig!$C313,Elig_MatchAll_Ct&lt;22,$BC313=(Elig_MatchAll_Ct-1),AN313=0),K313,0)</f>
        <v>0</v>
      </c>
      <c r="BQ313" s="173">
        <f>IF(AND(Input_Product=Elig!$C313,Elig_MatchAll_Ct&lt;22,$BC313=(Elig_MatchAll_Ct-1),AP313=0),L313,0)</f>
        <v>0</v>
      </c>
      <c r="BR313" s="173">
        <f>IF(AND(Input_Product=Elig!$C313,Elig_MatchAll_Ct&lt;22,$BC313=(Elig_MatchAll_Ct-1),AO313=0),M313,0)</f>
        <v>0</v>
      </c>
      <c r="BS313" s="173">
        <f>IF(AND(Input_Product=Elig!$C313,Elig_MatchAll_Ct&lt;22,$BC313=(Elig_MatchAll_Ct-1),AQ313=0),N313,0)</f>
        <v>0</v>
      </c>
      <c r="BT313" s="173">
        <f>IF(AND(Input_Product=Elig!$C313,Elig_MatchAll_Ct&lt;22,$BC313=(Elig_MatchAll_Ct-1),AR313=0),O313,0)</f>
        <v>0</v>
      </c>
      <c r="BU313" s="173">
        <f>IF(AND(Input_Product=Elig!$C313,Elig_MatchAll_Ct&lt;22,$BC313=(Elig_MatchAll_Ct-1),AS313=0),P313,0)</f>
        <v>0</v>
      </c>
      <c r="BV313" s="174">
        <f>IF(AND(Input_Product=Elig!$C313,Elig_MatchAll_Ct&lt;22,$BC313=(Elig_MatchAll_Ct-1),AT313=0),Q313,0)</f>
        <v>0</v>
      </c>
      <c r="BW313" s="175">
        <f>IF(AND(Input_Product=Elig!$C313,Elig_MatchAll_Ct&lt;22,$BC313=(Elig_MatchAll_Ct-1),AU313=0),R313,0)</f>
        <v>0</v>
      </c>
      <c r="BX313" s="176">
        <f>IF(AND(Input_Product=Elig!$C313,Elig_MatchAll_Ct&lt;22,$BC313=(Elig_MatchAll_Ct-1),AU313=0),S313,0)</f>
        <v>0</v>
      </c>
      <c r="BY313" s="175">
        <f>IF(AND(Input_Product=Elig!$C313,Elig_MatchAll_Ct&lt;22,$BC313=(Elig_MatchAll_Ct-1),AV313=0),T313,0)</f>
        <v>0</v>
      </c>
      <c r="BZ313" s="176">
        <f>IF(AND(Input_Product=Elig!$C313,Elig_MatchAll_Ct&lt;22,$BC313=(Elig_MatchAll_Ct-1),AV313=0),U313,0)</f>
        <v>0</v>
      </c>
      <c r="CA313" s="175">
        <f>IF(AND(Input_Product=Elig!$C313,Elig_MatchAll_Ct&lt;22,$BC313=(Elig_MatchAll_Ct-1),AW313=0),V313,0)</f>
        <v>0</v>
      </c>
      <c r="CB313" s="176">
        <f>IF(AND(Input_Product=Elig!$C313,Elig_MatchAll_Ct&lt;22,$BC313=(Elig_MatchAll_Ct-1),AW313=0),W313,0)</f>
        <v>0</v>
      </c>
      <c r="CC313" s="175">
        <f>IF(AND(Input_Product=Elig!$C313,Elig_MatchAll_Ct&lt;22,$BC313=(Elig_MatchAll_Ct-1),AX313=0),X313,0)</f>
        <v>0</v>
      </c>
      <c r="CD313" s="176">
        <f>IF(AND(Input_Product=Elig!$C313,Elig_MatchAll_Ct&lt;22,$BC313=(Elig_MatchAll_Ct-1),AX313=0),Y313,0)</f>
        <v>0</v>
      </c>
      <c r="CE313" s="175">
        <f>IF(AND(Input_LTV&lt;=AE313,Input_Product=Elig!$C313,Elig_MatchAll_Ct&lt;22,$BC313=(Elig_MatchAll_Ct-1),AY313=0),Z313,0)</f>
        <v>0</v>
      </c>
      <c r="CF313" s="176">
        <f>IF(AND(Input_LTV&lt;=AE313,Input_Product=Elig!$C313,Elig_MatchAll_Ct&lt;22,$BC313=(Elig_MatchAll_Ct-1),AY313=0),AA313,0)</f>
        <v>0</v>
      </c>
      <c r="CG313" s="175">
        <f>IF(AND(Input_Product=Elig!$C313,Elig_MatchAll_Ct&lt;22,$BC313=(Elig_MatchAll_Ct-1),AZ313=0),AB313,0)</f>
        <v>0</v>
      </c>
      <c r="CH313" s="176">
        <f>IF(AND(Input_Product=Elig!$C313,Elig_MatchAll_Ct&lt;22,$BC313=(Elig_MatchAll_Ct-1),AZ313=0),AC313,0)</f>
        <v>0</v>
      </c>
      <c r="CI313" s="175">
        <f>IF(AND(Input_Product=Elig!$C313,Elig_MatchAll_Ct&lt;22,$BC313=(Elig_MatchAll_Ct-1),BA313=0),AD313,0)</f>
        <v>0</v>
      </c>
      <c r="CJ313" s="176">
        <f>IF(AND(Input_Product=Elig!$C313,Elig_MatchAll_Ct&lt;22,$BC313=(Elig_MatchAll_Ct-1),BA313=0),AE313,0)</f>
        <v>0</v>
      </c>
    </row>
    <row r="314" spans="1:88" ht="10.15" customHeight="1" x14ac:dyDescent="0.25">
      <c r="A314" s="252" t="s">
        <v>76</v>
      </c>
      <c r="B314" s="252" t="s">
        <v>947</v>
      </c>
      <c r="C314" s="251" t="str">
        <f t="shared" si="116"/>
        <v>NonQM NOO</v>
      </c>
      <c r="D314" s="252" t="s">
        <v>1995</v>
      </c>
      <c r="E314" s="252" t="s">
        <v>166</v>
      </c>
      <c r="F314" s="252" t="s">
        <v>329</v>
      </c>
      <c r="G314" s="252" t="s">
        <v>302</v>
      </c>
      <c r="H314" s="252" t="s">
        <v>135</v>
      </c>
      <c r="I314" s="253" t="s">
        <v>16</v>
      </c>
      <c r="J314" s="253" t="s">
        <v>1130</v>
      </c>
      <c r="K314" s="253" t="s">
        <v>1398</v>
      </c>
      <c r="L314" s="252" t="s">
        <v>311</v>
      </c>
      <c r="M314" s="252" t="s">
        <v>2289</v>
      </c>
      <c r="N314" s="252" t="s">
        <v>1844</v>
      </c>
      <c r="O314" s="252" t="s">
        <v>309</v>
      </c>
      <c r="P314" s="252" t="s">
        <v>2434</v>
      </c>
      <c r="Q314" s="252" t="s">
        <v>293</v>
      </c>
      <c r="R314" s="252">
        <v>1000000.01</v>
      </c>
      <c r="S314" s="252">
        <v>1500000</v>
      </c>
      <c r="T314" s="252">
        <v>0</v>
      </c>
      <c r="U314" s="252">
        <f t="shared" si="117"/>
        <v>1500000</v>
      </c>
      <c r="V314" s="252">
        <v>0</v>
      </c>
      <c r="W314" s="252">
        <v>55</v>
      </c>
      <c r="X314" s="252">
        <v>0</v>
      </c>
      <c r="Y314" s="252">
        <v>999</v>
      </c>
      <c r="Z314" s="254">
        <v>680</v>
      </c>
      <c r="AA314" s="254">
        <v>699</v>
      </c>
      <c r="AB314" s="1883">
        <v>0</v>
      </c>
      <c r="AC314" s="254">
        <v>999999</v>
      </c>
      <c r="AD314" s="252">
        <v>0</v>
      </c>
      <c r="AE314" s="255">
        <v>75</v>
      </c>
      <c r="AF314" s="144">
        <v>0</v>
      </c>
      <c r="AG314" s="145">
        <v>1</v>
      </c>
      <c r="AH314" s="145">
        <v>1</v>
      </c>
      <c r="AI314" s="145">
        <v>1</v>
      </c>
      <c r="AJ314" s="145">
        <v>0</v>
      </c>
      <c r="AK314" s="145">
        <v>1</v>
      </c>
      <c r="AL314" s="145">
        <v>0</v>
      </c>
      <c r="AM314" s="145">
        <v>1</v>
      </c>
      <c r="AN314" s="145">
        <v>1</v>
      </c>
      <c r="AO314" s="145">
        <v>1</v>
      </c>
      <c r="AP314" s="145">
        <v>1</v>
      </c>
      <c r="AQ314" s="145">
        <v>1</v>
      </c>
      <c r="AR314" s="145">
        <v>1</v>
      </c>
      <c r="AS314" s="145">
        <v>1</v>
      </c>
      <c r="AT314" s="145">
        <v>1</v>
      </c>
      <c r="AU314" s="145">
        <f t="shared" si="102"/>
        <v>0</v>
      </c>
      <c r="AV314" s="145">
        <f t="shared" si="103"/>
        <v>1</v>
      </c>
      <c r="AW314" s="145">
        <f t="shared" si="104"/>
        <v>1</v>
      </c>
      <c r="AX314" s="145">
        <f t="shared" si="110"/>
        <v>1</v>
      </c>
      <c r="AY314" s="145">
        <f t="shared" si="105"/>
        <v>0</v>
      </c>
      <c r="AZ314" s="145">
        <f t="shared" si="106"/>
        <v>1</v>
      </c>
      <c r="BA314" s="146">
        <f t="shared" si="107"/>
        <v>1</v>
      </c>
      <c r="BB314" s="149">
        <f t="shared" si="98"/>
        <v>17</v>
      </c>
      <c r="BC314" s="150">
        <f t="shared" si="99"/>
        <v>16</v>
      </c>
      <c r="BD314" s="150">
        <f t="shared" si="100"/>
        <v>17</v>
      </c>
      <c r="BE314" s="211" t="str">
        <f t="shared" si="101"/>
        <v/>
      </c>
      <c r="BH314" s="173">
        <f>IF(AND(Input_Product=Elig!$C314,Elig_MatchAll_Ct&lt;22,$BC314=(Elig_MatchAll_Ct-1),AF314=0),C314,0)</f>
        <v>0</v>
      </c>
      <c r="BI314" s="173">
        <f>IF(AND(Input_Product=Elig!$C314,Elig_MatchAll_Ct&lt;22,$BC314=(Elig_MatchAll_Ct-1),AG314=0),D314,0)</f>
        <v>0</v>
      </c>
      <c r="BJ314" s="173">
        <f>IF(AND(Input_Product=Elig!$C314,Elig_MatchAll_Ct&lt;22,$BC314=(Elig_MatchAll_Ct-1),AH314=0),E314,0)</f>
        <v>0</v>
      </c>
      <c r="BK314" s="173">
        <f>IF(AND(Input_Product=Elig!$C314,Elig_MatchAll_Ct&lt;22,$BC314=(Elig_MatchAll_Ct-1),AI314=0),F314,0)</f>
        <v>0</v>
      </c>
      <c r="BL314" s="173">
        <f>IF(AND(Input_Product=Elig!$C314,Elig_MatchAll_Ct&lt;22,$BC314=(Elig_MatchAll_Ct-1),AJ314=0),G314,0)</f>
        <v>0</v>
      </c>
      <c r="BM314" s="173">
        <f>IF(AND(Input_Product=Elig!$C314,Elig_MatchAll_Ct&lt;22,$BC314=(Elig_MatchAll_Ct-1),AK314=0),H314,0)</f>
        <v>0</v>
      </c>
      <c r="BN314" s="173">
        <f>IF(AND(Input_Product=Elig!$C314,Elig_MatchAll_Ct&lt;22,$BC314=(Elig_MatchAll_Ct-1),AL314=0),I314,0)</f>
        <v>0</v>
      </c>
      <c r="BO314" s="173">
        <f>IF(AND(Input_Product=Elig!$C314,Elig_MatchAll_Ct&lt;22,$BC314=(Elig_MatchAll_Ct-1),AM314=0),J314,0)</f>
        <v>0</v>
      </c>
      <c r="BP314" s="173">
        <f>IF(AND(Input_Product=Elig!$C314,Elig_MatchAll_Ct&lt;22,$BC314=(Elig_MatchAll_Ct-1),AN314=0),K314,0)</f>
        <v>0</v>
      </c>
      <c r="BQ314" s="173">
        <f>IF(AND(Input_Product=Elig!$C314,Elig_MatchAll_Ct&lt;22,$BC314=(Elig_MatchAll_Ct-1),AP314=0),L314,0)</f>
        <v>0</v>
      </c>
      <c r="BR314" s="173">
        <f>IF(AND(Input_Product=Elig!$C314,Elig_MatchAll_Ct&lt;22,$BC314=(Elig_MatchAll_Ct-1),AO314=0),M314,0)</f>
        <v>0</v>
      </c>
      <c r="BS314" s="173">
        <f>IF(AND(Input_Product=Elig!$C314,Elig_MatchAll_Ct&lt;22,$BC314=(Elig_MatchAll_Ct-1),AQ314=0),N314,0)</f>
        <v>0</v>
      </c>
      <c r="BT314" s="173">
        <f>IF(AND(Input_Product=Elig!$C314,Elig_MatchAll_Ct&lt;22,$BC314=(Elig_MatchAll_Ct-1),AR314=0),O314,0)</f>
        <v>0</v>
      </c>
      <c r="BU314" s="173">
        <f>IF(AND(Input_Product=Elig!$C314,Elig_MatchAll_Ct&lt;22,$BC314=(Elig_MatchAll_Ct-1),AS314=0),P314,0)</f>
        <v>0</v>
      </c>
      <c r="BV314" s="174">
        <f>IF(AND(Input_Product=Elig!$C314,Elig_MatchAll_Ct&lt;22,$BC314=(Elig_MatchAll_Ct-1),AT314=0),Q314,0)</f>
        <v>0</v>
      </c>
      <c r="BW314" s="175">
        <f>IF(AND(Input_Product=Elig!$C314,Elig_MatchAll_Ct&lt;22,$BC314=(Elig_MatchAll_Ct-1),AU314=0),R314,0)</f>
        <v>0</v>
      </c>
      <c r="BX314" s="176">
        <f>IF(AND(Input_Product=Elig!$C314,Elig_MatchAll_Ct&lt;22,$BC314=(Elig_MatchAll_Ct-1),AU314=0),S314,0)</f>
        <v>0</v>
      </c>
      <c r="BY314" s="175">
        <f>IF(AND(Input_Product=Elig!$C314,Elig_MatchAll_Ct&lt;22,$BC314=(Elig_MatchAll_Ct-1),AV314=0),T314,0)</f>
        <v>0</v>
      </c>
      <c r="BZ314" s="176">
        <f>IF(AND(Input_Product=Elig!$C314,Elig_MatchAll_Ct&lt;22,$BC314=(Elig_MatchAll_Ct-1),AV314=0),U314,0)</f>
        <v>0</v>
      </c>
      <c r="CA314" s="175">
        <f>IF(AND(Input_Product=Elig!$C314,Elig_MatchAll_Ct&lt;22,$BC314=(Elig_MatchAll_Ct-1),AW314=0),V314,0)</f>
        <v>0</v>
      </c>
      <c r="CB314" s="176">
        <f>IF(AND(Input_Product=Elig!$C314,Elig_MatchAll_Ct&lt;22,$BC314=(Elig_MatchAll_Ct-1),AW314=0),W314,0)</f>
        <v>0</v>
      </c>
      <c r="CC314" s="175">
        <f>IF(AND(Input_Product=Elig!$C314,Elig_MatchAll_Ct&lt;22,$BC314=(Elig_MatchAll_Ct-1),AX314=0),X314,0)</f>
        <v>0</v>
      </c>
      <c r="CD314" s="176">
        <f>IF(AND(Input_Product=Elig!$C314,Elig_MatchAll_Ct&lt;22,$BC314=(Elig_MatchAll_Ct-1),AX314=0),Y314,0)</f>
        <v>0</v>
      </c>
      <c r="CE314" s="175">
        <f>IF(AND(Input_LTV&lt;=AE314,Input_Product=Elig!$C314,Elig_MatchAll_Ct&lt;22,$BC314=(Elig_MatchAll_Ct-1),AY314=0),Z314,0)</f>
        <v>0</v>
      </c>
      <c r="CF314" s="176">
        <f>IF(AND(Input_LTV&lt;=AE314,Input_Product=Elig!$C314,Elig_MatchAll_Ct&lt;22,$BC314=(Elig_MatchAll_Ct-1),AY314=0),AA314,0)</f>
        <v>0</v>
      </c>
      <c r="CG314" s="175">
        <f>IF(AND(Input_Product=Elig!$C314,Elig_MatchAll_Ct&lt;22,$BC314=(Elig_MatchAll_Ct-1),AZ314=0),AB314,0)</f>
        <v>0</v>
      </c>
      <c r="CH314" s="176">
        <f>IF(AND(Input_Product=Elig!$C314,Elig_MatchAll_Ct&lt;22,$BC314=(Elig_MatchAll_Ct-1),AZ314=0),AC314,0)</f>
        <v>0</v>
      </c>
      <c r="CI314" s="175">
        <f>IF(AND(Input_Product=Elig!$C314,Elig_MatchAll_Ct&lt;22,$BC314=(Elig_MatchAll_Ct-1),BA314=0),AD314,0)</f>
        <v>0</v>
      </c>
      <c r="CJ314" s="176">
        <f>IF(AND(Input_Product=Elig!$C314,Elig_MatchAll_Ct&lt;22,$BC314=(Elig_MatchAll_Ct-1),BA314=0),AE314,0)</f>
        <v>0</v>
      </c>
    </row>
    <row r="315" spans="1:88" ht="10.15" customHeight="1" x14ac:dyDescent="0.25">
      <c r="A315" s="252" t="s">
        <v>76</v>
      </c>
      <c r="B315" s="252" t="s">
        <v>948</v>
      </c>
      <c r="C315" s="251" t="str">
        <f t="shared" si="116"/>
        <v>NonQM NOO</v>
      </c>
      <c r="D315" s="252" t="s">
        <v>1995</v>
      </c>
      <c r="E315" s="252" t="s">
        <v>166</v>
      </c>
      <c r="F315" s="252" t="s">
        <v>329</v>
      </c>
      <c r="G315" s="252" t="s">
        <v>302</v>
      </c>
      <c r="H315" s="252" t="s">
        <v>135</v>
      </c>
      <c r="I315" s="252" t="s">
        <v>16</v>
      </c>
      <c r="J315" s="252" t="s">
        <v>1130</v>
      </c>
      <c r="K315" s="252" t="s">
        <v>1398</v>
      </c>
      <c r="L315" s="252" t="s">
        <v>311</v>
      </c>
      <c r="M315" s="252" t="s">
        <v>2289</v>
      </c>
      <c r="N315" s="252" t="s">
        <v>1844</v>
      </c>
      <c r="O315" s="252" t="s">
        <v>309</v>
      </c>
      <c r="P315" s="252" t="s">
        <v>2434</v>
      </c>
      <c r="Q315" s="252" t="s">
        <v>293</v>
      </c>
      <c r="R315" s="252">
        <v>1000000.01</v>
      </c>
      <c r="S315" s="252">
        <v>1500000</v>
      </c>
      <c r="T315" s="252">
        <v>0</v>
      </c>
      <c r="U315" s="252">
        <f t="shared" si="117"/>
        <v>1500000</v>
      </c>
      <c r="V315" s="252">
        <v>0</v>
      </c>
      <c r="W315" s="252">
        <v>50</v>
      </c>
      <c r="X315" s="252">
        <v>0</v>
      </c>
      <c r="Y315" s="252">
        <v>999</v>
      </c>
      <c r="Z315" s="254">
        <v>660</v>
      </c>
      <c r="AA315" s="254">
        <v>679</v>
      </c>
      <c r="AB315" s="1883">
        <v>0</v>
      </c>
      <c r="AC315" s="254">
        <v>999999</v>
      </c>
      <c r="AD315" s="252">
        <v>0</v>
      </c>
      <c r="AE315" s="255">
        <v>70</v>
      </c>
      <c r="AF315" s="144">
        <v>0</v>
      </c>
      <c r="AG315" s="145">
        <v>1</v>
      </c>
      <c r="AH315" s="145">
        <v>1</v>
      </c>
      <c r="AI315" s="145">
        <v>1</v>
      </c>
      <c r="AJ315" s="145">
        <v>0</v>
      </c>
      <c r="AK315" s="145">
        <v>1</v>
      </c>
      <c r="AL315" s="145">
        <v>0</v>
      </c>
      <c r="AM315" s="145">
        <v>1</v>
      </c>
      <c r="AN315" s="145">
        <v>1</v>
      </c>
      <c r="AO315" s="145">
        <v>1</v>
      </c>
      <c r="AP315" s="145">
        <v>1</v>
      </c>
      <c r="AQ315" s="145">
        <v>1</v>
      </c>
      <c r="AR315" s="145">
        <v>1</v>
      </c>
      <c r="AS315" s="145">
        <v>1</v>
      </c>
      <c r="AT315" s="145">
        <v>1</v>
      </c>
      <c r="AU315" s="145">
        <f t="shared" si="102"/>
        <v>0</v>
      </c>
      <c r="AV315" s="145">
        <f t="shared" si="103"/>
        <v>1</v>
      </c>
      <c r="AW315" s="145">
        <f t="shared" si="104"/>
        <v>1</v>
      </c>
      <c r="AX315" s="145">
        <f t="shared" si="110"/>
        <v>1</v>
      </c>
      <c r="AY315" s="145">
        <f t="shared" si="105"/>
        <v>0</v>
      </c>
      <c r="AZ315" s="145">
        <f t="shared" si="106"/>
        <v>1</v>
      </c>
      <c r="BA315" s="146">
        <f t="shared" si="107"/>
        <v>1</v>
      </c>
      <c r="BB315" s="149">
        <f t="shared" si="98"/>
        <v>17</v>
      </c>
      <c r="BC315" s="150">
        <f t="shared" si="99"/>
        <v>16</v>
      </c>
      <c r="BD315" s="150">
        <f t="shared" si="100"/>
        <v>17</v>
      </c>
      <c r="BE315" s="211" t="str">
        <f t="shared" si="101"/>
        <v/>
      </c>
      <c r="BH315" s="173">
        <f>IF(AND(Input_Product=Elig!$C315,Elig_MatchAll_Ct&lt;22,$BC315=(Elig_MatchAll_Ct-1),AF315=0),C315,0)</f>
        <v>0</v>
      </c>
      <c r="BI315" s="173">
        <f>IF(AND(Input_Product=Elig!$C315,Elig_MatchAll_Ct&lt;22,$BC315=(Elig_MatchAll_Ct-1),AG315=0),D315,0)</f>
        <v>0</v>
      </c>
      <c r="BJ315" s="173">
        <f>IF(AND(Input_Product=Elig!$C315,Elig_MatchAll_Ct&lt;22,$BC315=(Elig_MatchAll_Ct-1),AH315=0),E315,0)</f>
        <v>0</v>
      </c>
      <c r="BK315" s="173">
        <f>IF(AND(Input_Product=Elig!$C315,Elig_MatchAll_Ct&lt;22,$BC315=(Elig_MatchAll_Ct-1),AI315=0),F315,0)</f>
        <v>0</v>
      </c>
      <c r="BL315" s="173">
        <f>IF(AND(Input_Product=Elig!$C315,Elig_MatchAll_Ct&lt;22,$BC315=(Elig_MatchAll_Ct-1),AJ315=0),G315,0)</f>
        <v>0</v>
      </c>
      <c r="BM315" s="173">
        <f>IF(AND(Input_Product=Elig!$C315,Elig_MatchAll_Ct&lt;22,$BC315=(Elig_MatchAll_Ct-1),AK315=0),H315,0)</f>
        <v>0</v>
      </c>
      <c r="BN315" s="173">
        <f>IF(AND(Input_Product=Elig!$C315,Elig_MatchAll_Ct&lt;22,$BC315=(Elig_MatchAll_Ct-1),AL315=0),I315,0)</f>
        <v>0</v>
      </c>
      <c r="BO315" s="173">
        <f>IF(AND(Input_Product=Elig!$C315,Elig_MatchAll_Ct&lt;22,$BC315=(Elig_MatchAll_Ct-1),AM315=0),J315,0)</f>
        <v>0</v>
      </c>
      <c r="BP315" s="173">
        <f>IF(AND(Input_Product=Elig!$C315,Elig_MatchAll_Ct&lt;22,$BC315=(Elig_MatchAll_Ct-1),AN315=0),K315,0)</f>
        <v>0</v>
      </c>
      <c r="BQ315" s="173">
        <f>IF(AND(Input_Product=Elig!$C315,Elig_MatchAll_Ct&lt;22,$BC315=(Elig_MatchAll_Ct-1),AP315=0),L315,0)</f>
        <v>0</v>
      </c>
      <c r="BR315" s="173">
        <f>IF(AND(Input_Product=Elig!$C315,Elig_MatchAll_Ct&lt;22,$BC315=(Elig_MatchAll_Ct-1),AO315=0),M315,0)</f>
        <v>0</v>
      </c>
      <c r="BS315" s="173">
        <f>IF(AND(Input_Product=Elig!$C315,Elig_MatchAll_Ct&lt;22,$BC315=(Elig_MatchAll_Ct-1),AQ315=0),N315,0)</f>
        <v>0</v>
      </c>
      <c r="BT315" s="173">
        <f>IF(AND(Input_Product=Elig!$C315,Elig_MatchAll_Ct&lt;22,$BC315=(Elig_MatchAll_Ct-1),AR315=0),O315,0)</f>
        <v>0</v>
      </c>
      <c r="BU315" s="173">
        <f>IF(AND(Input_Product=Elig!$C315,Elig_MatchAll_Ct&lt;22,$BC315=(Elig_MatchAll_Ct-1),AS315=0),P315,0)</f>
        <v>0</v>
      </c>
      <c r="BV315" s="174">
        <f>IF(AND(Input_Product=Elig!$C315,Elig_MatchAll_Ct&lt;22,$BC315=(Elig_MatchAll_Ct-1),AT315=0),Q315,0)</f>
        <v>0</v>
      </c>
      <c r="BW315" s="175">
        <f>IF(AND(Input_Product=Elig!$C315,Elig_MatchAll_Ct&lt;22,$BC315=(Elig_MatchAll_Ct-1),AU315=0),R315,0)</f>
        <v>0</v>
      </c>
      <c r="BX315" s="176">
        <f>IF(AND(Input_Product=Elig!$C315,Elig_MatchAll_Ct&lt;22,$BC315=(Elig_MatchAll_Ct-1),AU315=0),S315,0)</f>
        <v>0</v>
      </c>
      <c r="BY315" s="175">
        <f>IF(AND(Input_Product=Elig!$C315,Elig_MatchAll_Ct&lt;22,$BC315=(Elig_MatchAll_Ct-1),AV315=0),T315,0)</f>
        <v>0</v>
      </c>
      <c r="BZ315" s="176">
        <f>IF(AND(Input_Product=Elig!$C315,Elig_MatchAll_Ct&lt;22,$BC315=(Elig_MatchAll_Ct-1),AV315=0),U315,0)</f>
        <v>0</v>
      </c>
      <c r="CA315" s="175">
        <f>IF(AND(Input_Product=Elig!$C315,Elig_MatchAll_Ct&lt;22,$BC315=(Elig_MatchAll_Ct-1),AW315=0),V315,0)</f>
        <v>0</v>
      </c>
      <c r="CB315" s="176">
        <f>IF(AND(Input_Product=Elig!$C315,Elig_MatchAll_Ct&lt;22,$BC315=(Elig_MatchAll_Ct-1),AW315=0),W315,0)</f>
        <v>0</v>
      </c>
      <c r="CC315" s="175">
        <f>IF(AND(Input_Product=Elig!$C315,Elig_MatchAll_Ct&lt;22,$BC315=(Elig_MatchAll_Ct-1),AX315=0),X315,0)</f>
        <v>0</v>
      </c>
      <c r="CD315" s="176">
        <f>IF(AND(Input_Product=Elig!$C315,Elig_MatchAll_Ct&lt;22,$BC315=(Elig_MatchAll_Ct-1),AX315=0),Y315,0)</f>
        <v>0</v>
      </c>
      <c r="CE315" s="175">
        <f>IF(AND(Input_LTV&lt;=AE315,Input_Product=Elig!$C315,Elig_MatchAll_Ct&lt;22,$BC315=(Elig_MatchAll_Ct-1),AY315=0),Z315,0)</f>
        <v>0</v>
      </c>
      <c r="CF315" s="176">
        <f>IF(AND(Input_LTV&lt;=AE315,Input_Product=Elig!$C315,Elig_MatchAll_Ct&lt;22,$BC315=(Elig_MatchAll_Ct-1),AY315=0),AA315,0)</f>
        <v>0</v>
      </c>
      <c r="CG315" s="175">
        <f>IF(AND(Input_Product=Elig!$C315,Elig_MatchAll_Ct&lt;22,$BC315=(Elig_MatchAll_Ct-1),AZ315=0),AB315,0)</f>
        <v>0</v>
      </c>
      <c r="CH315" s="176">
        <f>IF(AND(Input_Product=Elig!$C315,Elig_MatchAll_Ct&lt;22,$BC315=(Elig_MatchAll_Ct-1),AZ315=0),AC315,0)</f>
        <v>0</v>
      </c>
      <c r="CI315" s="175">
        <f>IF(AND(Input_Product=Elig!$C315,Elig_MatchAll_Ct&lt;22,$BC315=(Elig_MatchAll_Ct-1),BA315=0),AD315,0)</f>
        <v>0</v>
      </c>
      <c r="CJ315" s="176">
        <f>IF(AND(Input_Product=Elig!$C315,Elig_MatchAll_Ct&lt;22,$BC315=(Elig_MatchAll_Ct-1),BA315=0),AE315,0)</f>
        <v>0</v>
      </c>
    </row>
    <row r="316" spans="1:88" ht="10.15" customHeight="1" x14ac:dyDescent="0.25">
      <c r="A316" s="252" t="s">
        <v>76</v>
      </c>
      <c r="B316" s="252" t="s">
        <v>949</v>
      </c>
      <c r="C316" s="246" t="str">
        <f t="shared" si="116"/>
        <v>NonQM NOO</v>
      </c>
      <c r="D316" s="247" t="s">
        <v>1995</v>
      </c>
      <c r="E316" s="248" t="s">
        <v>166</v>
      </c>
      <c r="F316" s="248" t="s">
        <v>329</v>
      </c>
      <c r="G316" s="248" t="s">
        <v>303</v>
      </c>
      <c r="H316" s="248" t="s">
        <v>444</v>
      </c>
      <c r="I316" s="247" t="s">
        <v>273</v>
      </c>
      <c r="J316" s="247" t="s">
        <v>1130</v>
      </c>
      <c r="K316" s="247" t="s">
        <v>1398</v>
      </c>
      <c r="L316" s="248" t="s">
        <v>311</v>
      </c>
      <c r="M316" s="248" t="s">
        <v>2289</v>
      </c>
      <c r="N316" s="248" t="s">
        <v>1844</v>
      </c>
      <c r="O316" s="248" t="s">
        <v>309</v>
      </c>
      <c r="P316" s="248" t="s">
        <v>2434</v>
      </c>
      <c r="Q316" s="248" t="s">
        <v>293</v>
      </c>
      <c r="R316" s="247">
        <v>1000000.01</v>
      </c>
      <c r="S316" s="247">
        <v>1500000</v>
      </c>
      <c r="T316" s="247">
        <v>0</v>
      </c>
      <c r="U316" s="247">
        <v>0</v>
      </c>
      <c r="V316" s="247">
        <v>0</v>
      </c>
      <c r="W316" s="247">
        <v>55</v>
      </c>
      <c r="X316" s="247">
        <v>0</v>
      </c>
      <c r="Y316" s="247">
        <v>999</v>
      </c>
      <c r="Z316" s="249">
        <v>720</v>
      </c>
      <c r="AA316" s="249">
        <v>999</v>
      </c>
      <c r="AB316" s="1882">
        <v>0</v>
      </c>
      <c r="AC316" s="249">
        <v>999999</v>
      </c>
      <c r="AD316" s="247">
        <v>0</v>
      </c>
      <c r="AE316" s="250">
        <v>85</v>
      </c>
      <c r="AF316" s="144">
        <v>0</v>
      </c>
      <c r="AG316" s="145">
        <v>1</v>
      </c>
      <c r="AH316" s="145">
        <v>1</v>
      </c>
      <c r="AI316" s="145">
        <v>1</v>
      </c>
      <c r="AJ316" s="145">
        <v>0</v>
      </c>
      <c r="AK316" s="145">
        <v>0</v>
      </c>
      <c r="AL316" s="145">
        <v>1</v>
      </c>
      <c r="AM316" s="145">
        <v>1</v>
      </c>
      <c r="AN316" s="145">
        <v>1</v>
      </c>
      <c r="AO316" s="145">
        <v>1</v>
      </c>
      <c r="AP316" s="145">
        <v>1</v>
      </c>
      <c r="AQ316" s="145">
        <v>1</v>
      </c>
      <c r="AR316" s="145">
        <v>1</v>
      </c>
      <c r="AS316" s="145">
        <v>1</v>
      </c>
      <c r="AT316" s="145">
        <v>1</v>
      </c>
      <c r="AU316" s="145">
        <f t="shared" si="102"/>
        <v>0</v>
      </c>
      <c r="AV316" s="145">
        <f t="shared" si="103"/>
        <v>1</v>
      </c>
      <c r="AW316" s="145">
        <f t="shared" si="104"/>
        <v>1</v>
      </c>
      <c r="AX316" s="145">
        <f t="shared" si="110"/>
        <v>1</v>
      </c>
      <c r="AY316" s="145">
        <f t="shared" si="105"/>
        <v>1</v>
      </c>
      <c r="AZ316" s="145">
        <f t="shared" si="106"/>
        <v>1</v>
      </c>
      <c r="BA316" s="146">
        <f t="shared" si="107"/>
        <v>1</v>
      </c>
      <c r="BB316" s="149">
        <f t="shared" si="98"/>
        <v>18</v>
      </c>
      <c r="BC316" s="150">
        <f t="shared" si="99"/>
        <v>17</v>
      </c>
      <c r="BD316" s="150">
        <f t="shared" si="100"/>
        <v>18</v>
      </c>
      <c r="BE316" s="211" t="str">
        <f t="shared" si="101"/>
        <v/>
      </c>
      <c r="BH316" s="190">
        <f>IF(AND(Input_Product=Elig!$C316,Elig_MatchAll_Ct&lt;22,$BC316=(Elig_MatchAll_Ct-1),AF316=0),C316,0)</f>
        <v>0</v>
      </c>
      <c r="BI316" s="190">
        <f>IF(AND(Input_Product=Elig!$C316,Elig_MatchAll_Ct&lt;22,$BC316=(Elig_MatchAll_Ct-1),AG316=0),D316,0)</f>
        <v>0</v>
      </c>
      <c r="BJ316" s="190">
        <f>IF(AND(Input_Product=Elig!$C316,Elig_MatchAll_Ct&lt;22,$BC316=(Elig_MatchAll_Ct-1),AH316=0),E316,0)</f>
        <v>0</v>
      </c>
      <c r="BK316" s="190">
        <f>IF(AND(Input_Product=Elig!$C316,Elig_MatchAll_Ct&lt;22,$BC316=(Elig_MatchAll_Ct-1),AI316=0),F316,0)</f>
        <v>0</v>
      </c>
      <c r="BL316" s="190">
        <f>IF(AND(Input_Product=Elig!$C316,Elig_MatchAll_Ct&lt;22,$BC316=(Elig_MatchAll_Ct-1),AJ316=0),G316,0)</f>
        <v>0</v>
      </c>
      <c r="BM316" s="190">
        <f>IF(AND(Input_Product=Elig!$C316,Elig_MatchAll_Ct&lt;22,$BC316=(Elig_MatchAll_Ct-1),AK316=0),H316,0)</f>
        <v>0</v>
      </c>
      <c r="BN316" s="190">
        <f>IF(AND(Input_Product=Elig!$C316,Elig_MatchAll_Ct&lt;22,$BC316=(Elig_MatchAll_Ct-1),AL316=0),I316,0)</f>
        <v>0</v>
      </c>
      <c r="BO316" s="190">
        <f>IF(AND(Input_Product=Elig!$C316,Elig_MatchAll_Ct&lt;22,$BC316=(Elig_MatchAll_Ct-1),AM316=0),J316,0)</f>
        <v>0</v>
      </c>
      <c r="BP316" s="190">
        <f>IF(AND(Input_Product=Elig!$C316,Elig_MatchAll_Ct&lt;22,$BC316=(Elig_MatchAll_Ct-1),AN316=0),K316,0)</f>
        <v>0</v>
      </c>
      <c r="BQ316" s="190">
        <f>IF(AND(Input_Product=Elig!$C316,Elig_MatchAll_Ct&lt;22,$BC316=(Elig_MatchAll_Ct-1),AP316=0),L316,0)</f>
        <v>0</v>
      </c>
      <c r="BR316" s="190">
        <f>IF(AND(Input_Product=Elig!$C316,Elig_MatchAll_Ct&lt;22,$BC316=(Elig_MatchAll_Ct-1),AO316=0),M316,0)</f>
        <v>0</v>
      </c>
      <c r="BS316" s="190">
        <f>IF(AND(Input_Product=Elig!$C316,Elig_MatchAll_Ct&lt;22,$BC316=(Elig_MatchAll_Ct-1),AQ316=0),N316,0)</f>
        <v>0</v>
      </c>
      <c r="BT316" s="190">
        <f>IF(AND(Input_Product=Elig!$C316,Elig_MatchAll_Ct&lt;22,$BC316=(Elig_MatchAll_Ct-1),AR316=0),O316,0)</f>
        <v>0</v>
      </c>
      <c r="BU316" s="190">
        <f>IF(AND(Input_Product=Elig!$C316,Elig_MatchAll_Ct&lt;22,$BC316=(Elig_MatchAll_Ct-1),AS316=0),P316,0)</f>
        <v>0</v>
      </c>
      <c r="BV316" s="191">
        <f>IF(AND(Input_Product=Elig!$C316,Elig_MatchAll_Ct&lt;22,$BC316=(Elig_MatchAll_Ct-1),AT316=0),Q316,0)</f>
        <v>0</v>
      </c>
      <c r="BW316" s="192">
        <f>IF(AND(Input_Product=Elig!$C316,Elig_MatchAll_Ct&lt;22,$BC316=(Elig_MatchAll_Ct-1),AU316=0),R316,0)</f>
        <v>0</v>
      </c>
      <c r="BX316" s="193">
        <f>IF(AND(Input_Product=Elig!$C316,Elig_MatchAll_Ct&lt;22,$BC316=(Elig_MatchAll_Ct-1),AU316=0),S316,0)</f>
        <v>0</v>
      </c>
      <c r="BY316" s="192">
        <f>IF(AND(Input_Product=Elig!$C316,Elig_MatchAll_Ct&lt;22,$BC316=(Elig_MatchAll_Ct-1),AV316=0),T316,0)</f>
        <v>0</v>
      </c>
      <c r="BZ316" s="193">
        <f>IF(AND(Input_Product=Elig!$C316,Elig_MatchAll_Ct&lt;22,$BC316=(Elig_MatchAll_Ct-1),AV316=0),U316,0)</f>
        <v>0</v>
      </c>
      <c r="CA316" s="192">
        <f>IF(AND(Input_Product=Elig!$C316,Elig_MatchAll_Ct&lt;22,$BC316=(Elig_MatchAll_Ct-1),AW316=0),V316,0)</f>
        <v>0</v>
      </c>
      <c r="CB316" s="193">
        <f>IF(AND(Input_Product=Elig!$C316,Elig_MatchAll_Ct&lt;22,$BC316=(Elig_MatchAll_Ct-1),AW316=0),W316,0)</f>
        <v>0</v>
      </c>
      <c r="CC316" s="192">
        <f>IF(AND(Input_Product=Elig!$C316,Elig_MatchAll_Ct&lt;22,$BC316=(Elig_MatchAll_Ct-1),AX316=0),X316,0)</f>
        <v>0</v>
      </c>
      <c r="CD316" s="193">
        <f>IF(AND(Input_Product=Elig!$C316,Elig_MatchAll_Ct&lt;22,$BC316=(Elig_MatchAll_Ct-1),AX316=0),Y316,0)</f>
        <v>0</v>
      </c>
      <c r="CE316" s="192">
        <f>IF(AND(Input_LTV&lt;=AE316,Input_Product=Elig!$C316,Elig_MatchAll_Ct&lt;22,$BC316=(Elig_MatchAll_Ct-1),AY316=0),Z316,0)</f>
        <v>0</v>
      </c>
      <c r="CF316" s="193">
        <f>IF(AND(Input_LTV&lt;=AE316,Input_Product=Elig!$C316,Elig_MatchAll_Ct&lt;22,$BC316=(Elig_MatchAll_Ct-1),AY316=0),AA316,0)</f>
        <v>0</v>
      </c>
      <c r="CG316" s="192">
        <f>IF(AND(Input_Product=Elig!$C316,Elig_MatchAll_Ct&lt;22,$BC316=(Elig_MatchAll_Ct-1),AZ316=0),AB316,0)</f>
        <v>0</v>
      </c>
      <c r="CH316" s="193">
        <f>IF(AND(Input_Product=Elig!$C316,Elig_MatchAll_Ct&lt;22,$BC316=(Elig_MatchAll_Ct-1),AZ316=0),AC316,0)</f>
        <v>0</v>
      </c>
      <c r="CI316" s="192">
        <f>IF(AND(Input_Product=Elig!$C316,Elig_MatchAll_Ct&lt;22,$BC316=(Elig_MatchAll_Ct-1),BA316=0),AD316,0)</f>
        <v>0</v>
      </c>
      <c r="CJ316" s="193">
        <f>IF(AND(Input_Product=Elig!$C316,Elig_MatchAll_Ct&lt;22,$BC316=(Elig_MatchAll_Ct-1),BA316=0),AE316,0)</f>
        <v>0</v>
      </c>
    </row>
    <row r="317" spans="1:88" ht="10.15" customHeight="1" x14ac:dyDescent="0.25">
      <c r="A317" s="252" t="s">
        <v>76</v>
      </c>
      <c r="B317" s="252" t="s">
        <v>950</v>
      </c>
      <c r="C317" s="251" t="str">
        <f t="shared" si="116"/>
        <v>NonQM NOO</v>
      </c>
      <c r="D317" s="252" t="s">
        <v>1995</v>
      </c>
      <c r="E317" s="252" t="s">
        <v>166</v>
      </c>
      <c r="F317" s="252" t="s">
        <v>329</v>
      </c>
      <c r="G317" s="252" t="s">
        <v>303</v>
      </c>
      <c r="H317" s="252" t="s">
        <v>444</v>
      </c>
      <c r="I317" s="253" t="s">
        <v>273</v>
      </c>
      <c r="J317" s="253" t="s">
        <v>1130</v>
      </c>
      <c r="K317" s="253" t="s">
        <v>1398</v>
      </c>
      <c r="L317" s="252" t="s">
        <v>311</v>
      </c>
      <c r="M317" s="252" t="s">
        <v>2289</v>
      </c>
      <c r="N317" s="252" t="s">
        <v>1844</v>
      </c>
      <c r="O317" s="252" t="s">
        <v>309</v>
      </c>
      <c r="P317" s="252" t="s">
        <v>2434</v>
      </c>
      <c r="Q317" s="252" t="s">
        <v>293</v>
      </c>
      <c r="R317" s="252">
        <v>1000000.01</v>
      </c>
      <c r="S317" s="252">
        <v>1500000</v>
      </c>
      <c r="T317" s="252">
        <v>0</v>
      </c>
      <c r="U317" s="252">
        <v>0</v>
      </c>
      <c r="V317" s="252">
        <v>0</v>
      </c>
      <c r="W317" s="252">
        <v>55</v>
      </c>
      <c r="X317" s="252">
        <v>0</v>
      </c>
      <c r="Y317" s="252">
        <v>999</v>
      </c>
      <c r="Z317" s="254">
        <v>700</v>
      </c>
      <c r="AA317" s="254">
        <v>719</v>
      </c>
      <c r="AB317" s="1883">
        <v>0</v>
      </c>
      <c r="AC317" s="254">
        <v>999999</v>
      </c>
      <c r="AD317" s="252">
        <v>0</v>
      </c>
      <c r="AE317" s="255">
        <v>80</v>
      </c>
      <c r="AF317" s="144">
        <v>0</v>
      </c>
      <c r="AG317" s="145">
        <v>1</v>
      </c>
      <c r="AH317" s="145">
        <v>1</v>
      </c>
      <c r="AI317" s="145">
        <v>1</v>
      </c>
      <c r="AJ317" s="145">
        <v>0</v>
      </c>
      <c r="AK317" s="145">
        <v>0</v>
      </c>
      <c r="AL317" s="145">
        <v>1</v>
      </c>
      <c r="AM317" s="145">
        <v>1</v>
      </c>
      <c r="AN317" s="145">
        <v>1</v>
      </c>
      <c r="AO317" s="145">
        <v>1</v>
      </c>
      <c r="AP317" s="145">
        <v>1</v>
      </c>
      <c r="AQ317" s="145">
        <v>1</v>
      </c>
      <c r="AR317" s="145">
        <v>1</v>
      </c>
      <c r="AS317" s="145">
        <v>1</v>
      </c>
      <c r="AT317" s="145">
        <v>1</v>
      </c>
      <c r="AU317" s="145">
        <f t="shared" si="102"/>
        <v>0</v>
      </c>
      <c r="AV317" s="145">
        <f t="shared" si="103"/>
        <v>1</v>
      </c>
      <c r="AW317" s="145">
        <f t="shared" si="104"/>
        <v>1</v>
      </c>
      <c r="AX317" s="145">
        <f t="shared" si="110"/>
        <v>1</v>
      </c>
      <c r="AY317" s="145">
        <f t="shared" si="105"/>
        <v>0</v>
      </c>
      <c r="AZ317" s="145">
        <f t="shared" si="106"/>
        <v>1</v>
      </c>
      <c r="BA317" s="146">
        <f t="shared" si="107"/>
        <v>1</v>
      </c>
      <c r="BB317" s="149">
        <f t="shared" si="98"/>
        <v>17</v>
      </c>
      <c r="BC317" s="150">
        <f t="shared" si="99"/>
        <v>16</v>
      </c>
      <c r="BD317" s="150">
        <f t="shared" si="100"/>
        <v>17</v>
      </c>
      <c r="BE317" s="211" t="str">
        <f t="shared" si="101"/>
        <v/>
      </c>
      <c r="BH317" s="173">
        <f>IF(AND(Input_Product=Elig!$C317,Elig_MatchAll_Ct&lt;22,$BC317=(Elig_MatchAll_Ct-1),AF317=0),C317,0)</f>
        <v>0</v>
      </c>
      <c r="BI317" s="173">
        <f>IF(AND(Input_Product=Elig!$C317,Elig_MatchAll_Ct&lt;22,$BC317=(Elig_MatchAll_Ct-1),AG317=0),D317,0)</f>
        <v>0</v>
      </c>
      <c r="BJ317" s="173">
        <f>IF(AND(Input_Product=Elig!$C317,Elig_MatchAll_Ct&lt;22,$BC317=(Elig_MatchAll_Ct-1),AH317=0),E317,0)</f>
        <v>0</v>
      </c>
      <c r="BK317" s="173">
        <f>IF(AND(Input_Product=Elig!$C317,Elig_MatchAll_Ct&lt;22,$BC317=(Elig_MatchAll_Ct-1),AI317=0),F317,0)</f>
        <v>0</v>
      </c>
      <c r="BL317" s="173">
        <f>IF(AND(Input_Product=Elig!$C317,Elig_MatchAll_Ct&lt;22,$BC317=(Elig_MatchAll_Ct-1),AJ317=0),G317,0)</f>
        <v>0</v>
      </c>
      <c r="BM317" s="173">
        <f>IF(AND(Input_Product=Elig!$C317,Elig_MatchAll_Ct&lt;22,$BC317=(Elig_MatchAll_Ct-1),AK317=0),H317,0)</f>
        <v>0</v>
      </c>
      <c r="BN317" s="173">
        <f>IF(AND(Input_Product=Elig!$C317,Elig_MatchAll_Ct&lt;22,$BC317=(Elig_MatchAll_Ct-1),AL317=0),I317,0)</f>
        <v>0</v>
      </c>
      <c r="BO317" s="173">
        <f>IF(AND(Input_Product=Elig!$C317,Elig_MatchAll_Ct&lt;22,$BC317=(Elig_MatchAll_Ct-1),AM317=0),J317,0)</f>
        <v>0</v>
      </c>
      <c r="BP317" s="173">
        <f>IF(AND(Input_Product=Elig!$C317,Elig_MatchAll_Ct&lt;22,$BC317=(Elig_MatchAll_Ct-1),AN317=0),K317,0)</f>
        <v>0</v>
      </c>
      <c r="BQ317" s="173">
        <f>IF(AND(Input_Product=Elig!$C317,Elig_MatchAll_Ct&lt;22,$BC317=(Elig_MatchAll_Ct-1),AP317=0),L317,0)</f>
        <v>0</v>
      </c>
      <c r="BR317" s="173">
        <f>IF(AND(Input_Product=Elig!$C317,Elig_MatchAll_Ct&lt;22,$BC317=(Elig_MatchAll_Ct-1),AO317=0),M317,0)</f>
        <v>0</v>
      </c>
      <c r="BS317" s="173">
        <f>IF(AND(Input_Product=Elig!$C317,Elig_MatchAll_Ct&lt;22,$BC317=(Elig_MatchAll_Ct-1),AQ317=0),N317,0)</f>
        <v>0</v>
      </c>
      <c r="BT317" s="173">
        <f>IF(AND(Input_Product=Elig!$C317,Elig_MatchAll_Ct&lt;22,$BC317=(Elig_MatchAll_Ct-1),AR317=0),O317,0)</f>
        <v>0</v>
      </c>
      <c r="BU317" s="173">
        <f>IF(AND(Input_Product=Elig!$C317,Elig_MatchAll_Ct&lt;22,$BC317=(Elig_MatchAll_Ct-1),AS317=0),P317,0)</f>
        <v>0</v>
      </c>
      <c r="BV317" s="174">
        <f>IF(AND(Input_Product=Elig!$C317,Elig_MatchAll_Ct&lt;22,$BC317=(Elig_MatchAll_Ct-1),AT317=0),Q317,0)</f>
        <v>0</v>
      </c>
      <c r="BW317" s="175">
        <f>IF(AND(Input_Product=Elig!$C317,Elig_MatchAll_Ct&lt;22,$BC317=(Elig_MatchAll_Ct-1),AU317=0),R317,0)</f>
        <v>0</v>
      </c>
      <c r="BX317" s="176">
        <f>IF(AND(Input_Product=Elig!$C317,Elig_MatchAll_Ct&lt;22,$BC317=(Elig_MatchAll_Ct-1),AU317=0),S317,0)</f>
        <v>0</v>
      </c>
      <c r="BY317" s="175">
        <f>IF(AND(Input_Product=Elig!$C317,Elig_MatchAll_Ct&lt;22,$BC317=(Elig_MatchAll_Ct-1),AV317=0),T317,0)</f>
        <v>0</v>
      </c>
      <c r="BZ317" s="176">
        <f>IF(AND(Input_Product=Elig!$C317,Elig_MatchAll_Ct&lt;22,$BC317=(Elig_MatchAll_Ct-1),AV317=0),U317,0)</f>
        <v>0</v>
      </c>
      <c r="CA317" s="175">
        <f>IF(AND(Input_Product=Elig!$C317,Elig_MatchAll_Ct&lt;22,$BC317=(Elig_MatchAll_Ct-1),AW317=0),V317,0)</f>
        <v>0</v>
      </c>
      <c r="CB317" s="176">
        <f>IF(AND(Input_Product=Elig!$C317,Elig_MatchAll_Ct&lt;22,$BC317=(Elig_MatchAll_Ct-1),AW317=0),W317,0)</f>
        <v>0</v>
      </c>
      <c r="CC317" s="175">
        <f>IF(AND(Input_Product=Elig!$C317,Elig_MatchAll_Ct&lt;22,$BC317=(Elig_MatchAll_Ct-1),AX317=0),X317,0)</f>
        <v>0</v>
      </c>
      <c r="CD317" s="176">
        <f>IF(AND(Input_Product=Elig!$C317,Elig_MatchAll_Ct&lt;22,$BC317=(Elig_MatchAll_Ct-1),AX317=0),Y317,0)</f>
        <v>0</v>
      </c>
      <c r="CE317" s="175">
        <f>IF(AND(Input_LTV&lt;=AE317,Input_Product=Elig!$C317,Elig_MatchAll_Ct&lt;22,$BC317=(Elig_MatchAll_Ct-1),AY317=0),Z317,0)</f>
        <v>0</v>
      </c>
      <c r="CF317" s="176">
        <f>IF(AND(Input_LTV&lt;=AE317,Input_Product=Elig!$C317,Elig_MatchAll_Ct&lt;22,$BC317=(Elig_MatchAll_Ct-1),AY317=0),AA317,0)</f>
        <v>0</v>
      </c>
      <c r="CG317" s="175">
        <f>IF(AND(Input_Product=Elig!$C317,Elig_MatchAll_Ct&lt;22,$BC317=(Elig_MatchAll_Ct-1),AZ317=0),AB317,0)</f>
        <v>0</v>
      </c>
      <c r="CH317" s="176">
        <f>IF(AND(Input_Product=Elig!$C317,Elig_MatchAll_Ct&lt;22,$BC317=(Elig_MatchAll_Ct-1),AZ317=0),AC317,0)</f>
        <v>0</v>
      </c>
      <c r="CI317" s="175">
        <f>IF(AND(Input_Product=Elig!$C317,Elig_MatchAll_Ct&lt;22,$BC317=(Elig_MatchAll_Ct-1),BA317=0),AD317,0)</f>
        <v>0</v>
      </c>
      <c r="CJ317" s="176">
        <f>IF(AND(Input_Product=Elig!$C317,Elig_MatchAll_Ct&lt;22,$BC317=(Elig_MatchAll_Ct-1),BA317=0),AE317,0)</f>
        <v>0</v>
      </c>
    </row>
    <row r="318" spans="1:88" ht="10.15" customHeight="1" x14ac:dyDescent="0.25">
      <c r="A318" s="252" t="s">
        <v>76</v>
      </c>
      <c r="B318" s="252" t="s">
        <v>951</v>
      </c>
      <c r="C318" s="251" t="str">
        <f t="shared" si="116"/>
        <v>NonQM NOO</v>
      </c>
      <c r="D318" s="252" t="s">
        <v>1995</v>
      </c>
      <c r="E318" s="252" t="s">
        <v>166</v>
      </c>
      <c r="F318" s="252" t="s">
        <v>329</v>
      </c>
      <c r="G318" s="252" t="s">
        <v>303</v>
      </c>
      <c r="H318" s="252" t="s">
        <v>444</v>
      </c>
      <c r="I318" s="253" t="s">
        <v>273</v>
      </c>
      <c r="J318" s="253" t="s">
        <v>1130</v>
      </c>
      <c r="K318" s="253" t="s">
        <v>1398</v>
      </c>
      <c r="L318" s="252" t="s">
        <v>311</v>
      </c>
      <c r="M318" s="252" t="s">
        <v>2289</v>
      </c>
      <c r="N318" s="252" t="s">
        <v>1844</v>
      </c>
      <c r="O318" s="252" t="s">
        <v>309</v>
      </c>
      <c r="P318" s="252" t="s">
        <v>2434</v>
      </c>
      <c r="Q318" s="252" t="s">
        <v>293</v>
      </c>
      <c r="R318" s="252">
        <v>1000000.01</v>
      </c>
      <c r="S318" s="252">
        <v>1500000</v>
      </c>
      <c r="T318" s="252">
        <v>0</v>
      </c>
      <c r="U318" s="252">
        <v>0</v>
      </c>
      <c r="V318" s="252">
        <v>0</v>
      </c>
      <c r="W318" s="252">
        <v>55</v>
      </c>
      <c r="X318" s="252">
        <v>0</v>
      </c>
      <c r="Y318" s="252">
        <v>999</v>
      </c>
      <c r="Z318" s="254">
        <v>680</v>
      </c>
      <c r="AA318" s="254">
        <v>699</v>
      </c>
      <c r="AB318" s="1883">
        <v>0</v>
      </c>
      <c r="AC318" s="254">
        <v>999999</v>
      </c>
      <c r="AD318" s="252">
        <v>0</v>
      </c>
      <c r="AE318" s="255">
        <v>80</v>
      </c>
      <c r="AF318" s="144">
        <v>0</v>
      </c>
      <c r="AG318" s="145">
        <v>1</v>
      </c>
      <c r="AH318" s="145">
        <v>1</v>
      </c>
      <c r="AI318" s="145">
        <v>1</v>
      </c>
      <c r="AJ318" s="145">
        <v>0</v>
      </c>
      <c r="AK318" s="145">
        <v>0</v>
      </c>
      <c r="AL318" s="145">
        <v>1</v>
      </c>
      <c r="AM318" s="145">
        <v>1</v>
      </c>
      <c r="AN318" s="145">
        <v>1</v>
      </c>
      <c r="AO318" s="145">
        <v>1</v>
      </c>
      <c r="AP318" s="145">
        <v>1</v>
      </c>
      <c r="AQ318" s="145">
        <v>1</v>
      </c>
      <c r="AR318" s="145">
        <v>1</v>
      </c>
      <c r="AS318" s="145">
        <v>1</v>
      </c>
      <c r="AT318" s="145">
        <v>1</v>
      </c>
      <c r="AU318" s="145">
        <f t="shared" si="102"/>
        <v>0</v>
      </c>
      <c r="AV318" s="145">
        <f t="shared" si="103"/>
        <v>1</v>
      </c>
      <c r="AW318" s="145">
        <f t="shared" si="104"/>
        <v>1</v>
      </c>
      <c r="AX318" s="145">
        <f t="shared" si="110"/>
        <v>1</v>
      </c>
      <c r="AY318" s="145">
        <f t="shared" si="105"/>
        <v>0</v>
      </c>
      <c r="AZ318" s="145">
        <f t="shared" si="106"/>
        <v>1</v>
      </c>
      <c r="BA318" s="146">
        <f t="shared" si="107"/>
        <v>1</v>
      </c>
      <c r="BB318" s="149">
        <f t="shared" si="98"/>
        <v>17</v>
      </c>
      <c r="BC318" s="150">
        <f t="shared" si="99"/>
        <v>16</v>
      </c>
      <c r="BD318" s="150">
        <f t="shared" si="100"/>
        <v>17</v>
      </c>
      <c r="BE318" s="211" t="str">
        <f t="shared" si="101"/>
        <v/>
      </c>
      <c r="BH318" s="173">
        <f>IF(AND(Input_Product=Elig!$C318,Elig_MatchAll_Ct&lt;22,$BC318=(Elig_MatchAll_Ct-1),AF318=0),C318,0)</f>
        <v>0</v>
      </c>
      <c r="BI318" s="173">
        <f>IF(AND(Input_Product=Elig!$C318,Elig_MatchAll_Ct&lt;22,$BC318=(Elig_MatchAll_Ct-1),AG318=0),D318,0)</f>
        <v>0</v>
      </c>
      <c r="BJ318" s="173">
        <f>IF(AND(Input_Product=Elig!$C318,Elig_MatchAll_Ct&lt;22,$BC318=(Elig_MatchAll_Ct-1),AH318=0),E318,0)</f>
        <v>0</v>
      </c>
      <c r="BK318" s="173">
        <f>IF(AND(Input_Product=Elig!$C318,Elig_MatchAll_Ct&lt;22,$BC318=(Elig_MatchAll_Ct-1),AI318=0),F318,0)</f>
        <v>0</v>
      </c>
      <c r="BL318" s="173">
        <f>IF(AND(Input_Product=Elig!$C318,Elig_MatchAll_Ct&lt;22,$BC318=(Elig_MatchAll_Ct-1),AJ318=0),G318,0)</f>
        <v>0</v>
      </c>
      <c r="BM318" s="173">
        <f>IF(AND(Input_Product=Elig!$C318,Elig_MatchAll_Ct&lt;22,$BC318=(Elig_MatchAll_Ct-1),AK318=0),H318,0)</f>
        <v>0</v>
      </c>
      <c r="BN318" s="173">
        <f>IF(AND(Input_Product=Elig!$C318,Elig_MatchAll_Ct&lt;22,$BC318=(Elig_MatchAll_Ct-1),AL318=0),I318,0)</f>
        <v>0</v>
      </c>
      <c r="BO318" s="173">
        <f>IF(AND(Input_Product=Elig!$C318,Elig_MatchAll_Ct&lt;22,$BC318=(Elig_MatchAll_Ct-1),AM318=0),J318,0)</f>
        <v>0</v>
      </c>
      <c r="BP318" s="173">
        <f>IF(AND(Input_Product=Elig!$C318,Elig_MatchAll_Ct&lt;22,$BC318=(Elig_MatchAll_Ct-1),AN318=0),K318,0)</f>
        <v>0</v>
      </c>
      <c r="BQ318" s="173">
        <f>IF(AND(Input_Product=Elig!$C318,Elig_MatchAll_Ct&lt;22,$BC318=(Elig_MatchAll_Ct-1),AP318=0),L318,0)</f>
        <v>0</v>
      </c>
      <c r="BR318" s="173">
        <f>IF(AND(Input_Product=Elig!$C318,Elig_MatchAll_Ct&lt;22,$BC318=(Elig_MatchAll_Ct-1),AO318=0),M318,0)</f>
        <v>0</v>
      </c>
      <c r="BS318" s="173">
        <f>IF(AND(Input_Product=Elig!$C318,Elig_MatchAll_Ct&lt;22,$BC318=(Elig_MatchAll_Ct-1),AQ318=0),N318,0)</f>
        <v>0</v>
      </c>
      <c r="BT318" s="173">
        <f>IF(AND(Input_Product=Elig!$C318,Elig_MatchAll_Ct&lt;22,$BC318=(Elig_MatchAll_Ct-1),AR318=0),O318,0)</f>
        <v>0</v>
      </c>
      <c r="BU318" s="173">
        <f>IF(AND(Input_Product=Elig!$C318,Elig_MatchAll_Ct&lt;22,$BC318=(Elig_MatchAll_Ct-1),AS318=0),P318,0)</f>
        <v>0</v>
      </c>
      <c r="BV318" s="174">
        <f>IF(AND(Input_Product=Elig!$C318,Elig_MatchAll_Ct&lt;22,$BC318=(Elig_MatchAll_Ct-1),AT318=0),Q318,0)</f>
        <v>0</v>
      </c>
      <c r="BW318" s="175">
        <f>IF(AND(Input_Product=Elig!$C318,Elig_MatchAll_Ct&lt;22,$BC318=(Elig_MatchAll_Ct-1),AU318=0),R318,0)</f>
        <v>0</v>
      </c>
      <c r="BX318" s="176">
        <f>IF(AND(Input_Product=Elig!$C318,Elig_MatchAll_Ct&lt;22,$BC318=(Elig_MatchAll_Ct-1),AU318=0),S318,0)</f>
        <v>0</v>
      </c>
      <c r="BY318" s="175">
        <f>IF(AND(Input_Product=Elig!$C318,Elig_MatchAll_Ct&lt;22,$BC318=(Elig_MatchAll_Ct-1),AV318=0),T318,0)</f>
        <v>0</v>
      </c>
      <c r="BZ318" s="176">
        <f>IF(AND(Input_Product=Elig!$C318,Elig_MatchAll_Ct&lt;22,$BC318=(Elig_MatchAll_Ct-1),AV318=0),U318,0)</f>
        <v>0</v>
      </c>
      <c r="CA318" s="175">
        <f>IF(AND(Input_Product=Elig!$C318,Elig_MatchAll_Ct&lt;22,$BC318=(Elig_MatchAll_Ct-1),AW318=0),V318,0)</f>
        <v>0</v>
      </c>
      <c r="CB318" s="176">
        <f>IF(AND(Input_Product=Elig!$C318,Elig_MatchAll_Ct&lt;22,$BC318=(Elig_MatchAll_Ct-1),AW318=0),W318,0)</f>
        <v>0</v>
      </c>
      <c r="CC318" s="175">
        <f>IF(AND(Input_Product=Elig!$C318,Elig_MatchAll_Ct&lt;22,$BC318=(Elig_MatchAll_Ct-1),AX318=0),X318,0)</f>
        <v>0</v>
      </c>
      <c r="CD318" s="176">
        <f>IF(AND(Input_Product=Elig!$C318,Elig_MatchAll_Ct&lt;22,$BC318=(Elig_MatchAll_Ct-1),AX318=0),Y318,0)</f>
        <v>0</v>
      </c>
      <c r="CE318" s="175">
        <f>IF(AND(Input_LTV&lt;=AE318,Input_Product=Elig!$C318,Elig_MatchAll_Ct&lt;22,$BC318=(Elig_MatchAll_Ct-1),AY318=0),Z318,0)</f>
        <v>0</v>
      </c>
      <c r="CF318" s="176">
        <f>IF(AND(Input_LTV&lt;=AE318,Input_Product=Elig!$C318,Elig_MatchAll_Ct&lt;22,$BC318=(Elig_MatchAll_Ct-1),AY318=0),AA318,0)</f>
        <v>0</v>
      </c>
      <c r="CG318" s="175">
        <f>IF(AND(Input_Product=Elig!$C318,Elig_MatchAll_Ct&lt;22,$BC318=(Elig_MatchAll_Ct-1),AZ318=0),AB318,0)</f>
        <v>0</v>
      </c>
      <c r="CH318" s="176">
        <f>IF(AND(Input_Product=Elig!$C318,Elig_MatchAll_Ct&lt;22,$BC318=(Elig_MatchAll_Ct-1),AZ318=0),AC318,0)</f>
        <v>0</v>
      </c>
      <c r="CI318" s="175">
        <f>IF(AND(Input_Product=Elig!$C318,Elig_MatchAll_Ct&lt;22,$BC318=(Elig_MatchAll_Ct-1),BA318=0),AD318,0)</f>
        <v>0</v>
      </c>
      <c r="CJ318" s="176">
        <f>IF(AND(Input_Product=Elig!$C318,Elig_MatchAll_Ct&lt;22,$BC318=(Elig_MatchAll_Ct-1),BA318=0),AE318,0)</f>
        <v>0</v>
      </c>
    </row>
    <row r="319" spans="1:88" ht="10.15" customHeight="1" x14ac:dyDescent="0.25">
      <c r="A319" s="252" t="s">
        <v>76</v>
      </c>
      <c r="B319" s="252" t="s">
        <v>952</v>
      </c>
      <c r="C319" s="251" t="str">
        <f t="shared" si="116"/>
        <v>NonQM NOO</v>
      </c>
      <c r="D319" s="252" t="s">
        <v>1995</v>
      </c>
      <c r="E319" s="252" t="s">
        <v>166</v>
      </c>
      <c r="F319" s="252" t="s">
        <v>329</v>
      </c>
      <c r="G319" s="252" t="s">
        <v>303</v>
      </c>
      <c r="H319" s="252" t="s">
        <v>444</v>
      </c>
      <c r="I319" s="252" t="s">
        <v>273</v>
      </c>
      <c r="J319" s="252" t="s">
        <v>1130</v>
      </c>
      <c r="K319" s="252" t="s">
        <v>1398</v>
      </c>
      <c r="L319" s="252" t="s">
        <v>311</v>
      </c>
      <c r="M319" s="252" t="s">
        <v>2289</v>
      </c>
      <c r="N319" s="252" t="s">
        <v>1844</v>
      </c>
      <c r="O319" s="252" t="s">
        <v>309</v>
      </c>
      <c r="P319" s="252" t="s">
        <v>2434</v>
      </c>
      <c r="Q319" s="252" t="s">
        <v>293</v>
      </c>
      <c r="R319" s="252">
        <v>1000000.01</v>
      </c>
      <c r="S319" s="252">
        <v>1500000</v>
      </c>
      <c r="T319" s="252">
        <v>0</v>
      </c>
      <c r="U319" s="252">
        <v>0</v>
      </c>
      <c r="V319" s="252">
        <v>0</v>
      </c>
      <c r="W319" s="252">
        <v>50</v>
      </c>
      <c r="X319" s="252">
        <v>0</v>
      </c>
      <c r="Y319" s="252">
        <v>999</v>
      </c>
      <c r="Z319" s="254">
        <v>660</v>
      </c>
      <c r="AA319" s="254">
        <v>679</v>
      </c>
      <c r="AB319" s="1883">
        <v>0</v>
      </c>
      <c r="AC319" s="254">
        <v>999999</v>
      </c>
      <c r="AD319" s="252">
        <v>0</v>
      </c>
      <c r="AE319" s="255">
        <v>75</v>
      </c>
      <c r="AF319" s="144">
        <v>0</v>
      </c>
      <c r="AG319" s="145">
        <v>1</v>
      </c>
      <c r="AH319" s="145">
        <v>1</v>
      </c>
      <c r="AI319" s="145">
        <v>1</v>
      </c>
      <c r="AJ319" s="145">
        <v>0</v>
      </c>
      <c r="AK319" s="145">
        <v>0</v>
      </c>
      <c r="AL319" s="145">
        <v>1</v>
      </c>
      <c r="AM319" s="145">
        <v>1</v>
      </c>
      <c r="AN319" s="145">
        <v>1</v>
      </c>
      <c r="AO319" s="145">
        <v>1</v>
      </c>
      <c r="AP319" s="145">
        <v>1</v>
      </c>
      <c r="AQ319" s="145">
        <v>1</v>
      </c>
      <c r="AR319" s="145">
        <v>1</v>
      </c>
      <c r="AS319" s="145">
        <v>1</v>
      </c>
      <c r="AT319" s="145">
        <v>1</v>
      </c>
      <c r="AU319" s="145">
        <f t="shared" si="102"/>
        <v>0</v>
      </c>
      <c r="AV319" s="145">
        <f t="shared" si="103"/>
        <v>1</v>
      </c>
      <c r="AW319" s="145">
        <f t="shared" si="104"/>
        <v>1</v>
      </c>
      <c r="AX319" s="145">
        <f t="shared" si="110"/>
        <v>1</v>
      </c>
      <c r="AY319" s="145">
        <f t="shared" si="105"/>
        <v>0</v>
      </c>
      <c r="AZ319" s="145">
        <f t="shared" si="106"/>
        <v>1</v>
      </c>
      <c r="BA319" s="146">
        <f t="shared" si="107"/>
        <v>1</v>
      </c>
      <c r="BB319" s="149">
        <f t="shared" si="98"/>
        <v>17</v>
      </c>
      <c r="BC319" s="150">
        <f t="shared" si="99"/>
        <v>16</v>
      </c>
      <c r="BD319" s="150">
        <f t="shared" si="100"/>
        <v>17</v>
      </c>
      <c r="BE319" s="211" t="str">
        <f t="shared" si="101"/>
        <v/>
      </c>
      <c r="BH319" s="173">
        <f>IF(AND(Input_Product=Elig!$C319,Elig_MatchAll_Ct&lt;22,$BC319=(Elig_MatchAll_Ct-1),AF319=0),C319,0)</f>
        <v>0</v>
      </c>
      <c r="BI319" s="173">
        <f>IF(AND(Input_Product=Elig!$C319,Elig_MatchAll_Ct&lt;22,$BC319=(Elig_MatchAll_Ct-1),AG319=0),D319,0)</f>
        <v>0</v>
      </c>
      <c r="BJ319" s="173">
        <f>IF(AND(Input_Product=Elig!$C319,Elig_MatchAll_Ct&lt;22,$BC319=(Elig_MatchAll_Ct-1),AH319=0),E319,0)</f>
        <v>0</v>
      </c>
      <c r="BK319" s="173">
        <f>IF(AND(Input_Product=Elig!$C319,Elig_MatchAll_Ct&lt;22,$BC319=(Elig_MatchAll_Ct-1),AI319=0),F319,0)</f>
        <v>0</v>
      </c>
      <c r="BL319" s="173">
        <f>IF(AND(Input_Product=Elig!$C319,Elig_MatchAll_Ct&lt;22,$BC319=(Elig_MatchAll_Ct-1),AJ319=0),G319,0)</f>
        <v>0</v>
      </c>
      <c r="BM319" s="173">
        <f>IF(AND(Input_Product=Elig!$C319,Elig_MatchAll_Ct&lt;22,$BC319=(Elig_MatchAll_Ct-1),AK319=0),H319,0)</f>
        <v>0</v>
      </c>
      <c r="BN319" s="173">
        <f>IF(AND(Input_Product=Elig!$C319,Elig_MatchAll_Ct&lt;22,$BC319=(Elig_MatchAll_Ct-1),AL319=0),I319,0)</f>
        <v>0</v>
      </c>
      <c r="BO319" s="173">
        <f>IF(AND(Input_Product=Elig!$C319,Elig_MatchAll_Ct&lt;22,$BC319=(Elig_MatchAll_Ct-1),AM319=0),J319,0)</f>
        <v>0</v>
      </c>
      <c r="BP319" s="173">
        <f>IF(AND(Input_Product=Elig!$C319,Elig_MatchAll_Ct&lt;22,$BC319=(Elig_MatchAll_Ct-1),AN319=0),K319,0)</f>
        <v>0</v>
      </c>
      <c r="BQ319" s="173">
        <f>IF(AND(Input_Product=Elig!$C319,Elig_MatchAll_Ct&lt;22,$BC319=(Elig_MatchAll_Ct-1),AP319=0),L319,0)</f>
        <v>0</v>
      </c>
      <c r="BR319" s="173">
        <f>IF(AND(Input_Product=Elig!$C319,Elig_MatchAll_Ct&lt;22,$BC319=(Elig_MatchAll_Ct-1),AO319=0),M319,0)</f>
        <v>0</v>
      </c>
      <c r="BS319" s="173">
        <f>IF(AND(Input_Product=Elig!$C319,Elig_MatchAll_Ct&lt;22,$BC319=(Elig_MatchAll_Ct-1),AQ319=0),N319,0)</f>
        <v>0</v>
      </c>
      <c r="BT319" s="173">
        <f>IF(AND(Input_Product=Elig!$C319,Elig_MatchAll_Ct&lt;22,$BC319=(Elig_MatchAll_Ct-1),AR319=0),O319,0)</f>
        <v>0</v>
      </c>
      <c r="BU319" s="173">
        <f>IF(AND(Input_Product=Elig!$C319,Elig_MatchAll_Ct&lt;22,$BC319=(Elig_MatchAll_Ct-1),AS319=0),P319,0)</f>
        <v>0</v>
      </c>
      <c r="BV319" s="174">
        <f>IF(AND(Input_Product=Elig!$C319,Elig_MatchAll_Ct&lt;22,$BC319=(Elig_MatchAll_Ct-1),AT319=0),Q319,0)</f>
        <v>0</v>
      </c>
      <c r="BW319" s="175">
        <f>IF(AND(Input_Product=Elig!$C319,Elig_MatchAll_Ct&lt;22,$BC319=(Elig_MatchAll_Ct-1),AU319=0),R319,0)</f>
        <v>0</v>
      </c>
      <c r="BX319" s="176">
        <f>IF(AND(Input_Product=Elig!$C319,Elig_MatchAll_Ct&lt;22,$BC319=(Elig_MatchAll_Ct-1),AU319=0),S319,0)</f>
        <v>0</v>
      </c>
      <c r="BY319" s="175">
        <f>IF(AND(Input_Product=Elig!$C319,Elig_MatchAll_Ct&lt;22,$BC319=(Elig_MatchAll_Ct-1),AV319=0),T319,0)</f>
        <v>0</v>
      </c>
      <c r="BZ319" s="176">
        <f>IF(AND(Input_Product=Elig!$C319,Elig_MatchAll_Ct&lt;22,$BC319=(Elig_MatchAll_Ct-1),AV319=0),U319,0)</f>
        <v>0</v>
      </c>
      <c r="CA319" s="175">
        <f>IF(AND(Input_Product=Elig!$C319,Elig_MatchAll_Ct&lt;22,$BC319=(Elig_MatchAll_Ct-1),AW319=0),V319,0)</f>
        <v>0</v>
      </c>
      <c r="CB319" s="176">
        <f>IF(AND(Input_Product=Elig!$C319,Elig_MatchAll_Ct&lt;22,$BC319=(Elig_MatchAll_Ct-1),AW319=0),W319,0)</f>
        <v>0</v>
      </c>
      <c r="CC319" s="175">
        <f>IF(AND(Input_Product=Elig!$C319,Elig_MatchAll_Ct&lt;22,$BC319=(Elig_MatchAll_Ct-1),AX319=0),X319,0)</f>
        <v>0</v>
      </c>
      <c r="CD319" s="176">
        <f>IF(AND(Input_Product=Elig!$C319,Elig_MatchAll_Ct&lt;22,$BC319=(Elig_MatchAll_Ct-1),AX319=0),Y319,0)</f>
        <v>0</v>
      </c>
      <c r="CE319" s="175">
        <f>IF(AND(Input_LTV&lt;=AE319,Input_Product=Elig!$C319,Elig_MatchAll_Ct&lt;22,$BC319=(Elig_MatchAll_Ct-1),AY319=0),Z319,0)</f>
        <v>0</v>
      </c>
      <c r="CF319" s="176">
        <f>IF(AND(Input_LTV&lt;=AE319,Input_Product=Elig!$C319,Elig_MatchAll_Ct&lt;22,$BC319=(Elig_MatchAll_Ct-1),AY319=0),AA319,0)</f>
        <v>0</v>
      </c>
      <c r="CG319" s="175">
        <f>IF(AND(Input_Product=Elig!$C319,Elig_MatchAll_Ct&lt;22,$BC319=(Elig_MatchAll_Ct-1),AZ319=0),AB319,0)</f>
        <v>0</v>
      </c>
      <c r="CH319" s="176">
        <f>IF(AND(Input_Product=Elig!$C319,Elig_MatchAll_Ct&lt;22,$BC319=(Elig_MatchAll_Ct-1),AZ319=0),AC319,0)</f>
        <v>0</v>
      </c>
      <c r="CI319" s="175">
        <f>IF(AND(Input_Product=Elig!$C319,Elig_MatchAll_Ct&lt;22,$BC319=(Elig_MatchAll_Ct-1),BA319=0),AD319,0)</f>
        <v>0</v>
      </c>
      <c r="CJ319" s="176">
        <f>IF(AND(Input_Product=Elig!$C319,Elig_MatchAll_Ct&lt;22,$BC319=(Elig_MatchAll_Ct-1),BA319=0),AE319,0)</f>
        <v>0</v>
      </c>
    </row>
    <row r="320" spans="1:88" ht="10.15" customHeight="1" x14ac:dyDescent="0.25">
      <c r="A320" s="252" t="s">
        <v>76</v>
      </c>
      <c r="B320" s="252" t="s">
        <v>953</v>
      </c>
      <c r="C320" s="246" t="str">
        <f t="shared" si="116"/>
        <v>NonQM NOO</v>
      </c>
      <c r="D320" s="247" t="s">
        <v>1995</v>
      </c>
      <c r="E320" s="248" t="s">
        <v>166</v>
      </c>
      <c r="F320" s="248" t="s">
        <v>329</v>
      </c>
      <c r="G320" s="248" t="s">
        <v>303</v>
      </c>
      <c r="H320" s="248" t="s">
        <v>444</v>
      </c>
      <c r="I320" s="247" t="s">
        <v>16</v>
      </c>
      <c r="J320" s="247" t="s">
        <v>1130</v>
      </c>
      <c r="K320" s="247" t="s">
        <v>1398</v>
      </c>
      <c r="L320" s="248" t="s">
        <v>311</v>
      </c>
      <c r="M320" s="248" t="s">
        <v>2289</v>
      </c>
      <c r="N320" s="248" t="s">
        <v>1844</v>
      </c>
      <c r="O320" s="248" t="s">
        <v>309</v>
      </c>
      <c r="P320" s="248" t="s">
        <v>2434</v>
      </c>
      <c r="Q320" s="248" t="s">
        <v>293</v>
      </c>
      <c r="R320" s="247">
        <v>1000000.01</v>
      </c>
      <c r="S320" s="247">
        <v>1500000</v>
      </c>
      <c r="T320" s="247">
        <v>0</v>
      </c>
      <c r="U320" s="247">
        <f t="shared" ref="U320:U323" si="118">S320</f>
        <v>1500000</v>
      </c>
      <c r="V320" s="247">
        <v>0</v>
      </c>
      <c r="W320" s="247">
        <v>55</v>
      </c>
      <c r="X320" s="247">
        <v>0</v>
      </c>
      <c r="Y320" s="247">
        <v>999</v>
      </c>
      <c r="Z320" s="249">
        <v>720</v>
      </c>
      <c r="AA320" s="249">
        <v>999</v>
      </c>
      <c r="AB320" s="1882">
        <v>0</v>
      </c>
      <c r="AC320" s="249">
        <v>999999</v>
      </c>
      <c r="AD320" s="247">
        <v>0</v>
      </c>
      <c r="AE320" s="250">
        <v>80</v>
      </c>
      <c r="AF320" s="144">
        <v>0</v>
      </c>
      <c r="AG320" s="145">
        <v>1</v>
      </c>
      <c r="AH320" s="145">
        <v>1</v>
      </c>
      <c r="AI320" s="145">
        <v>1</v>
      </c>
      <c r="AJ320" s="145">
        <v>0</v>
      </c>
      <c r="AK320" s="145">
        <v>0</v>
      </c>
      <c r="AL320" s="145">
        <v>0</v>
      </c>
      <c r="AM320" s="145">
        <v>1</v>
      </c>
      <c r="AN320" s="145">
        <v>1</v>
      </c>
      <c r="AO320" s="145">
        <v>1</v>
      </c>
      <c r="AP320" s="145">
        <v>1</v>
      </c>
      <c r="AQ320" s="145">
        <v>1</v>
      </c>
      <c r="AR320" s="145">
        <v>1</v>
      </c>
      <c r="AS320" s="145">
        <v>1</v>
      </c>
      <c r="AT320" s="145">
        <v>1</v>
      </c>
      <c r="AU320" s="145">
        <f t="shared" si="102"/>
        <v>0</v>
      </c>
      <c r="AV320" s="145">
        <f t="shared" si="103"/>
        <v>1</v>
      </c>
      <c r="AW320" s="145">
        <f t="shared" si="104"/>
        <v>1</v>
      </c>
      <c r="AX320" s="145">
        <f t="shared" si="110"/>
        <v>1</v>
      </c>
      <c r="AY320" s="145">
        <f t="shared" si="105"/>
        <v>1</v>
      </c>
      <c r="AZ320" s="145">
        <f t="shared" si="106"/>
        <v>1</v>
      </c>
      <c r="BA320" s="146">
        <f t="shared" si="107"/>
        <v>1</v>
      </c>
      <c r="BB320" s="149">
        <f t="shared" si="98"/>
        <v>17</v>
      </c>
      <c r="BC320" s="150">
        <f t="shared" si="99"/>
        <v>16</v>
      </c>
      <c r="BD320" s="150">
        <f t="shared" si="100"/>
        <v>17</v>
      </c>
      <c r="BE320" s="211" t="str">
        <f t="shared" si="101"/>
        <v/>
      </c>
      <c r="BH320" s="190">
        <f>IF(AND(Input_Product=Elig!$C320,Elig_MatchAll_Ct&lt;22,$BC320=(Elig_MatchAll_Ct-1),AF320=0),C320,0)</f>
        <v>0</v>
      </c>
      <c r="BI320" s="190">
        <f>IF(AND(Input_Product=Elig!$C320,Elig_MatchAll_Ct&lt;22,$BC320=(Elig_MatchAll_Ct-1),AG320=0),D320,0)</f>
        <v>0</v>
      </c>
      <c r="BJ320" s="190">
        <f>IF(AND(Input_Product=Elig!$C320,Elig_MatchAll_Ct&lt;22,$BC320=(Elig_MatchAll_Ct-1),AH320=0),E320,0)</f>
        <v>0</v>
      </c>
      <c r="BK320" s="190">
        <f>IF(AND(Input_Product=Elig!$C320,Elig_MatchAll_Ct&lt;22,$BC320=(Elig_MatchAll_Ct-1),AI320=0),F320,0)</f>
        <v>0</v>
      </c>
      <c r="BL320" s="190">
        <f>IF(AND(Input_Product=Elig!$C320,Elig_MatchAll_Ct&lt;22,$BC320=(Elig_MatchAll_Ct-1),AJ320=0),G320,0)</f>
        <v>0</v>
      </c>
      <c r="BM320" s="190">
        <f>IF(AND(Input_Product=Elig!$C320,Elig_MatchAll_Ct&lt;22,$BC320=(Elig_MatchAll_Ct-1),AK320=0),H320,0)</f>
        <v>0</v>
      </c>
      <c r="BN320" s="190">
        <f>IF(AND(Input_Product=Elig!$C320,Elig_MatchAll_Ct&lt;22,$BC320=(Elig_MatchAll_Ct-1),AL320=0),I320,0)</f>
        <v>0</v>
      </c>
      <c r="BO320" s="190">
        <f>IF(AND(Input_Product=Elig!$C320,Elig_MatchAll_Ct&lt;22,$BC320=(Elig_MatchAll_Ct-1),AM320=0),J320,0)</f>
        <v>0</v>
      </c>
      <c r="BP320" s="190">
        <f>IF(AND(Input_Product=Elig!$C320,Elig_MatchAll_Ct&lt;22,$BC320=(Elig_MatchAll_Ct-1),AN320=0),K320,0)</f>
        <v>0</v>
      </c>
      <c r="BQ320" s="190">
        <f>IF(AND(Input_Product=Elig!$C320,Elig_MatchAll_Ct&lt;22,$BC320=(Elig_MatchAll_Ct-1),AP320=0),L320,0)</f>
        <v>0</v>
      </c>
      <c r="BR320" s="190">
        <f>IF(AND(Input_Product=Elig!$C320,Elig_MatchAll_Ct&lt;22,$BC320=(Elig_MatchAll_Ct-1),AO320=0),M320,0)</f>
        <v>0</v>
      </c>
      <c r="BS320" s="190">
        <f>IF(AND(Input_Product=Elig!$C320,Elig_MatchAll_Ct&lt;22,$BC320=(Elig_MatchAll_Ct-1),AQ320=0),N320,0)</f>
        <v>0</v>
      </c>
      <c r="BT320" s="190">
        <f>IF(AND(Input_Product=Elig!$C320,Elig_MatchAll_Ct&lt;22,$BC320=(Elig_MatchAll_Ct-1),AR320=0),O320,0)</f>
        <v>0</v>
      </c>
      <c r="BU320" s="190">
        <f>IF(AND(Input_Product=Elig!$C320,Elig_MatchAll_Ct&lt;22,$BC320=(Elig_MatchAll_Ct-1),AS320=0),P320,0)</f>
        <v>0</v>
      </c>
      <c r="BV320" s="191">
        <f>IF(AND(Input_Product=Elig!$C320,Elig_MatchAll_Ct&lt;22,$BC320=(Elig_MatchAll_Ct-1),AT320=0),Q320,0)</f>
        <v>0</v>
      </c>
      <c r="BW320" s="192">
        <f>IF(AND(Input_Product=Elig!$C320,Elig_MatchAll_Ct&lt;22,$BC320=(Elig_MatchAll_Ct-1),AU320=0),R320,0)</f>
        <v>0</v>
      </c>
      <c r="BX320" s="193">
        <f>IF(AND(Input_Product=Elig!$C320,Elig_MatchAll_Ct&lt;22,$BC320=(Elig_MatchAll_Ct-1),AU320=0),S320,0)</f>
        <v>0</v>
      </c>
      <c r="BY320" s="192">
        <f>IF(AND(Input_Product=Elig!$C320,Elig_MatchAll_Ct&lt;22,$BC320=(Elig_MatchAll_Ct-1),AV320=0),T320,0)</f>
        <v>0</v>
      </c>
      <c r="BZ320" s="193">
        <f>IF(AND(Input_Product=Elig!$C320,Elig_MatchAll_Ct&lt;22,$BC320=(Elig_MatchAll_Ct-1),AV320=0),U320,0)</f>
        <v>0</v>
      </c>
      <c r="CA320" s="192">
        <f>IF(AND(Input_Product=Elig!$C320,Elig_MatchAll_Ct&lt;22,$BC320=(Elig_MatchAll_Ct-1),AW320=0),V320,0)</f>
        <v>0</v>
      </c>
      <c r="CB320" s="193">
        <f>IF(AND(Input_Product=Elig!$C320,Elig_MatchAll_Ct&lt;22,$BC320=(Elig_MatchAll_Ct-1),AW320=0),W320,0)</f>
        <v>0</v>
      </c>
      <c r="CC320" s="192">
        <f>IF(AND(Input_Product=Elig!$C320,Elig_MatchAll_Ct&lt;22,$BC320=(Elig_MatchAll_Ct-1),AX320=0),X320,0)</f>
        <v>0</v>
      </c>
      <c r="CD320" s="193">
        <f>IF(AND(Input_Product=Elig!$C320,Elig_MatchAll_Ct&lt;22,$BC320=(Elig_MatchAll_Ct-1),AX320=0),Y320,0)</f>
        <v>0</v>
      </c>
      <c r="CE320" s="192">
        <f>IF(AND(Input_LTV&lt;=AE320,Input_Product=Elig!$C320,Elig_MatchAll_Ct&lt;22,$BC320=(Elig_MatchAll_Ct-1),AY320=0),Z320,0)</f>
        <v>0</v>
      </c>
      <c r="CF320" s="193">
        <f>IF(AND(Input_LTV&lt;=AE320,Input_Product=Elig!$C320,Elig_MatchAll_Ct&lt;22,$BC320=(Elig_MatchAll_Ct-1),AY320=0),AA320,0)</f>
        <v>0</v>
      </c>
      <c r="CG320" s="192">
        <f>IF(AND(Input_Product=Elig!$C320,Elig_MatchAll_Ct&lt;22,$BC320=(Elig_MatchAll_Ct-1),AZ320=0),AB320,0)</f>
        <v>0</v>
      </c>
      <c r="CH320" s="193">
        <f>IF(AND(Input_Product=Elig!$C320,Elig_MatchAll_Ct&lt;22,$BC320=(Elig_MatchAll_Ct-1),AZ320=0),AC320,0)</f>
        <v>0</v>
      </c>
      <c r="CI320" s="192">
        <f>IF(AND(Input_Product=Elig!$C320,Elig_MatchAll_Ct&lt;22,$BC320=(Elig_MatchAll_Ct-1),BA320=0),AD320,0)</f>
        <v>0</v>
      </c>
      <c r="CJ320" s="193">
        <f>IF(AND(Input_Product=Elig!$C320,Elig_MatchAll_Ct&lt;22,$BC320=(Elig_MatchAll_Ct-1),BA320=0),AE320,0)</f>
        <v>0</v>
      </c>
    </row>
    <row r="321" spans="1:88" ht="10.15" customHeight="1" x14ac:dyDescent="0.25">
      <c r="A321" s="252" t="s">
        <v>76</v>
      </c>
      <c r="B321" s="252" t="s">
        <v>954</v>
      </c>
      <c r="C321" s="251" t="str">
        <f t="shared" si="116"/>
        <v>NonQM NOO</v>
      </c>
      <c r="D321" s="252" t="s">
        <v>1995</v>
      </c>
      <c r="E321" s="252" t="s">
        <v>166</v>
      </c>
      <c r="F321" s="252" t="s">
        <v>329</v>
      </c>
      <c r="G321" s="252" t="s">
        <v>303</v>
      </c>
      <c r="H321" s="252" t="s">
        <v>444</v>
      </c>
      <c r="I321" s="253" t="s">
        <v>16</v>
      </c>
      <c r="J321" s="253" t="s">
        <v>1130</v>
      </c>
      <c r="K321" s="253" t="s">
        <v>1398</v>
      </c>
      <c r="L321" s="252" t="s">
        <v>311</v>
      </c>
      <c r="M321" s="252" t="s">
        <v>2289</v>
      </c>
      <c r="N321" s="252" t="s">
        <v>1844</v>
      </c>
      <c r="O321" s="252" t="s">
        <v>309</v>
      </c>
      <c r="P321" s="252" t="s">
        <v>2434</v>
      </c>
      <c r="Q321" s="252" t="s">
        <v>293</v>
      </c>
      <c r="R321" s="252">
        <v>1000000.01</v>
      </c>
      <c r="S321" s="252">
        <v>1500000</v>
      </c>
      <c r="T321" s="252">
        <v>0</v>
      </c>
      <c r="U321" s="252">
        <f t="shared" si="118"/>
        <v>1500000</v>
      </c>
      <c r="V321" s="252">
        <v>0</v>
      </c>
      <c r="W321" s="252">
        <v>55</v>
      </c>
      <c r="X321" s="252">
        <v>0</v>
      </c>
      <c r="Y321" s="252">
        <v>999</v>
      </c>
      <c r="Z321" s="254">
        <v>700</v>
      </c>
      <c r="AA321" s="254">
        <v>719</v>
      </c>
      <c r="AB321" s="1883">
        <v>0</v>
      </c>
      <c r="AC321" s="254">
        <v>999999</v>
      </c>
      <c r="AD321" s="252">
        <v>0</v>
      </c>
      <c r="AE321" s="255">
        <v>75</v>
      </c>
      <c r="AF321" s="144">
        <v>0</v>
      </c>
      <c r="AG321" s="145">
        <v>1</v>
      </c>
      <c r="AH321" s="145">
        <v>1</v>
      </c>
      <c r="AI321" s="145">
        <v>1</v>
      </c>
      <c r="AJ321" s="145">
        <v>0</v>
      </c>
      <c r="AK321" s="145">
        <v>0</v>
      </c>
      <c r="AL321" s="145">
        <v>0</v>
      </c>
      <c r="AM321" s="145">
        <v>1</v>
      </c>
      <c r="AN321" s="145">
        <v>1</v>
      </c>
      <c r="AO321" s="145">
        <v>1</v>
      </c>
      <c r="AP321" s="145">
        <v>1</v>
      </c>
      <c r="AQ321" s="145">
        <v>1</v>
      </c>
      <c r="AR321" s="145">
        <v>1</v>
      </c>
      <c r="AS321" s="145">
        <v>1</v>
      </c>
      <c r="AT321" s="145">
        <v>1</v>
      </c>
      <c r="AU321" s="145">
        <f t="shared" si="102"/>
        <v>0</v>
      </c>
      <c r="AV321" s="145">
        <f t="shared" si="103"/>
        <v>1</v>
      </c>
      <c r="AW321" s="145">
        <f t="shared" si="104"/>
        <v>1</v>
      </c>
      <c r="AX321" s="145">
        <f t="shared" si="110"/>
        <v>1</v>
      </c>
      <c r="AY321" s="145">
        <f t="shared" si="105"/>
        <v>0</v>
      </c>
      <c r="AZ321" s="145">
        <f t="shared" si="106"/>
        <v>1</v>
      </c>
      <c r="BA321" s="146">
        <f t="shared" si="107"/>
        <v>1</v>
      </c>
      <c r="BB321" s="149">
        <f t="shared" si="98"/>
        <v>16</v>
      </c>
      <c r="BC321" s="150">
        <f t="shared" si="99"/>
        <v>15</v>
      </c>
      <c r="BD321" s="150">
        <f t="shared" si="100"/>
        <v>16</v>
      </c>
      <c r="BE321" s="211" t="str">
        <f t="shared" si="101"/>
        <v/>
      </c>
      <c r="BH321" s="173">
        <f>IF(AND(Input_Product=Elig!$C321,Elig_MatchAll_Ct&lt;22,$BC321=(Elig_MatchAll_Ct-1),AF321=0),C321,0)</f>
        <v>0</v>
      </c>
      <c r="BI321" s="173">
        <f>IF(AND(Input_Product=Elig!$C321,Elig_MatchAll_Ct&lt;22,$BC321=(Elig_MatchAll_Ct-1),AG321=0),D321,0)</f>
        <v>0</v>
      </c>
      <c r="BJ321" s="173">
        <f>IF(AND(Input_Product=Elig!$C321,Elig_MatchAll_Ct&lt;22,$BC321=(Elig_MatchAll_Ct-1),AH321=0),E321,0)</f>
        <v>0</v>
      </c>
      <c r="BK321" s="173">
        <f>IF(AND(Input_Product=Elig!$C321,Elig_MatchAll_Ct&lt;22,$BC321=(Elig_MatchAll_Ct-1),AI321=0),F321,0)</f>
        <v>0</v>
      </c>
      <c r="BL321" s="173">
        <f>IF(AND(Input_Product=Elig!$C321,Elig_MatchAll_Ct&lt;22,$BC321=(Elig_MatchAll_Ct-1),AJ321=0),G321,0)</f>
        <v>0</v>
      </c>
      <c r="BM321" s="173">
        <f>IF(AND(Input_Product=Elig!$C321,Elig_MatchAll_Ct&lt;22,$BC321=(Elig_MatchAll_Ct-1),AK321=0),H321,0)</f>
        <v>0</v>
      </c>
      <c r="BN321" s="173">
        <f>IF(AND(Input_Product=Elig!$C321,Elig_MatchAll_Ct&lt;22,$BC321=(Elig_MatchAll_Ct-1),AL321=0),I321,0)</f>
        <v>0</v>
      </c>
      <c r="BO321" s="173">
        <f>IF(AND(Input_Product=Elig!$C321,Elig_MatchAll_Ct&lt;22,$BC321=(Elig_MatchAll_Ct-1),AM321=0),J321,0)</f>
        <v>0</v>
      </c>
      <c r="BP321" s="173">
        <f>IF(AND(Input_Product=Elig!$C321,Elig_MatchAll_Ct&lt;22,$BC321=(Elig_MatchAll_Ct-1),AN321=0),K321,0)</f>
        <v>0</v>
      </c>
      <c r="BQ321" s="173">
        <f>IF(AND(Input_Product=Elig!$C321,Elig_MatchAll_Ct&lt;22,$BC321=(Elig_MatchAll_Ct-1),AP321=0),L321,0)</f>
        <v>0</v>
      </c>
      <c r="BR321" s="173">
        <f>IF(AND(Input_Product=Elig!$C321,Elig_MatchAll_Ct&lt;22,$BC321=(Elig_MatchAll_Ct-1),AO321=0),M321,0)</f>
        <v>0</v>
      </c>
      <c r="BS321" s="173">
        <f>IF(AND(Input_Product=Elig!$C321,Elig_MatchAll_Ct&lt;22,$BC321=(Elig_MatchAll_Ct-1),AQ321=0),N321,0)</f>
        <v>0</v>
      </c>
      <c r="BT321" s="173">
        <f>IF(AND(Input_Product=Elig!$C321,Elig_MatchAll_Ct&lt;22,$BC321=(Elig_MatchAll_Ct-1),AR321=0),O321,0)</f>
        <v>0</v>
      </c>
      <c r="BU321" s="173">
        <f>IF(AND(Input_Product=Elig!$C321,Elig_MatchAll_Ct&lt;22,$BC321=(Elig_MatchAll_Ct-1),AS321=0),P321,0)</f>
        <v>0</v>
      </c>
      <c r="BV321" s="174">
        <f>IF(AND(Input_Product=Elig!$C321,Elig_MatchAll_Ct&lt;22,$BC321=(Elig_MatchAll_Ct-1),AT321=0),Q321,0)</f>
        <v>0</v>
      </c>
      <c r="BW321" s="175">
        <f>IF(AND(Input_Product=Elig!$C321,Elig_MatchAll_Ct&lt;22,$BC321=(Elig_MatchAll_Ct-1),AU321=0),R321,0)</f>
        <v>0</v>
      </c>
      <c r="BX321" s="176">
        <f>IF(AND(Input_Product=Elig!$C321,Elig_MatchAll_Ct&lt;22,$BC321=(Elig_MatchAll_Ct-1),AU321=0),S321,0)</f>
        <v>0</v>
      </c>
      <c r="BY321" s="175">
        <f>IF(AND(Input_Product=Elig!$C321,Elig_MatchAll_Ct&lt;22,$BC321=(Elig_MatchAll_Ct-1),AV321=0),T321,0)</f>
        <v>0</v>
      </c>
      <c r="BZ321" s="176">
        <f>IF(AND(Input_Product=Elig!$C321,Elig_MatchAll_Ct&lt;22,$BC321=(Elig_MatchAll_Ct-1),AV321=0),U321,0)</f>
        <v>0</v>
      </c>
      <c r="CA321" s="175">
        <f>IF(AND(Input_Product=Elig!$C321,Elig_MatchAll_Ct&lt;22,$BC321=(Elig_MatchAll_Ct-1),AW321=0),V321,0)</f>
        <v>0</v>
      </c>
      <c r="CB321" s="176">
        <f>IF(AND(Input_Product=Elig!$C321,Elig_MatchAll_Ct&lt;22,$BC321=(Elig_MatchAll_Ct-1),AW321=0),W321,0)</f>
        <v>0</v>
      </c>
      <c r="CC321" s="175">
        <f>IF(AND(Input_Product=Elig!$C321,Elig_MatchAll_Ct&lt;22,$BC321=(Elig_MatchAll_Ct-1),AX321=0),X321,0)</f>
        <v>0</v>
      </c>
      <c r="CD321" s="176">
        <f>IF(AND(Input_Product=Elig!$C321,Elig_MatchAll_Ct&lt;22,$BC321=(Elig_MatchAll_Ct-1),AX321=0),Y321,0)</f>
        <v>0</v>
      </c>
      <c r="CE321" s="175">
        <f>IF(AND(Input_LTV&lt;=AE321,Input_Product=Elig!$C321,Elig_MatchAll_Ct&lt;22,$BC321=(Elig_MatchAll_Ct-1),AY321=0),Z321,0)</f>
        <v>0</v>
      </c>
      <c r="CF321" s="176">
        <f>IF(AND(Input_LTV&lt;=AE321,Input_Product=Elig!$C321,Elig_MatchAll_Ct&lt;22,$BC321=(Elig_MatchAll_Ct-1),AY321=0),AA321,0)</f>
        <v>0</v>
      </c>
      <c r="CG321" s="175">
        <f>IF(AND(Input_Product=Elig!$C321,Elig_MatchAll_Ct&lt;22,$BC321=(Elig_MatchAll_Ct-1),AZ321=0),AB321,0)</f>
        <v>0</v>
      </c>
      <c r="CH321" s="176">
        <f>IF(AND(Input_Product=Elig!$C321,Elig_MatchAll_Ct&lt;22,$BC321=(Elig_MatchAll_Ct-1),AZ321=0),AC321,0)</f>
        <v>0</v>
      </c>
      <c r="CI321" s="175">
        <f>IF(AND(Input_Product=Elig!$C321,Elig_MatchAll_Ct&lt;22,$BC321=(Elig_MatchAll_Ct-1),BA321=0),AD321,0)</f>
        <v>0</v>
      </c>
      <c r="CJ321" s="176">
        <f>IF(AND(Input_Product=Elig!$C321,Elig_MatchAll_Ct&lt;22,$BC321=(Elig_MatchAll_Ct-1),BA321=0),AE321,0)</f>
        <v>0</v>
      </c>
    </row>
    <row r="322" spans="1:88" ht="10.15" customHeight="1" x14ac:dyDescent="0.25">
      <c r="A322" s="252" t="s">
        <v>76</v>
      </c>
      <c r="B322" s="252" t="s">
        <v>955</v>
      </c>
      <c r="C322" s="251" t="str">
        <f t="shared" si="116"/>
        <v>NonQM NOO</v>
      </c>
      <c r="D322" s="252" t="s">
        <v>1995</v>
      </c>
      <c r="E322" s="252" t="s">
        <v>166</v>
      </c>
      <c r="F322" s="252" t="s">
        <v>329</v>
      </c>
      <c r="G322" s="252" t="s">
        <v>303</v>
      </c>
      <c r="H322" s="252" t="s">
        <v>444</v>
      </c>
      <c r="I322" s="253" t="s">
        <v>16</v>
      </c>
      <c r="J322" s="253" t="s">
        <v>1130</v>
      </c>
      <c r="K322" s="253" t="s">
        <v>1398</v>
      </c>
      <c r="L322" s="252" t="s">
        <v>311</v>
      </c>
      <c r="M322" s="252" t="s">
        <v>2289</v>
      </c>
      <c r="N322" s="252" t="s">
        <v>1844</v>
      </c>
      <c r="O322" s="252" t="s">
        <v>309</v>
      </c>
      <c r="P322" s="252" t="s">
        <v>2434</v>
      </c>
      <c r="Q322" s="252" t="s">
        <v>293</v>
      </c>
      <c r="R322" s="252">
        <v>1000000.01</v>
      </c>
      <c r="S322" s="252">
        <v>1500000</v>
      </c>
      <c r="T322" s="252">
        <v>0</v>
      </c>
      <c r="U322" s="252">
        <f t="shared" si="118"/>
        <v>1500000</v>
      </c>
      <c r="V322" s="252">
        <v>0</v>
      </c>
      <c r="W322" s="252">
        <v>55</v>
      </c>
      <c r="X322" s="252">
        <v>0</v>
      </c>
      <c r="Y322" s="252">
        <v>999</v>
      </c>
      <c r="Z322" s="254">
        <v>680</v>
      </c>
      <c r="AA322" s="254">
        <v>699</v>
      </c>
      <c r="AB322" s="1883">
        <v>0</v>
      </c>
      <c r="AC322" s="254">
        <v>999999</v>
      </c>
      <c r="AD322" s="252">
        <v>0</v>
      </c>
      <c r="AE322" s="255">
        <v>75</v>
      </c>
      <c r="AF322" s="144">
        <v>0</v>
      </c>
      <c r="AG322" s="145">
        <v>1</v>
      </c>
      <c r="AH322" s="145">
        <v>1</v>
      </c>
      <c r="AI322" s="145">
        <v>1</v>
      </c>
      <c r="AJ322" s="145">
        <v>0</v>
      </c>
      <c r="AK322" s="145">
        <v>0</v>
      </c>
      <c r="AL322" s="145">
        <v>0</v>
      </c>
      <c r="AM322" s="145">
        <v>1</v>
      </c>
      <c r="AN322" s="145">
        <v>1</v>
      </c>
      <c r="AO322" s="145">
        <v>1</v>
      </c>
      <c r="AP322" s="145">
        <v>1</v>
      </c>
      <c r="AQ322" s="145">
        <v>1</v>
      </c>
      <c r="AR322" s="145">
        <v>1</v>
      </c>
      <c r="AS322" s="145">
        <v>1</v>
      </c>
      <c r="AT322" s="145">
        <v>1</v>
      </c>
      <c r="AU322" s="145">
        <f t="shared" si="102"/>
        <v>0</v>
      </c>
      <c r="AV322" s="145">
        <f t="shared" si="103"/>
        <v>1</v>
      </c>
      <c r="AW322" s="145">
        <f t="shared" si="104"/>
        <v>1</v>
      </c>
      <c r="AX322" s="145">
        <f t="shared" si="110"/>
        <v>1</v>
      </c>
      <c r="AY322" s="145">
        <f t="shared" si="105"/>
        <v>0</v>
      </c>
      <c r="AZ322" s="145">
        <f t="shared" si="106"/>
        <v>1</v>
      </c>
      <c r="BA322" s="146">
        <f t="shared" si="107"/>
        <v>1</v>
      </c>
      <c r="BB322" s="149">
        <f t="shared" si="98"/>
        <v>16</v>
      </c>
      <c r="BC322" s="150">
        <f t="shared" si="99"/>
        <v>15</v>
      </c>
      <c r="BD322" s="150">
        <f t="shared" si="100"/>
        <v>16</v>
      </c>
      <c r="BE322" s="211" t="str">
        <f t="shared" si="101"/>
        <v/>
      </c>
      <c r="BH322" s="173">
        <f>IF(AND(Input_Product=Elig!$C322,Elig_MatchAll_Ct&lt;22,$BC322=(Elig_MatchAll_Ct-1),AF322=0),C322,0)</f>
        <v>0</v>
      </c>
      <c r="BI322" s="173">
        <f>IF(AND(Input_Product=Elig!$C322,Elig_MatchAll_Ct&lt;22,$BC322=(Elig_MatchAll_Ct-1),AG322=0),D322,0)</f>
        <v>0</v>
      </c>
      <c r="BJ322" s="173">
        <f>IF(AND(Input_Product=Elig!$C322,Elig_MatchAll_Ct&lt;22,$BC322=(Elig_MatchAll_Ct-1),AH322=0),E322,0)</f>
        <v>0</v>
      </c>
      <c r="BK322" s="173">
        <f>IF(AND(Input_Product=Elig!$C322,Elig_MatchAll_Ct&lt;22,$BC322=(Elig_MatchAll_Ct-1),AI322=0),F322,0)</f>
        <v>0</v>
      </c>
      <c r="BL322" s="173">
        <f>IF(AND(Input_Product=Elig!$C322,Elig_MatchAll_Ct&lt;22,$BC322=(Elig_MatchAll_Ct-1),AJ322=0),G322,0)</f>
        <v>0</v>
      </c>
      <c r="BM322" s="173">
        <f>IF(AND(Input_Product=Elig!$C322,Elig_MatchAll_Ct&lt;22,$BC322=(Elig_MatchAll_Ct-1),AK322=0),H322,0)</f>
        <v>0</v>
      </c>
      <c r="BN322" s="173">
        <f>IF(AND(Input_Product=Elig!$C322,Elig_MatchAll_Ct&lt;22,$BC322=(Elig_MatchAll_Ct-1),AL322=0),I322,0)</f>
        <v>0</v>
      </c>
      <c r="BO322" s="173">
        <f>IF(AND(Input_Product=Elig!$C322,Elig_MatchAll_Ct&lt;22,$BC322=(Elig_MatchAll_Ct-1),AM322=0),J322,0)</f>
        <v>0</v>
      </c>
      <c r="BP322" s="173">
        <f>IF(AND(Input_Product=Elig!$C322,Elig_MatchAll_Ct&lt;22,$BC322=(Elig_MatchAll_Ct-1),AN322=0),K322,0)</f>
        <v>0</v>
      </c>
      <c r="BQ322" s="173">
        <f>IF(AND(Input_Product=Elig!$C322,Elig_MatchAll_Ct&lt;22,$BC322=(Elig_MatchAll_Ct-1),AP322=0),L322,0)</f>
        <v>0</v>
      </c>
      <c r="BR322" s="173">
        <f>IF(AND(Input_Product=Elig!$C322,Elig_MatchAll_Ct&lt;22,$BC322=(Elig_MatchAll_Ct-1),AO322=0),M322,0)</f>
        <v>0</v>
      </c>
      <c r="BS322" s="173">
        <f>IF(AND(Input_Product=Elig!$C322,Elig_MatchAll_Ct&lt;22,$BC322=(Elig_MatchAll_Ct-1),AQ322=0),N322,0)</f>
        <v>0</v>
      </c>
      <c r="BT322" s="173">
        <f>IF(AND(Input_Product=Elig!$C322,Elig_MatchAll_Ct&lt;22,$BC322=(Elig_MatchAll_Ct-1),AR322=0),O322,0)</f>
        <v>0</v>
      </c>
      <c r="BU322" s="173">
        <f>IF(AND(Input_Product=Elig!$C322,Elig_MatchAll_Ct&lt;22,$BC322=(Elig_MatchAll_Ct-1),AS322=0),P322,0)</f>
        <v>0</v>
      </c>
      <c r="BV322" s="174">
        <f>IF(AND(Input_Product=Elig!$C322,Elig_MatchAll_Ct&lt;22,$BC322=(Elig_MatchAll_Ct-1),AT322=0),Q322,0)</f>
        <v>0</v>
      </c>
      <c r="BW322" s="175">
        <f>IF(AND(Input_Product=Elig!$C322,Elig_MatchAll_Ct&lt;22,$BC322=(Elig_MatchAll_Ct-1),AU322=0),R322,0)</f>
        <v>0</v>
      </c>
      <c r="BX322" s="176">
        <f>IF(AND(Input_Product=Elig!$C322,Elig_MatchAll_Ct&lt;22,$BC322=(Elig_MatchAll_Ct-1),AU322=0),S322,0)</f>
        <v>0</v>
      </c>
      <c r="BY322" s="175">
        <f>IF(AND(Input_Product=Elig!$C322,Elig_MatchAll_Ct&lt;22,$BC322=(Elig_MatchAll_Ct-1),AV322=0),T322,0)</f>
        <v>0</v>
      </c>
      <c r="BZ322" s="176">
        <f>IF(AND(Input_Product=Elig!$C322,Elig_MatchAll_Ct&lt;22,$BC322=(Elig_MatchAll_Ct-1),AV322=0),U322,0)</f>
        <v>0</v>
      </c>
      <c r="CA322" s="175">
        <f>IF(AND(Input_Product=Elig!$C322,Elig_MatchAll_Ct&lt;22,$BC322=(Elig_MatchAll_Ct-1),AW322=0),V322,0)</f>
        <v>0</v>
      </c>
      <c r="CB322" s="176">
        <f>IF(AND(Input_Product=Elig!$C322,Elig_MatchAll_Ct&lt;22,$BC322=(Elig_MatchAll_Ct-1),AW322=0),W322,0)</f>
        <v>0</v>
      </c>
      <c r="CC322" s="175">
        <f>IF(AND(Input_Product=Elig!$C322,Elig_MatchAll_Ct&lt;22,$BC322=(Elig_MatchAll_Ct-1),AX322=0),X322,0)</f>
        <v>0</v>
      </c>
      <c r="CD322" s="176">
        <f>IF(AND(Input_Product=Elig!$C322,Elig_MatchAll_Ct&lt;22,$BC322=(Elig_MatchAll_Ct-1),AX322=0),Y322,0)</f>
        <v>0</v>
      </c>
      <c r="CE322" s="175">
        <f>IF(AND(Input_LTV&lt;=AE322,Input_Product=Elig!$C322,Elig_MatchAll_Ct&lt;22,$BC322=(Elig_MatchAll_Ct-1),AY322=0),Z322,0)</f>
        <v>0</v>
      </c>
      <c r="CF322" s="176">
        <f>IF(AND(Input_LTV&lt;=AE322,Input_Product=Elig!$C322,Elig_MatchAll_Ct&lt;22,$BC322=(Elig_MatchAll_Ct-1),AY322=0),AA322,0)</f>
        <v>0</v>
      </c>
      <c r="CG322" s="175">
        <f>IF(AND(Input_Product=Elig!$C322,Elig_MatchAll_Ct&lt;22,$BC322=(Elig_MatchAll_Ct-1),AZ322=0),AB322,0)</f>
        <v>0</v>
      </c>
      <c r="CH322" s="176">
        <f>IF(AND(Input_Product=Elig!$C322,Elig_MatchAll_Ct&lt;22,$BC322=(Elig_MatchAll_Ct-1),AZ322=0),AC322,0)</f>
        <v>0</v>
      </c>
      <c r="CI322" s="175">
        <f>IF(AND(Input_Product=Elig!$C322,Elig_MatchAll_Ct&lt;22,$BC322=(Elig_MatchAll_Ct-1),BA322=0),AD322,0)</f>
        <v>0</v>
      </c>
      <c r="CJ322" s="176">
        <f>IF(AND(Input_Product=Elig!$C322,Elig_MatchAll_Ct&lt;22,$BC322=(Elig_MatchAll_Ct-1),BA322=0),AE322,0)</f>
        <v>0</v>
      </c>
    </row>
    <row r="323" spans="1:88" ht="10.15" customHeight="1" x14ac:dyDescent="0.25">
      <c r="A323" s="252" t="s">
        <v>76</v>
      </c>
      <c r="B323" s="252" t="s">
        <v>956</v>
      </c>
      <c r="C323" s="251" t="str">
        <f t="shared" si="116"/>
        <v>NonQM NOO</v>
      </c>
      <c r="D323" s="252" t="s">
        <v>1995</v>
      </c>
      <c r="E323" s="252" t="s">
        <v>166</v>
      </c>
      <c r="F323" s="252" t="s">
        <v>329</v>
      </c>
      <c r="G323" s="252" t="s">
        <v>303</v>
      </c>
      <c r="H323" s="252" t="s">
        <v>444</v>
      </c>
      <c r="I323" s="252" t="s">
        <v>16</v>
      </c>
      <c r="J323" s="252" t="s">
        <v>1130</v>
      </c>
      <c r="K323" s="252" t="s">
        <v>1398</v>
      </c>
      <c r="L323" s="252" t="s">
        <v>311</v>
      </c>
      <c r="M323" s="252" t="s">
        <v>2289</v>
      </c>
      <c r="N323" s="252" t="s">
        <v>1844</v>
      </c>
      <c r="O323" s="252" t="s">
        <v>309</v>
      </c>
      <c r="P323" s="252" t="s">
        <v>2434</v>
      </c>
      <c r="Q323" s="252" t="s">
        <v>293</v>
      </c>
      <c r="R323" s="252">
        <v>1000000.01</v>
      </c>
      <c r="S323" s="252">
        <v>1500000</v>
      </c>
      <c r="T323" s="252">
        <v>0</v>
      </c>
      <c r="U323" s="252">
        <f t="shared" si="118"/>
        <v>1500000</v>
      </c>
      <c r="V323" s="252">
        <v>0</v>
      </c>
      <c r="W323" s="252">
        <v>50</v>
      </c>
      <c r="X323" s="252">
        <v>0</v>
      </c>
      <c r="Y323" s="252">
        <v>999</v>
      </c>
      <c r="Z323" s="254">
        <v>660</v>
      </c>
      <c r="AA323" s="254">
        <v>679</v>
      </c>
      <c r="AB323" s="1883">
        <v>0</v>
      </c>
      <c r="AC323" s="254">
        <v>999999</v>
      </c>
      <c r="AD323" s="252">
        <v>0</v>
      </c>
      <c r="AE323" s="255">
        <v>70</v>
      </c>
      <c r="AF323" s="144">
        <v>0</v>
      </c>
      <c r="AG323" s="145">
        <v>1</v>
      </c>
      <c r="AH323" s="145">
        <v>1</v>
      </c>
      <c r="AI323" s="145">
        <v>1</v>
      </c>
      <c r="AJ323" s="145">
        <v>0</v>
      </c>
      <c r="AK323" s="145">
        <v>0</v>
      </c>
      <c r="AL323" s="145">
        <v>0</v>
      </c>
      <c r="AM323" s="145">
        <v>1</v>
      </c>
      <c r="AN323" s="145">
        <v>1</v>
      </c>
      <c r="AO323" s="145">
        <v>1</v>
      </c>
      <c r="AP323" s="145">
        <v>1</v>
      </c>
      <c r="AQ323" s="145">
        <v>1</v>
      </c>
      <c r="AR323" s="145">
        <v>1</v>
      </c>
      <c r="AS323" s="145">
        <v>1</v>
      </c>
      <c r="AT323" s="145">
        <v>1</v>
      </c>
      <c r="AU323" s="145">
        <f t="shared" si="102"/>
        <v>0</v>
      </c>
      <c r="AV323" s="145">
        <f t="shared" si="103"/>
        <v>1</v>
      </c>
      <c r="AW323" s="145">
        <f t="shared" si="104"/>
        <v>1</v>
      </c>
      <c r="AX323" s="145">
        <f t="shared" si="110"/>
        <v>1</v>
      </c>
      <c r="AY323" s="145">
        <f t="shared" si="105"/>
        <v>0</v>
      </c>
      <c r="AZ323" s="145">
        <f t="shared" si="106"/>
        <v>1</v>
      </c>
      <c r="BA323" s="146">
        <f t="shared" si="107"/>
        <v>1</v>
      </c>
      <c r="BB323" s="149">
        <f t="shared" si="98"/>
        <v>16</v>
      </c>
      <c r="BC323" s="150">
        <f t="shared" si="99"/>
        <v>15</v>
      </c>
      <c r="BD323" s="150">
        <f t="shared" si="100"/>
        <v>16</v>
      </c>
      <c r="BE323" s="211" t="str">
        <f t="shared" si="101"/>
        <v/>
      </c>
      <c r="BH323" s="173">
        <f>IF(AND(Input_Product=Elig!$C323,Elig_MatchAll_Ct&lt;22,$BC323=(Elig_MatchAll_Ct-1),AF323=0),C323,0)</f>
        <v>0</v>
      </c>
      <c r="BI323" s="173">
        <f>IF(AND(Input_Product=Elig!$C323,Elig_MatchAll_Ct&lt;22,$BC323=(Elig_MatchAll_Ct-1),AG323=0),D323,0)</f>
        <v>0</v>
      </c>
      <c r="BJ323" s="173">
        <f>IF(AND(Input_Product=Elig!$C323,Elig_MatchAll_Ct&lt;22,$BC323=(Elig_MatchAll_Ct-1),AH323=0),E323,0)</f>
        <v>0</v>
      </c>
      <c r="BK323" s="173">
        <f>IF(AND(Input_Product=Elig!$C323,Elig_MatchAll_Ct&lt;22,$BC323=(Elig_MatchAll_Ct-1),AI323=0),F323,0)</f>
        <v>0</v>
      </c>
      <c r="BL323" s="173">
        <f>IF(AND(Input_Product=Elig!$C323,Elig_MatchAll_Ct&lt;22,$BC323=(Elig_MatchAll_Ct-1),AJ323=0),G323,0)</f>
        <v>0</v>
      </c>
      <c r="BM323" s="173">
        <f>IF(AND(Input_Product=Elig!$C323,Elig_MatchAll_Ct&lt;22,$BC323=(Elig_MatchAll_Ct-1),AK323=0),H323,0)</f>
        <v>0</v>
      </c>
      <c r="BN323" s="173">
        <f>IF(AND(Input_Product=Elig!$C323,Elig_MatchAll_Ct&lt;22,$BC323=(Elig_MatchAll_Ct-1),AL323=0),I323,0)</f>
        <v>0</v>
      </c>
      <c r="BO323" s="173">
        <f>IF(AND(Input_Product=Elig!$C323,Elig_MatchAll_Ct&lt;22,$BC323=(Elig_MatchAll_Ct-1),AM323=0),J323,0)</f>
        <v>0</v>
      </c>
      <c r="BP323" s="173">
        <f>IF(AND(Input_Product=Elig!$C323,Elig_MatchAll_Ct&lt;22,$BC323=(Elig_MatchAll_Ct-1),AN323=0),K323,0)</f>
        <v>0</v>
      </c>
      <c r="BQ323" s="173">
        <f>IF(AND(Input_Product=Elig!$C323,Elig_MatchAll_Ct&lt;22,$BC323=(Elig_MatchAll_Ct-1),AP323=0),L323,0)</f>
        <v>0</v>
      </c>
      <c r="BR323" s="173">
        <f>IF(AND(Input_Product=Elig!$C323,Elig_MatchAll_Ct&lt;22,$BC323=(Elig_MatchAll_Ct-1),AO323=0),M323,0)</f>
        <v>0</v>
      </c>
      <c r="BS323" s="173">
        <f>IF(AND(Input_Product=Elig!$C323,Elig_MatchAll_Ct&lt;22,$BC323=(Elig_MatchAll_Ct-1),AQ323=0),N323,0)</f>
        <v>0</v>
      </c>
      <c r="BT323" s="173">
        <f>IF(AND(Input_Product=Elig!$C323,Elig_MatchAll_Ct&lt;22,$BC323=(Elig_MatchAll_Ct-1),AR323=0),O323,0)</f>
        <v>0</v>
      </c>
      <c r="BU323" s="173">
        <f>IF(AND(Input_Product=Elig!$C323,Elig_MatchAll_Ct&lt;22,$BC323=(Elig_MatchAll_Ct-1),AS323=0),P323,0)</f>
        <v>0</v>
      </c>
      <c r="BV323" s="174">
        <f>IF(AND(Input_Product=Elig!$C323,Elig_MatchAll_Ct&lt;22,$BC323=(Elig_MatchAll_Ct-1),AT323=0),Q323,0)</f>
        <v>0</v>
      </c>
      <c r="BW323" s="175">
        <f>IF(AND(Input_Product=Elig!$C323,Elig_MatchAll_Ct&lt;22,$BC323=(Elig_MatchAll_Ct-1),AU323=0),R323,0)</f>
        <v>0</v>
      </c>
      <c r="BX323" s="176">
        <f>IF(AND(Input_Product=Elig!$C323,Elig_MatchAll_Ct&lt;22,$BC323=(Elig_MatchAll_Ct-1),AU323=0),S323,0)</f>
        <v>0</v>
      </c>
      <c r="BY323" s="175">
        <f>IF(AND(Input_Product=Elig!$C323,Elig_MatchAll_Ct&lt;22,$BC323=(Elig_MatchAll_Ct-1),AV323=0),T323,0)</f>
        <v>0</v>
      </c>
      <c r="BZ323" s="176">
        <f>IF(AND(Input_Product=Elig!$C323,Elig_MatchAll_Ct&lt;22,$BC323=(Elig_MatchAll_Ct-1),AV323=0),U323,0)</f>
        <v>0</v>
      </c>
      <c r="CA323" s="175">
        <f>IF(AND(Input_Product=Elig!$C323,Elig_MatchAll_Ct&lt;22,$BC323=(Elig_MatchAll_Ct-1),AW323=0),V323,0)</f>
        <v>0</v>
      </c>
      <c r="CB323" s="176">
        <f>IF(AND(Input_Product=Elig!$C323,Elig_MatchAll_Ct&lt;22,$BC323=(Elig_MatchAll_Ct-1),AW323=0),W323,0)</f>
        <v>0</v>
      </c>
      <c r="CC323" s="175">
        <f>IF(AND(Input_Product=Elig!$C323,Elig_MatchAll_Ct&lt;22,$BC323=(Elig_MatchAll_Ct-1),AX323=0),X323,0)</f>
        <v>0</v>
      </c>
      <c r="CD323" s="176">
        <f>IF(AND(Input_Product=Elig!$C323,Elig_MatchAll_Ct&lt;22,$BC323=(Elig_MatchAll_Ct-1),AX323=0),Y323,0)</f>
        <v>0</v>
      </c>
      <c r="CE323" s="175">
        <f>IF(AND(Input_LTV&lt;=AE323,Input_Product=Elig!$C323,Elig_MatchAll_Ct&lt;22,$BC323=(Elig_MatchAll_Ct-1),AY323=0),Z323,0)</f>
        <v>0</v>
      </c>
      <c r="CF323" s="176">
        <f>IF(AND(Input_LTV&lt;=AE323,Input_Product=Elig!$C323,Elig_MatchAll_Ct&lt;22,$BC323=(Elig_MatchAll_Ct-1),AY323=0),AA323,0)</f>
        <v>0</v>
      </c>
      <c r="CG323" s="175">
        <f>IF(AND(Input_Product=Elig!$C323,Elig_MatchAll_Ct&lt;22,$BC323=(Elig_MatchAll_Ct-1),AZ323=0),AB323,0)</f>
        <v>0</v>
      </c>
      <c r="CH323" s="176">
        <f>IF(AND(Input_Product=Elig!$C323,Elig_MatchAll_Ct&lt;22,$BC323=(Elig_MatchAll_Ct-1),AZ323=0),AC323,0)</f>
        <v>0</v>
      </c>
      <c r="CI323" s="175">
        <f>IF(AND(Input_Product=Elig!$C323,Elig_MatchAll_Ct&lt;22,$BC323=(Elig_MatchAll_Ct-1),BA323=0),AD323,0)</f>
        <v>0</v>
      </c>
      <c r="CJ323" s="176">
        <f>IF(AND(Input_Product=Elig!$C323,Elig_MatchAll_Ct&lt;22,$BC323=(Elig_MatchAll_Ct-1),BA323=0),AE323,0)</f>
        <v>0</v>
      </c>
    </row>
    <row r="324" spans="1:88" ht="10.15" customHeight="1" x14ac:dyDescent="0.25">
      <c r="A324" s="252" t="s">
        <v>76</v>
      </c>
      <c r="B324" s="252" t="s">
        <v>957</v>
      </c>
      <c r="C324" s="246" t="str">
        <f t="shared" si="116"/>
        <v>NonQM NOO</v>
      </c>
      <c r="D324" s="247" t="s">
        <v>1995</v>
      </c>
      <c r="E324" s="248" t="s">
        <v>166</v>
      </c>
      <c r="F324" s="248" t="s">
        <v>329</v>
      </c>
      <c r="G324" s="248" t="s">
        <v>465</v>
      </c>
      <c r="H324" s="248" t="s">
        <v>135</v>
      </c>
      <c r="I324" s="247" t="s">
        <v>273</v>
      </c>
      <c r="J324" s="247" t="s">
        <v>1130</v>
      </c>
      <c r="K324" s="247" t="s">
        <v>1398</v>
      </c>
      <c r="L324" s="248" t="s">
        <v>311</v>
      </c>
      <c r="M324" s="248" t="s">
        <v>2289</v>
      </c>
      <c r="N324" s="248" t="s">
        <v>1844</v>
      </c>
      <c r="O324" s="248" t="s">
        <v>309</v>
      </c>
      <c r="P324" s="248" t="s">
        <v>2434</v>
      </c>
      <c r="Q324" s="248" t="s">
        <v>293</v>
      </c>
      <c r="R324" s="247">
        <v>1000000.01</v>
      </c>
      <c r="S324" s="247">
        <v>1500000</v>
      </c>
      <c r="T324" s="247">
        <v>0</v>
      </c>
      <c r="U324" s="247">
        <v>0</v>
      </c>
      <c r="V324" s="247">
        <v>0</v>
      </c>
      <c r="W324" s="247">
        <v>55</v>
      </c>
      <c r="X324" s="247">
        <v>0</v>
      </c>
      <c r="Y324" s="247">
        <v>999</v>
      </c>
      <c r="Z324" s="249">
        <v>720</v>
      </c>
      <c r="AA324" s="249">
        <v>999</v>
      </c>
      <c r="AB324" s="1882">
        <v>0</v>
      </c>
      <c r="AC324" s="249">
        <v>999999</v>
      </c>
      <c r="AD324" s="247">
        <v>0</v>
      </c>
      <c r="AE324" s="250">
        <v>85</v>
      </c>
      <c r="AF324" s="144">
        <v>0</v>
      </c>
      <c r="AG324" s="145">
        <v>1</v>
      </c>
      <c r="AH324" s="145">
        <v>1</v>
      </c>
      <c r="AI324" s="145">
        <v>1</v>
      </c>
      <c r="AJ324" s="145">
        <v>0</v>
      </c>
      <c r="AK324" s="145">
        <v>1</v>
      </c>
      <c r="AL324" s="145">
        <v>1</v>
      </c>
      <c r="AM324" s="145">
        <v>1</v>
      </c>
      <c r="AN324" s="145">
        <v>1</v>
      </c>
      <c r="AO324" s="145">
        <v>1</v>
      </c>
      <c r="AP324" s="145">
        <v>1</v>
      </c>
      <c r="AQ324" s="145">
        <v>1</v>
      </c>
      <c r="AR324" s="145">
        <v>1</v>
      </c>
      <c r="AS324" s="145">
        <v>1</v>
      </c>
      <c r="AT324" s="145">
        <v>1</v>
      </c>
      <c r="AU324" s="145">
        <f t="shared" si="102"/>
        <v>0</v>
      </c>
      <c r="AV324" s="145">
        <f t="shared" si="103"/>
        <v>1</v>
      </c>
      <c r="AW324" s="145">
        <f t="shared" si="104"/>
        <v>1</v>
      </c>
      <c r="AX324" s="145">
        <f t="shared" si="110"/>
        <v>1</v>
      </c>
      <c r="AY324" s="145">
        <f t="shared" si="105"/>
        <v>1</v>
      </c>
      <c r="AZ324" s="145">
        <f t="shared" si="106"/>
        <v>1</v>
      </c>
      <c r="BA324" s="146">
        <f t="shared" si="107"/>
        <v>1</v>
      </c>
      <c r="BB324" s="149">
        <f t="shared" si="98"/>
        <v>19</v>
      </c>
      <c r="BC324" s="150">
        <f t="shared" si="99"/>
        <v>18</v>
      </c>
      <c r="BD324" s="150">
        <f t="shared" si="100"/>
        <v>19</v>
      </c>
      <c r="BE324" s="211" t="str">
        <f t="shared" si="101"/>
        <v/>
      </c>
      <c r="BH324" s="190">
        <f>IF(AND(Input_Product=Elig!$C324,Elig_MatchAll_Ct&lt;22,$BC324=(Elig_MatchAll_Ct-1),AF324=0),C324,0)</f>
        <v>0</v>
      </c>
      <c r="BI324" s="190">
        <f>IF(AND(Input_Product=Elig!$C324,Elig_MatchAll_Ct&lt;22,$BC324=(Elig_MatchAll_Ct-1),AG324=0),D324,0)</f>
        <v>0</v>
      </c>
      <c r="BJ324" s="190">
        <f>IF(AND(Input_Product=Elig!$C324,Elig_MatchAll_Ct&lt;22,$BC324=(Elig_MatchAll_Ct-1),AH324=0),E324,0)</f>
        <v>0</v>
      </c>
      <c r="BK324" s="190">
        <f>IF(AND(Input_Product=Elig!$C324,Elig_MatchAll_Ct&lt;22,$BC324=(Elig_MatchAll_Ct-1),AI324=0),F324,0)</f>
        <v>0</v>
      </c>
      <c r="BL324" s="190">
        <f>IF(AND(Input_Product=Elig!$C324,Elig_MatchAll_Ct&lt;22,$BC324=(Elig_MatchAll_Ct-1),AJ324=0),G324,0)</f>
        <v>0</v>
      </c>
      <c r="BM324" s="190">
        <f>IF(AND(Input_Product=Elig!$C324,Elig_MatchAll_Ct&lt;22,$BC324=(Elig_MatchAll_Ct-1),AK324=0),H324,0)</f>
        <v>0</v>
      </c>
      <c r="BN324" s="190">
        <f>IF(AND(Input_Product=Elig!$C324,Elig_MatchAll_Ct&lt;22,$BC324=(Elig_MatchAll_Ct-1),AL324=0),I324,0)</f>
        <v>0</v>
      </c>
      <c r="BO324" s="190">
        <f>IF(AND(Input_Product=Elig!$C324,Elig_MatchAll_Ct&lt;22,$BC324=(Elig_MatchAll_Ct-1),AM324=0),J324,0)</f>
        <v>0</v>
      </c>
      <c r="BP324" s="190">
        <f>IF(AND(Input_Product=Elig!$C324,Elig_MatchAll_Ct&lt;22,$BC324=(Elig_MatchAll_Ct-1),AN324=0),K324,0)</f>
        <v>0</v>
      </c>
      <c r="BQ324" s="190">
        <f>IF(AND(Input_Product=Elig!$C324,Elig_MatchAll_Ct&lt;22,$BC324=(Elig_MatchAll_Ct-1),AP324=0),L324,0)</f>
        <v>0</v>
      </c>
      <c r="BR324" s="190">
        <f>IF(AND(Input_Product=Elig!$C324,Elig_MatchAll_Ct&lt;22,$BC324=(Elig_MatchAll_Ct-1),AO324=0),M324,0)</f>
        <v>0</v>
      </c>
      <c r="BS324" s="190">
        <f>IF(AND(Input_Product=Elig!$C324,Elig_MatchAll_Ct&lt;22,$BC324=(Elig_MatchAll_Ct-1),AQ324=0),N324,0)</f>
        <v>0</v>
      </c>
      <c r="BT324" s="190">
        <f>IF(AND(Input_Product=Elig!$C324,Elig_MatchAll_Ct&lt;22,$BC324=(Elig_MatchAll_Ct-1),AR324=0),O324,0)</f>
        <v>0</v>
      </c>
      <c r="BU324" s="190">
        <f>IF(AND(Input_Product=Elig!$C324,Elig_MatchAll_Ct&lt;22,$BC324=(Elig_MatchAll_Ct-1),AS324=0),P324,0)</f>
        <v>0</v>
      </c>
      <c r="BV324" s="191">
        <f>IF(AND(Input_Product=Elig!$C324,Elig_MatchAll_Ct&lt;22,$BC324=(Elig_MatchAll_Ct-1),AT324=0),Q324,0)</f>
        <v>0</v>
      </c>
      <c r="BW324" s="192">
        <f>IF(AND(Input_Product=Elig!$C324,Elig_MatchAll_Ct&lt;22,$BC324=(Elig_MatchAll_Ct-1),AU324=0),R324,0)</f>
        <v>0</v>
      </c>
      <c r="BX324" s="193">
        <f>IF(AND(Input_Product=Elig!$C324,Elig_MatchAll_Ct&lt;22,$BC324=(Elig_MatchAll_Ct-1),AU324=0),S324,0)</f>
        <v>0</v>
      </c>
      <c r="BY324" s="192">
        <f>IF(AND(Input_Product=Elig!$C324,Elig_MatchAll_Ct&lt;22,$BC324=(Elig_MatchAll_Ct-1),AV324=0),T324,0)</f>
        <v>0</v>
      </c>
      <c r="BZ324" s="193">
        <f>IF(AND(Input_Product=Elig!$C324,Elig_MatchAll_Ct&lt;22,$BC324=(Elig_MatchAll_Ct-1),AV324=0),U324,0)</f>
        <v>0</v>
      </c>
      <c r="CA324" s="192">
        <f>IF(AND(Input_Product=Elig!$C324,Elig_MatchAll_Ct&lt;22,$BC324=(Elig_MatchAll_Ct-1),AW324=0),V324,0)</f>
        <v>0</v>
      </c>
      <c r="CB324" s="193">
        <f>IF(AND(Input_Product=Elig!$C324,Elig_MatchAll_Ct&lt;22,$BC324=(Elig_MatchAll_Ct-1),AW324=0),W324,0)</f>
        <v>0</v>
      </c>
      <c r="CC324" s="192">
        <f>IF(AND(Input_Product=Elig!$C324,Elig_MatchAll_Ct&lt;22,$BC324=(Elig_MatchAll_Ct-1),AX324=0),X324,0)</f>
        <v>0</v>
      </c>
      <c r="CD324" s="193">
        <f>IF(AND(Input_Product=Elig!$C324,Elig_MatchAll_Ct&lt;22,$BC324=(Elig_MatchAll_Ct-1),AX324=0),Y324,0)</f>
        <v>0</v>
      </c>
      <c r="CE324" s="192">
        <f>IF(AND(Input_LTV&lt;=AE324,Input_Product=Elig!$C324,Elig_MatchAll_Ct&lt;22,$BC324=(Elig_MatchAll_Ct-1),AY324=0),Z324,0)</f>
        <v>0</v>
      </c>
      <c r="CF324" s="193">
        <f>IF(AND(Input_LTV&lt;=AE324,Input_Product=Elig!$C324,Elig_MatchAll_Ct&lt;22,$BC324=(Elig_MatchAll_Ct-1),AY324=0),AA324,0)</f>
        <v>0</v>
      </c>
      <c r="CG324" s="192">
        <f>IF(AND(Input_Product=Elig!$C324,Elig_MatchAll_Ct&lt;22,$BC324=(Elig_MatchAll_Ct-1),AZ324=0),AB324,0)</f>
        <v>0</v>
      </c>
      <c r="CH324" s="193">
        <f>IF(AND(Input_Product=Elig!$C324,Elig_MatchAll_Ct&lt;22,$BC324=(Elig_MatchAll_Ct-1),AZ324=0),AC324,0)</f>
        <v>0</v>
      </c>
      <c r="CI324" s="192">
        <f>IF(AND(Input_Product=Elig!$C324,Elig_MatchAll_Ct&lt;22,$BC324=(Elig_MatchAll_Ct-1),BA324=0),AD324,0)</f>
        <v>0</v>
      </c>
      <c r="CJ324" s="193">
        <f>IF(AND(Input_Product=Elig!$C324,Elig_MatchAll_Ct&lt;22,$BC324=(Elig_MatchAll_Ct-1),BA324=0),AE324,0)</f>
        <v>0</v>
      </c>
    </row>
    <row r="325" spans="1:88" ht="10.15" customHeight="1" x14ac:dyDescent="0.25">
      <c r="A325" s="252" t="s">
        <v>76</v>
      </c>
      <c r="B325" s="252" t="s">
        <v>958</v>
      </c>
      <c r="C325" s="251" t="str">
        <f t="shared" si="116"/>
        <v>NonQM NOO</v>
      </c>
      <c r="D325" s="252" t="s">
        <v>1995</v>
      </c>
      <c r="E325" s="252" t="s">
        <v>166</v>
      </c>
      <c r="F325" s="252" t="s">
        <v>329</v>
      </c>
      <c r="G325" s="252" t="s">
        <v>465</v>
      </c>
      <c r="H325" s="252" t="s">
        <v>135</v>
      </c>
      <c r="I325" s="253" t="s">
        <v>273</v>
      </c>
      <c r="J325" s="253" t="s">
        <v>1130</v>
      </c>
      <c r="K325" s="253" t="s">
        <v>1398</v>
      </c>
      <c r="L325" s="252" t="s">
        <v>311</v>
      </c>
      <c r="M325" s="252" t="s">
        <v>2289</v>
      </c>
      <c r="N325" s="252" t="s">
        <v>1844</v>
      </c>
      <c r="O325" s="252" t="s">
        <v>309</v>
      </c>
      <c r="P325" s="252" t="s">
        <v>2434</v>
      </c>
      <c r="Q325" s="252" t="s">
        <v>293</v>
      </c>
      <c r="R325" s="252">
        <v>1000000.01</v>
      </c>
      <c r="S325" s="252">
        <v>1500000</v>
      </c>
      <c r="T325" s="252">
        <v>0</v>
      </c>
      <c r="U325" s="252">
        <v>0</v>
      </c>
      <c r="V325" s="252">
        <v>0</v>
      </c>
      <c r="W325" s="252">
        <v>55</v>
      </c>
      <c r="X325" s="252">
        <v>0</v>
      </c>
      <c r="Y325" s="252">
        <v>999</v>
      </c>
      <c r="Z325" s="254">
        <v>700</v>
      </c>
      <c r="AA325" s="254">
        <v>719</v>
      </c>
      <c r="AB325" s="1883">
        <v>0</v>
      </c>
      <c r="AC325" s="254">
        <v>999999</v>
      </c>
      <c r="AD325" s="252">
        <v>0</v>
      </c>
      <c r="AE325" s="255">
        <v>80</v>
      </c>
      <c r="AF325" s="144">
        <v>0</v>
      </c>
      <c r="AG325" s="145">
        <v>1</v>
      </c>
      <c r="AH325" s="145">
        <v>1</v>
      </c>
      <c r="AI325" s="145">
        <v>1</v>
      </c>
      <c r="AJ325" s="145">
        <v>0</v>
      </c>
      <c r="AK325" s="145">
        <v>1</v>
      </c>
      <c r="AL325" s="145">
        <v>1</v>
      </c>
      <c r="AM325" s="145">
        <v>1</v>
      </c>
      <c r="AN325" s="145">
        <v>1</v>
      </c>
      <c r="AO325" s="145">
        <v>1</v>
      </c>
      <c r="AP325" s="145">
        <v>1</v>
      </c>
      <c r="AQ325" s="145">
        <v>1</v>
      </c>
      <c r="AR325" s="145">
        <v>1</v>
      </c>
      <c r="AS325" s="145">
        <v>1</v>
      </c>
      <c r="AT325" s="145">
        <v>1</v>
      </c>
      <c r="AU325" s="145">
        <f t="shared" si="102"/>
        <v>0</v>
      </c>
      <c r="AV325" s="145">
        <f t="shared" si="103"/>
        <v>1</v>
      </c>
      <c r="AW325" s="145">
        <f t="shared" si="104"/>
        <v>1</v>
      </c>
      <c r="AX325" s="145">
        <f t="shared" si="110"/>
        <v>1</v>
      </c>
      <c r="AY325" s="145">
        <f t="shared" si="105"/>
        <v>0</v>
      </c>
      <c r="AZ325" s="145">
        <f t="shared" si="106"/>
        <v>1</v>
      </c>
      <c r="BA325" s="146">
        <f t="shared" si="107"/>
        <v>1</v>
      </c>
      <c r="BB325" s="149">
        <f t="shared" si="98"/>
        <v>18</v>
      </c>
      <c r="BC325" s="150">
        <f t="shared" si="99"/>
        <v>17</v>
      </c>
      <c r="BD325" s="150">
        <f t="shared" si="100"/>
        <v>18</v>
      </c>
      <c r="BE325" s="211" t="str">
        <f t="shared" si="101"/>
        <v/>
      </c>
      <c r="BH325" s="173">
        <f>IF(AND(Input_Product=Elig!$C325,Elig_MatchAll_Ct&lt;22,$BC325=(Elig_MatchAll_Ct-1),AF325=0),C325,0)</f>
        <v>0</v>
      </c>
      <c r="BI325" s="173">
        <f>IF(AND(Input_Product=Elig!$C325,Elig_MatchAll_Ct&lt;22,$BC325=(Elig_MatchAll_Ct-1),AG325=0),D325,0)</f>
        <v>0</v>
      </c>
      <c r="BJ325" s="173">
        <f>IF(AND(Input_Product=Elig!$C325,Elig_MatchAll_Ct&lt;22,$BC325=(Elig_MatchAll_Ct-1),AH325=0),E325,0)</f>
        <v>0</v>
      </c>
      <c r="BK325" s="173">
        <f>IF(AND(Input_Product=Elig!$C325,Elig_MatchAll_Ct&lt;22,$BC325=(Elig_MatchAll_Ct-1),AI325=0),F325,0)</f>
        <v>0</v>
      </c>
      <c r="BL325" s="173">
        <f>IF(AND(Input_Product=Elig!$C325,Elig_MatchAll_Ct&lt;22,$BC325=(Elig_MatchAll_Ct-1),AJ325=0),G325,0)</f>
        <v>0</v>
      </c>
      <c r="BM325" s="173">
        <f>IF(AND(Input_Product=Elig!$C325,Elig_MatchAll_Ct&lt;22,$BC325=(Elig_MatchAll_Ct-1),AK325=0),H325,0)</f>
        <v>0</v>
      </c>
      <c r="BN325" s="173">
        <f>IF(AND(Input_Product=Elig!$C325,Elig_MatchAll_Ct&lt;22,$BC325=(Elig_MatchAll_Ct-1),AL325=0),I325,0)</f>
        <v>0</v>
      </c>
      <c r="BO325" s="173">
        <f>IF(AND(Input_Product=Elig!$C325,Elig_MatchAll_Ct&lt;22,$BC325=(Elig_MatchAll_Ct-1),AM325=0),J325,0)</f>
        <v>0</v>
      </c>
      <c r="BP325" s="173">
        <f>IF(AND(Input_Product=Elig!$C325,Elig_MatchAll_Ct&lt;22,$BC325=(Elig_MatchAll_Ct-1),AN325=0),K325,0)</f>
        <v>0</v>
      </c>
      <c r="BQ325" s="173">
        <f>IF(AND(Input_Product=Elig!$C325,Elig_MatchAll_Ct&lt;22,$BC325=(Elig_MatchAll_Ct-1),AP325=0),L325,0)</f>
        <v>0</v>
      </c>
      <c r="BR325" s="173">
        <f>IF(AND(Input_Product=Elig!$C325,Elig_MatchAll_Ct&lt;22,$BC325=(Elig_MatchAll_Ct-1),AO325=0),M325,0)</f>
        <v>0</v>
      </c>
      <c r="BS325" s="173">
        <f>IF(AND(Input_Product=Elig!$C325,Elig_MatchAll_Ct&lt;22,$BC325=(Elig_MatchAll_Ct-1),AQ325=0),N325,0)</f>
        <v>0</v>
      </c>
      <c r="BT325" s="173">
        <f>IF(AND(Input_Product=Elig!$C325,Elig_MatchAll_Ct&lt;22,$BC325=(Elig_MatchAll_Ct-1),AR325=0),O325,0)</f>
        <v>0</v>
      </c>
      <c r="BU325" s="173">
        <f>IF(AND(Input_Product=Elig!$C325,Elig_MatchAll_Ct&lt;22,$BC325=(Elig_MatchAll_Ct-1),AS325=0),P325,0)</f>
        <v>0</v>
      </c>
      <c r="BV325" s="174">
        <f>IF(AND(Input_Product=Elig!$C325,Elig_MatchAll_Ct&lt;22,$BC325=(Elig_MatchAll_Ct-1),AT325=0),Q325,0)</f>
        <v>0</v>
      </c>
      <c r="BW325" s="175">
        <f>IF(AND(Input_Product=Elig!$C325,Elig_MatchAll_Ct&lt;22,$BC325=(Elig_MatchAll_Ct-1),AU325=0),R325,0)</f>
        <v>0</v>
      </c>
      <c r="BX325" s="176">
        <f>IF(AND(Input_Product=Elig!$C325,Elig_MatchAll_Ct&lt;22,$BC325=(Elig_MatchAll_Ct-1),AU325=0),S325,0)</f>
        <v>0</v>
      </c>
      <c r="BY325" s="175">
        <f>IF(AND(Input_Product=Elig!$C325,Elig_MatchAll_Ct&lt;22,$BC325=(Elig_MatchAll_Ct-1),AV325=0),T325,0)</f>
        <v>0</v>
      </c>
      <c r="BZ325" s="176">
        <f>IF(AND(Input_Product=Elig!$C325,Elig_MatchAll_Ct&lt;22,$BC325=(Elig_MatchAll_Ct-1),AV325=0),U325,0)</f>
        <v>0</v>
      </c>
      <c r="CA325" s="175">
        <f>IF(AND(Input_Product=Elig!$C325,Elig_MatchAll_Ct&lt;22,$BC325=(Elig_MatchAll_Ct-1),AW325=0),V325,0)</f>
        <v>0</v>
      </c>
      <c r="CB325" s="176">
        <f>IF(AND(Input_Product=Elig!$C325,Elig_MatchAll_Ct&lt;22,$BC325=(Elig_MatchAll_Ct-1),AW325=0),W325,0)</f>
        <v>0</v>
      </c>
      <c r="CC325" s="175">
        <f>IF(AND(Input_Product=Elig!$C325,Elig_MatchAll_Ct&lt;22,$BC325=(Elig_MatchAll_Ct-1),AX325=0),X325,0)</f>
        <v>0</v>
      </c>
      <c r="CD325" s="176">
        <f>IF(AND(Input_Product=Elig!$C325,Elig_MatchAll_Ct&lt;22,$BC325=(Elig_MatchAll_Ct-1),AX325=0),Y325,0)</f>
        <v>0</v>
      </c>
      <c r="CE325" s="175">
        <f>IF(AND(Input_LTV&lt;=AE325,Input_Product=Elig!$C325,Elig_MatchAll_Ct&lt;22,$BC325=(Elig_MatchAll_Ct-1),AY325=0),Z325,0)</f>
        <v>0</v>
      </c>
      <c r="CF325" s="176">
        <f>IF(AND(Input_LTV&lt;=AE325,Input_Product=Elig!$C325,Elig_MatchAll_Ct&lt;22,$BC325=(Elig_MatchAll_Ct-1),AY325=0),AA325,0)</f>
        <v>0</v>
      </c>
      <c r="CG325" s="175">
        <f>IF(AND(Input_Product=Elig!$C325,Elig_MatchAll_Ct&lt;22,$BC325=(Elig_MatchAll_Ct-1),AZ325=0),AB325,0)</f>
        <v>0</v>
      </c>
      <c r="CH325" s="176">
        <f>IF(AND(Input_Product=Elig!$C325,Elig_MatchAll_Ct&lt;22,$BC325=(Elig_MatchAll_Ct-1),AZ325=0),AC325,0)</f>
        <v>0</v>
      </c>
      <c r="CI325" s="175">
        <f>IF(AND(Input_Product=Elig!$C325,Elig_MatchAll_Ct&lt;22,$BC325=(Elig_MatchAll_Ct-1),BA325=0),AD325,0)</f>
        <v>0</v>
      </c>
      <c r="CJ325" s="176">
        <f>IF(AND(Input_Product=Elig!$C325,Elig_MatchAll_Ct&lt;22,$BC325=(Elig_MatchAll_Ct-1),BA325=0),AE325,0)</f>
        <v>0</v>
      </c>
    </row>
    <row r="326" spans="1:88" ht="10.15" customHeight="1" x14ac:dyDescent="0.25">
      <c r="A326" s="252" t="s">
        <v>76</v>
      </c>
      <c r="B326" s="252" t="s">
        <v>959</v>
      </c>
      <c r="C326" s="251" t="str">
        <f t="shared" si="116"/>
        <v>NonQM NOO</v>
      </c>
      <c r="D326" s="252" t="s">
        <v>1995</v>
      </c>
      <c r="E326" s="252" t="s">
        <v>166</v>
      </c>
      <c r="F326" s="252" t="s">
        <v>329</v>
      </c>
      <c r="G326" s="252" t="s">
        <v>465</v>
      </c>
      <c r="H326" s="252" t="s">
        <v>135</v>
      </c>
      <c r="I326" s="253" t="s">
        <v>273</v>
      </c>
      <c r="J326" s="253" t="s">
        <v>1130</v>
      </c>
      <c r="K326" s="253" t="s">
        <v>1398</v>
      </c>
      <c r="L326" s="252" t="s">
        <v>311</v>
      </c>
      <c r="M326" s="252" t="s">
        <v>2289</v>
      </c>
      <c r="N326" s="252" t="s">
        <v>1844</v>
      </c>
      <c r="O326" s="252" t="s">
        <v>309</v>
      </c>
      <c r="P326" s="252" t="s">
        <v>2434</v>
      </c>
      <c r="Q326" s="252" t="s">
        <v>293</v>
      </c>
      <c r="R326" s="252">
        <v>1000000.01</v>
      </c>
      <c r="S326" s="252">
        <v>1500000</v>
      </c>
      <c r="T326" s="252">
        <v>0</v>
      </c>
      <c r="U326" s="252">
        <v>0</v>
      </c>
      <c r="V326" s="252">
        <v>0</v>
      </c>
      <c r="W326" s="252">
        <v>55</v>
      </c>
      <c r="X326" s="252">
        <v>0</v>
      </c>
      <c r="Y326" s="252">
        <v>999</v>
      </c>
      <c r="Z326" s="254">
        <v>680</v>
      </c>
      <c r="AA326" s="254">
        <v>699</v>
      </c>
      <c r="AB326" s="1883">
        <v>0</v>
      </c>
      <c r="AC326" s="254">
        <v>999999</v>
      </c>
      <c r="AD326" s="252">
        <v>0</v>
      </c>
      <c r="AE326" s="255">
        <v>80</v>
      </c>
      <c r="AF326" s="144">
        <v>0</v>
      </c>
      <c r="AG326" s="145">
        <v>1</v>
      </c>
      <c r="AH326" s="145">
        <v>1</v>
      </c>
      <c r="AI326" s="145">
        <v>1</v>
      </c>
      <c r="AJ326" s="145">
        <v>0</v>
      </c>
      <c r="AK326" s="145">
        <v>1</v>
      </c>
      <c r="AL326" s="145">
        <v>1</v>
      </c>
      <c r="AM326" s="145">
        <v>1</v>
      </c>
      <c r="AN326" s="145">
        <v>1</v>
      </c>
      <c r="AO326" s="145">
        <v>1</v>
      </c>
      <c r="AP326" s="145">
        <v>1</v>
      </c>
      <c r="AQ326" s="145">
        <v>1</v>
      </c>
      <c r="AR326" s="145">
        <v>1</v>
      </c>
      <c r="AS326" s="145">
        <v>1</v>
      </c>
      <c r="AT326" s="145">
        <v>1</v>
      </c>
      <c r="AU326" s="145">
        <f t="shared" si="102"/>
        <v>0</v>
      </c>
      <c r="AV326" s="145">
        <f t="shared" si="103"/>
        <v>1</v>
      </c>
      <c r="AW326" s="145">
        <f t="shared" si="104"/>
        <v>1</v>
      </c>
      <c r="AX326" s="145">
        <f t="shared" si="110"/>
        <v>1</v>
      </c>
      <c r="AY326" s="145">
        <f t="shared" si="105"/>
        <v>0</v>
      </c>
      <c r="AZ326" s="145">
        <f t="shared" si="106"/>
        <v>1</v>
      </c>
      <c r="BA326" s="146">
        <f t="shared" si="107"/>
        <v>1</v>
      </c>
      <c r="BB326" s="149">
        <f t="shared" si="98"/>
        <v>18</v>
      </c>
      <c r="BC326" s="150">
        <f t="shared" si="99"/>
        <v>17</v>
      </c>
      <c r="BD326" s="150">
        <f t="shared" si="100"/>
        <v>18</v>
      </c>
      <c r="BE326" s="211" t="str">
        <f t="shared" si="101"/>
        <v/>
      </c>
      <c r="BH326" s="173">
        <f>IF(AND(Input_Product=Elig!$C326,Elig_MatchAll_Ct&lt;22,$BC326=(Elig_MatchAll_Ct-1),AF326=0),C326,0)</f>
        <v>0</v>
      </c>
      <c r="BI326" s="173">
        <f>IF(AND(Input_Product=Elig!$C326,Elig_MatchAll_Ct&lt;22,$BC326=(Elig_MatchAll_Ct-1),AG326=0),D326,0)</f>
        <v>0</v>
      </c>
      <c r="BJ326" s="173">
        <f>IF(AND(Input_Product=Elig!$C326,Elig_MatchAll_Ct&lt;22,$BC326=(Elig_MatchAll_Ct-1),AH326=0),E326,0)</f>
        <v>0</v>
      </c>
      <c r="BK326" s="173">
        <f>IF(AND(Input_Product=Elig!$C326,Elig_MatchAll_Ct&lt;22,$BC326=(Elig_MatchAll_Ct-1),AI326=0),F326,0)</f>
        <v>0</v>
      </c>
      <c r="BL326" s="173">
        <f>IF(AND(Input_Product=Elig!$C326,Elig_MatchAll_Ct&lt;22,$BC326=(Elig_MatchAll_Ct-1),AJ326=0),G326,0)</f>
        <v>0</v>
      </c>
      <c r="BM326" s="173">
        <f>IF(AND(Input_Product=Elig!$C326,Elig_MatchAll_Ct&lt;22,$BC326=(Elig_MatchAll_Ct-1),AK326=0),H326,0)</f>
        <v>0</v>
      </c>
      <c r="BN326" s="173">
        <f>IF(AND(Input_Product=Elig!$C326,Elig_MatchAll_Ct&lt;22,$BC326=(Elig_MatchAll_Ct-1),AL326=0),I326,0)</f>
        <v>0</v>
      </c>
      <c r="BO326" s="173">
        <f>IF(AND(Input_Product=Elig!$C326,Elig_MatchAll_Ct&lt;22,$BC326=(Elig_MatchAll_Ct-1),AM326=0),J326,0)</f>
        <v>0</v>
      </c>
      <c r="BP326" s="173">
        <f>IF(AND(Input_Product=Elig!$C326,Elig_MatchAll_Ct&lt;22,$BC326=(Elig_MatchAll_Ct-1),AN326=0),K326,0)</f>
        <v>0</v>
      </c>
      <c r="BQ326" s="173">
        <f>IF(AND(Input_Product=Elig!$C326,Elig_MatchAll_Ct&lt;22,$BC326=(Elig_MatchAll_Ct-1),AP326=0),L326,0)</f>
        <v>0</v>
      </c>
      <c r="BR326" s="173">
        <f>IF(AND(Input_Product=Elig!$C326,Elig_MatchAll_Ct&lt;22,$BC326=(Elig_MatchAll_Ct-1),AO326=0),M326,0)</f>
        <v>0</v>
      </c>
      <c r="BS326" s="173">
        <f>IF(AND(Input_Product=Elig!$C326,Elig_MatchAll_Ct&lt;22,$BC326=(Elig_MatchAll_Ct-1),AQ326=0),N326,0)</f>
        <v>0</v>
      </c>
      <c r="BT326" s="173">
        <f>IF(AND(Input_Product=Elig!$C326,Elig_MatchAll_Ct&lt;22,$BC326=(Elig_MatchAll_Ct-1),AR326=0),O326,0)</f>
        <v>0</v>
      </c>
      <c r="BU326" s="173">
        <f>IF(AND(Input_Product=Elig!$C326,Elig_MatchAll_Ct&lt;22,$BC326=(Elig_MatchAll_Ct-1),AS326=0),P326,0)</f>
        <v>0</v>
      </c>
      <c r="BV326" s="174">
        <f>IF(AND(Input_Product=Elig!$C326,Elig_MatchAll_Ct&lt;22,$BC326=(Elig_MatchAll_Ct-1),AT326=0),Q326,0)</f>
        <v>0</v>
      </c>
      <c r="BW326" s="175">
        <f>IF(AND(Input_Product=Elig!$C326,Elig_MatchAll_Ct&lt;22,$BC326=(Elig_MatchAll_Ct-1),AU326=0),R326,0)</f>
        <v>0</v>
      </c>
      <c r="BX326" s="176">
        <f>IF(AND(Input_Product=Elig!$C326,Elig_MatchAll_Ct&lt;22,$BC326=(Elig_MatchAll_Ct-1),AU326=0),S326,0)</f>
        <v>0</v>
      </c>
      <c r="BY326" s="175">
        <f>IF(AND(Input_Product=Elig!$C326,Elig_MatchAll_Ct&lt;22,$BC326=(Elig_MatchAll_Ct-1),AV326=0),T326,0)</f>
        <v>0</v>
      </c>
      <c r="BZ326" s="176">
        <f>IF(AND(Input_Product=Elig!$C326,Elig_MatchAll_Ct&lt;22,$BC326=(Elig_MatchAll_Ct-1),AV326=0),U326,0)</f>
        <v>0</v>
      </c>
      <c r="CA326" s="175">
        <f>IF(AND(Input_Product=Elig!$C326,Elig_MatchAll_Ct&lt;22,$BC326=(Elig_MatchAll_Ct-1),AW326=0),V326,0)</f>
        <v>0</v>
      </c>
      <c r="CB326" s="176">
        <f>IF(AND(Input_Product=Elig!$C326,Elig_MatchAll_Ct&lt;22,$BC326=(Elig_MatchAll_Ct-1),AW326=0),W326,0)</f>
        <v>0</v>
      </c>
      <c r="CC326" s="175">
        <f>IF(AND(Input_Product=Elig!$C326,Elig_MatchAll_Ct&lt;22,$BC326=(Elig_MatchAll_Ct-1),AX326=0),X326,0)</f>
        <v>0</v>
      </c>
      <c r="CD326" s="176">
        <f>IF(AND(Input_Product=Elig!$C326,Elig_MatchAll_Ct&lt;22,$BC326=(Elig_MatchAll_Ct-1),AX326=0),Y326,0)</f>
        <v>0</v>
      </c>
      <c r="CE326" s="175">
        <f>IF(AND(Input_LTV&lt;=AE326,Input_Product=Elig!$C326,Elig_MatchAll_Ct&lt;22,$BC326=(Elig_MatchAll_Ct-1),AY326=0),Z326,0)</f>
        <v>0</v>
      </c>
      <c r="CF326" s="176">
        <f>IF(AND(Input_LTV&lt;=AE326,Input_Product=Elig!$C326,Elig_MatchAll_Ct&lt;22,$BC326=(Elig_MatchAll_Ct-1),AY326=0),AA326,0)</f>
        <v>0</v>
      </c>
      <c r="CG326" s="175">
        <f>IF(AND(Input_Product=Elig!$C326,Elig_MatchAll_Ct&lt;22,$BC326=(Elig_MatchAll_Ct-1),AZ326=0),AB326,0)</f>
        <v>0</v>
      </c>
      <c r="CH326" s="176">
        <f>IF(AND(Input_Product=Elig!$C326,Elig_MatchAll_Ct&lt;22,$BC326=(Elig_MatchAll_Ct-1),AZ326=0),AC326,0)</f>
        <v>0</v>
      </c>
      <c r="CI326" s="175">
        <f>IF(AND(Input_Product=Elig!$C326,Elig_MatchAll_Ct&lt;22,$BC326=(Elig_MatchAll_Ct-1),BA326=0),AD326,0)</f>
        <v>0</v>
      </c>
      <c r="CJ326" s="176">
        <f>IF(AND(Input_Product=Elig!$C326,Elig_MatchAll_Ct&lt;22,$BC326=(Elig_MatchAll_Ct-1),BA326=0),AE326,0)</f>
        <v>0</v>
      </c>
    </row>
    <row r="327" spans="1:88" ht="10.15" customHeight="1" x14ac:dyDescent="0.25">
      <c r="A327" s="252" t="s">
        <v>76</v>
      </c>
      <c r="B327" s="252" t="s">
        <v>960</v>
      </c>
      <c r="C327" s="251" t="str">
        <f t="shared" si="116"/>
        <v>NonQM NOO</v>
      </c>
      <c r="D327" s="252" t="s">
        <v>1995</v>
      </c>
      <c r="E327" s="252" t="s">
        <v>166</v>
      </c>
      <c r="F327" s="252" t="s">
        <v>329</v>
      </c>
      <c r="G327" s="252" t="s">
        <v>465</v>
      </c>
      <c r="H327" s="252" t="s">
        <v>135</v>
      </c>
      <c r="I327" s="252" t="s">
        <v>273</v>
      </c>
      <c r="J327" s="252" t="s">
        <v>1130</v>
      </c>
      <c r="K327" s="252" t="s">
        <v>1398</v>
      </c>
      <c r="L327" s="252" t="s">
        <v>311</v>
      </c>
      <c r="M327" s="252" t="s">
        <v>2289</v>
      </c>
      <c r="N327" s="252" t="s">
        <v>1844</v>
      </c>
      <c r="O327" s="252" t="s">
        <v>309</v>
      </c>
      <c r="P327" s="252" t="s">
        <v>2434</v>
      </c>
      <c r="Q327" s="252" t="s">
        <v>293</v>
      </c>
      <c r="R327" s="252">
        <v>1000000.01</v>
      </c>
      <c r="S327" s="252">
        <v>1500000</v>
      </c>
      <c r="T327" s="252">
        <v>0</v>
      </c>
      <c r="U327" s="252">
        <v>0</v>
      </c>
      <c r="V327" s="252">
        <v>0</v>
      </c>
      <c r="W327" s="252">
        <v>50</v>
      </c>
      <c r="X327" s="252">
        <v>0</v>
      </c>
      <c r="Y327" s="252">
        <v>999</v>
      </c>
      <c r="Z327" s="254">
        <v>660</v>
      </c>
      <c r="AA327" s="254">
        <v>679</v>
      </c>
      <c r="AB327" s="1883">
        <v>0</v>
      </c>
      <c r="AC327" s="254">
        <v>999999</v>
      </c>
      <c r="AD327" s="252">
        <v>0</v>
      </c>
      <c r="AE327" s="255">
        <v>75</v>
      </c>
      <c r="AF327" s="144">
        <v>0</v>
      </c>
      <c r="AG327" s="145">
        <v>1</v>
      </c>
      <c r="AH327" s="145">
        <v>1</v>
      </c>
      <c r="AI327" s="145">
        <v>1</v>
      </c>
      <c r="AJ327" s="145">
        <v>0</v>
      </c>
      <c r="AK327" s="145">
        <v>1</v>
      </c>
      <c r="AL327" s="145">
        <v>1</v>
      </c>
      <c r="AM327" s="145">
        <v>1</v>
      </c>
      <c r="AN327" s="145">
        <v>1</v>
      </c>
      <c r="AO327" s="145">
        <v>1</v>
      </c>
      <c r="AP327" s="145">
        <v>1</v>
      </c>
      <c r="AQ327" s="145">
        <v>1</v>
      </c>
      <c r="AR327" s="145">
        <v>1</v>
      </c>
      <c r="AS327" s="145">
        <v>1</v>
      </c>
      <c r="AT327" s="145">
        <v>1</v>
      </c>
      <c r="AU327" s="145">
        <f t="shared" si="102"/>
        <v>0</v>
      </c>
      <c r="AV327" s="145">
        <f t="shared" si="103"/>
        <v>1</v>
      </c>
      <c r="AW327" s="145">
        <f t="shared" si="104"/>
        <v>1</v>
      </c>
      <c r="AX327" s="145">
        <f t="shared" si="110"/>
        <v>1</v>
      </c>
      <c r="AY327" s="145">
        <f t="shared" si="105"/>
        <v>0</v>
      </c>
      <c r="AZ327" s="145">
        <f t="shared" si="106"/>
        <v>1</v>
      </c>
      <c r="BA327" s="146">
        <f t="shared" si="107"/>
        <v>1</v>
      </c>
      <c r="BB327" s="149">
        <f t="shared" si="98"/>
        <v>18</v>
      </c>
      <c r="BC327" s="150">
        <f t="shared" si="99"/>
        <v>17</v>
      </c>
      <c r="BD327" s="150">
        <f t="shared" si="100"/>
        <v>18</v>
      </c>
      <c r="BE327" s="211" t="str">
        <f t="shared" si="101"/>
        <v/>
      </c>
      <c r="BH327" s="173">
        <f>IF(AND(Input_Product=Elig!$C327,Elig_MatchAll_Ct&lt;22,$BC327=(Elig_MatchAll_Ct-1),AF327=0),C327,0)</f>
        <v>0</v>
      </c>
      <c r="BI327" s="173">
        <f>IF(AND(Input_Product=Elig!$C327,Elig_MatchAll_Ct&lt;22,$BC327=(Elig_MatchAll_Ct-1),AG327=0),D327,0)</f>
        <v>0</v>
      </c>
      <c r="BJ327" s="173">
        <f>IF(AND(Input_Product=Elig!$C327,Elig_MatchAll_Ct&lt;22,$BC327=(Elig_MatchAll_Ct-1),AH327=0),E327,0)</f>
        <v>0</v>
      </c>
      <c r="BK327" s="173">
        <f>IF(AND(Input_Product=Elig!$C327,Elig_MatchAll_Ct&lt;22,$BC327=(Elig_MatchAll_Ct-1),AI327=0),F327,0)</f>
        <v>0</v>
      </c>
      <c r="BL327" s="173">
        <f>IF(AND(Input_Product=Elig!$C327,Elig_MatchAll_Ct&lt;22,$BC327=(Elig_MatchAll_Ct-1),AJ327=0),G327,0)</f>
        <v>0</v>
      </c>
      <c r="BM327" s="173">
        <f>IF(AND(Input_Product=Elig!$C327,Elig_MatchAll_Ct&lt;22,$BC327=(Elig_MatchAll_Ct-1),AK327=0),H327,0)</f>
        <v>0</v>
      </c>
      <c r="BN327" s="173">
        <f>IF(AND(Input_Product=Elig!$C327,Elig_MatchAll_Ct&lt;22,$BC327=(Elig_MatchAll_Ct-1),AL327=0),I327,0)</f>
        <v>0</v>
      </c>
      <c r="BO327" s="173">
        <f>IF(AND(Input_Product=Elig!$C327,Elig_MatchAll_Ct&lt;22,$BC327=(Elig_MatchAll_Ct-1),AM327=0),J327,0)</f>
        <v>0</v>
      </c>
      <c r="BP327" s="173">
        <f>IF(AND(Input_Product=Elig!$C327,Elig_MatchAll_Ct&lt;22,$BC327=(Elig_MatchAll_Ct-1),AN327=0),K327,0)</f>
        <v>0</v>
      </c>
      <c r="BQ327" s="173">
        <f>IF(AND(Input_Product=Elig!$C327,Elig_MatchAll_Ct&lt;22,$BC327=(Elig_MatchAll_Ct-1),AP327=0),L327,0)</f>
        <v>0</v>
      </c>
      <c r="BR327" s="173">
        <f>IF(AND(Input_Product=Elig!$C327,Elig_MatchAll_Ct&lt;22,$BC327=(Elig_MatchAll_Ct-1),AO327=0),M327,0)</f>
        <v>0</v>
      </c>
      <c r="BS327" s="173">
        <f>IF(AND(Input_Product=Elig!$C327,Elig_MatchAll_Ct&lt;22,$BC327=(Elig_MatchAll_Ct-1),AQ327=0),N327,0)</f>
        <v>0</v>
      </c>
      <c r="BT327" s="173">
        <f>IF(AND(Input_Product=Elig!$C327,Elig_MatchAll_Ct&lt;22,$BC327=(Elig_MatchAll_Ct-1),AR327=0),O327,0)</f>
        <v>0</v>
      </c>
      <c r="BU327" s="173">
        <f>IF(AND(Input_Product=Elig!$C327,Elig_MatchAll_Ct&lt;22,$BC327=(Elig_MatchAll_Ct-1),AS327=0),P327,0)</f>
        <v>0</v>
      </c>
      <c r="BV327" s="174">
        <f>IF(AND(Input_Product=Elig!$C327,Elig_MatchAll_Ct&lt;22,$BC327=(Elig_MatchAll_Ct-1),AT327=0),Q327,0)</f>
        <v>0</v>
      </c>
      <c r="BW327" s="175">
        <f>IF(AND(Input_Product=Elig!$C327,Elig_MatchAll_Ct&lt;22,$BC327=(Elig_MatchAll_Ct-1),AU327=0),R327,0)</f>
        <v>0</v>
      </c>
      <c r="BX327" s="176">
        <f>IF(AND(Input_Product=Elig!$C327,Elig_MatchAll_Ct&lt;22,$BC327=(Elig_MatchAll_Ct-1),AU327=0),S327,0)</f>
        <v>0</v>
      </c>
      <c r="BY327" s="175">
        <f>IF(AND(Input_Product=Elig!$C327,Elig_MatchAll_Ct&lt;22,$BC327=(Elig_MatchAll_Ct-1),AV327=0),T327,0)</f>
        <v>0</v>
      </c>
      <c r="BZ327" s="176">
        <f>IF(AND(Input_Product=Elig!$C327,Elig_MatchAll_Ct&lt;22,$BC327=(Elig_MatchAll_Ct-1),AV327=0),U327,0)</f>
        <v>0</v>
      </c>
      <c r="CA327" s="175">
        <f>IF(AND(Input_Product=Elig!$C327,Elig_MatchAll_Ct&lt;22,$BC327=(Elig_MatchAll_Ct-1),AW327=0),V327,0)</f>
        <v>0</v>
      </c>
      <c r="CB327" s="176">
        <f>IF(AND(Input_Product=Elig!$C327,Elig_MatchAll_Ct&lt;22,$BC327=(Elig_MatchAll_Ct-1),AW327=0),W327,0)</f>
        <v>0</v>
      </c>
      <c r="CC327" s="175">
        <f>IF(AND(Input_Product=Elig!$C327,Elig_MatchAll_Ct&lt;22,$BC327=(Elig_MatchAll_Ct-1),AX327=0),X327,0)</f>
        <v>0</v>
      </c>
      <c r="CD327" s="176">
        <f>IF(AND(Input_Product=Elig!$C327,Elig_MatchAll_Ct&lt;22,$BC327=(Elig_MatchAll_Ct-1),AX327=0),Y327,0)</f>
        <v>0</v>
      </c>
      <c r="CE327" s="175">
        <f>IF(AND(Input_LTV&lt;=AE327,Input_Product=Elig!$C327,Elig_MatchAll_Ct&lt;22,$BC327=(Elig_MatchAll_Ct-1),AY327=0),Z327,0)</f>
        <v>0</v>
      </c>
      <c r="CF327" s="176">
        <f>IF(AND(Input_LTV&lt;=AE327,Input_Product=Elig!$C327,Elig_MatchAll_Ct&lt;22,$BC327=(Elig_MatchAll_Ct-1),AY327=0),AA327,0)</f>
        <v>0</v>
      </c>
      <c r="CG327" s="175">
        <f>IF(AND(Input_Product=Elig!$C327,Elig_MatchAll_Ct&lt;22,$BC327=(Elig_MatchAll_Ct-1),AZ327=0),AB327,0)</f>
        <v>0</v>
      </c>
      <c r="CH327" s="176">
        <f>IF(AND(Input_Product=Elig!$C327,Elig_MatchAll_Ct&lt;22,$BC327=(Elig_MatchAll_Ct-1),AZ327=0),AC327,0)</f>
        <v>0</v>
      </c>
      <c r="CI327" s="175">
        <f>IF(AND(Input_Product=Elig!$C327,Elig_MatchAll_Ct&lt;22,$BC327=(Elig_MatchAll_Ct-1),BA327=0),AD327,0)</f>
        <v>0</v>
      </c>
      <c r="CJ327" s="176">
        <f>IF(AND(Input_Product=Elig!$C327,Elig_MatchAll_Ct&lt;22,$BC327=(Elig_MatchAll_Ct-1),BA327=0),AE327,0)</f>
        <v>0</v>
      </c>
    </row>
    <row r="328" spans="1:88" ht="10.15" customHeight="1" x14ac:dyDescent="0.25">
      <c r="A328" s="252" t="s">
        <v>76</v>
      </c>
      <c r="B328" s="252" t="s">
        <v>961</v>
      </c>
      <c r="C328" s="246" t="str">
        <f t="shared" si="116"/>
        <v>NonQM NOO</v>
      </c>
      <c r="D328" s="247" t="s">
        <v>1995</v>
      </c>
      <c r="E328" s="248" t="s">
        <v>166</v>
      </c>
      <c r="F328" s="248" t="s">
        <v>329</v>
      </c>
      <c r="G328" s="248" t="s">
        <v>465</v>
      </c>
      <c r="H328" s="248" t="s">
        <v>135</v>
      </c>
      <c r="I328" s="247" t="s">
        <v>16</v>
      </c>
      <c r="J328" s="247" t="s">
        <v>1130</v>
      </c>
      <c r="K328" s="247" t="s">
        <v>1398</v>
      </c>
      <c r="L328" s="248" t="s">
        <v>311</v>
      </c>
      <c r="M328" s="248" t="s">
        <v>2289</v>
      </c>
      <c r="N328" s="248" t="s">
        <v>1844</v>
      </c>
      <c r="O328" s="248" t="s">
        <v>309</v>
      </c>
      <c r="P328" s="248" t="s">
        <v>2434</v>
      </c>
      <c r="Q328" s="248" t="s">
        <v>293</v>
      </c>
      <c r="R328" s="247">
        <v>1000000.01</v>
      </c>
      <c r="S328" s="247">
        <v>1500000</v>
      </c>
      <c r="T328" s="247">
        <v>0</v>
      </c>
      <c r="U328" s="247">
        <f t="shared" ref="U328:U331" si="119">S328</f>
        <v>1500000</v>
      </c>
      <c r="V328" s="247">
        <v>0</v>
      </c>
      <c r="W328" s="247">
        <v>55</v>
      </c>
      <c r="X328" s="247">
        <v>0</v>
      </c>
      <c r="Y328" s="247">
        <v>999</v>
      </c>
      <c r="Z328" s="249">
        <v>720</v>
      </c>
      <c r="AA328" s="249">
        <v>999</v>
      </c>
      <c r="AB328" s="1882">
        <v>0</v>
      </c>
      <c r="AC328" s="249">
        <v>999999</v>
      </c>
      <c r="AD328" s="247">
        <v>0</v>
      </c>
      <c r="AE328" s="250">
        <v>80</v>
      </c>
      <c r="AF328" s="144">
        <v>0</v>
      </c>
      <c r="AG328" s="145">
        <v>1</v>
      </c>
      <c r="AH328" s="145">
        <v>1</v>
      </c>
      <c r="AI328" s="145">
        <v>1</v>
      </c>
      <c r="AJ328" s="145">
        <v>0</v>
      </c>
      <c r="AK328" s="145">
        <v>1</v>
      </c>
      <c r="AL328" s="145">
        <v>0</v>
      </c>
      <c r="AM328" s="145">
        <v>1</v>
      </c>
      <c r="AN328" s="145">
        <v>1</v>
      </c>
      <c r="AO328" s="145">
        <v>1</v>
      </c>
      <c r="AP328" s="145">
        <v>1</v>
      </c>
      <c r="AQ328" s="145">
        <v>1</v>
      </c>
      <c r="AR328" s="145">
        <v>1</v>
      </c>
      <c r="AS328" s="145">
        <v>1</v>
      </c>
      <c r="AT328" s="145">
        <v>1</v>
      </c>
      <c r="AU328" s="145">
        <f t="shared" si="102"/>
        <v>0</v>
      </c>
      <c r="AV328" s="145">
        <f t="shared" si="103"/>
        <v>1</v>
      </c>
      <c r="AW328" s="145">
        <f t="shared" si="104"/>
        <v>1</v>
      </c>
      <c r="AX328" s="145">
        <f t="shared" si="110"/>
        <v>1</v>
      </c>
      <c r="AY328" s="145">
        <f t="shared" si="105"/>
        <v>1</v>
      </c>
      <c r="AZ328" s="145">
        <f t="shared" si="106"/>
        <v>1</v>
      </c>
      <c r="BA328" s="146">
        <f t="shared" si="107"/>
        <v>1</v>
      </c>
      <c r="BB328" s="149">
        <f t="shared" si="98"/>
        <v>18</v>
      </c>
      <c r="BC328" s="150">
        <f t="shared" si="99"/>
        <v>17</v>
      </c>
      <c r="BD328" s="150">
        <f t="shared" si="100"/>
        <v>18</v>
      </c>
      <c r="BE328" s="211" t="str">
        <f t="shared" si="101"/>
        <v/>
      </c>
      <c r="BH328" s="190">
        <f>IF(AND(Input_Product=Elig!$C328,Elig_MatchAll_Ct&lt;22,$BC328=(Elig_MatchAll_Ct-1),AF328=0),C328,0)</f>
        <v>0</v>
      </c>
      <c r="BI328" s="190">
        <f>IF(AND(Input_Product=Elig!$C328,Elig_MatchAll_Ct&lt;22,$BC328=(Elig_MatchAll_Ct-1),AG328=0),D328,0)</f>
        <v>0</v>
      </c>
      <c r="BJ328" s="190">
        <f>IF(AND(Input_Product=Elig!$C328,Elig_MatchAll_Ct&lt;22,$BC328=(Elig_MatchAll_Ct-1),AH328=0),E328,0)</f>
        <v>0</v>
      </c>
      <c r="BK328" s="190">
        <f>IF(AND(Input_Product=Elig!$C328,Elig_MatchAll_Ct&lt;22,$BC328=(Elig_MatchAll_Ct-1),AI328=0),F328,0)</f>
        <v>0</v>
      </c>
      <c r="BL328" s="190">
        <f>IF(AND(Input_Product=Elig!$C328,Elig_MatchAll_Ct&lt;22,$BC328=(Elig_MatchAll_Ct-1),AJ328=0),G328,0)</f>
        <v>0</v>
      </c>
      <c r="BM328" s="190">
        <f>IF(AND(Input_Product=Elig!$C328,Elig_MatchAll_Ct&lt;22,$BC328=(Elig_MatchAll_Ct-1),AK328=0),H328,0)</f>
        <v>0</v>
      </c>
      <c r="BN328" s="190">
        <f>IF(AND(Input_Product=Elig!$C328,Elig_MatchAll_Ct&lt;22,$BC328=(Elig_MatchAll_Ct-1),AL328=0),I328,0)</f>
        <v>0</v>
      </c>
      <c r="BO328" s="190">
        <f>IF(AND(Input_Product=Elig!$C328,Elig_MatchAll_Ct&lt;22,$BC328=(Elig_MatchAll_Ct-1),AM328=0),J328,0)</f>
        <v>0</v>
      </c>
      <c r="BP328" s="190">
        <f>IF(AND(Input_Product=Elig!$C328,Elig_MatchAll_Ct&lt;22,$BC328=(Elig_MatchAll_Ct-1),AN328=0),K328,0)</f>
        <v>0</v>
      </c>
      <c r="BQ328" s="190">
        <f>IF(AND(Input_Product=Elig!$C328,Elig_MatchAll_Ct&lt;22,$BC328=(Elig_MatchAll_Ct-1),AP328=0),L328,0)</f>
        <v>0</v>
      </c>
      <c r="BR328" s="190">
        <f>IF(AND(Input_Product=Elig!$C328,Elig_MatchAll_Ct&lt;22,$BC328=(Elig_MatchAll_Ct-1),AO328=0),M328,0)</f>
        <v>0</v>
      </c>
      <c r="BS328" s="190">
        <f>IF(AND(Input_Product=Elig!$C328,Elig_MatchAll_Ct&lt;22,$BC328=(Elig_MatchAll_Ct-1),AQ328=0),N328,0)</f>
        <v>0</v>
      </c>
      <c r="BT328" s="190">
        <f>IF(AND(Input_Product=Elig!$C328,Elig_MatchAll_Ct&lt;22,$BC328=(Elig_MatchAll_Ct-1),AR328=0),O328,0)</f>
        <v>0</v>
      </c>
      <c r="BU328" s="190">
        <f>IF(AND(Input_Product=Elig!$C328,Elig_MatchAll_Ct&lt;22,$BC328=(Elig_MatchAll_Ct-1),AS328=0),P328,0)</f>
        <v>0</v>
      </c>
      <c r="BV328" s="191">
        <f>IF(AND(Input_Product=Elig!$C328,Elig_MatchAll_Ct&lt;22,$BC328=(Elig_MatchAll_Ct-1),AT328=0),Q328,0)</f>
        <v>0</v>
      </c>
      <c r="BW328" s="192">
        <f>IF(AND(Input_Product=Elig!$C328,Elig_MatchAll_Ct&lt;22,$BC328=(Elig_MatchAll_Ct-1),AU328=0),R328,0)</f>
        <v>0</v>
      </c>
      <c r="BX328" s="193">
        <f>IF(AND(Input_Product=Elig!$C328,Elig_MatchAll_Ct&lt;22,$BC328=(Elig_MatchAll_Ct-1),AU328=0),S328,0)</f>
        <v>0</v>
      </c>
      <c r="BY328" s="192">
        <f>IF(AND(Input_Product=Elig!$C328,Elig_MatchAll_Ct&lt;22,$BC328=(Elig_MatchAll_Ct-1),AV328=0),T328,0)</f>
        <v>0</v>
      </c>
      <c r="BZ328" s="193">
        <f>IF(AND(Input_Product=Elig!$C328,Elig_MatchAll_Ct&lt;22,$BC328=(Elig_MatchAll_Ct-1),AV328=0),U328,0)</f>
        <v>0</v>
      </c>
      <c r="CA328" s="192">
        <f>IF(AND(Input_Product=Elig!$C328,Elig_MatchAll_Ct&lt;22,$BC328=(Elig_MatchAll_Ct-1),AW328=0),V328,0)</f>
        <v>0</v>
      </c>
      <c r="CB328" s="193">
        <f>IF(AND(Input_Product=Elig!$C328,Elig_MatchAll_Ct&lt;22,$BC328=(Elig_MatchAll_Ct-1),AW328=0),W328,0)</f>
        <v>0</v>
      </c>
      <c r="CC328" s="192">
        <f>IF(AND(Input_Product=Elig!$C328,Elig_MatchAll_Ct&lt;22,$BC328=(Elig_MatchAll_Ct-1),AX328=0),X328,0)</f>
        <v>0</v>
      </c>
      <c r="CD328" s="193">
        <f>IF(AND(Input_Product=Elig!$C328,Elig_MatchAll_Ct&lt;22,$BC328=(Elig_MatchAll_Ct-1),AX328=0),Y328,0)</f>
        <v>0</v>
      </c>
      <c r="CE328" s="192">
        <f>IF(AND(Input_LTV&lt;=AE328,Input_Product=Elig!$C328,Elig_MatchAll_Ct&lt;22,$BC328=(Elig_MatchAll_Ct-1),AY328=0),Z328,0)</f>
        <v>0</v>
      </c>
      <c r="CF328" s="193">
        <f>IF(AND(Input_LTV&lt;=AE328,Input_Product=Elig!$C328,Elig_MatchAll_Ct&lt;22,$BC328=(Elig_MatchAll_Ct-1),AY328=0),AA328,0)</f>
        <v>0</v>
      </c>
      <c r="CG328" s="192">
        <f>IF(AND(Input_Product=Elig!$C328,Elig_MatchAll_Ct&lt;22,$BC328=(Elig_MatchAll_Ct-1),AZ328=0),AB328,0)</f>
        <v>0</v>
      </c>
      <c r="CH328" s="193">
        <f>IF(AND(Input_Product=Elig!$C328,Elig_MatchAll_Ct&lt;22,$BC328=(Elig_MatchAll_Ct-1),AZ328=0),AC328,0)</f>
        <v>0</v>
      </c>
      <c r="CI328" s="192">
        <f>IF(AND(Input_Product=Elig!$C328,Elig_MatchAll_Ct&lt;22,$BC328=(Elig_MatchAll_Ct-1),BA328=0),AD328,0)</f>
        <v>0</v>
      </c>
      <c r="CJ328" s="193">
        <f>IF(AND(Input_Product=Elig!$C328,Elig_MatchAll_Ct&lt;22,$BC328=(Elig_MatchAll_Ct-1),BA328=0),AE328,0)</f>
        <v>0</v>
      </c>
    </row>
    <row r="329" spans="1:88" ht="10.15" customHeight="1" x14ac:dyDescent="0.25">
      <c r="A329" s="252" t="s">
        <v>76</v>
      </c>
      <c r="B329" s="252" t="s">
        <v>962</v>
      </c>
      <c r="C329" s="251" t="str">
        <f t="shared" si="116"/>
        <v>NonQM NOO</v>
      </c>
      <c r="D329" s="252" t="s">
        <v>1995</v>
      </c>
      <c r="E329" s="252" t="s">
        <v>166</v>
      </c>
      <c r="F329" s="252" t="s">
        <v>329</v>
      </c>
      <c r="G329" s="252" t="s">
        <v>465</v>
      </c>
      <c r="H329" s="252" t="s">
        <v>135</v>
      </c>
      <c r="I329" s="253" t="s">
        <v>16</v>
      </c>
      <c r="J329" s="253" t="s">
        <v>1130</v>
      </c>
      <c r="K329" s="253" t="s">
        <v>1398</v>
      </c>
      <c r="L329" s="252" t="s">
        <v>311</v>
      </c>
      <c r="M329" s="252" t="s">
        <v>2289</v>
      </c>
      <c r="N329" s="252" t="s">
        <v>1844</v>
      </c>
      <c r="O329" s="252" t="s">
        <v>309</v>
      </c>
      <c r="P329" s="252" t="s">
        <v>2434</v>
      </c>
      <c r="Q329" s="252" t="s">
        <v>293</v>
      </c>
      <c r="R329" s="252">
        <v>1000000.01</v>
      </c>
      <c r="S329" s="252">
        <v>1500000</v>
      </c>
      <c r="T329" s="252">
        <v>0</v>
      </c>
      <c r="U329" s="252">
        <f t="shared" si="119"/>
        <v>1500000</v>
      </c>
      <c r="V329" s="252">
        <v>0</v>
      </c>
      <c r="W329" s="252">
        <v>55</v>
      </c>
      <c r="X329" s="252">
        <v>0</v>
      </c>
      <c r="Y329" s="252">
        <v>999</v>
      </c>
      <c r="Z329" s="254">
        <v>700</v>
      </c>
      <c r="AA329" s="254">
        <v>719</v>
      </c>
      <c r="AB329" s="1883">
        <v>0</v>
      </c>
      <c r="AC329" s="254">
        <v>999999</v>
      </c>
      <c r="AD329" s="252">
        <v>0</v>
      </c>
      <c r="AE329" s="255">
        <v>75</v>
      </c>
      <c r="AF329" s="144">
        <v>0</v>
      </c>
      <c r="AG329" s="145">
        <v>1</v>
      </c>
      <c r="AH329" s="145">
        <v>1</v>
      </c>
      <c r="AI329" s="145">
        <v>1</v>
      </c>
      <c r="AJ329" s="145">
        <v>0</v>
      </c>
      <c r="AK329" s="145">
        <v>1</v>
      </c>
      <c r="AL329" s="145">
        <v>0</v>
      </c>
      <c r="AM329" s="145">
        <v>1</v>
      </c>
      <c r="AN329" s="145">
        <v>1</v>
      </c>
      <c r="AO329" s="145">
        <v>1</v>
      </c>
      <c r="AP329" s="145">
        <v>1</v>
      </c>
      <c r="AQ329" s="145">
        <v>1</v>
      </c>
      <c r="AR329" s="145">
        <v>1</v>
      </c>
      <c r="AS329" s="145">
        <v>1</v>
      </c>
      <c r="AT329" s="145">
        <v>1</v>
      </c>
      <c r="AU329" s="145">
        <f t="shared" si="102"/>
        <v>0</v>
      </c>
      <c r="AV329" s="145">
        <f t="shared" si="103"/>
        <v>1</v>
      </c>
      <c r="AW329" s="145">
        <f t="shared" si="104"/>
        <v>1</v>
      </c>
      <c r="AX329" s="145">
        <f t="shared" si="110"/>
        <v>1</v>
      </c>
      <c r="AY329" s="145">
        <f t="shared" si="105"/>
        <v>0</v>
      </c>
      <c r="AZ329" s="145">
        <f t="shared" si="106"/>
        <v>1</v>
      </c>
      <c r="BA329" s="146">
        <f t="shared" si="107"/>
        <v>1</v>
      </c>
      <c r="BB329" s="149">
        <f t="shared" si="98"/>
        <v>17</v>
      </c>
      <c r="BC329" s="150">
        <f t="shared" si="99"/>
        <v>16</v>
      </c>
      <c r="BD329" s="150">
        <f t="shared" si="100"/>
        <v>17</v>
      </c>
      <c r="BE329" s="211" t="str">
        <f t="shared" si="101"/>
        <v/>
      </c>
      <c r="BH329" s="173">
        <f>IF(AND(Input_Product=Elig!$C329,Elig_MatchAll_Ct&lt;22,$BC329=(Elig_MatchAll_Ct-1),AF329=0),C329,0)</f>
        <v>0</v>
      </c>
      <c r="BI329" s="173">
        <f>IF(AND(Input_Product=Elig!$C329,Elig_MatchAll_Ct&lt;22,$BC329=(Elig_MatchAll_Ct-1),AG329=0),D329,0)</f>
        <v>0</v>
      </c>
      <c r="BJ329" s="173">
        <f>IF(AND(Input_Product=Elig!$C329,Elig_MatchAll_Ct&lt;22,$BC329=(Elig_MatchAll_Ct-1),AH329=0),E329,0)</f>
        <v>0</v>
      </c>
      <c r="BK329" s="173">
        <f>IF(AND(Input_Product=Elig!$C329,Elig_MatchAll_Ct&lt;22,$BC329=(Elig_MatchAll_Ct-1),AI329=0),F329,0)</f>
        <v>0</v>
      </c>
      <c r="BL329" s="173">
        <f>IF(AND(Input_Product=Elig!$C329,Elig_MatchAll_Ct&lt;22,$BC329=(Elig_MatchAll_Ct-1),AJ329=0),G329,0)</f>
        <v>0</v>
      </c>
      <c r="BM329" s="173">
        <f>IF(AND(Input_Product=Elig!$C329,Elig_MatchAll_Ct&lt;22,$BC329=(Elig_MatchAll_Ct-1),AK329=0),H329,0)</f>
        <v>0</v>
      </c>
      <c r="BN329" s="173">
        <f>IF(AND(Input_Product=Elig!$C329,Elig_MatchAll_Ct&lt;22,$BC329=(Elig_MatchAll_Ct-1),AL329=0),I329,0)</f>
        <v>0</v>
      </c>
      <c r="BO329" s="173">
        <f>IF(AND(Input_Product=Elig!$C329,Elig_MatchAll_Ct&lt;22,$BC329=(Elig_MatchAll_Ct-1),AM329=0),J329,0)</f>
        <v>0</v>
      </c>
      <c r="BP329" s="173">
        <f>IF(AND(Input_Product=Elig!$C329,Elig_MatchAll_Ct&lt;22,$BC329=(Elig_MatchAll_Ct-1),AN329=0),K329,0)</f>
        <v>0</v>
      </c>
      <c r="BQ329" s="173">
        <f>IF(AND(Input_Product=Elig!$C329,Elig_MatchAll_Ct&lt;22,$BC329=(Elig_MatchAll_Ct-1),AP329=0),L329,0)</f>
        <v>0</v>
      </c>
      <c r="BR329" s="173">
        <f>IF(AND(Input_Product=Elig!$C329,Elig_MatchAll_Ct&lt;22,$BC329=(Elig_MatchAll_Ct-1),AO329=0),M329,0)</f>
        <v>0</v>
      </c>
      <c r="BS329" s="173">
        <f>IF(AND(Input_Product=Elig!$C329,Elig_MatchAll_Ct&lt;22,$BC329=(Elig_MatchAll_Ct-1),AQ329=0),N329,0)</f>
        <v>0</v>
      </c>
      <c r="BT329" s="173">
        <f>IF(AND(Input_Product=Elig!$C329,Elig_MatchAll_Ct&lt;22,$BC329=(Elig_MatchAll_Ct-1),AR329=0),O329,0)</f>
        <v>0</v>
      </c>
      <c r="BU329" s="173">
        <f>IF(AND(Input_Product=Elig!$C329,Elig_MatchAll_Ct&lt;22,$BC329=(Elig_MatchAll_Ct-1),AS329=0),P329,0)</f>
        <v>0</v>
      </c>
      <c r="BV329" s="174">
        <f>IF(AND(Input_Product=Elig!$C329,Elig_MatchAll_Ct&lt;22,$BC329=(Elig_MatchAll_Ct-1),AT329=0),Q329,0)</f>
        <v>0</v>
      </c>
      <c r="BW329" s="175">
        <f>IF(AND(Input_Product=Elig!$C329,Elig_MatchAll_Ct&lt;22,$BC329=(Elig_MatchAll_Ct-1),AU329=0),R329,0)</f>
        <v>0</v>
      </c>
      <c r="BX329" s="176">
        <f>IF(AND(Input_Product=Elig!$C329,Elig_MatchAll_Ct&lt;22,$BC329=(Elig_MatchAll_Ct-1),AU329=0),S329,0)</f>
        <v>0</v>
      </c>
      <c r="BY329" s="175">
        <f>IF(AND(Input_Product=Elig!$C329,Elig_MatchAll_Ct&lt;22,$BC329=(Elig_MatchAll_Ct-1),AV329=0),T329,0)</f>
        <v>0</v>
      </c>
      <c r="BZ329" s="176">
        <f>IF(AND(Input_Product=Elig!$C329,Elig_MatchAll_Ct&lt;22,$BC329=(Elig_MatchAll_Ct-1),AV329=0),U329,0)</f>
        <v>0</v>
      </c>
      <c r="CA329" s="175">
        <f>IF(AND(Input_Product=Elig!$C329,Elig_MatchAll_Ct&lt;22,$BC329=(Elig_MatchAll_Ct-1),AW329=0),V329,0)</f>
        <v>0</v>
      </c>
      <c r="CB329" s="176">
        <f>IF(AND(Input_Product=Elig!$C329,Elig_MatchAll_Ct&lt;22,$BC329=(Elig_MatchAll_Ct-1),AW329=0),W329,0)</f>
        <v>0</v>
      </c>
      <c r="CC329" s="175">
        <f>IF(AND(Input_Product=Elig!$C329,Elig_MatchAll_Ct&lt;22,$BC329=(Elig_MatchAll_Ct-1),AX329=0),X329,0)</f>
        <v>0</v>
      </c>
      <c r="CD329" s="176">
        <f>IF(AND(Input_Product=Elig!$C329,Elig_MatchAll_Ct&lt;22,$BC329=(Elig_MatchAll_Ct-1),AX329=0),Y329,0)</f>
        <v>0</v>
      </c>
      <c r="CE329" s="175">
        <f>IF(AND(Input_LTV&lt;=AE329,Input_Product=Elig!$C329,Elig_MatchAll_Ct&lt;22,$BC329=(Elig_MatchAll_Ct-1),AY329=0),Z329,0)</f>
        <v>0</v>
      </c>
      <c r="CF329" s="176">
        <f>IF(AND(Input_LTV&lt;=AE329,Input_Product=Elig!$C329,Elig_MatchAll_Ct&lt;22,$BC329=(Elig_MatchAll_Ct-1),AY329=0),AA329,0)</f>
        <v>0</v>
      </c>
      <c r="CG329" s="175">
        <f>IF(AND(Input_Product=Elig!$C329,Elig_MatchAll_Ct&lt;22,$BC329=(Elig_MatchAll_Ct-1),AZ329=0),AB329,0)</f>
        <v>0</v>
      </c>
      <c r="CH329" s="176">
        <f>IF(AND(Input_Product=Elig!$C329,Elig_MatchAll_Ct&lt;22,$BC329=(Elig_MatchAll_Ct-1),AZ329=0),AC329,0)</f>
        <v>0</v>
      </c>
      <c r="CI329" s="175">
        <f>IF(AND(Input_Product=Elig!$C329,Elig_MatchAll_Ct&lt;22,$BC329=(Elig_MatchAll_Ct-1),BA329=0),AD329,0)</f>
        <v>0</v>
      </c>
      <c r="CJ329" s="176">
        <f>IF(AND(Input_Product=Elig!$C329,Elig_MatchAll_Ct&lt;22,$BC329=(Elig_MatchAll_Ct-1),BA329=0),AE329,0)</f>
        <v>0</v>
      </c>
    </row>
    <row r="330" spans="1:88" ht="10.15" customHeight="1" x14ac:dyDescent="0.25">
      <c r="A330" s="252" t="s">
        <v>76</v>
      </c>
      <c r="B330" s="252" t="s">
        <v>963</v>
      </c>
      <c r="C330" s="251" t="str">
        <f t="shared" si="116"/>
        <v>NonQM NOO</v>
      </c>
      <c r="D330" s="252" t="s">
        <v>1995</v>
      </c>
      <c r="E330" s="252" t="s">
        <v>166</v>
      </c>
      <c r="F330" s="252" t="s">
        <v>329</v>
      </c>
      <c r="G330" s="252" t="s">
        <v>465</v>
      </c>
      <c r="H330" s="252" t="s">
        <v>135</v>
      </c>
      <c r="I330" s="253" t="s">
        <v>16</v>
      </c>
      <c r="J330" s="253" t="s">
        <v>1130</v>
      </c>
      <c r="K330" s="253" t="s">
        <v>1398</v>
      </c>
      <c r="L330" s="252" t="s">
        <v>311</v>
      </c>
      <c r="M330" s="252" t="s">
        <v>2289</v>
      </c>
      <c r="N330" s="252" t="s">
        <v>1844</v>
      </c>
      <c r="O330" s="252" t="s">
        <v>309</v>
      </c>
      <c r="P330" s="252" t="s">
        <v>2434</v>
      </c>
      <c r="Q330" s="252" t="s">
        <v>293</v>
      </c>
      <c r="R330" s="252">
        <v>1000000.01</v>
      </c>
      <c r="S330" s="252">
        <v>1500000</v>
      </c>
      <c r="T330" s="252">
        <v>0</v>
      </c>
      <c r="U330" s="252">
        <f t="shared" si="119"/>
        <v>1500000</v>
      </c>
      <c r="V330" s="252">
        <v>0</v>
      </c>
      <c r="W330" s="252">
        <v>55</v>
      </c>
      <c r="X330" s="252">
        <v>0</v>
      </c>
      <c r="Y330" s="252">
        <v>999</v>
      </c>
      <c r="Z330" s="254">
        <v>680</v>
      </c>
      <c r="AA330" s="254">
        <v>699</v>
      </c>
      <c r="AB330" s="1883">
        <v>0</v>
      </c>
      <c r="AC330" s="254">
        <v>999999</v>
      </c>
      <c r="AD330" s="252">
        <v>0</v>
      </c>
      <c r="AE330" s="255">
        <v>75</v>
      </c>
      <c r="AF330" s="144">
        <v>0</v>
      </c>
      <c r="AG330" s="145">
        <v>1</v>
      </c>
      <c r="AH330" s="145">
        <v>1</v>
      </c>
      <c r="AI330" s="145">
        <v>1</v>
      </c>
      <c r="AJ330" s="145">
        <v>0</v>
      </c>
      <c r="AK330" s="145">
        <v>1</v>
      </c>
      <c r="AL330" s="145">
        <v>0</v>
      </c>
      <c r="AM330" s="145">
        <v>1</v>
      </c>
      <c r="AN330" s="145">
        <v>1</v>
      </c>
      <c r="AO330" s="145">
        <v>1</v>
      </c>
      <c r="AP330" s="145">
        <v>1</v>
      </c>
      <c r="AQ330" s="145">
        <v>1</v>
      </c>
      <c r="AR330" s="145">
        <v>1</v>
      </c>
      <c r="AS330" s="145">
        <v>1</v>
      </c>
      <c r="AT330" s="145">
        <v>1</v>
      </c>
      <c r="AU330" s="145">
        <f t="shared" si="102"/>
        <v>0</v>
      </c>
      <c r="AV330" s="145">
        <f t="shared" si="103"/>
        <v>1</v>
      </c>
      <c r="AW330" s="145">
        <f t="shared" si="104"/>
        <v>1</v>
      </c>
      <c r="AX330" s="145">
        <f t="shared" si="110"/>
        <v>1</v>
      </c>
      <c r="AY330" s="145">
        <f t="shared" si="105"/>
        <v>0</v>
      </c>
      <c r="AZ330" s="145">
        <f t="shared" si="106"/>
        <v>1</v>
      </c>
      <c r="BA330" s="146">
        <f t="shared" si="107"/>
        <v>1</v>
      </c>
      <c r="BB330" s="149">
        <f t="shared" si="98"/>
        <v>17</v>
      </c>
      <c r="BC330" s="150">
        <f t="shared" si="99"/>
        <v>16</v>
      </c>
      <c r="BD330" s="150">
        <f t="shared" si="100"/>
        <v>17</v>
      </c>
      <c r="BE330" s="211" t="str">
        <f t="shared" si="101"/>
        <v/>
      </c>
      <c r="BH330" s="173">
        <f>IF(AND(Input_Product=Elig!$C330,Elig_MatchAll_Ct&lt;22,$BC330=(Elig_MatchAll_Ct-1),AF330=0),C330,0)</f>
        <v>0</v>
      </c>
      <c r="BI330" s="173">
        <f>IF(AND(Input_Product=Elig!$C330,Elig_MatchAll_Ct&lt;22,$BC330=(Elig_MatchAll_Ct-1),AG330=0),D330,0)</f>
        <v>0</v>
      </c>
      <c r="BJ330" s="173">
        <f>IF(AND(Input_Product=Elig!$C330,Elig_MatchAll_Ct&lt;22,$BC330=(Elig_MatchAll_Ct-1),AH330=0),E330,0)</f>
        <v>0</v>
      </c>
      <c r="BK330" s="173">
        <f>IF(AND(Input_Product=Elig!$C330,Elig_MatchAll_Ct&lt;22,$BC330=(Elig_MatchAll_Ct-1),AI330=0),F330,0)</f>
        <v>0</v>
      </c>
      <c r="BL330" s="173">
        <f>IF(AND(Input_Product=Elig!$C330,Elig_MatchAll_Ct&lt;22,$BC330=(Elig_MatchAll_Ct-1),AJ330=0),G330,0)</f>
        <v>0</v>
      </c>
      <c r="BM330" s="173">
        <f>IF(AND(Input_Product=Elig!$C330,Elig_MatchAll_Ct&lt;22,$BC330=(Elig_MatchAll_Ct-1),AK330=0),H330,0)</f>
        <v>0</v>
      </c>
      <c r="BN330" s="173">
        <f>IF(AND(Input_Product=Elig!$C330,Elig_MatchAll_Ct&lt;22,$BC330=(Elig_MatchAll_Ct-1),AL330=0),I330,0)</f>
        <v>0</v>
      </c>
      <c r="BO330" s="173">
        <f>IF(AND(Input_Product=Elig!$C330,Elig_MatchAll_Ct&lt;22,$BC330=(Elig_MatchAll_Ct-1),AM330=0),J330,0)</f>
        <v>0</v>
      </c>
      <c r="BP330" s="173">
        <f>IF(AND(Input_Product=Elig!$C330,Elig_MatchAll_Ct&lt;22,$BC330=(Elig_MatchAll_Ct-1),AN330=0),K330,0)</f>
        <v>0</v>
      </c>
      <c r="BQ330" s="173">
        <f>IF(AND(Input_Product=Elig!$C330,Elig_MatchAll_Ct&lt;22,$BC330=(Elig_MatchAll_Ct-1),AP330=0),L330,0)</f>
        <v>0</v>
      </c>
      <c r="BR330" s="173">
        <f>IF(AND(Input_Product=Elig!$C330,Elig_MatchAll_Ct&lt;22,$BC330=(Elig_MatchAll_Ct-1),AO330=0),M330,0)</f>
        <v>0</v>
      </c>
      <c r="BS330" s="173">
        <f>IF(AND(Input_Product=Elig!$C330,Elig_MatchAll_Ct&lt;22,$BC330=(Elig_MatchAll_Ct-1),AQ330=0),N330,0)</f>
        <v>0</v>
      </c>
      <c r="BT330" s="173">
        <f>IF(AND(Input_Product=Elig!$C330,Elig_MatchAll_Ct&lt;22,$BC330=(Elig_MatchAll_Ct-1),AR330=0),O330,0)</f>
        <v>0</v>
      </c>
      <c r="BU330" s="173">
        <f>IF(AND(Input_Product=Elig!$C330,Elig_MatchAll_Ct&lt;22,$BC330=(Elig_MatchAll_Ct-1),AS330=0),P330,0)</f>
        <v>0</v>
      </c>
      <c r="BV330" s="174">
        <f>IF(AND(Input_Product=Elig!$C330,Elig_MatchAll_Ct&lt;22,$BC330=(Elig_MatchAll_Ct-1),AT330=0),Q330,0)</f>
        <v>0</v>
      </c>
      <c r="BW330" s="175">
        <f>IF(AND(Input_Product=Elig!$C330,Elig_MatchAll_Ct&lt;22,$BC330=(Elig_MatchAll_Ct-1),AU330=0),R330,0)</f>
        <v>0</v>
      </c>
      <c r="BX330" s="176">
        <f>IF(AND(Input_Product=Elig!$C330,Elig_MatchAll_Ct&lt;22,$BC330=(Elig_MatchAll_Ct-1),AU330=0),S330,0)</f>
        <v>0</v>
      </c>
      <c r="BY330" s="175">
        <f>IF(AND(Input_Product=Elig!$C330,Elig_MatchAll_Ct&lt;22,$BC330=(Elig_MatchAll_Ct-1),AV330=0),T330,0)</f>
        <v>0</v>
      </c>
      <c r="BZ330" s="176">
        <f>IF(AND(Input_Product=Elig!$C330,Elig_MatchAll_Ct&lt;22,$BC330=(Elig_MatchAll_Ct-1),AV330=0),U330,0)</f>
        <v>0</v>
      </c>
      <c r="CA330" s="175">
        <f>IF(AND(Input_Product=Elig!$C330,Elig_MatchAll_Ct&lt;22,$BC330=(Elig_MatchAll_Ct-1),AW330=0),V330,0)</f>
        <v>0</v>
      </c>
      <c r="CB330" s="176">
        <f>IF(AND(Input_Product=Elig!$C330,Elig_MatchAll_Ct&lt;22,$BC330=(Elig_MatchAll_Ct-1),AW330=0),W330,0)</f>
        <v>0</v>
      </c>
      <c r="CC330" s="175">
        <f>IF(AND(Input_Product=Elig!$C330,Elig_MatchAll_Ct&lt;22,$BC330=(Elig_MatchAll_Ct-1),AX330=0),X330,0)</f>
        <v>0</v>
      </c>
      <c r="CD330" s="176">
        <f>IF(AND(Input_Product=Elig!$C330,Elig_MatchAll_Ct&lt;22,$BC330=(Elig_MatchAll_Ct-1),AX330=0),Y330,0)</f>
        <v>0</v>
      </c>
      <c r="CE330" s="175">
        <f>IF(AND(Input_LTV&lt;=AE330,Input_Product=Elig!$C330,Elig_MatchAll_Ct&lt;22,$BC330=(Elig_MatchAll_Ct-1),AY330=0),Z330,0)</f>
        <v>0</v>
      </c>
      <c r="CF330" s="176">
        <f>IF(AND(Input_LTV&lt;=AE330,Input_Product=Elig!$C330,Elig_MatchAll_Ct&lt;22,$BC330=(Elig_MatchAll_Ct-1),AY330=0),AA330,0)</f>
        <v>0</v>
      </c>
      <c r="CG330" s="175">
        <f>IF(AND(Input_Product=Elig!$C330,Elig_MatchAll_Ct&lt;22,$BC330=(Elig_MatchAll_Ct-1),AZ330=0),AB330,0)</f>
        <v>0</v>
      </c>
      <c r="CH330" s="176">
        <f>IF(AND(Input_Product=Elig!$C330,Elig_MatchAll_Ct&lt;22,$BC330=(Elig_MatchAll_Ct-1),AZ330=0),AC330,0)</f>
        <v>0</v>
      </c>
      <c r="CI330" s="175">
        <f>IF(AND(Input_Product=Elig!$C330,Elig_MatchAll_Ct&lt;22,$BC330=(Elig_MatchAll_Ct-1),BA330=0),AD330,0)</f>
        <v>0</v>
      </c>
      <c r="CJ330" s="176">
        <f>IF(AND(Input_Product=Elig!$C330,Elig_MatchAll_Ct&lt;22,$BC330=(Elig_MatchAll_Ct-1),BA330=0),AE330,0)</f>
        <v>0</v>
      </c>
    </row>
    <row r="331" spans="1:88" ht="10.15" customHeight="1" x14ac:dyDescent="0.25">
      <c r="A331" s="252" t="s">
        <v>76</v>
      </c>
      <c r="B331" s="252" t="s">
        <v>964</v>
      </c>
      <c r="C331" s="251" t="str">
        <f t="shared" si="116"/>
        <v>NonQM NOO</v>
      </c>
      <c r="D331" s="252" t="s">
        <v>1995</v>
      </c>
      <c r="E331" s="252" t="s">
        <v>166</v>
      </c>
      <c r="F331" s="252" t="s">
        <v>329</v>
      </c>
      <c r="G331" s="252" t="s">
        <v>465</v>
      </c>
      <c r="H331" s="252" t="s">
        <v>135</v>
      </c>
      <c r="I331" s="252" t="s">
        <v>16</v>
      </c>
      <c r="J331" s="252" t="s">
        <v>1130</v>
      </c>
      <c r="K331" s="252" t="s">
        <v>1398</v>
      </c>
      <c r="L331" s="252" t="s">
        <v>311</v>
      </c>
      <c r="M331" s="252" t="s">
        <v>2289</v>
      </c>
      <c r="N331" s="252" t="s">
        <v>1844</v>
      </c>
      <c r="O331" s="252" t="s">
        <v>309</v>
      </c>
      <c r="P331" s="252" t="s">
        <v>2434</v>
      </c>
      <c r="Q331" s="252" t="s">
        <v>293</v>
      </c>
      <c r="R331" s="252">
        <v>1000000.01</v>
      </c>
      <c r="S331" s="252">
        <v>1500000</v>
      </c>
      <c r="T331" s="252">
        <v>0</v>
      </c>
      <c r="U331" s="252">
        <f t="shared" si="119"/>
        <v>1500000</v>
      </c>
      <c r="V331" s="252">
        <v>0</v>
      </c>
      <c r="W331" s="252">
        <v>50</v>
      </c>
      <c r="X331" s="252">
        <v>0</v>
      </c>
      <c r="Y331" s="252">
        <v>999</v>
      </c>
      <c r="Z331" s="254">
        <v>660</v>
      </c>
      <c r="AA331" s="254">
        <v>679</v>
      </c>
      <c r="AB331" s="1883">
        <v>0</v>
      </c>
      <c r="AC331" s="254">
        <v>999999</v>
      </c>
      <c r="AD331" s="252">
        <v>0</v>
      </c>
      <c r="AE331" s="255">
        <v>70</v>
      </c>
      <c r="AF331" s="144">
        <v>0</v>
      </c>
      <c r="AG331" s="145">
        <v>1</v>
      </c>
      <c r="AH331" s="145">
        <v>1</v>
      </c>
      <c r="AI331" s="145">
        <v>1</v>
      </c>
      <c r="AJ331" s="145">
        <v>0</v>
      </c>
      <c r="AK331" s="145">
        <v>1</v>
      </c>
      <c r="AL331" s="145">
        <v>0</v>
      </c>
      <c r="AM331" s="145">
        <v>1</v>
      </c>
      <c r="AN331" s="145">
        <v>1</v>
      </c>
      <c r="AO331" s="145">
        <v>1</v>
      </c>
      <c r="AP331" s="145">
        <v>1</v>
      </c>
      <c r="AQ331" s="145">
        <v>1</v>
      </c>
      <c r="AR331" s="145">
        <v>1</v>
      </c>
      <c r="AS331" s="145">
        <v>1</v>
      </c>
      <c r="AT331" s="145">
        <v>1</v>
      </c>
      <c r="AU331" s="145">
        <f t="shared" si="102"/>
        <v>0</v>
      </c>
      <c r="AV331" s="145">
        <f t="shared" si="103"/>
        <v>1</v>
      </c>
      <c r="AW331" s="145">
        <f t="shared" si="104"/>
        <v>1</v>
      </c>
      <c r="AX331" s="145">
        <f t="shared" si="110"/>
        <v>1</v>
      </c>
      <c r="AY331" s="145">
        <f t="shared" si="105"/>
        <v>0</v>
      </c>
      <c r="AZ331" s="145">
        <f t="shared" si="106"/>
        <v>1</v>
      </c>
      <c r="BA331" s="146">
        <f t="shared" si="107"/>
        <v>1</v>
      </c>
      <c r="BB331" s="149">
        <f t="shared" si="98"/>
        <v>17</v>
      </c>
      <c r="BC331" s="150">
        <f t="shared" si="99"/>
        <v>16</v>
      </c>
      <c r="BD331" s="150">
        <f t="shared" si="100"/>
        <v>17</v>
      </c>
      <c r="BE331" s="211" t="str">
        <f t="shared" si="101"/>
        <v/>
      </c>
      <c r="BH331" s="173">
        <f>IF(AND(Input_Product=Elig!$C331,Elig_MatchAll_Ct&lt;22,$BC331=(Elig_MatchAll_Ct-1),AF331=0),C331,0)</f>
        <v>0</v>
      </c>
      <c r="BI331" s="173">
        <f>IF(AND(Input_Product=Elig!$C331,Elig_MatchAll_Ct&lt;22,$BC331=(Elig_MatchAll_Ct-1),AG331=0),D331,0)</f>
        <v>0</v>
      </c>
      <c r="BJ331" s="173">
        <f>IF(AND(Input_Product=Elig!$C331,Elig_MatchAll_Ct&lt;22,$BC331=(Elig_MatchAll_Ct-1),AH331=0),E331,0)</f>
        <v>0</v>
      </c>
      <c r="BK331" s="173">
        <f>IF(AND(Input_Product=Elig!$C331,Elig_MatchAll_Ct&lt;22,$BC331=(Elig_MatchAll_Ct-1),AI331=0),F331,0)</f>
        <v>0</v>
      </c>
      <c r="BL331" s="173">
        <f>IF(AND(Input_Product=Elig!$C331,Elig_MatchAll_Ct&lt;22,$BC331=(Elig_MatchAll_Ct-1),AJ331=0),G331,0)</f>
        <v>0</v>
      </c>
      <c r="BM331" s="173">
        <f>IF(AND(Input_Product=Elig!$C331,Elig_MatchAll_Ct&lt;22,$BC331=(Elig_MatchAll_Ct-1),AK331=0),H331,0)</f>
        <v>0</v>
      </c>
      <c r="BN331" s="173">
        <f>IF(AND(Input_Product=Elig!$C331,Elig_MatchAll_Ct&lt;22,$BC331=(Elig_MatchAll_Ct-1),AL331=0),I331,0)</f>
        <v>0</v>
      </c>
      <c r="BO331" s="173">
        <f>IF(AND(Input_Product=Elig!$C331,Elig_MatchAll_Ct&lt;22,$BC331=(Elig_MatchAll_Ct-1),AM331=0),J331,0)</f>
        <v>0</v>
      </c>
      <c r="BP331" s="173">
        <f>IF(AND(Input_Product=Elig!$C331,Elig_MatchAll_Ct&lt;22,$BC331=(Elig_MatchAll_Ct-1),AN331=0),K331,0)</f>
        <v>0</v>
      </c>
      <c r="BQ331" s="173">
        <f>IF(AND(Input_Product=Elig!$C331,Elig_MatchAll_Ct&lt;22,$BC331=(Elig_MatchAll_Ct-1),AP331=0),L331,0)</f>
        <v>0</v>
      </c>
      <c r="BR331" s="173">
        <f>IF(AND(Input_Product=Elig!$C331,Elig_MatchAll_Ct&lt;22,$BC331=(Elig_MatchAll_Ct-1),AO331=0),M331,0)</f>
        <v>0</v>
      </c>
      <c r="BS331" s="173">
        <f>IF(AND(Input_Product=Elig!$C331,Elig_MatchAll_Ct&lt;22,$BC331=(Elig_MatchAll_Ct-1),AQ331=0),N331,0)</f>
        <v>0</v>
      </c>
      <c r="BT331" s="173">
        <f>IF(AND(Input_Product=Elig!$C331,Elig_MatchAll_Ct&lt;22,$BC331=(Elig_MatchAll_Ct-1),AR331=0),O331,0)</f>
        <v>0</v>
      </c>
      <c r="BU331" s="173">
        <f>IF(AND(Input_Product=Elig!$C331,Elig_MatchAll_Ct&lt;22,$BC331=(Elig_MatchAll_Ct-1),AS331=0),P331,0)</f>
        <v>0</v>
      </c>
      <c r="BV331" s="174">
        <f>IF(AND(Input_Product=Elig!$C331,Elig_MatchAll_Ct&lt;22,$BC331=(Elig_MatchAll_Ct-1),AT331=0),Q331,0)</f>
        <v>0</v>
      </c>
      <c r="BW331" s="175">
        <f>IF(AND(Input_Product=Elig!$C331,Elig_MatchAll_Ct&lt;22,$BC331=(Elig_MatchAll_Ct-1),AU331=0),R331,0)</f>
        <v>0</v>
      </c>
      <c r="BX331" s="176">
        <f>IF(AND(Input_Product=Elig!$C331,Elig_MatchAll_Ct&lt;22,$BC331=(Elig_MatchAll_Ct-1),AU331=0),S331,0)</f>
        <v>0</v>
      </c>
      <c r="BY331" s="175">
        <f>IF(AND(Input_Product=Elig!$C331,Elig_MatchAll_Ct&lt;22,$BC331=(Elig_MatchAll_Ct-1),AV331=0),T331,0)</f>
        <v>0</v>
      </c>
      <c r="BZ331" s="176">
        <f>IF(AND(Input_Product=Elig!$C331,Elig_MatchAll_Ct&lt;22,$BC331=(Elig_MatchAll_Ct-1),AV331=0),U331,0)</f>
        <v>0</v>
      </c>
      <c r="CA331" s="175">
        <f>IF(AND(Input_Product=Elig!$C331,Elig_MatchAll_Ct&lt;22,$BC331=(Elig_MatchAll_Ct-1),AW331=0),V331,0)</f>
        <v>0</v>
      </c>
      <c r="CB331" s="176">
        <f>IF(AND(Input_Product=Elig!$C331,Elig_MatchAll_Ct&lt;22,$BC331=(Elig_MatchAll_Ct-1),AW331=0),W331,0)</f>
        <v>0</v>
      </c>
      <c r="CC331" s="175">
        <f>IF(AND(Input_Product=Elig!$C331,Elig_MatchAll_Ct&lt;22,$BC331=(Elig_MatchAll_Ct-1),AX331=0),X331,0)</f>
        <v>0</v>
      </c>
      <c r="CD331" s="176">
        <f>IF(AND(Input_Product=Elig!$C331,Elig_MatchAll_Ct&lt;22,$BC331=(Elig_MatchAll_Ct-1),AX331=0),Y331,0)</f>
        <v>0</v>
      </c>
      <c r="CE331" s="175">
        <f>IF(AND(Input_LTV&lt;=AE331,Input_Product=Elig!$C331,Elig_MatchAll_Ct&lt;22,$BC331=(Elig_MatchAll_Ct-1),AY331=0),Z331,0)</f>
        <v>0</v>
      </c>
      <c r="CF331" s="176">
        <f>IF(AND(Input_LTV&lt;=AE331,Input_Product=Elig!$C331,Elig_MatchAll_Ct&lt;22,$BC331=(Elig_MatchAll_Ct-1),AY331=0),AA331,0)</f>
        <v>0</v>
      </c>
      <c r="CG331" s="175">
        <f>IF(AND(Input_Product=Elig!$C331,Elig_MatchAll_Ct&lt;22,$BC331=(Elig_MatchAll_Ct-1),AZ331=0),AB331,0)</f>
        <v>0</v>
      </c>
      <c r="CH331" s="176">
        <f>IF(AND(Input_Product=Elig!$C331,Elig_MatchAll_Ct&lt;22,$BC331=(Elig_MatchAll_Ct-1),AZ331=0),AC331,0)</f>
        <v>0</v>
      </c>
      <c r="CI331" s="175">
        <f>IF(AND(Input_Product=Elig!$C331,Elig_MatchAll_Ct&lt;22,$BC331=(Elig_MatchAll_Ct-1),BA331=0),AD331,0)</f>
        <v>0</v>
      </c>
      <c r="CJ331" s="176">
        <f>IF(AND(Input_Product=Elig!$C331,Elig_MatchAll_Ct&lt;22,$BC331=(Elig_MatchAll_Ct-1),BA331=0),AE331,0)</f>
        <v>0</v>
      </c>
    </row>
    <row r="332" spans="1:88" ht="10.15" customHeight="1" x14ac:dyDescent="0.25">
      <c r="A332" s="261" t="s">
        <v>2507</v>
      </c>
      <c r="B332" s="261" t="s">
        <v>2482</v>
      </c>
      <c r="C332" s="1930" t="str">
        <f t="shared" si="116"/>
        <v>NonQM NOO</v>
      </c>
      <c r="D332" s="276" t="s">
        <v>1995</v>
      </c>
      <c r="E332" s="1537" t="s">
        <v>166</v>
      </c>
      <c r="F332" s="1537" t="s">
        <v>329</v>
      </c>
      <c r="G332" s="1537" t="s">
        <v>178</v>
      </c>
      <c r="H332" s="1537" t="s">
        <v>135</v>
      </c>
      <c r="I332" s="276" t="s">
        <v>273</v>
      </c>
      <c r="J332" s="276" t="s">
        <v>1130</v>
      </c>
      <c r="K332" s="276" t="s">
        <v>1398</v>
      </c>
      <c r="L332" s="1537" t="s">
        <v>311</v>
      </c>
      <c r="M332" s="1537" t="s">
        <v>2289</v>
      </c>
      <c r="N332" s="1537" t="s">
        <v>1844</v>
      </c>
      <c r="O332" s="1537" t="s">
        <v>309</v>
      </c>
      <c r="P332" s="1537" t="s">
        <v>2434</v>
      </c>
      <c r="Q332" s="1537" t="s">
        <v>293</v>
      </c>
      <c r="R332" s="276">
        <v>1000000.01</v>
      </c>
      <c r="S332" s="276">
        <v>1500000</v>
      </c>
      <c r="T332" s="276">
        <v>0</v>
      </c>
      <c r="U332" s="276">
        <v>0</v>
      </c>
      <c r="V332" s="276">
        <v>0</v>
      </c>
      <c r="W332" s="276">
        <v>55</v>
      </c>
      <c r="X332" s="276">
        <v>0</v>
      </c>
      <c r="Y332" s="276">
        <v>999</v>
      </c>
      <c r="Z332" s="1882">
        <v>720</v>
      </c>
      <c r="AA332" s="1882">
        <v>999</v>
      </c>
      <c r="AB332" s="1882">
        <v>0</v>
      </c>
      <c r="AC332" s="1882">
        <v>999999</v>
      </c>
      <c r="AD332" s="276">
        <v>75.010000000000005</v>
      </c>
      <c r="AE332" s="1538">
        <v>80</v>
      </c>
      <c r="AF332" s="144">
        <v>0</v>
      </c>
      <c r="AG332" s="145">
        <v>1</v>
      </c>
      <c r="AH332" s="145">
        <v>1</v>
      </c>
      <c r="AI332" s="145">
        <v>1</v>
      </c>
      <c r="AJ332" s="145">
        <v>0</v>
      </c>
      <c r="AK332" s="145">
        <v>1</v>
      </c>
      <c r="AL332" s="145">
        <v>1</v>
      </c>
      <c r="AM332" s="145">
        <v>1</v>
      </c>
      <c r="AN332" s="145">
        <v>1</v>
      </c>
      <c r="AO332" s="145">
        <v>1</v>
      </c>
      <c r="AP332" s="145">
        <v>1</v>
      </c>
      <c r="AQ332" s="145">
        <v>1</v>
      </c>
      <c r="AR332" s="145">
        <v>1</v>
      </c>
      <c r="AS332" s="145">
        <v>1</v>
      </c>
      <c r="AT332" s="145">
        <v>1</v>
      </c>
      <c r="AU332" s="145">
        <f t="shared" si="102"/>
        <v>0</v>
      </c>
      <c r="AV332" s="145">
        <f t="shared" si="103"/>
        <v>1</v>
      </c>
      <c r="AW332" s="145">
        <f t="shared" si="104"/>
        <v>1</v>
      </c>
      <c r="AX332" s="145">
        <f t="shared" si="110"/>
        <v>1</v>
      </c>
      <c r="AY332" s="145">
        <f t="shared" si="105"/>
        <v>1</v>
      </c>
      <c r="AZ332" s="145">
        <f t="shared" si="106"/>
        <v>1</v>
      </c>
      <c r="BA332" s="146">
        <f t="shared" si="107"/>
        <v>0</v>
      </c>
      <c r="BB332" s="149">
        <f t="shared" ref="BB332:BB382" si="120">SUM(AF332:BA332)</f>
        <v>18</v>
      </c>
      <c r="BC332" s="150">
        <f t="shared" ref="BC332:BC382" si="121">SUM(AF332:AZ332)</f>
        <v>18</v>
      </c>
      <c r="BD332" s="150">
        <f t="shared" ref="BD332:BD382" si="122">SUM(AG332:BA332)</f>
        <v>18</v>
      </c>
      <c r="BE332" s="211" t="str">
        <f t="shared" ref="BE332:BE382" si="123">IF(BD332=21,C332,"")</f>
        <v/>
      </c>
      <c r="BH332" s="190">
        <f>IF(AND(Input_Product=Elig!$C332,Elig_MatchAll_Ct&lt;22,$BC332=(Elig_MatchAll_Ct-1),AF332=0),C332,0)</f>
        <v>0</v>
      </c>
      <c r="BI332" s="190">
        <f>IF(AND(Input_Product=Elig!$C332,Elig_MatchAll_Ct&lt;22,$BC332=(Elig_MatchAll_Ct-1),AG332=0),D332,0)</f>
        <v>0</v>
      </c>
      <c r="BJ332" s="190">
        <f>IF(AND(Input_Product=Elig!$C332,Elig_MatchAll_Ct&lt;22,$BC332=(Elig_MatchAll_Ct-1),AH332=0),E332,0)</f>
        <v>0</v>
      </c>
      <c r="BK332" s="190">
        <f>IF(AND(Input_Product=Elig!$C332,Elig_MatchAll_Ct&lt;22,$BC332=(Elig_MatchAll_Ct-1),AI332=0),F332,0)</f>
        <v>0</v>
      </c>
      <c r="BL332" s="190">
        <f>IF(AND(Input_Product=Elig!$C332,Elig_MatchAll_Ct&lt;22,$BC332=(Elig_MatchAll_Ct-1),AJ332=0),G332,0)</f>
        <v>0</v>
      </c>
      <c r="BM332" s="190">
        <f>IF(AND(Input_Product=Elig!$C332,Elig_MatchAll_Ct&lt;22,$BC332=(Elig_MatchAll_Ct-1),AK332=0),H332,0)</f>
        <v>0</v>
      </c>
      <c r="BN332" s="190">
        <f>IF(AND(Input_Product=Elig!$C332,Elig_MatchAll_Ct&lt;22,$BC332=(Elig_MatchAll_Ct-1),AL332=0),I332,0)</f>
        <v>0</v>
      </c>
      <c r="BO332" s="190">
        <f>IF(AND(Input_Product=Elig!$C332,Elig_MatchAll_Ct&lt;22,$BC332=(Elig_MatchAll_Ct-1),AM332=0),J332,0)</f>
        <v>0</v>
      </c>
      <c r="BP332" s="190">
        <f>IF(AND(Input_Product=Elig!$C332,Elig_MatchAll_Ct&lt;22,$BC332=(Elig_MatchAll_Ct-1),AN332=0),K332,0)</f>
        <v>0</v>
      </c>
      <c r="BQ332" s="190">
        <f>IF(AND(Input_Product=Elig!$C332,Elig_MatchAll_Ct&lt;22,$BC332=(Elig_MatchAll_Ct-1),AP332=0),L332,0)</f>
        <v>0</v>
      </c>
      <c r="BR332" s="190">
        <f>IF(AND(Input_Product=Elig!$C332,Elig_MatchAll_Ct&lt;22,$BC332=(Elig_MatchAll_Ct-1),AO332=0),M332,0)</f>
        <v>0</v>
      </c>
      <c r="BS332" s="190">
        <f>IF(AND(Input_Product=Elig!$C332,Elig_MatchAll_Ct&lt;22,$BC332=(Elig_MatchAll_Ct-1),AQ332=0),N332,0)</f>
        <v>0</v>
      </c>
      <c r="BT332" s="190">
        <f>IF(AND(Input_Product=Elig!$C332,Elig_MatchAll_Ct&lt;22,$BC332=(Elig_MatchAll_Ct-1),AR332=0),O332,0)</f>
        <v>0</v>
      </c>
      <c r="BU332" s="190">
        <f>IF(AND(Input_Product=Elig!$C332,Elig_MatchAll_Ct&lt;22,$BC332=(Elig_MatchAll_Ct-1),AS332=0),P332,0)</f>
        <v>0</v>
      </c>
      <c r="BV332" s="191">
        <f>IF(AND(Input_Product=Elig!$C332,Elig_MatchAll_Ct&lt;22,$BC332=(Elig_MatchAll_Ct-1),AT332=0),Q332,0)</f>
        <v>0</v>
      </c>
      <c r="BW332" s="192">
        <f>IF(AND(Input_Product=Elig!$C332,Elig_MatchAll_Ct&lt;22,$BC332=(Elig_MatchAll_Ct-1),AU332=0),R332,0)</f>
        <v>0</v>
      </c>
      <c r="BX332" s="193">
        <f>IF(AND(Input_Product=Elig!$C332,Elig_MatchAll_Ct&lt;22,$BC332=(Elig_MatchAll_Ct-1),AU332=0),S332,0)</f>
        <v>0</v>
      </c>
      <c r="BY332" s="192">
        <f>IF(AND(Input_Product=Elig!$C332,Elig_MatchAll_Ct&lt;22,$BC332=(Elig_MatchAll_Ct-1),AV332=0),T332,0)</f>
        <v>0</v>
      </c>
      <c r="BZ332" s="193">
        <f>IF(AND(Input_Product=Elig!$C332,Elig_MatchAll_Ct&lt;22,$BC332=(Elig_MatchAll_Ct-1),AV332=0),U332,0)</f>
        <v>0</v>
      </c>
      <c r="CA332" s="192">
        <f>IF(AND(Input_Product=Elig!$C332,Elig_MatchAll_Ct&lt;22,$BC332=(Elig_MatchAll_Ct-1),AW332=0),V332,0)</f>
        <v>0</v>
      </c>
      <c r="CB332" s="193">
        <f>IF(AND(Input_Product=Elig!$C332,Elig_MatchAll_Ct&lt;22,$BC332=(Elig_MatchAll_Ct-1),AW332=0),W332,0)</f>
        <v>0</v>
      </c>
      <c r="CC332" s="192">
        <f>IF(AND(Input_Product=Elig!$C332,Elig_MatchAll_Ct&lt;22,$BC332=(Elig_MatchAll_Ct-1),AX332=0),X332,0)</f>
        <v>0</v>
      </c>
      <c r="CD332" s="193">
        <f>IF(AND(Input_Product=Elig!$C332,Elig_MatchAll_Ct&lt;22,$BC332=(Elig_MatchAll_Ct-1),AX332=0),Y332,0)</f>
        <v>0</v>
      </c>
      <c r="CE332" s="192">
        <f>IF(AND(Input_LTV&lt;=AE332,Input_Product=Elig!$C332,Elig_MatchAll_Ct&lt;22,$BC332=(Elig_MatchAll_Ct-1),AY332=0),Z332,0)</f>
        <v>0</v>
      </c>
      <c r="CF332" s="193">
        <f>IF(AND(Input_LTV&lt;=AE332,Input_Product=Elig!$C332,Elig_MatchAll_Ct&lt;22,$BC332=(Elig_MatchAll_Ct-1),AY332=0),AA332,0)</f>
        <v>0</v>
      </c>
      <c r="CG332" s="192">
        <f>IF(AND(Input_Product=Elig!$C332,Elig_MatchAll_Ct&lt;22,$BC332=(Elig_MatchAll_Ct-1),AZ332=0),AB332,0)</f>
        <v>0</v>
      </c>
      <c r="CH332" s="193">
        <f>IF(AND(Input_Product=Elig!$C332,Elig_MatchAll_Ct&lt;22,$BC332=(Elig_MatchAll_Ct-1),AZ332=0),AC332,0)</f>
        <v>0</v>
      </c>
      <c r="CI332" s="192">
        <f>IF(AND(Input_Product=Elig!$C332,Elig_MatchAll_Ct&lt;22,$BC332=(Elig_MatchAll_Ct-1),BA332=0),AD332,0)</f>
        <v>0</v>
      </c>
      <c r="CJ332" s="193">
        <f>IF(AND(Input_Product=Elig!$C332,Elig_MatchAll_Ct&lt;22,$BC332=(Elig_MatchAll_Ct-1),BA332=0),AE332,0)</f>
        <v>0</v>
      </c>
    </row>
    <row r="333" spans="1:88" ht="10.15" customHeight="1" x14ac:dyDescent="0.25">
      <c r="A333" s="252" t="s">
        <v>76</v>
      </c>
      <c r="B333" s="252" t="s">
        <v>965</v>
      </c>
      <c r="C333" s="246" t="str">
        <f t="shared" si="116"/>
        <v>NonQM NOO</v>
      </c>
      <c r="D333" s="247" t="s">
        <v>1995</v>
      </c>
      <c r="E333" s="248" t="s">
        <v>166</v>
      </c>
      <c r="F333" s="248" t="s">
        <v>329</v>
      </c>
      <c r="G333" s="248" t="s">
        <v>178</v>
      </c>
      <c r="H333" s="248" t="s">
        <v>135</v>
      </c>
      <c r="I333" s="247" t="s">
        <v>273</v>
      </c>
      <c r="J333" s="247" t="s">
        <v>1130</v>
      </c>
      <c r="K333" s="247" t="s">
        <v>1398</v>
      </c>
      <c r="L333" s="248" t="s">
        <v>311</v>
      </c>
      <c r="M333" s="248" t="s">
        <v>2289</v>
      </c>
      <c r="N333" s="248" t="s">
        <v>1844</v>
      </c>
      <c r="O333" s="248" t="s">
        <v>309</v>
      </c>
      <c r="P333" s="248" t="s">
        <v>2434</v>
      </c>
      <c r="Q333" s="248" t="s">
        <v>293</v>
      </c>
      <c r="R333" s="247">
        <v>1000000.01</v>
      </c>
      <c r="S333" s="247">
        <v>1500000</v>
      </c>
      <c r="T333" s="247">
        <v>0</v>
      </c>
      <c r="U333" s="247">
        <v>0</v>
      </c>
      <c r="V333" s="247">
        <v>0</v>
      </c>
      <c r="W333" s="247">
        <v>55</v>
      </c>
      <c r="X333" s="247">
        <v>0</v>
      </c>
      <c r="Y333" s="247">
        <v>999</v>
      </c>
      <c r="Z333" s="249">
        <v>720</v>
      </c>
      <c r="AA333" s="249">
        <v>999</v>
      </c>
      <c r="AB333" s="1882">
        <v>0</v>
      </c>
      <c r="AC333" s="249">
        <v>999999</v>
      </c>
      <c r="AD333" s="247">
        <v>0</v>
      </c>
      <c r="AE333" s="250">
        <v>75</v>
      </c>
      <c r="AF333" s="144">
        <v>0</v>
      </c>
      <c r="AG333" s="145">
        <v>1</v>
      </c>
      <c r="AH333" s="145">
        <v>1</v>
      </c>
      <c r="AI333" s="145">
        <v>1</v>
      </c>
      <c r="AJ333" s="145">
        <v>0</v>
      </c>
      <c r="AK333" s="145">
        <v>1</v>
      </c>
      <c r="AL333" s="145">
        <v>1</v>
      </c>
      <c r="AM333" s="145">
        <v>1</v>
      </c>
      <c r="AN333" s="145">
        <v>1</v>
      </c>
      <c r="AO333" s="145">
        <v>1</v>
      </c>
      <c r="AP333" s="145">
        <v>1</v>
      </c>
      <c r="AQ333" s="145">
        <v>1</v>
      </c>
      <c r="AR333" s="145">
        <v>1</v>
      </c>
      <c r="AS333" s="145">
        <v>1</v>
      </c>
      <c r="AT333" s="145">
        <v>1</v>
      </c>
      <c r="AU333" s="145">
        <f t="shared" si="102"/>
        <v>0</v>
      </c>
      <c r="AV333" s="145">
        <f t="shared" si="103"/>
        <v>1</v>
      </c>
      <c r="AW333" s="145">
        <f t="shared" si="104"/>
        <v>1</v>
      </c>
      <c r="AX333" s="145">
        <f t="shared" si="110"/>
        <v>1</v>
      </c>
      <c r="AY333" s="145">
        <f t="shared" si="105"/>
        <v>1</v>
      </c>
      <c r="AZ333" s="145">
        <f t="shared" si="106"/>
        <v>1</v>
      </c>
      <c r="BA333" s="146">
        <f t="shared" si="107"/>
        <v>1</v>
      </c>
      <c r="BB333" s="149">
        <f t="shared" si="120"/>
        <v>19</v>
      </c>
      <c r="BC333" s="150">
        <f t="shared" si="121"/>
        <v>18</v>
      </c>
      <c r="BD333" s="150">
        <f t="shared" si="122"/>
        <v>19</v>
      </c>
      <c r="BE333" s="211" t="str">
        <f t="shared" si="123"/>
        <v/>
      </c>
      <c r="BH333" s="190">
        <f>IF(AND(Input_Product=Elig!$C333,Elig_MatchAll_Ct&lt;22,$BC333=(Elig_MatchAll_Ct-1),AF333=0),C333,0)</f>
        <v>0</v>
      </c>
      <c r="BI333" s="190">
        <f>IF(AND(Input_Product=Elig!$C333,Elig_MatchAll_Ct&lt;22,$BC333=(Elig_MatchAll_Ct-1),AG333=0),D333,0)</f>
        <v>0</v>
      </c>
      <c r="BJ333" s="190">
        <f>IF(AND(Input_Product=Elig!$C333,Elig_MatchAll_Ct&lt;22,$BC333=(Elig_MatchAll_Ct-1),AH333=0),E333,0)</f>
        <v>0</v>
      </c>
      <c r="BK333" s="190">
        <f>IF(AND(Input_Product=Elig!$C333,Elig_MatchAll_Ct&lt;22,$BC333=(Elig_MatchAll_Ct-1),AI333=0),F333,0)</f>
        <v>0</v>
      </c>
      <c r="BL333" s="190">
        <f>IF(AND(Input_Product=Elig!$C333,Elig_MatchAll_Ct&lt;22,$BC333=(Elig_MatchAll_Ct-1),AJ333=0),G333,0)</f>
        <v>0</v>
      </c>
      <c r="BM333" s="190">
        <f>IF(AND(Input_Product=Elig!$C333,Elig_MatchAll_Ct&lt;22,$BC333=(Elig_MatchAll_Ct-1),AK333=0),H333,0)</f>
        <v>0</v>
      </c>
      <c r="BN333" s="190">
        <f>IF(AND(Input_Product=Elig!$C333,Elig_MatchAll_Ct&lt;22,$BC333=(Elig_MatchAll_Ct-1),AL333=0),I333,0)</f>
        <v>0</v>
      </c>
      <c r="BO333" s="190">
        <f>IF(AND(Input_Product=Elig!$C333,Elig_MatchAll_Ct&lt;22,$BC333=(Elig_MatchAll_Ct-1),AM333=0),J333,0)</f>
        <v>0</v>
      </c>
      <c r="BP333" s="190">
        <f>IF(AND(Input_Product=Elig!$C333,Elig_MatchAll_Ct&lt;22,$BC333=(Elig_MatchAll_Ct-1),AN333=0),K333,0)</f>
        <v>0</v>
      </c>
      <c r="BQ333" s="190">
        <f>IF(AND(Input_Product=Elig!$C333,Elig_MatchAll_Ct&lt;22,$BC333=(Elig_MatchAll_Ct-1),AP333=0),L333,0)</f>
        <v>0</v>
      </c>
      <c r="BR333" s="190">
        <f>IF(AND(Input_Product=Elig!$C333,Elig_MatchAll_Ct&lt;22,$BC333=(Elig_MatchAll_Ct-1),AO333=0),M333,0)</f>
        <v>0</v>
      </c>
      <c r="BS333" s="190">
        <f>IF(AND(Input_Product=Elig!$C333,Elig_MatchAll_Ct&lt;22,$BC333=(Elig_MatchAll_Ct-1),AQ333=0),N333,0)</f>
        <v>0</v>
      </c>
      <c r="BT333" s="190">
        <f>IF(AND(Input_Product=Elig!$C333,Elig_MatchAll_Ct&lt;22,$BC333=(Elig_MatchAll_Ct-1),AR333=0),O333,0)</f>
        <v>0</v>
      </c>
      <c r="BU333" s="190">
        <f>IF(AND(Input_Product=Elig!$C333,Elig_MatchAll_Ct&lt;22,$BC333=(Elig_MatchAll_Ct-1),AS333=0),P333,0)</f>
        <v>0</v>
      </c>
      <c r="BV333" s="191">
        <f>IF(AND(Input_Product=Elig!$C333,Elig_MatchAll_Ct&lt;22,$BC333=(Elig_MatchAll_Ct-1),AT333=0),Q333,0)</f>
        <v>0</v>
      </c>
      <c r="BW333" s="192">
        <f>IF(AND(Input_Product=Elig!$C333,Elig_MatchAll_Ct&lt;22,$BC333=(Elig_MatchAll_Ct-1),AU333=0),R333,0)</f>
        <v>0</v>
      </c>
      <c r="BX333" s="193">
        <f>IF(AND(Input_Product=Elig!$C333,Elig_MatchAll_Ct&lt;22,$BC333=(Elig_MatchAll_Ct-1),AU333=0),S333,0)</f>
        <v>0</v>
      </c>
      <c r="BY333" s="192">
        <f>IF(AND(Input_Product=Elig!$C333,Elig_MatchAll_Ct&lt;22,$BC333=(Elig_MatchAll_Ct-1),AV333=0),T333,0)</f>
        <v>0</v>
      </c>
      <c r="BZ333" s="193">
        <f>IF(AND(Input_Product=Elig!$C333,Elig_MatchAll_Ct&lt;22,$BC333=(Elig_MatchAll_Ct-1),AV333=0),U333,0)</f>
        <v>0</v>
      </c>
      <c r="CA333" s="192">
        <f>IF(AND(Input_Product=Elig!$C333,Elig_MatchAll_Ct&lt;22,$BC333=(Elig_MatchAll_Ct-1),AW333=0),V333,0)</f>
        <v>0</v>
      </c>
      <c r="CB333" s="193">
        <f>IF(AND(Input_Product=Elig!$C333,Elig_MatchAll_Ct&lt;22,$BC333=(Elig_MatchAll_Ct-1),AW333=0),W333,0)</f>
        <v>0</v>
      </c>
      <c r="CC333" s="192">
        <f>IF(AND(Input_Product=Elig!$C333,Elig_MatchAll_Ct&lt;22,$BC333=(Elig_MatchAll_Ct-1),AX333=0),X333,0)</f>
        <v>0</v>
      </c>
      <c r="CD333" s="193">
        <f>IF(AND(Input_Product=Elig!$C333,Elig_MatchAll_Ct&lt;22,$BC333=(Elig_MatchAll_Ct-1),AX333=0),Y333,0)</f>
        <v>0</v>
      </c>
      <c r="CE333" s="192">
        <f>IF(AND(Input_LTV&lt;=AE333,Input_Product=Elig!$C333,Elig_MatchAll_Ct&lt;22,$BC333=(Elig_MatchAll_Ct-1),AY333=0),Z333,0)</f>
        <v>0</v>
      </c>
      <c r="CF333" s="193">
        <f>IF(AND(Input_LTV&lt;=AE333,Input_Product=Elig!$C333,Elig_MatchAll_Ct&lt;22,$BC333=(Elig_MatchAll_Ct-1),AY333=0),AA333,0)</f>
        <v>0</v>
      </c>
      <c r="CG333" s="192">
        <f>IF(AND(Input_Product=Elig!$C333,Elig_MatchAll_Ct&lt;22,$BC333=(Elig_MatchAll_Ct-1),AZ333=0),AB333,0)</f>
        <v>0</v>
      </c>
      <c r="CH333" s="193">
        <f>IF(AND(Input_Product=Elig!$C333,Elig_MatchAll_Ct&lt;22,$BC333=(Elig_MatchAll_Ct-1),AZ333=0),AC333,0)</f>
        <v>0</v>
      </c>
      <c r="CI333" s="192">
        <f>IF(AND(Input_Product=Elig!$C333,Elig_MatchAll_Ct&lt;22,$BC333=(Elig_MatchAll_Ct-1),BA333=0),AD333,0)</f>
        <v>0</v>
      </c>
      <c r="CJ333" s="193">
        <f>IF(AND(Input_Product=Elig!$C333,Elig_MatchAll_Ct&lt;22,$BC333=(Elig_MatchAll_Ct-1),BA333=0),AE333,0)</f>
        <v>0</v>
      </c>
    </row>
    <row r="334" spans="1:88" ht="10.15" customHeight="1" x14ac:dyDescent="0.25">
      <c r="A334" s="252" t="s">
        <v>76</v>
      </c>
      <c r="B334" s="252" t="s">
        <v>966</v>
      </c>
      <c r="C334" s="251" t="str">
        <f t="shared" si="116"/>
        <v>NonQM NOO</v>
      </c>
      <c r="D334" s="252" t="s">
        <v>1995</v>
      </c>
      <c r="E334" s="252" t="s">
        <v>166</v>
      </c>
      <c r="F334" s="252" t="s">
        <v>329</v>
      </c>
      <c r="G334" s="252" t="s">
        <v>178</v>
      </c>
      <c r="H334" s="252" t="s">
        <v>135</v>
      </c>
      <c r="I334" s="253" t="s">
        <v>273</v>
      </c>
      <c r="J334" s="253" t="s">
        <v>1130</v>
      </c>
      <c r="K334" s="253" t="s">
        <v>1398</v>
      </c>
      <c r="L334" s="252" t="s">
        <v>311</v>
      </c>
      <c r="M334" s="252" t="s">
        <v>2289</v>
      </c>
      <c r="N334" s="252" t="s">
        <v>1844</v>
      </c>
      <c r="O334" s="252" t="s">
        <v>309</v>
      </c>
      <c r="P334" s="252" t="s">
        <v>2434</v>
      </c>
      <c r="Q334" s="252" t="s">
        <v>293</v>
      </c>
      <c r="R334" s="252">
        <v>1000000.01</v>
      </c>
      <c r="S334" s="252">
        <v>1500000</v>
      </c>
      <c r="T334" s="252">
        <v>0</v>
      </c>
      <c r="U334" s="252">
        <v>0</v>
      </c>
      <c r="V334" s="252">
        <v>0</v>
      </c>
      <c r="W334" s="252">
        <v>55</v>
      </c>
      <c r="X334" s="252">
        <v>0</v>
      </c>
      <c r="Y334" s="252">
        <v>999</v>
      </c>
      <c r="Z334" s="254">
        <v>700</v>
      </c>
      <c r="AA334" s="254">
        <v>719</v>
      </c>
      <c r="AB334" s="1883">
        <v>0</v>
      </c>
      <c r="AC334" s="254">
        <v>999999</v>
      </c>
      <c r="AD334" s="252">
        <v>0</v>
      </c>
      <c r="AE334" s="255">
        <v>75</v>
      </c>
      <c r="AF334" s="144">
        <v>0</v>
      </c>
      <c r="AG334" s="145">
        <v>1</v>
      </c>
      <c r="AH334" s="145">
        <v>1</v>
      </c>
      <c r="AI334" s="145">
        <v>1</v>
      </c>
      <c r="AJ334" s="145">
        <v>0</v>
      </c>
      <c r="AK334" s="145">
        <v>1</v>
      </c>
      <c r="AL334" s="145">
        <v>1</v>
      </c>
      <c r="AM334" s="145">
        <v>1</v>
      </c>
      <c r="AN334" s="145">
        <v>1</v>
      </c>
      <c r="AO334" s="145">
        <v>1</v>
      </c>
      <c r="AP334" s="145">
        <v>1</v>
      </c>
      <c r="AQ334" s="145">
        <v>1</v>
      </c>
      <c r="AR334" s="145">
        <v>1</v>
      </c>
      <c r="AS334" s="145">
        <v>1</v>
      </c>
      <c r="AT334" s="145">
        <v>1</v>
      </c>
      <c r="AU334" s="145">
        <f t="shared" si="102"/>
        <v>0</v>
      </c>
      <c r="AV334" s="145">
        <f t="shared" si="103"/>
        <v>1</v>
      </c>
      <c r="AW334" s="145">
        <f t="shared" si="104"/>
        <v>1</v>
      </c>
      <c r="AX334" s="145">
        <f t="shared" si="110"/>
        <v>1</v>
      </c>
      <c r="AY334" s="145">
        <f t="shared" si="105"/>
        <v>0</v>
      </c>
      <c r="AZ334" s="145">
        <f t="shared" si="106"/>
        <v>1</v>
      </c>
      <c r="BA334" s="146">
        <f t="shared" si="107"/>
        <v>1</v>
      </c>
      <c r="BB334" s="149">
        <f t="shared" si="120"/>
        <v>18</v>
      </c>
      <c r="BC334" s="150">
        <f t="shared" si="121"/>
        <v>17</v>
      </c>
      <c r="BD334" s="150">
        <f t="shared" si="122"/>
        <v>18</v>
      </c>
      <c r="BE334" s="211" t="str">
        <f t="shared" si="123"/>
        <v/>
      </c>
      <c r="BH334" s="173">
        <f>IF(AND(Input_Product=Elig!$C334,Elig_MatchAll_Ct&lt;22,$BC334=(Elig_MatchAll_Ct-1),AF334=0),C334,0)</f>
        <v>0</v>
      </c>
      <c r="BI334" s="173">
        <f>IF(AND(Input_Product=Elig!$C334,Elig_MatchAll_Ct&lt;22,$BC334=(Elig_MatchAll_Ct-1),AG334=0),D334,0)</f>
        <v>0</v>
      </c>
      <c r="BJ334" s="173">
        <f>IF(AND(Input_Product=Elig!$C334,Elig_MatchAll_Ct&lt;22,$BC334=(Elig_MatchAll_Ct-1),AH334=0),E334,0)</f>
        <v>0</v>
      </c>
      <c r="BK334" s="173">
        <f>IF(AND(Input_Product=Elig!$C334,Elig_MatchAll_Ct&lt;22,$BC334=(Elig_MatchAll_Ct-1),AI334=0),F334,0)</f>
        <v>0</v>
      </c>
      <c r="BL334" s="173">
        <f>IF(AND(Input_Product=Elig!$C334,Elig_MatchAll_Ct&lt;22,$BC334=(Elig_MatchAll_Ct-1),AJ334=0),G334,0)</f>
        <v>0</v>
      </c>
      <c r="BM334" s="173">
        <f>IF(AND(Input_Product=Elig!$C334,Elig_MatchAll_Ct&lt;22,$BC334=(Elig_MatchAll_Ct-1),AK334=0),H334,0)</f>
        <v>0</v>
      </c>
      <c r="BN334" s="173">
        <f>IF(AND(Input_Product=Elig!$C334,Elig_MatchAll_Ct&lt;22,$BC334=(Elig_MatchAll_Ct-1),AL334=0),I334,0)</f>
        <v>0</v>
      </c>
      <c r="BO334" s="173">
        <f>IF(AND(Input_Product=Elig!$C334,Elig_MatchAll_Ct&lt;22,$BC334=(Elig_MatchAll_Ct-1),AM334=0),J334,0)</f>
        <v>0</v>
      </c>
      <c r="BP334" s="173">
        <f>IF(AND(Input_Product=Elig!$C334,Elig_MatchAll_Ct&lt;22,$BC334=(Elig_MatchAll_Ct-1),AN334=0),K334,0)</f>
        <v>0</v>
      </c>
      <c r="BQ334" s="173">
        <f>IF(AND(Input_Product=Elig!$C334,Elig_MatchAll_Ct&lt;22,$BC334=(Elig_MatchAll_Ct-1),AP334=0),L334,0)</f>
        <v>0</v>
      </c>
      <c r="BR334" s="173">
        <f>IF(AND(Input_Product=Elig!$C334,Elig_MatchAll_Ct&lt;22,$BC334=(Elig_MatchAll_Ct-1),AO334=0),M334,0)</f>
        <v>0</v>
      </c>
      <c r="BS334" s="173">
        <f>IF(AND(Input_Product=Elig!$C334,Elig_MatchAll_Ct&lt;22,$BC334=(Elig_MatchAll_Ct-1),AQ334=0),N334,0)</f>
        <v>0</v>
      </c>
      <c r="BT334" s="173">
        <f>IF(AND(Input_Product=Elig!$C334,Elig_MatchAll_Ct&lt;22,$BC334=(Elig_MatchAll_Ct-1),AR334=0),O334,0)</f>
        <v>0</v>
      </c>
      <c r="BU334" s="173">
        <f>IF(AND(Input_Product=Elig!$C334,Elig_MatchAll_Ct&lt;22,$BC334=(Elig_MatchAll_Ct-1),AS334=0),P334,0)</f>
        <v>0</v>
      </c>
      <c r="BV334" s="174">
        <f>IF(AND(Input_Product=Elig!$C334,Elig_MatchAll_Ct&lt;22,$BC334=(Elig_MatchAll_Ct-1),AT334=0),Q334,0)</f>
        <v>0</v>
      </c>
      <c r="BW334" s="175">
        <f>IF(AND(Input_Product=Elig!$C334,Elig_MatchAll_Ct&lt;22,$BC334=(Elig_MatchAll_Ct-1),AU334=0),R334,0)</f>
        <v>0</v>
      </c>
      <c r="BX334" s="176">
        <f>IF(AND(Input_Product=Elig!$C334,Elig_MatchAll_Ct&lt;22,$BC334=(Elig_MatchAll_Ct-1),AU334=0),S334,0)</f>
        <v>0</v>
      </c>
      <c r="BY334" s="175">
        <f>IF(AND(Input_Product=Elig!$C334,Elig_MatchAll_Ct&lt;22,$BC334=(Elig_MatchAll_Ct-1),AV334=0),T334,0)</f>
        <v>0</v>
      </c>
      <c r="BZ334" s="176">
        <f>IF(AND(Input_Product=Elig!$C334,Elig_MatchAll_Ct&lt;22,$BC334=(Elig_MatchAll_Ct-1),AV334=0),U334,0)</f>
        <v>0</v>
      </c>
      <c r="CA334" s="175">
        <f>IF(AND(Input_Product=Elig!$C334,Elig_MatchAll_Ct&lt;22,$BC334=(Elig_MatchAll_Ct-1),AW334=0),V334,0)</f>
        <v>0</v>
      </c>
      <c r="CB334" s="176">
        <f>IF(AND(Input_Product=Elig!$C334,Elig_MatchAll_Ct&lt;22,$BC334=(Elig_MatchAll_Ct-1),AW334=0),W334,0)</f>
        <v>0</v>
      </c>
      <c r="CC334" s="175">
        <f>IF(AND(Input_Product=Elig!$C334,Elig_MatchAll_Ct&lt;22,$BC334=(Elig_MatchAll_Ct-1),AX334=0),X334,0)</f>
        <v>0</v>
      </c>
      <c r="CD334" s="176">
        <f>IF(AND(Input_Product=Elig!$C334,Elig_MatchAll_Ct&lt;22,$BC334=(Elig_MatchAll_Ct-1),AX334=0),Y334,0)</f>
        <v>0</v>
      </c>
      <c r="CE334" s="175">
        <f>IF(AND(Input_LTV&lt;=AE334,Input_Product=Elig!$C334,Elig_MatchAll_Ct&lt;22,$BC334=(Elig_MatchAll_Ct-1),AY334=0),Z334,0)</f>
        <v>0</v>
      </c>
      <c r="CF334" s="176">
        <f>IF(AND(Input_LTV&lt;=AE334,Input_Product=Elig!$C334,Elig_MatchAll_Ct&lt;22,$BC334=(Elig_MatchAll_Ct-1),AY334=0),AA334,0)</f>
        <v>0</v>
      </c>
      <c r="CG334" s="175">
        <f>IF(AND(Input_Product=Elig!$C334,Elig_MatchAll_Ct&lt;22,$BC334=(Elig_MatchAll_Ct-1),AZ334=0),AB334,0)</f>
        <v>0</v>
      </c>
      <c r="CH334" s="176">
        <f>IF(AND(Input_Product=Elig!$C334,Elig_MatchAll_Ct&lt;22,$BC334=(Elig_MatchAll_Ct-1),AZ334=0),AC334,0)</f>
        <v>0</v>
      </c>
      <c r="CI334" s="175">
        <f>IF(AND(Input_Product=Elig!$C334,Elig_MatchAll_Ct&lt;22,$BC334=(Elig_MatchAll_Ct-1),BA334=0),AD334,0)</f>
        <v>0</v>
      </c>
      <c r="CJ334" s="176">
        <f>IF(AND(Input_Product=Elig!$C334,Elig_MatchAll_Ct&lt;22,$BC334=(Elig_MatchAll_Ct-1),BA334=0),AE334,0)</f>
        <v>0</v>
      </c>
    </row>
    <row r="335" spans="1:88" ht="10.15" customHeight="1" x14ac:dyDescent="0.25">
      <c r="A335" s="252" t="s">
        <v>76</v>
      </c>
      <c r="B335" s="252" t="s">
        <v>967</v>
      </c>
      <c r="C335" s="251" t="str">
        <f t="shared" si="116"/>
        <v>NonQM NOO</v>
      </c>
      <c r="D335" s="252" t="s">
        <v>1995</v>
      </c>
      <c r="E335" s="252" t="s">
        <v>166</v>
      </c>
      <c r="F335" s="252" t="s">
        <v>329</v>
      </c>
      <c r="G335" s="252" t="s">
        <v>178</v>
      </c>
      <c r="H335" s="252" t="s">
        <v>135</v>
      </c>
      <c r="I335" s="253" t="s">
        <v>273</v>
      </c>
      <c r="J335" s="253" t="s">
        <v>1130</v>
      </c>
      <c r="K335" s="253" t="s">
        <v>1398</v>
      </c>
      <c r="L335" s="252" t="s">
        <v>311</v>
      </c>
      <c r="M335" s="252" t="s">
        <v>2289</v>
      </c>
      <c r="N335" s="252" t="s">
        <v>1844</v>
      </c>
      <c r="O335" s="252" t="s">
        <v>309</v>
      </c>
      <c r="P335" s="252" t="s">
        <v>2434</v>
      </c>
      <c r="Q335" s="252" t="s">
        <v>293</v>
      </c>
      <c r="R335" s="252">
        <v>1000000.01</v>
      </c>
      <c r="S335" s="252">
        <v>1500000</v>
      </c>
      <c r="T335" s="252">
        <v>0</v>
      </c>
      <c r="U335" s="252">
        <v>0</v>
      </c>
      <c r="V335" s="252">
        <v>0</v>
      </c>
      <c r="W335" s="252">
        <v>55</v>
      </c>
      <c r="X335" s="252">
        <v>0</v>
      </c>
      <c r="Y335" s="252">
        <v>999</v>
      </c>
      <c r="Z335" s="254">
        <v>680</v>
      </c>
      <c r="AA335" s="254">
        <v>699</v>
      </c>
      <c r="AB335" s="1883">
        <v>0</v>
      </c>
      <c r="AC335" s="254">
        <v>999999</v>
      </c>
      <c r="AD335" s="252">
        <v>0</v>
      </c>
      <c r="AE335" s="255">
        <v>70</v>
      </c>
      <c r="AF335" s="144">
        <v>0</v>
      </c>
      <c r="AG335" s="145">
        <v>1</v>
      </c>
      <c r="AH335" s="145">
        <v>1</v>
      </c>
      <c r="AI335" s="145">
        <v>1</v>
      </c>
      <c r="AJ335" s="145">
        <v>0</v>
      </c>
      <c r="AK335" s="145">
        <v>1</v>
      </c>
      <c r="AL335" s="145">
        <v>1</v>
      </c>
      <c r="AM335" s="145">
        <v>1</v>
      </c>
      <c r="AN335" s="145">
        <v>1</v>
      </c>
      <c r="AO335" s="145">
        <v>1</v>
      </c>
      <c r="AP335" s="145">
        <v>1</v>
      </c>
      <c r="AQ335" s="145">
        <v>1</v>
      </c>
      <c r="AR335" s="145">
        <v>1</v>
      </c>
      <c r="AS335" s="145">
        <v>1</v>
      </c>
      <c r="AT335" s="145">
        <v>1</v>
      </c>
      <c r="AU335" s="145">
        <f t="shared" si="102"/>
        <v>0</v>
      </c>
      <c r="AV335" s="145">
        <f t="shared" si="103"/>
        <v>1</v>
      </c>
      <c r="AW335" s="145">
        <f t="shared" si="104"/>
        <v>1</v>
      </c>
      <c r="AX335" s="145">
        <f t="shared" si="110"/>
        <v>1</v>
      </c>
      <c r="AY335" s="145">
        <f t="shared" si="105"/>
        <v>0</v>
      </c>
      <c r="AZ335" s="145">
        <f t="shared" si="106"/>
        <v>1</v>
      </c>
      <c r="BA335" s="146">
        <f t="shared" si="107"/>
        <v>1</v>
      </c>
      <c r="BB335" s="149">
        <f t="shared" si="120"/>
        <v>18</v>
      </c>
      <c r="BC335" s="150">
        <f t="shared" si="121"/>
        <v>17</v>
      </c>
      <c r="BD335" s="150">
        <f t="shared" si="122"/>
        <v>18</v>
      </c>
      <c r="BE335" s="211" t="str">
        <f t="shared" si="123"/>
        <v/>
      </c>
      <c r="BH335" s="173">
        <f>IF(AND(Input_Product=Elig!$C335,Elig_MatchAll_Ct&lt;22,$BC335=(Elig_MatchAll_Ct-1),AF335=0),C335,0)</f>
        <v>0</v>
      </c>
      <c r="BI335" s="173">
        <f>IF(AND(Input_Product=Elig!$C335,Elig_MatchAll_Ct&lt;22,$BC335=(Elig_MatchAll_Ct-1),AG335=0),D335,0)</f>
        <v>0</v>
      </c>
      <c r="BJ335" s="173">
        <f>IF(AND(Input_Product=Elig!$C335,Elig_MatchAll_Ct&lt;22,$BC335=(Elig_MatchAll_Ct-1),AH335=0),E335,0)</f>
        <v>0</v>
      </c>
      <c r="BK335" s="173">
        <f>IF(AND(Input_Product=Elig!$C335,Elig_MatchAll_Ct&lt;22,$BC335=(Elig_MatchAll_Ct-1),AI335=0),F335,0)</f>
        <v>0</v>
      </c>
      <c r="BL335" s="173">
        <f>IF(AND(Input_Product=Elig!$C335,Elig_MatchAll_Ct&lt;22,$BC335=(Elig_MatchAll_Ct-1),AJ335=0),G335,0)</f>
        <v>0</v>
      </c>
      <c r="BM335" s="173">
        <f>IF(AND(Input_Product=Elig!$C335,Elig_MatchAll_Ct&lt;22,$BC335=(Elig_MatchAll_Ct-1),AK335=0),H335,0)</f>
        <v>0</v>
      </c>
      <c r="BN335" s="173">
        <f>IF(AND(Input_Product=Elig!$C335,Elig_MatchAll_Ct&lt;22,$BC335=(Elig_MatchAll_Ct-1),AL335=0),I335,0)</f>
        <v>0</v>
      </c>
      <c r="BO335" s="173">
        <f>IF(AND(Input_Product=Elig!$C335,Elig_MatchAll_Ct&lt;22,$BC335=(Elig_MatchAll_Ct-1),AM335=0),J335,0)</f>
        <v>0</v>
      </c>
      <c r="BP335" s="173">
        <f>IF(AND(Input_Product=Elig!$C335,Elig_MatchAll_Ct&lt;22,$BC335=(Elig_MatchAll_Ct-1),AN335=0),K335,0)</f>
        <v>0</v>
      </c>
      <c r="BQ335" s="173">
        <f>IF(AND(Input_Product=Elig!$C335,Elig_MatchAll_Ct&lt;22,$BC335=(Elig_MatchAll_Ct-1),AP335=0),L335,0)</f>
        <v>0</v>
      </c>
      <c r="BR335" s="173">
        <f>IF(AND(Input_Product=Elig!$C335,Elig_MatchAll_Ct&lt;22,$BC335=(Elig_MatchAll_Ct-1),AO335=0),M335,0)</f>
        <v>0</v>
      </c>
      <c r="BS335" s="173">
        <f>IF(AND(Input_Product=Elig!$C335,Elig_MatchAll_Ct&lt;22,$BC335=(Elig_MatchAll_Ct-1),AQ335=0),N335,0)</f>
        <v>0</v>
      </c>
      <c r="BT335" s="173">
        <f>IF(AND(Input_Product=Elig!$C335,Elig_MatchAll_Ct&lt;22,$BC335=(Elig_MatchAll_Ct-1),AR335=0),O335,0)</f>
        <v>0</v>
      </c>
      <c r="BU335" s="173">
        <f>IF(AND(Input_Product=Elig!$C335,Elig_MatchAll_Ct&lt;22,$BC335=(Elig_MatchAll_Ct-1),AS335=0),P335,0)</f>
        <v>0</v>
      </c>
      <c r="BV335" s="174">
        <f>IF(AND(Input_Product=Elig!$C335,Elig_MatchAll_Ct&lt;22,$BC335=(Elig_MatchAll_Ct-1),AT335=0),Q335,0)</f>
        <v>0</v>
      </c>
      <c r="BW335" s="175">
        <f>IF(AND(Input_Product=Elig!$C335,Elig_MatchAll_Ct&lt;22,$BC335=(Elig_MatchAll_Ct-1),AU335=0),R335,0)</f>
        <v>0</v>
      </c>
      <c r="BX335" s="176">
        <f>IF(AND(Input_Product=Elig!$C335,Elig_MatchAll_Ct&lt;22,$BC335=(Elig_MatchAll_Ct-1),AU335=0),S335,0)</f>
        <v>0</v>
      </c>
      <c r="BY335" s="175">
        <f>IF(AND(Input_Product=Elig!$C335,Elig_MatchAll_Ct&lt;22,$BC335=(Elig_MatchAll_Ct-1),AV335=0),T335,0)</f>
        <v>0</v>
      </c>
      <c r="BZ335" s="176">
        <f>IF(AND(Input_Product=Elig!$C335,Elig_MatchAll_Ct&lt;22,$BC335=(Elig_MatchAll_Ct-1),AV335=0),U335,0)</f>
        <v>0</v>
      </c>
      <c r="CA335" s="175">
        <f>IF(AND(Input_Product=Elig!$C335,Elig_MatchAll_Ct&lt;22,$BC335=(Elig_MatchAll_Ct-1),AW335=0),V335,0)</f>
        <v>0</v>
      </c>
      <c r="CB335" s="176">
        <f>IF(AND(Input_Product=Elig!$C335,Elig_MatchAll_Ct&lt;22,$BC335=(Elig_MatchAll_Ct-1),AW335=0),W335,0)</f>
        <v>0</v>
      </c>
      <c r="CC335" s="175">
        <f>IF(AND(Input_Product=Elig!$C335,Elig_MatchAll_Ct&lt;22,$BC335=(Elig_MatchAll_Ct-1),AX335=0),X335,0)</f>
        <v>0</v>
      </c>
      <c r="CD335" s="176">
        <f>IF(AND(Input_Product=Elig!$C335,Elig_MatchAll_Ct&lt;22,$BC335=(Elig_MatchAll_Ct-1),AX335=0),Y335,0)</f>
        <v>0</v>
      </c>
      <c r="CE335" s="175">
        <f>IF(AND(Input_LTV&lt;=AE335,Input_Product=Elig!$C335,Elig_MatchAll_Ct&lt;22,$BC335=(Elig_MatchAll_Ct-1),AY335=0),Z335,0)</f>
        <v>0</v>
      </c>
      <c r="CF335" s="176">
        <f>IF(AND(Input_LTV&lt;=AE335,Input_Product=Elig!$C335,Elig_MatchAll_Ct&lt;22,$BC335=(Elig_MatchAll_Ct-1),AY335=0),AA335,0)</f>
        <v>0</v>
      </c>
      <c r="CG335" s="175">
        <f>IF(AND(Input_Product=Elig!$C335,Elig_MatchAll_Ct&lt;22,$BC335=(Elig_MatchAll_Ct-1),AZ335=0),AB335,0)</f>
        <v>0</v>
      </c>
      <c r="CH335" s="176">
        <f>IF(AND(Input_Product=Elig!$C335,Elig_MatchAll_Ct&lt;22,$BC335=(Elig_MatchAll_Ct-1),AZ335=0),AC335,0)</f>
        <v>0</v>
      </c>
      <c r="CI335" s="175">
        <f>IF(AND(Input_Product=Elig!$C335,Elig_MatchAll_Ct&lt;22,$BC335=(Elig_MatchAll_Ct-1),BA335=0),AD335,0)</f>
        <v>0</v>
      </c>
      <c r="CJ335" s="176">
        <f>IF(AND(Input_Product=Elig!$C335,Elig_MatchAll_Ct&lt;22,$BC335=(Elig_MatchAll_Ct-1),BA335=0),AE335,0)</f>
        <v>0</v>
      </c>
    </row>
    <row r="336" spans="1:88" ht="10.15" customHeight="1" x14ac:dyDescent="0.25">
      <c r="A336" s="252" t="s">
        <v>76</v>
      </c>
      <c r="B336" s="252" t="s">
        <v>968</v>
      </c>
      <c r="C336" s="251" t="str">
        <f t="shared" si="116"/>
        <v>NonQM NOO</v>
      </c>
      <c r="D336" s="252" t="s">
        <v>1995</v>
      </c>
      <c r="E336" s="252" t="s">
        <v>166</v>
      </c>
      <c r="F336" s="252" t="s">
        <v>329</v>
      </c>
      <c r="G336" s="252" t="s">
        <v>178</v>
      </c>
      <c r="H336" s="252" t="s">
        <v>135</v>
      </c>
      <c r="I336" s="253" t="s">
        <v>273</v>
      </c>
      <c r="J336" s="253" t="s">
        <v>1130</v>
      </c>
      <c r="K336" s="253" t="s">
        <v>1398</v>
      </c>
      <c r="L336" s="252" t="s">
        <v>311</v>
      </c>
      <c r="M336" s="252" t="s">
        <v>2289</v>
      </c>
      <c r="N336" s="252" t="s">
        <v>1844</v>
      </c>
      <c r="O336" s="252" t="s">
        <v>309</v>
      </c>
      <c r="P336" s="252" t="s">
        <v>2434</v>
      </c>
      <c r="Q336" s="252" t="s">
        <v>293</v>
      </c>
      <c r="R336" s="252">
        <v>1000000.01</v>
      </c>
      <c r="S336" s="252">
        <v>1500000</v>
      </c>
      <c r="T336" s="252">
        <v>0</v>
      </c>
      <c r="U336" s="252">
        <v>0</v>
      </c>
      <c r="V336" s="252">
        <v>0</v>
      </c>
      <c r="W336" s="252">
        <v>50</v>
      </c>
      <c r="X336" s="252">
        <v>0</v>
      </c>
      <c r="Y336" s="252">
        <v>999</v>
      </c>
      <c r="Z336" s="254">
        <v>660</v>
      </c>
      <c r="AA336" s="254">
        <v>679</v>
      </c>
      <c r="AB336" s="1883">
        <v>0</v>
      </c>
      <c r="AC336" s="254">
        <v>999999</v>
      </c>
      <c r="AD336" s="252">
        <v>0</v>
      </c>
      <c r="AE336" s="255">
        <v>70</v>
      </c>
      <c r="AF336" s="144">
        <v>0</v>
      </c>
      <c r="AG336" s="145">
        <v>1</v>
      </c>
      <c r="AH336" s="145">
        <v>1</v>
      </c>
      <c r="AI336" s="145">
        <v>1</v>
      </c>
      <c r="AJ336" s="145">
        <v>0</v>
      </c>
      <c r="AK336" s="145">
        <v>1</v>
      </c>
      <c r="AL336" s="145">
        <v>1</v>
      </c>
      <c r="AM336" s="145">
        <v>1</v>
      </c>
      <c r="AN336" s="145">
        <v>1</v>
      </c>
      <c r="AO336" s="145">
        <v>1</v>
      </c>
      <c r="AP336" s="145">
        <v>1</v>
      </c>
      <c r="AQ336" s="145">
        <v>1</v>
      </c>
      <c r="AR336" s="145">
        <v>1</v>
      </c>
      <c r="AS336" s="145">
        <v>1</v>
      </c>
      <c r="AT336" s="145">
        <v>1</v>
      </c>
      <c r="AU336" s="145">
        <f t="shared" si="102"/>
        <v>0</v>
      </c>
      <c r="AV336" s="145">
        <f t="shared" si="103"/>
        <v>1</v>
      </c>
      <c r="AW336" s="145">
        <f t="shared" si="104"/>
        <v>1</v>
      </c>
      <c r="AX336" s="145">
        <f t="shared" si="110"/>
        <v>1</v>
      </c>
      <c r="AY336" s="145">
        <f t="shared" si="105"/>
        <v>0</v>
      </c>
      <c r="AZ336" s="145">
        <f t="shared" si="106"/>
        <v>1</v>
      </c>
      <c r="BA336" s="146">
        <f t="shared" si="107"/>
        <v>1</v>
      </c>
      <c r="BB336" s="149">
        <f t="shared" si="120"/>
        <v>18</v>
      </c>
      <c r="BC336" s="150">
        <f t="shared" si="121"/>
        <v>17</v>
      </c>
      <c r="BD336" s="150">
        <f t="shared" si="122"/>
        <v>18</v>
      </c>
      <c r="BE336" s="211" t="str">
        <f t="shared" si="123"/>
        <v/>
      </c>
      <c r="BH336" s="173">
        <f>IF(AND(Input_Product=Elig!$C336,Elig_MatchAll_Ct&lt;22,$BC336=(Elig_MatchAll_Ct-1),AF336=0),C336,0)</f>
        <v>0</v>
      </c>
      <c r="BI336" s="173">
        <f>IF(AND(Input_Product=Elig!$C336,Elig_MatchAll_Ct&lt;22,$BC336=(Elig_MatchAll_Ct-1),AG336=0),D336,0)</f>
        <v>0</v>
      </c>
      <c r="BJ336" s="173">
        <f>IF(AND(Input_Product=Elig!$C336,Elig_MatchAll_Ct&lt;22,$BC336=(Elig_MatchAll_Ct-1),AH336=0),E336,0)</f>
        <v>0</v>
      </c>
      <c r="BK336" s="173">
        <f>IF(AND(Input_Product=Elig!$C336,Elig_MatchAll_Ct&lt;22,$BC336=(Elig_MatchAll_Ct-1),AI336=0),F336,0)</f>
        <v>0</v>
      </c>
      <c r="BL336" s="173">
        <f>IF(AND(Input_Product=Elig!$C336,Elig_MatchAll_Ct&lt;22,$BC336=(Elig_MatchAll_Ct-1),AJ336=0),G336,0)</f>
        <v>0</v>
      </c>
      <c r="BM336" s="173">
        <f>IF(AND(Input_Product=Elig!$C336,Elig_MatchAll_Ct&lt;22,$BC336=(Elig_MatchAll_Ct-1),AK336=0),H336,0)</f>
        <v>0</v>
      </c>
      <c r="BN336" s="173">
        <f>IF(AND(Input_Product=Elig!$C336,Elig_MatchAll_Ct&lt;22,$BC336=(Elig_MatchAll_Ct-1),AL336=0),I336,0)</f>
        <v>0</v>
      </c>
      <c r="BO336" s="173">
        <f>IF(AND(Input_Product=Elig!$C336,Elig_MatchAll_Ct&lt;22,$BC336=(Elig_MatchAll_Ct-1),AM336=0),J336,0)</f>
        <v>0</v>
      </c>
      <c r="BP336" s="173">
        <f>IF(AND(Input_Product=Elig!$C336,Elig_MatchAll_Ct&lt;22,$BC336=(Elig_MatchAll_Ct-1),AN336=0),K336,0)</f>
        <v>0</v>
      </c>
      <c r="BQ336" s="173">
        <f>IF(AND(Input_Product=Elig!$C336,Elig_MatchAll_Ct&lt;22,$BC336=(Elig_MatchAll_Ct-1),AP336=0),L336,0)</f>
        <v>0</v>
      </c>
      <c r="BR336" s="173">
        <f>IF(AND(Input_Product=Elig!$C336,Elig_MatchAll_Ct&lt;22,$BC336=(Elig_MatchAll_Ct-1),AO336=0),M336,0)</f>
        <v>0</v>
      </c>
      <c r="BS336" s="173">
        <f>IF(AND(Input_Product=Elig!$C336,Elig_MatchAll_Ct&lt;22,$BC336=(Elig_MatchAll_Ct-1),AQ336=0),N336,0)</f>
        <v>0</v>
      </c>
      <c r="BT336" s="173">
        <f>IF(AND(Input_Product=Elig!$C336,Elig_MatchAll_Ct&lt;22,$BC336=(Elig_MatchAll_Ct-1),AR336=0),O336,0)</f>
        <v>0</v>
      </c>
      <c r="BU336" s="173">
        <f>IF(AND(Input_Product=Elig!$C336,Elig_MatchAll_Ct&lt;22,$BC336=(Elig_MatchAll_Ct-1),AS336=0),P336,0)</f>
        <v>0</v>
      </c>
      <c r="BV336" s="174">
        <f>IF(AND(Input_Product=Elig!$C336,Elig_MatchAll_Ct&lt;22,$BC336=(Elig_MatchAll_Ct-1),AT336=0),Q336,0)</f>
        <v>0</v>
      </c>
      <c r="BW336" s="175">
        <f>IF(AND(Input_Product=Elig!$C336,Elig_MatchAll_Ct&lt;22,$BC336=(Elig_MatchAll_Ct-1),AU336=0),R336,0)</f>
        <v>0</v>
      </c>
      <c r="BX336" s="176">
        <f>IF(AND(Input_Product=Elig!$C336,Elig_MatchAll_Ct&lt;22,$BC336=(Elig_MatchAll_Ct-1),AU336=0),S336,0)</f>
        <v>0</v>
      </c>
      <c r="BY336" s="175">
        <f>IF(AND(Input_Product=Elig!$C336,Elig_MatchAll_Ct&lt;22,$BC336=(Elig_MatchAll_Ct-1),AV336=0),T336,0)</f>
        <v>0</v>
      </c>
      <c r="BZ336" s="176">
        <f>IF(AND(Input_Product=Elig!$C336,Elig_MatchAll_Ct&lt;22,$BC336=(Elig_MatchAll_Ct-1),AV336=0),U336,0)</f>
        <v>0</v>
      </c>
      <c r="CA336" s="175">
        <f>IF(AND(Input_Product=Elig!$C336,Elig_MatchAll_Ct&lt;22,$BC336=(Elig_MatchAll_Ct-1),AW336=0),V336,0)</f>
        <v>0</v>
      </c>
      <c r="CB336" s="176">
        <f>IF(AND(Input_Product=Elig!$C336,Elig_MatchAll_Ct&lt;22,$BC336=(Elig_MatchAll_Ct-1),AW336=0),W336,0)</f>
        <v>0</v>
      </c>
      <c r="CC336" s="175">
        <f>IF(AND(Input_Product=Elig!$C336,Elig_MatchAll_Ct&lt;22,$BC336=(Elig_MatchAll_Ct-1),AX336=0),X336,0)</f>
        <v>0</v>
      </c>
      <c r="CD336" s="176">
        <f>IF(AND(Input_Product=Elig!$C336,Elig_MatchAll_Ct&lt;22,$BC336=(Elig_MatchAll_Ct-1),AX336=0),Y336,0)</f>
        <v>0</v>
      </c>
      <c r="CE336" s="175">
        <f>IF(AND(Input_LTV&lt;=AE336,Input_Product=Elig!$C336,Elig_MatchAll_Ct&lt;22,$BC336=(Elig_MatchAll_Ct-1),AY336=0),Z336,0)</f>
        <v>0</v>
      </c>
      <c r="CF336" s="176">
        <f>IF(AND(Input_LTV&lt;=AE336,Input_Product=Elig!$C336,Elig_MatchAll_Ct&lt;22,$BC336=(Elig_MatchAll_Ct-1),AY336=0),AA336,0)</f>
        <v>0</v>
      </c>
      <c r="CG336" s="175">
        <f>IF(AND(Input_Product=Elig!$C336,Elig_MatchAll_Ct&lt;22,$BC336=(Elig_MatchAll_Ct-1),AZ336=0),AB336,0)</f>
        <v>0</v>
      </c>
      <c r="CH336" s="176">
        <f>IF(AND(Input_Product=Elig!$C336,Elig_MatchAll_Ct&lt;22,$BC336=(Elig_MatchAll_Ct-1),AZ336=0),AC336,0)</f>
        <v>0</v>
      </c>
      <c r="CI336" s="175">
        <f>IF(AND(Input_Product=Elig!$C336,Elig_MatchAll_Ct&lt;22,$BC336=(Elig_MatchAll_Ct-1),BA336=0),AD336,0)</f>
        <v>0</v>
      </c>
      <c r="CJ336" s="176">
        <f>IF(AND(Input_Product=Elig!$C336,Elig_MatchAll_Ct&lt;22,$BC336=(Elig_MatchAll_Ct-1),BA336=0),AE336,0)</f>
        <v>0</v>
      </c>
    </row>
    <row r="337" spans="1:88" ht="10.15" customHeight="1" x14ac:dyDescent="0.25">
      <c r="A337" s="252" t="s">
        <v>76</v>
      </c>
      <c r="B337" s="252" t="s">
        <v>969</v>
      </c>
      <c r="C337" s="246" t="str">
        <f t="shared" si="116"/>
        <v>NonQM NOO</v>
      </c>
      <c r="D337" s="247" t="s">
        <v>1995</v>
      </c>
      <c r="E337" s="248" t="s">
        <v>166</v>
      </c>
      <c r="F337" s="248" t="s">
        <v>329</v>
      </c>
      <c r="G337" s="248" t="s">
        <v>178</v>
      </c>
      <c r="H337" s="248" t="s">
        <v>135</v>
      </c>
      <c r="I337" s="247" t="s">
        <v>16</v>
      </c>
      <c r="J337" s="247" t="s">
        <v>1130</v>
      </c>
      <c r="K337" s="247" t="s">
        <v>1398</v>
      </c>
      <c r="L337" s="248" t="s">
        <v>311</v>
      </c>
      <c r="M337" s="248" t="s">
        <v>2289</v>
      </c>
      <c r="N337" s="248" t="s">
        <v>1844</v>
      </c>
      <c r="O337" s="248" t="s">
        <v>309</v>
      </c>
      <c r="P337" s="248" t="s">
        <v>2434</v>
      </c>
      <c r="Q337" s="248" t="s">
        <v>293</v>
      </c>
      <c r="R337" s="247">
        <v>1000000.01</v>
      </c>
      <c r="S337" s="247">
        <v>1500000</v>
      </c>
      <c r="T337" s="247">
        <v>0</v>
      </c>
      <c r="U337" s="247">
        <f t="shared" ref="U337:U340" si="124">S337</f>
        <v>1500000</v>
      </c>
      <c r="V337" s="247">
        <v>0</v>
      </c>
      <c r="W337" s="247">
        <v>55</v>
      </c>
      <c r="X337" s="247">
        <v>0</v>
      </c>
      <c r="Y337" s="247">
        <v>999</v>
      </c>
      <c r="Z337" s="249">
        <v>720</v>
      </c>
      <c r="AA337" s="249">
        <v>999</v>
      </c>
      <c r="AB337" s="1882">
        <v>0</v>
      </c>
      <c r="AC337" s="249">
        <v>999999</v>
      </c>
      <c r="AD337" s="247">
        <v>0</v>
      </c>
      <c r="AE337" s="250">
        <v>70</v>
      </c>
      <c r="AF337" s="144">
        <v>0</v>
      </c>
      <c r="AG337" s="145">
        <v>1</v>
      </c>
      <c r="AH337" s="145">
        <v>1</v>
      </c>
      <c r="AI337" s="145">
        <v>1</v>
      </c>
      <c r="AJ337" s="145">
        <v>0</v>
      </c>
      <c r="AK337" s="145">
        <v>1</v>
      </c>
      <c r="AL337" s="145">
        <v>0</v>
      </c>
      <c r="AM337" s="145">
        <v>1</v>
      </c>
      <c r="AN337" s="145">
        <v>1</v>
      </c>
      <c r="AO337" s="145">
        <v>1</v>
      </c>
      <c r="AP337" s="145">
        <v>1</v>
      </c>
      <c r="AQ337" s="145">
        <v>1</v>
      </c>
      <c r="AR337" s="145">
        <v>1</v>
      </c>
      <c r="AS337" s="145">
        <v>1</v>
      </c>
      <c r="AT337" s="145">
        <v>1</v>
      </c>
      <c r="AU337" s="145">
        <f t="shared" si="102"/>
        <v>0</v>
      </c>
      <c r="AV337" s="145">
        <f t="shared" si="103"/>
        <v>1</v>
      </c>
      <c r="AW337" s="145">
        <f t="shared" si="104"/>
        <v>1</v>
      </c>
      <c r="AX337" s="145">
        <f t="shared" si="110"/>
        <v>1</v>
      </c>
      <c r="AY337" s="145">
        <f t="shared" si="105"/>
        <v>1</v>
      </c>
      <c r="AZ337" s="145">
        <f t="shared" si="106"/>
        <v>1</v>
      </c>
      <c r="BA337" s="146">
        <f t="shared" si="107"/>
        <v>1</v>
      </c>
      <c r="BB337" s="149">
        <f t="shared" si="120"/>
        <v>18</v>
      </c>
      <c r="BC337" s="150">
        <f t="shared" si="121"/>
        <v>17</v>
      </c>
      <c r="BD337" s="150">
        <f t="shared" si="122"/>
        <v>18</v>
      </c>
      <c r="BE337" s="211" t="str">
        <f t="shared" si="123"/>
        <v/>
      </c>
      <c r="BH337" s="190">
        <f>IF(AND(Input_Product=Elig!$C337,Elig_MatchAll_Ct&lt;22,$BC337=(Elig_MatchAll_Ct-1),AF337=0),C337,0)</f>
        <v>0</v>
      </c>
      <c r="BI337" s="190">
        <f>IF(AND(Input_Product=Elig!$C337,Elig_MatchAll_Ct&lt;22,$BC337=(Elig_MatchAll_Ct-1),AG337=0),D337,0)</f>
        <v>0</v>
      </c>
      <c r="BJ337" s="190">
        <f>IF(AND(Input_Product=Elig!$C337,Elig_MatchAll_Ct&lt;22,$BC337=(Elig_MatchAll_Ct-1),AH337=0),E337,0)</f>
        <v>0</v>
      </c>
      <c r="BK337" s="190">
        <f>IF(AND(Input_Product=Elig!$C337,Elig_MatchAll_Ct&lt;22,$BC337=(Elig_MatchAll_Ct-1),AI337=0),F337,0)</f>
        <v>0</v>
      </c>
      <c r="BL337" s="190">
        <f>IF(AND(Input_Product=Elig!$C337,Elig_MatchAll_Ct&lt;22,$BC337=(Elig_MatchAll_Ct-1),AJ337=0),G337,0)</f>
        <v>0</v>
      </c>
      <c r="BM337" s="190">
        <f>IF(AND(Input_Product=Elig!$C337,Elig_MatchAll_Ct&lt;22,$BC337=(Elig_MatchAll_Ct-1),AK337=0),H337,0)</f>
        <v>0</v>
      </c>
      <c r="BN337" s="190">
        <f>IF(AND(Input_Product=Elig!$C337,Elig_MatchAll_Ct&lt;22,$BC337=(Elig_MatchAll_Ct-1),AL337=0),I337,0)</f>
        <v>0</v>
      </c>
      <c r="BO337" s="190">
        <f>IF(AND(Input_Product=Elig!$C337,Elig_MatchAll_Ct&lt;22,$BC337=(Elig_MatchAll_Ct-1),AM337=0),J337,0)</f>
        <v>0</v>
      </c>
      <c r="BP337" s="190">
        <f>IF(AND(Input_Product=Elig!$C337,Elig_MatchAll_Ct&lt;22,$BC337=(Elig_MatchAll_Ct-1),AN337=0),K337,0)</f>
        <v>0</v>
      </c>
      <c r="BQ337" s="190">
        <f>IF(AND(Input_Product=Elig!$C337,Elig_MatchAll_Ct&lt;22,$BC337=(Elig_MatchAll_Ct-1),AP337=0),L337,0)</f>
        <v>0</v>
      </c>
      <c r="BR337" s="190">
        <f>IF(AND(Input_Product=Elig!$C337,Elig_MatchAll_Ct&lt;22,$BC337=(Elig_MatchAll_Ct-1),AO337=0),M337,0)</f>
        <v>0</v>
      </c>
      <c r="BS337" s="190">
        <f>IF(AND(Input_Product=Elig!$C337,Elig_MatchAll_Ct&lt;22,$BC337=(Elig_MatchAll_Ct-1),AQ337=0),N337,0)</f>
        <v>0</v>
      </c>
      <c r="BT337" s="190">
        <f>IF(AND(Input_Product=Elig!$C337,Elig_MatchAll_Ct&lt;22,$BC337=(Elig_MatchAll_Ct-1),AR337=0),O337,0)</f>
        <v>0</v>
      </c>
      <c r="BU337" s="190">
        <f>IF(AND(Input_Product=Elig!$C337,Elig_MatchAll_Ct&lt;22,$BC337=(Elig_MatchAll_Ct-1),AS337=0),P337,0)</f>
        <v>0</v>
      </c>
      <c r="BV337" s="191">
        <f>IF(AND(Input_Product=Elig!$C337,Elig_MatchAll_Ct&lt;22,$BC337=(Elig_MatchAll_Ct-1),AT337=0),Q337,0)</f>
        <v>0</v>
      </c>
      <c r="BW337" s="192">
        <f>IF(AND(Input_Product=Elig!$C337,Elig_MatchAll_Ct&lt;22,$BC337=(Elig_MatchAll_Ct-1),AU337=0),R337,0)</f>
        <v>0</v>
      </c>
      <c r="BX337" s="193">
        <f>IF(AND(Input_Product=Elig!$C337,Elig_MatchAll_Ct&lt;22,$BC337=(Elig_MatchAll_Ct-1),AU337=0),S337,0)</f>
        <v>0</v>
      </c>
      <c r="BY337" s="192">
        <f>IF(AND(Input_Product=Elig!$C337,Elig_MatchAll_Ct&lt;22,$BC337=(Elig_MatchAll_Ct-1),AV337=0),T337,0)</f>
        <v>0</v>
      </c>
      <c r="BZ337" s="193">
        <f>IF(AND(Input_Product=Elig!$C337,Elig_MatchAll_Ct&lt;22,$BC337=(Elig_MatchAll_Ct-1),AV337=0),U337,0)</f>
        <v>0</v>
      </c>
      <c r="CA337" s="192">
        <f>IF(AND(Input_Product=Elig!$C337,Elig_MatchAll_Ct&lt;22,$BC337=(Elig_MatchAll_Ct-1),AW337=0),V337,0)</f>
        <v>0</v>
      </c>
      <c r="CB337" s="193">
        <f>IF(AND(Input_Product=Elig!$C337,Elig_MatchAll_Ct&lt;22,$BC337=(Elig_MatchAll_Ct-1),AW337=0),W337,0)</f>
        <v>0</v>
      </c>
      <c r="CC337" s="192">
        <f>IF(AND(Input_Product=Elig!$C337,Elig_MatchAll_Ct&lt;22,$BC337=(Elig_MatchAll_Ct-1),AX337=0),X337,0)</f>
        <v>0</v>
      </c>
      <c r="CD337" s="193">
        <f>IF(AND(Input_Product=Elig!$C337,Elig_MatchAll_Ct&lt;22,$BC337=(Elig_MatchAll_Ct-1),AX337=0),Y337,0)</f>
        <v>0</v>
      </c>
      <c r="CE337" s="192">
        <f>IF(AND(Input_LTV&lt;=AE337,Input_Product=Elig!$C337,Elig_MatchAll_Ct&lt;22,$BC337=(Elig_MatchAll_Ct-1),AY337=0),Z337,0)</f>
        <v>0</v>
      </c>
      <c r="CF337" s="193">
        <f>IF(AND(Input_LTV&lt;=AE337,Input_Product=Elig!$C337,Elig_MatchAll_Ct&lt;22,$BC337=(Elig_MatchAll_Ct-1),AY337=0),AA337,0)</f>
        <v>0</v>
      </c>
      <c r="CG337" s="192">
        <f>IF(AND(Input_Product=Elig!$C337,Elig_MatchAll_Ct&lt;22,$BC337=(Elig_MatchAll_Ct-1),AZ337=0),AB337,0)</f>
        <v>0</v>
      </c>
      <c r="CH337" s="193">
        <f>IF(AND(Input_Product=Elig!$C337,Elig_MatchAll_Ct&lt;22,$BC337=(Elig_MatchAll_Ct-1),AZ337=0),AC337,0)</f>
        <v>0</v>
      </c>
      <c r="CI337" s="192">
        <f>IF(AND(Input_Product=Elig!$C337,Elig_MatchAll_Ct&lt;22,$BC337=(Elig_MatchAll_Ct-1),BA337=0),AD337,0)</f>
        <v>0</v>
      </c>
      <c r="CJ337" s="193">
        <f>IF(AND(Input_Product=Elig!$C337,Elig_MatchAll_Ct&lt;22,$BC337=(Elig_MatchAll_Ct-1),BA337=0),AE337,0)</f>
        <v>0</v>
      </c>
    </row>
    <row r="338" spans="1:88" ht="10.15" customHeight="1" x14ac:dyDescent="0.25">
      <c r="A338" s="252" t="s">
        <v>76</v>
      </c>
      <c r="B338" s="252" t="s">
        <v>970</v>
      </c>
      <c r="C338" s="251" t="str">
        <f t="shared" si="116"/>
        <v>NonQM NOO</v>
      </c>
      <c r="D338" s="252" t="s">
        <v>1995</v>
      </c>
      <c r="E338" s="252" t="s">
        <v>166</v>
      </c>
      <c r="F338" s="252" t="s">
        <v>329</v>
      </c>
      <c r="G338" s="252" t="s">
        <v>178</v>
      </c>
      <c r="H338" s="252" t="s">
        <v>135</v>
      </c>
      <c r="I338" s="253" t="s">
        <v>16</v>
      </c>
      <c r="J338" s="253" t="s">
        <v>1130</v>
      </c>
      <c r="K338" s="253" t="s">
        <v>1398</v>
      </c>
      <c r="L338" s="252" t="s">
        <v>311</v>
      </c>
      <c r="M338" s="252" t="s">
        <v>2289</v>
      </c>
      <c r="N338" s="252" t="s">
        <v>1844</v>
      </c>
      <c r="O338" s="252" t="s">
        <v>309</v>
      </c>
      <c r="P338" s="252" t="s">
        <v>2434</v>
      </c>
      <c r="Q338" s="252" t="s">
        <v>293</v>
      </c>
      <c r="R338" s="252">
        <v>1000000.01</v>
      </c>
      <c r="S338" s="252">
        <v>1500000</v>
      </c>
      <c r="T338" s="252">
        <v>0</v>
      </c>
      <c r="U338" s="252">
        <f t="shared" si="124"/>
        <v>1500000</v>
      </c>
      <c r="V338" s="252">
        <v>0</v>
      </c>
      <c r="W338" s="252">
        <v>55</v>
      </c>
      <c r="X338" s="252">
        <v>0</v>
      </c>
      <c r="Y338" s="252">
        <v>999</v>
      </c>
      <c r="Z338" s="254">
        <v>700</v>
      </c>
      <c r="AA338" s="254">
        <v>719</v>
      </c>
      <c r="AB338" s="1883">
        <v>0</v>
      </c>
      <c r="AC338" s="254">
        <v>999999</v>
      </c>
      <c r="AD338" s="252">
        <v>0</v>
      </c>
      <c r="AE338" s="255">
        <v>70</v>
      </c>
      <c r="AF338" s="144">
        <v>0</v>
      </c>
      <c r="AG338" s="145">
        <v>1</v>
      </c>
      <c r="AH338" s="145">
        <v>1</v>
      </c>
      <c r="AI338" s="145">
        <v>1</v>
      </c>
      <c r="AJ338" s="145">
        <v>0</v>
      </c>
      <c r="AK338" s="145">
        <v>1</v>
      </c>
      <c r="AL338" s="145">
        <v>0</v>
      </c>
      <c r="AM338" s="145">
        <v>1</v>
      </c>
      <c r="AN338" s="145">
        <v>1</v>
      </c>
      <c r="AO338" s="145">
        <v>1</v>
      </c>
      <c r="AP338" s="145">
        <v>1</v>
      </c>
      <c r="AQ338" s="145">
        <v>1</v>
      </c>
      <c r="AR338" s="145">
        <v>1</v>
      </c>
      <c r="AS338" s="145">
        <v>1</v>
      </c>
      <c r="AT338" s="145">
        <v>1</v>
      </c>
      <c r="AU338" s="145">
        <f t="shared" si="102"/>
        <v>0</v>
      </c>
      <c r="AV338" s="145">
        <f t="shared" si="103"/>
        <v>1</v>
      </c>
      <c r="AW338" s="145">
        <f t="shared" si="104"/>
        <v>1</v>
      </c>
      <c r="AX338" s="145">
        <f t="shared" si="110"/>
        <v>1</v>
      </c>
      <c r="AY338" s="145">
        <f t="shared" si="105"/>
        <v>0</v>
      </c>
      <c r="AZ338" s="145">
        <f t="shared" si="106"/>
        <v>1</v>
      </c>
      <c r="BA338" s="146">
        <f t="shared" si="107"/>
        <v>1</v>
      </c>
      <c r="BB338" s="149">
        <f t="shared" si="120"/>
        <v>17</v>
      </c>
      <c r="BC338" s="150">
        <f t="shared" si="121"/>
        <v>16</v>
      </c>
      <c r="BD338" s="150">
        <f t="shared" si="122"/>
        <v>17</v>
      </c>
      <c r="BE338" s="211" t="str">
        <f t="shared" si="123"/>
        <v/>
      </c>
      <c r="BH338" s="173">
        <f>IF(AND(Input_Product=Elig!$C338,Elig_MatchAll_Ct&lt;22,$BC338=(Elig_MatchAll_Ct-1),AF338=0),C338,0)</f>
        <v>0</v>
      </c>
      <c r="BI338" s="173">
        <f>IF(AND(Input_Product=Elig!$C338,Elig_MatchAll_Ct&lt;22,$BC338=(Elig_MatchAll_Ct-1),AG338=0),D338,0)</f>
        <v>0</v>
      </c>
      <c r="BJ338" s="173">
        <f>IF(AND(Input_Product=Elig!$C338,Elig_MatchAll_Ct&lt;22,$BC338=(Elig_MatchAll_Ct-1),AH338=0),E338,0)</f>
        <v>0</v>
      </c>
      <c r="BK338" s="173">
        <f>IF(AND(Input_Product=Elig!$C338,Elig_MatchAll_Ct&lt;22,$BC338=(Elig_MatchAll_Ct-1),AI338=0),F338,0)</f>
        <v>0</v>
      </c>
      <c r="BL338" s="173">
        <f>IF(AND(Input_Product=Elig!$C338,Elig_MatchAll_Ct&lt;22,$BC338=(Elig_MatchAll_Ct-1),AJ338=0),G338,0)</f>
        <v>0</v>
      </c>
      <c r="BM338" s="173">
        <f>IF(AND(Input_Product=Elig!$C338,Elig_MatchAll_Ct&lt;22,$BC338=(Elig_MatchAll_Ct-1),AK338=0),H338,0)</f>
        <v>0</v>
      </c>
      <c r="BN338" s="173">
        <f>IF(AND(Input_Product=Elig!$C338,Elig_MatchAll_Ct&lt;22,$BC338=(Elig_MatchAll_Ct-1),AL338=0),I338,0)</f>
        <v>0</v>
      </c>
      <c r="BO338" s="173">
        <f>IF(AND(Input_Product=Elig!$C338,Elig_MatchAll_Ct&lt;22,$BC338=(Elig_MatchAll_Ct-1),AM338=0),J338,0)</f>
        <v>0</v>
      </c>
      <c r="BP338" s="173">
        <f>IF(AND(Input_Product=Elig!$C338,Elig_MatchAll_Ct&lt;22,$BC338=(Elig_MatchAll_Ct-1),AN338=0),K338,0)</f>
        <v>0</v>
      </c>
      <c r="BQ338" s="173">
        <f>IF(AND(Input_Product=Elig!$C338,Elig_MatchAll_Ct&lt;22,$BC338=(Elig_MatchAll_Ct-1),AP338=0),L338,0)</f>
        <v>0</v>
      </c>
      <c r="BR338" s="173">
        <f>IF(AND(Input_Product=Elig!$C338,Elig_MatchAll_Ct&lt;22,$BC338=(Elig_MatchAll_Ct-1),AO338=0),M338,0)</f>
        <v>0</v>
      </c>
      <c r="BS338" s="173">
        <f>IF(AND(Input_Product=Elig!$C338,Elig_MatchAll_Ct&lt;22,$BC338=(Elig_MatchAll_Ct-1),AQ338=0),N338,0)</f>
        <v>0</v>
      </c>
      <c r="BT338" s="173">
        <f>IF(AND(Input_Product=Elig!$C338,Elig_MatchAll_Ct&lt;22,$BC338=(Elig_MatchAll_Ct-1),AR338=0),O338,0)</f>
        <v>0</v>
      </c>
      <c r="BU338" s="173">
        <f>IF(AND(Input_Product=Elig!$C338,Elig_MatchAll_Ct&lt;22,$BC338=(Elig_MatchAll_Ct-1),AS338=0),P338,0)</f>
        <v>0</v>
      </c>
      <c r="BV338" s="174">
        <f>IF(AND(Input_Product=Elig!$C338,Elig_MatchAll_Ct&lt;22,$BC338=(Elig_MatchAll_Ct-1),AT338=0),Q338,0)</f>
        <v>0</v>
      </c>
      <c r="BW338" s="175">
        <f>IF(AND(Input_Product=Elig!$C338,Elig_MatchAll_Ct&lt;22,$BC338=(Elig_MatchAll_Ct-1),AU338=0),R338,0)</f>
        <v>0</v>
      </c>
      <c r="BX338" s="176">
        <f>IF(AND(Input_Product=Elig!$C338,Elig_MatchAll_Ct&lt;22,$BC338=(Elig_MatchAll_Ct-1),AU338=0),S338,0)</f>
        <v>0</v>
      </c>
      <c r="BY338" s="175">
        <f>IF(AND(Input_Product=Elig!$C338,Elig_MatchAll_Ct&lt;22,$BC338=(Elig_MatchAll_Ct-1),AV338=0),T338,0)</f>
        <v>0</v>
      </c>
      <c r="BZ338" s="176">
        <f>IF(AND(Input_Product=Elig!$C338,Elig_MatchAll_Ct&lt;22,$BC338=(Elig_MatchAll_Ct-1),AV338=0),U338,0)</f>
        <v>0</v>
      </c>
      <c r="CA338" s="175">
        <f>IF(AND(Input_Product=Elig!$C338,Elig_MatchAll_Ct&lt;22,$BC338=(Elig_MatchAll_Ct-1),AW338=0),V338,0)</f>
        <v>0</v>
      </c>
      <c r="CB338" s="176">
        <f>IF(AND(Input_Product=Elig!$C338,Elig_MatchAll_Ct&lt;22,$BC338=(Elig_MatchAll_Ct-1),AW338=0),W338,0)</f>
        <v>0</v>
      </c>
      <c r="CC338" s="175">
        <f>IF(AND(Input_Product=Elig!$C338,Elig_MatchAll_Ct&lt;22,$BC338=(Elig_MatchAll_Ct-1),AX338=0),X338,0)</f>
        <v>0</v>
      </c>
      <c r="CD338" s="176">
        <f>IF(AND(Input_Product=Elig!$C338,Elig_MatchAll_Ct&lt;22,$BC338=(Elig_MatchAll_Ct-1),AX338=0),Y338,0)</f>
        <v>0</v>
      </c>
      <c r="CE338" s="175">
        <f>IF(AND(Input_LTV&lt;=AE338,Input_Product=Elig!$C338,Elig_MatchAll_Ct&lt;22,$BC338=(Elig_MatchAll_Ct-1),AY338=0),Z338,0)</f>
        <v>0</v>
      </c>
      <c r="CF338" s="176">
        <f>IF(AND(Input_LTV&lt;=AE338,Input_Product=Elig!$C338,Elig_MatchAll_Ct&lt;22,$BC338=(Elig_MatchAll_Ct-1),AY338=0),AA338,0)</f>
        <v>0</v>
      </c>
      <c r="CG338" s="175">
        <f>IF(AND(Input_Product=Elig!$C338,Elig_MatchAll_Ct&lt;22,$BC338=(Elig_MatchAll_Ct-1),AZ338=0),AB338,0)</f>
        <v>0</v>
      </c>
      <c r="CH338" s="176">
        <f>IF(AND(Input_Product=Elig!$C338,Elig_MatchAll_Ct&lt;22,$BC338=(Elig_MatchAll_Ct-1),AZ338=0),AC338,0)</f>
        <v>0</v>
      </c>
      <c r="CI338" s="175">
        <f>IF(AND(Input_Product=Elig!$C338,Elig_MatchAll_Ct&lt;22,$BC338=(Elig_MatchAll_Ct-1),BA338=0),AD338,0)</f>
        <v>0</v>
      </c>
      <c r="CJ338" s="176">
        <f>IF(AND(Input_Product=Elig!$C338,Elig_MatchAll_Ct&lt;22,$BC338=(Elig_MatchAll_Ct-1),BA338=0),AE338,0)</f>
        <v>0</v>
      </c>
    </row>
    <row r="339" spans="1:88" ht="10.15" customHeight="1" x14ac:dyDescent="0.25">
      <c r="A339" s="252" t="s">
        <v>76</v>
      </c>
      <c r="B339" s="252" t="s">
        <v>971</v>
      </c>
      <c r="C339" s="251" t="str">
        <f t="shared" si="116"/>
        <v>NonQM NOO</v>
      </c>
      <c r="D339" s="252" t="s">
        <v>1995</v>
      </c>
      <c r="E339" s="252" t="s">
        <v>166</v>
      </c>
      <c r="F339" s="252" t="s">
        <v>329</v>
      </c>
      <c r="G339" s="252" t="s">
        <v>178</v>
      </c>
      <c r="H339" s="252" t="s">
        <v>135</v>
      </c>
      <c r="I339" s="253" t="s">
        <v>16</v>
      </c>
      <c r="J339" s="253" t="s">
        <v>1130</v>
      </c>
      <c r="K339" s="253" t="s">
        <v>1398</v>
      </c>
      <c r="L339" s="252" t="s">
        <v>311</v>
      </c>
      <c r="M339" s="252" t="s">
        <v>2289</v>
      </c>
      <c r="N339" s="252" t="s">
        <v>1844</v>
      </c>
      <c r="O339" s="252" t="s">
        <v>309</v>
      </c>
      <c r="P339" s="252" t="s">
        <v>2434</v>
      </c>
      <c r="Q339" s="252" t="s">
        <v>293</v>
      </c>
      <c r="R339" s="252">
        <v>1000000.01</v>
      </c>
      <c r="S339" s="252">
        <v>1500000</v>
      </c>
      <c r="T339" s="252">
        <v>0</v>
      </c>
      <c r="U339" s="252">
        <f t="shared" si="124"/>
        <v>1500000</v>
      </c>
      <c r="V339" s="252">
        <v>0</v>
      </c>
      <c r="W339" s="252">
        <v>55</v>
      </c>
      <c r="X339" s="252">
        <v>0</v>
      </c>
      <c r="Y339" s="252">
        <v>999</v>
      </c>
      <c r="Z339" s="254">
        <v>680</v>
      </c>
      <c r="AA339" s="254">
        <v>699</v>
      </c>
      <c r="AB339" s="1883">
        <v>0</v>
      </c>
      <c r="AC339" s="254">
        <v>999999</v>
      </c>
      <c r="AD339" s="252">
        <v>0</v>
      </c>
      <c r="AE339" s="255">
        <v>65</v>
      </c>
      <c r="AF339" s="144">
        <v>0</v>
      </c>
      <c r="AG339" s="145">
        <v>1</v>
      </c>
      <c r="AH339" s="145">
        <v>1</v>
      </c>
      <c r="AI339" s="145">
        <v>1</v>
      </c>
      <c r="AJ339" s="145">
        <v>0</v>
      </c>
      <c r="AK339" s="145">
        <v>1</v>
      </c>
      <c r="AL339" s="145">
        <v>0</v>
      </c>
      <c r="AM339" s="145">
        <v>1</v>
      </c>
      <c r="AN339" s="145">
        <v>1</v>
      </c>
      <c r="AO339" s="145">
        <v>1</v>
      </c>
      <c r="AP339" s="145">
        <v>1</v>
      </c>
      <c r="AQ339" s="145">
        <v>1</v>
      </c>
      <c r="AR339" s="145">
        <v>1</v>
      </c>
      <c r="AS339" s="145">
        <v>1</v>
      </c>
      <c r="AT339" s="145">
        <v>1</v>
      </c>
      <c r="AU339" s="145">
        <f t="shared" si="102"/>
        <v>0</v>
      </c>
      <c r="AV339" s="145">
        <f t="shared" si="103"/>
        <v>1</v>
      </c>
      <c r="AW339" s="145">
        <f t="shared" si="104"/>
        <v>1</v>
      </c>
      <c r="AX339" s="145">
        <f t="shared" si="110"/>
        <v>1</v>
      </c>
      <c r="AY339" s="145">
        <f t="shared" si="105"/>
        <v>0</v>
      </c>
      <c r="AZ339" s="145">
        <f t="shared" si="106"/>
        <v>1</v>
      </c>
      <c r="BA339" s="146">
        <f t="shared" si="107"/>
        <v>0</v>
      </c>
      <c r="BB339" s="149">
        <f t="shared" si="120"/>
        <v>16</v>
      </c>
      <c r="BC339" s="150">
        <f t="shared" si="121"/>
        <v>16</v>
      </c>
      <c r="BD339" s="150">
        <f t="shared" si="122"/>
        <v>16</v>
      </c>
      <c r="BE339" s="211" t="str">
        <f t="shared" si="123"/>
        <v/>
      </c>
      <c r="BH339" s="173">
        <f>IF(AND(Input_Product=Elig!$C339,Elig_MatchAll_Ct&lt;22,$BC339=(Elig_MatchAll_Ct-1),AF339=0),C339,0)</f>
        <v>0</v>
      </c>
      <c r="BI339" s="173">
        <f>IF(AND(Input_Product=Elig!$C339,Elig_MatchAll_Ct&lt;22,$BC339=(Elig_MatchAll_Ct-1),AG339=0),D339,0)</f>
        <v>0</v>
      </c>
      <c r="BJ339" s="173">
        <f>IF(AND(Input_Product=Elig!$C339,Elig_MatchAll_Ct&lt;22,$BC339=(Elig_MatchAll_Ct-1),AH339=0),E339,0)</f>
        <v>0</v>
      </c>
      <c r="BK339" s="173">
        <f>IF(AND(Input_Product=Elig!$C339,Elig_MatchAll_Ct&lt;22,$BC339=(Elig_MatchAll_Ct-1),AI339=0),F339,0)</f>
        <v>0</v>
      </c>
      <c r="BL339" s="173">
        <f>IF(AND(Input_Product=Elig!$C339,Elig_MatchAll_Ct&lt;22,$BC339=(Elig_MatchAll_Ct-1),AJ339=0),G339,0)</f>
        <v>0</v>
      </c>
      <c r="BM339" s="173">
        <f>IF(AND(Input_Product=Elig!$C339,Elig_MatchAll_Ct&lt;22,$BC339=(Elig_MatchAll_Ct-1),AK339=0),H339,0)</f>
        <v>0</v>
      </c>
      <c r="BN339" s="173">
        <f>IF(AND(Input_Product=Elig!$C339,Elig_MatchAll_Ct&lt;22,$BC339=(Elig_MatchAll_Ct-1),AL339=0),I339,0)</f>
        <v>0</v>
      </c>
      <c r="BO339" s="173">
        <f>IF(AND(Input_Product=Elig!$C339,Elig_MatchAll_Ct&lt;22,$BC339=(Elig_MatchAll_Ct-1),AM339=0),J339,0)</f>
        <v>0</v>
      </c>
      <c r="BP339" s="173">
        <f>IF(AND(Input_Product=Elig!$C339,Elig_MatchAll_Ct&lt;22,$BC339=(Elig_MatchAll_Ct-1),AN339=0),K339,0)</f>
        <v>0</v>
      </c>
      <c r="BQ339" s="173">
        <f>IF(AND(Input_Product=Elig!$C339,Elig_MatchAll_Ct&lt;22,$BC339=(Elig_MatchAll_Ct-1),AP339=0),L339,0)</f>
        <v>0</v>
      </c>
      <c r="BR339" s="173">
        <f>IF(AND(Input_Product=Elig!$C339,Elig_MatchAll_Ct&lt;22,$BC339=(Elig_MatchAll_Ct-1),AO339=0),M339,0)</f>
        <v>0</v>
      </c>
      <c r="BS339" s="173">
        <f>IF(AND(Input_Product=Elig!$C339,Elig_MatchAll_Ct&lt;22,$BC339=(Elig_MatchAll_Ct-1),AQ339=0),N339,0)</f>
        <v>0</v>
      </c>
      <c r="BT339" s="173">
        <f>IF(AND(Input_Product=Elig!$C339,Elig_MatchAll_Ct&lt;22,$BC339=(Elig_MatchAll_Ct-1),AR339=0),O339,0)</f>
        <v>0</v>
      </c>
      <c r="BU339" s="173">
        <f>IF(AND(Input_Product=Elig!$C339,Elig_MatchAll_Ct&lt;22,$BC339=(Elig_MatchAll_Ct-1),AS339=0),P339,0)</f>
        <v>0</v>
      </c>
      <c r="BV339" s="174">
        <f>IF(AND(Input_Product=Elig!$C339,Elig_MatchAll_Ct&lt;22,$BC339=(Elig_MatchAll_Ct-1),AT339=0),Q339,0)</f>
        <v>0</v>
      </c>
      <c r="BW339" s="175">
        <f>IF(AND(Input_Product=Elig!$C339,Elig_MatchAll_Ct&lt;22,$BC339=(Elig_MatchAll_Ct-1),AU339=0),R339,0)</f>
        <v>0</v>
      </c>
      <c r="BX339" s="176">
        <f>IF(AND(Input_Product=Elig!$C339,Elig_MatchAll_Ct&lt;22,$BC339=(Elig_MatchAll_Ct-1),AU339=0),S339,0)</f>
        <v>0</v>
      </c>
      <c r="BY339" s="175">
        <f>IF(AND(Input_Product=Elig!$C339,Elig_MatchAll_Ct&lt;22,$BC339=(Elig_MatchAll_Ct-1),AV339=0),T339,0)</f>
        <v>0</v>
      </c>
      <c r="BZ339" s="176">
        <f>IF(AND(Input_Product=Elig!$C339,Elig_MatchAll_Ct&lt;22,$BC339=(Elig_MatchAll_Ct-1),AV339=0),U339,0)</f>
        <v>0</v>
      </c>
      <c r="CA339" s="175">
        <f>IF(AND(Input_Product=Elig!$C339,Elig_MatchAll_Ct&lt;22,$BC339=(Elig_MatchAll_Ct-1),AW339=0),V339,0)</f>
        <v>0</v>
      </c>
      <c r="CB339" s="176">
        <f>IF(AND(Input_Product=Elig!$C339,Elig_MatchAll_Ct&lt;22,$BC339=(Elig_MatchAll_Ct-1),AW339=0),W339,0)</f>
        <v>0</v>
      </c>
      <c r="CC339" s="175">
        <f>IF(AND(Input_Product=Elig!$C339,Elig_MatchAll_Ct&lt;22,$BC339=(Elig_MatchAll_Ct-1),AX339=0),X339,0)</f>
        <v>0</v>
      </c>
      <c r="CD339" s="176">
        <f>IF(AND(Input_Product=Elig!$C339,Elig_MatchAll_Ct&lt;22,$BC339=(Elig_MatchAll_Ct-1),AX339=0),Y339,0)</f>
        <v>0</v>
      </c>
      <c r="CE339" s="175">
        <f>IF(AND(Input_LTV&lt;=AE339,Input_Product=Elig!$C339,Elig_MatchAll_Ct&lt;22,$BC339=(Elig_MatchAll_Ct-1),AY339=0),Z339,0)</f>
        <v>0</v>
      </c>
      <c r="CF339" s="176">
        <f>IF(AND(Input_LTV&lt;=AE339,Input_Product=Elig!$C339,Elig_MatchAll_Ct&lt;22,$BC339=(Elig_MatchAll_Ct-1),AY339=0),AA339,0)</f>
        <v>0</v>
      </c>
      <c r="CG339" s="175">
        <f>IF(AND(Input_Product=Elig!$C339,Elig_MatchAll_Ct&lt;22,$BC339=(Elig_MatchAll_Ct-1),AZ339=0),AB339,0)</f>
        <v>0</v>
      </c>
      <c r="CH339" s="176">
        <f>IF(AND(Input_Product=Elig!$C339,Elig_MatchAll_Ct&lt;22,$BC339=(Elig_MatchAll_Ct-1),AZ339=0),AC339,0)</f>
        <v>0</v>
      </c>
      <c r="CI339" s="175">
        <f>IF(AND(Input_Product=Elig!$C339,Elig_MatchAll_Ct&lt;22,$BC339=(Elig_MatchAll_Ct-1),BA339=0),AD339,0)</f>
        <v>0</v>
      </c>
      <c r="CJ339" s="176">
        <f>IF(AND(Input_Product=Elig!$C339,Elig_MatchAll_Ct&lt;22,$BC339=(Elig_MatchAll_Ct-1),BA339=0),AE339,0)</f>
        <v>0</v>
      </c>
    </row>
    <row r="340" spans="1:88" ht="10.15" customHeight="1" x14ac:dyDescent="0.25">
      <c r="A340" s="252" t="s">
        <v>76</v>
      </c>
      <c r="B340" s="252" t="s">
        <v>972</v>
      </c>
      <c r="C340" s="251" t="str">
        <f t="shared" si="116"/>
        <v>NonQM NOO</v>
      </c>
      <c r="D340" s="252" t="s">
        <v>1995</v>
      </c>
      <c r="E340" s="252" t="s">
        <v>166</v>
      </c>
      <c r="F340" s="252" t="s">
        <v>329</v>
      </c>
      <c r="G340" s="252" t="s">
        <v>178</v>
      </c>
      <c r="H340" s="252" t="s">
        <v>135</v>
      </c>
      <c r="I340" s="253" t="s">
        <v>16</v>
      </c>
      <c r="J340" s="253" t="s">
        <v>1130</v>
      </c>
      <c r="K340" s="253" t="s">
        <v>1398</v>
      </c>
      <c r="L340" s="252" t="s">
        <v>311</v>
      </c>
      <c r="M340" s="252" t="s">
        <v>2289</v>
      </c>
      <c r="N340" s="252" t="s">
        <v>1844</v>
      </c>
      <c r="O340" s="252" t="s">
        <v>309</v>
      </c>
      <c r="P340" s="252" t="s">
        <v>2434</v>
      </c>
      <c r="Q340" s="252" t="s">
        <v>293</v>
      </c>
      <c r="R340" s="252">
        <v>1000000.01</v>
      </c>
      <c r="S340" s="252">
        <v>1500000</v>
      </c>
      <c r="T340" s="252">
        <v>0</v>
      </c>
      <c r="U340" s="252">
        <f t="shared" si="124"/>
        <v>1500000</v>
      </c>
      <c r="V340" s="252">
        <v>0</v>
      </c>
      <c r="W340" s="252">
        <v>50</v>
      </c>
      <c r="X340" s="252">
        <v>0</v>
      </c>
      <c r="Y340" s="252">
        <v>999</v>
      </c>
      <c r="Z340" s="254">
        <v>660</v>
      </c>
      <c r="AA340" s="254">
        <v>679</v>
      </c>
      <c r="AB340" s="1883">
        <v>0</v>
      </c>
      <c r="AC340" s="254">
        <v>999999</v>
      </c>
      <c r="AD340" s="252">
        <v>0</v>
      </c>
      <c r="AE340" s="255">
        <v>60</v>
      </c>
      <c r="AF340" s="144">
        <v>0</v>
      </c>
      <c r="AG340" s="145">
        <v>1</v>
      </c>
      <c r="AH340" s="145">
        <v>1</v>
      </c>
      <c r="AI340" s="145">
        <v>1</v>
      </c>
      <c r="AJ340" s="145">
        <v>0</v>
      </c>
      <c r="AK340" s="145">
        <v>1</v>
      </c>
      <c r="AL340" s="145">
        <v>0</v>
      </c>
      <c r="AM340" s="145">
        <v>1</v>
      </c>
      <c r="AN340" s="145">
        <v>1</v>
      </c>
      <c r="AO340" s="145">
        <v>1</v>
      </c>
      <c r="AP340" s="145">
        <v>1</v>
      </c>
      <c r="AQ340" s="145">
        <v>1</v>
      </c>
      <c r="AR340" s="145">
        <v>1</v>
      </c>
      <c r="AS340" s="145">
        <v>1</v>
      </c>
      <c r="AT340" s="145">
        <v>1</v>
      </c>
      <c r="AU340" s="145">
        <f t="shared" si="102"/>
        <v>0</v>
      </c>
      <c r="AV340" s="145">
        <f t="shared" si="103"/>
        <v>1</v>
      </c>
      <c r="AW340" s="145">
        <f t="shared" si="104"/>
        <v>1</v>
      </c>
      <c r="AX340" s="145">
        <f t="shared" si="110"/>
        <v>1</v>
      </c>
      <c r="AY340" s="145">
        <f t="shared" si="105"/>
        <v>0</v>
      </c>
      <c r="AZ340" s="145">
        <f t="shared" si="106"/>
        <v>1</v>
      </c>
      <c r="BA340" s="146">
        <f t="shared" si="107"/>
        <v>0</v>
      </c>
      <c r="BB340" s="149">
        <f t="shared" si="120"/>
        <v>16</v>
      </c>
      <c r="BC340" s="150">
        <f t="shared" si="121"/>
        <v>16</v>
      </c>
      <c r="BD340" s="150">
        <f t="shared" si="122"/>
        <v>16</v>
      </c>
      <c r="BE340" s="211" t="str">
        <f t="shared" si="123"/>
        <v/>
      </c>
      <c r="BH340" s="173">
        <f>IF(AND(Input_Product=Elig!$C340,Elig_MatchAll_Ct&lt;22,$BC340=(Elig_MatchAll_Ct-1),AF340=0),C340,0)</f>
        <v>0</v>
      </c>
      <c r="BI340" s="173">
        <f>IF(AND(Input_Product=Elig!$C340,Elig_MatchAll_Ct&lt;22,$BC340=(Elig_MatchAll_Ct-1),AG340=0),D340,0)</f>
        <v>0</v>
      </c>
      <c r="BJ340" s="173">
        <f>IF(AND(Input_Product=Elig!$C340,Elig_MatchAll_Ct&lt;22,$BC340=(Elig_MatchAll_Ct-1),AH340=0),E340,0)</f>
        <v>0</v>
      </c>
      <c r="BK340" s="173">
        <f>IF(AND(Input_Product=Elig!$C340,Elig_MatchAll_Ct&lt;22,$BC340=(Elig_MatchAll_Ct-1),AI340=0),F340,0)</f>
        <v>0</v>
      </c>
      <c r="BL340" s="173">
        <f>IF(AND(Input_Product=Elig!$C340,Elig_MatchAll_Ct&lt;22,$BC340=(Elig_MatchAll_Ct-1),AJ340=0),G340,0)</f>
        <v>0</v>
      </c>
      <c r="BM340" s="173">
        <f>IF(AND(Input_Product=Elig!$C340,Elig_MatchAll_Ct&lt;22,$BC340=(Elig_MatchAll_Ct-1),AK340=0),H340,0)</f>
        <v>0</v>
      </c>
      <c r="BN340" s="173">
        <f>IF(AND(Input_Product=Elig!$C340,Elig_MatchAll_Ct&lt;22,$BC340=(Elig_MatchAll_Ct-1),AL340=0),I340,0)</f>
        <v>0</v>
      </c>
      <c r="BO340" s="173">
        <f>IF(AND(Input_Product=Elig!$C340,Elig_MatchAll_Ct&lt;22,$BC340=(Elig_MatchAll_Ct-1),AM340=0),J340,0)</f>
        <v>0</v>
      </c>
      <c r="BP340" s="173">
        <f>IF(AND(Input_Product=Elig!$C340,Elig_MatchAll_Ct&lt;22,$BC340=(Elig_MatchAll_Ct-1),AN340=0),K340,0)</f>
        <v>0</v>
      </c>
      <c r="BQ340" s="173">
        <f>IF(AND(Input_Product=Elig!$C340,Elig_MatchAll_Ct&lt;22,$BC340=(Elig_MatchAll_Ct-1),AP340=0),L340,0)</f>
        <v>0</v>
      </c>
      <c r="BR340" s="173">
        <f>IF(AND(Input_Product=Elig!$C340,Elig_MatchAll_Ct&lt;22,$BC340=(Elig_MatchAll_Ct-1),AO340=0),M340,0)</f>
        <v>0</v>
      </c>
      <c r="BS340" s="173">
        <f>IF(AND(Input_Product=Elig!$C340,Elig_MatchAll_Ct&lt;22,$BC340=(Elig_MatchAll_Ct-1),AQ340=0),N340,0)</f>
        <v>0</v>
      </c>
      <c r="BT340" s="173">
        <f>IF(AND(Input_Product=Elig!$C340,Elig_MatchAll_Ct&lt;22,$BC340=(Elig_MatchAll_Ct-1),AR340=0),O340,0)</f>
        <v>0</v>
      </c>
      <c r="BU340" s="173">
        <f>IF(AND(Input_Product=Elig!$C340,Elig_MatchAll_Ct&lt;22,$BC340=(Elig_MatchAll_Ct-1),AS340=0),P340,0)</f>
        <v>0</v>
      </c>
      <c r="BV340" s="174">
        <f>IF(AND(Input_Product=Elig!$C340,Elig_MatchAll_Ct&lt;22,$BC340=(Elig_MatchAll_Ct-1),AT340=0),Q340,0)</f>
        <v>0</v>
      </c>
      <c r="BW340" s="175">
        <f>IF(AND(Input_Product=Elig!$C340,Elig_MatchAll_Ct&lt;22,$BC340=(Elig_MatchAll_Ct-1),AU340=0),R340,0)</f>
        <v>0</v>
      </c>
      <c r="BX340" s="176">
        <f>IF(AND(Input_Product=Elig!$C340,Elig_MatchAll_Ct&lt;22,$BC340=(Elig_MatchAll_Ct-1),AU340=0),S340,0)</f>
        <v>0</v>
      </c>
      <c r="BY340" s="175">
        <f>IF(AND(Input_Product=Elig!$C340,Elig_MatchAll_Ct&lt;22,$BC340=(Elig_MatchAll_Ct-1),AV340=0),T340,0)</f>
        <v>0</v>
      </c>
      <c r="BZ340" s="176">
        <f>IF(AND(Input_Product=Elig!$C340,Elig_MatchAll_Ct&lt;22,$BC340=(Elig_MatchAll_Ct-1),AV340=0),U340,0)</f>
        <v>0</v>
      </c>
      <c r="CA340" s="175">
        <f>IF(AND(Input_Product=Elig!$C340,Elig_MatchAll_Ct&lt;22,$BC340=(Elig_MatchAll_Ct-1),AW340=0),V340,0)</f>
        <v>0</v>
      </c>
      <c r="CB340" s="176">
        <f>IF(AND(Input_Product=Elig!$C340,Elig_MatchAll_Ct&lt;22,$BC340=(Elig_MatchAll_Ct-1),AW340=0),W340,0)</f>
        <v>0</v>
      </c>
      <c r="CC340" s="175">
        <f>IF(AND(Input_Product=Elig!$C340,Elig_MatchAll_Ct&lt;22,$BC340=(Elig_MatchAll_Ct-1),AX340=0),X340,0)</f>
        <v>0</v>
      </c>
      <c r="CD340" s="176">
        <f>IF(AND(Input_Product=Elig!$C340,Elig_MatchAll_Ct&lt;22,$BC340=(Elig_MatchAll_Ct-1),AX340=0),Y340,0)</f>
        <v>0</v>
      </c>
      <c r="CE340" s="175">
        <f>IF(AND(Input_LTV&lt;=AE340,Input_Product=Elig!$C340,Elig_MatchAll_Ct&lt;22,$BC340=(Elig_MatchAll_Ct-1),AY340=0),Z340,0)</f>
        <v>0</v>
      </c>
      <c r="CF340" s="176">
        <f>IF(AND(Input_LTV&lt;=AE340,Input_Product=Elig!$C340,Elig_MatchAll_Ct&lt;22,$BC340=(Elig_MatchAll_Ct-1),AY340=0),AA340,0)</f>
        <v>0</v>
      </c>
      <c r="CG340" s="175">
        <f>IF(AND(Input_Product=Elig!$C340,Elig_MatchAll_Ct&lt;22,$BC340=(Elig_MatchAll_Ct-1),AZ340=0),AB340,0)</f>
        <v>0</v>
      </c>
      <c r="CH340" s="176">
        <f>IF(AND(Input_Product=Elig!$C340,Elig_MatchAll_Ct&lt;22,$BC340=(Elig_MatchAll_Ct-1),AZ340=0),AC340,0)</f>
        <v>0</v>
      </c>
      <c r="CI340" s="175">
        <f>IF(AND(Input_Product=Elig!$C340,Elig_MatchAll_Ct&lt;22,$BC340=(Elig_MatchAll_Ct-1),BA340=0),AD340,0)</f>
        <v>0</v>
      </c>
      <c r="CJ340" s="176">
        <f>IF(AND(Input_Product=Elig!$C340,Elig_MatchAll_Ct&lt;22,$BC340=(Elig_MatchAll_Ct-1),BA340=0),AE340,0)</f>
        <v>0</v>
      </c>
    </row>
    <row r="341" spans="1:88" ht="10.15" customHeight="1" x14ac:dyDescent="0.25">
      <c r="A341" s="252" t="s">
        <v>76</v>
      </c>
      <c r="B341" s="252" t="s">
        <v>973</v>
      </c>
      <c r="C341" s="246" t="str">
        <f t="shared" si="116"/>
        <v>NonQM NOO</v>
      </c>
      <c r="D341" s="247" t="s">
        <v>1995</v>
      </c>
      <c r="E341" s="248" t="s">
        <v>166</v>
      </c>
      <c r="F341" s="248" t="s">
        <v>329</v>
      </c>
      <c r="G341" s="248" t="s">
        <v>304</v>
      </c>
      <c r="H341" s="248" t="s">
        <v>135</v>
      </c>
      <c r="I341" s="247" t="s">
        <v>273</v>
      </c>
      <c r="J341" s="247" t="s">
        <v>1130</v>
      </c>
      <c r="K341" s="247" t="s">
        <v>1398</v>
      </c>
      <c r="L341" s="248" t="s">
        <v>311</v>
      </c>
      <c r="M341" s="248" t="s">
        <v>2289</v>
      </c>
      <c r="N341" s="248" t="s">
        <v>1844</v>
      </c>
      <c r="O341" s="248" t="s">
        <v>309</v>
      </c>
      <c r="P341" s="248" t="s">
        <v>2434</v>
      </c>
      <c r="Q341" s="248" t="s">
        <v>293</v>
      </c>
      <c r="R341" s="247">
        <v>1000000.01</v>
      </c>
      <c r="S341" s="247">
        <v>1500000</v>
      </c>
      <c r="T341" s="247">
        <v>0</v>
      </c>
      <c r="U341" s="247">
        <v>0</v>
      </c>
      <c r="V341" s="247">
        <v>0</v>
      </c>
      <c r="W341" s="247">
        <v>55</v>
      </c>
      <c r="X341" s="247">
        <v>0</v>
      </c>
      <c r="Y341" s="247">
        <v>999</v>
      </c>
      <c r="Z341" s="249">
        <v>720</v>
      </c>
      <c r="AA341" s="249">
        <v>999</v>
      </c>
      <c r="AB341" s="1882">
        <v>0</v>
      </c>
      <c r="AC341" s="249">
        <v>999999</v>
      </c>
      <c r="AD341" s="247">
        <v>0</v>
      </c>
      <c r="AE341" s="250">
        <v>75</v>
      </c>
      <c r="AF341" s="144">
        <v>0</v>
      </c>
      <c r="AG341" s="145">
        <v>1</v>
      </c>
      <c r="AH341" s="145">
        <v>1</v>
      </c>
      <c r="AI341" s="145">
        <v>1</v>
      </c>
      <c r="AJ341" s="145">
        <v>0</v>
      </c>
      <c r="AK341" s="145">
        <v>1</v>
      </c>
      <c r="AL341" s="145">
        <v>1</v>
      </c>
      <c r="AM341" s="145">
        <v>1</v>
      </c>
      <c r="AN341" s="145">
        <v>1</v>
      </c>
      <c r="AO341" s="145">
        <v>1</v>
      </c>
      <c r="AP341" s="145">
        <v>1</v>
      </c>
      <c r="AQ341" s="145">
        <v>1</v>
      </c>
      <c r="AR341" s="145">
        <v>1</v>
      </c>
      <c r="AS341" s="145">
        <v>1</v>
      </c>
      <c r="AT341" s="145">
        <v>1</v>
      </c>
      <c r="AU341" s="145">
        <f t="shared" ref="AU341:AU400" si="125">IF(AND(Input_LoanAmt&gt;=Elig_LoanAmt_Min,Input_LoanAmt&lt;=Elig_LoanAmt_Max),1,0)</f>
        <v>0</v>
      </c>
      <c r="AV341" s="145">
        <f t="shared" ref="AV341:AV400" si="126">IF(AND(Input_CashoutAmt&gt;=Elig_CashoutAmt_Min,Input_CashoutAmt&lt;=Elig_CashoutAmt_Max),1,0)</f>
        <v>1</v>
      </c>
      <c r="AW341" s="145">
        <f t="shared" ref="AW341:AW400" si="127">IF(AND(Input_DTI&gt;=Elig_DTI_Min,Input_DTI&lt;=Elig_DTI_Max),1,0)</f>
        <v>1</v>
      </c>
      <c r="AX341" s="145">
        <f t="shared" si="110"/>
        <v>1</v>
      </c>
      <c r="AY341" s="145">
        <f t="shared" ref="AY341:AY400" si="128">IF(AND(Input_CreditScore&gt;=Elig_CreditScore_Min,Input_CreditScore&lt;=Elig_CreditScore_Max),1,0)</f>
        <v>1</v>
      </c>
      <c r="AZ341" s="145">
        <f t="shared" ref="AZ341:AZ400" si="129">IF(AND(Input_ReservesMonths&gt;=Elig_Reserves_Min,Input_ReservesMonths&lt;=Elig_Reserves_Max),1,0)</f>
        <v>1</v>
      </c>
      <c r="BA341" s="146">
        <f t="shared" ref="BA341:BA400" si="130">IF(AND(Input_LTV&gt;=Elig_LTV_Min,Input_LTV&lt;=Elig_LTV_Max),1,0)</f>
        <v>1</v>
      </c>
      <c r="BB341" s="149">
        <f t="shared" si="120"/>
        <v>19</v>
      </c>
      <c r="BC341" s="150">
        <f t="shared" si="121"/>
        <v>18</v>
      </c>
      <c r="BD341" s="150">
        <f t="shared" si="122"/>
        <v>19</v>
      </c>
      <c r="BE341" s="211" t="str">
        <f t="shared" si="123"/>
        <v/>
      </c>
      <c r="BH341" s="190">
        <f>IF(AND(Input_Product=Elig!$C341,Elig_MatchAll_Ct&lt;22,$BC341=(Elig_MatchAll_Ct-1),AF341=0),C341,0)</f>
        <v>0</v>
      </c>
      <c r="BI341" s="190">
        <f>IF(AND(Input_Product=Elig!$C341,Elig_MatchAll_Ct&lt;22,$BC341=(Elig_MatchAll_Ct-1),AG341=0),D341,0)</f>
        <v>0</v>
      </c>
      <c r="BJ341" s="190">
        <f>IF(AND(Input_Product=Elig!$C341,Elig_MatchAll_Ct&lt;22,$BC341=(Elig_MatchAll_Ct-1),AH341=0),E341,0)</f>
        <v>0</v>
      </c>
      <c r="BK341" s="190">
        <f>IF(AND(Input_Product=Elig!$C341,Elig_MatchAll_Ct&lt;22,$BC341=(Elig_MatchAll_Ct-1),AI341=0),F341,0)</f>
        <v>0</v>
      </c>
      <c r="BL341" s="190">
        <f>IF(AND(Input_Product=Elig!$C341,Elig_MatchAll_Ct&lt;22,$BC341=(Elig_MatchAll_Ct-1),AJ341=0),G341,0)</f>
        <v>0</v>
      </c>
      <c r="BM341" s="190">
        <f>IF(AND(Input_Product=Elig!$C341,Elig_MatchAll_Ct&lt;22,$BC341=(Elig_MatchAll_Ct-1),AK341=0),H341,0)</f>
        <v>0</v>
      </c>
      <c r="BN341" s="190">
        <f>IF(AND(Input_Product=Elig!$C341,Elig_MatchAll_Ct&lt;22,$BC341=(Elig_MatchAll_Ct-1),AL341=0),I341,0)</f>
        <v>0</v>
      </c>
      <c r="BO341" s="190">
        <f>IF(AND(Input_Product=Elig!$C341,Elig_MatchAll_Ct&lt;22,$BC341=(Elig_MatchAll_Ct-1),AM341=0),J341,0)</f>
        <v>0</v>
      </c>
      <c r="BP341" s="190">
        <f>IF(AND(Input_Product=Elig!$C341,Elig_MatchAll_Ct&lt;22,$BC341=(Elig_MatchAll_Ct-1),AN341=0),K341,0)</f>
        <v>0</v>
      </c>
      <c r="BQ341" s="190">
        <f>IF(AND(Input_Product=Elig!$C341,Elig_MatchAll_Ct&lt;22,$BC341=(Elig_MatchAll_Ct-1),AP341=0),L341,0)</f>
        <v>0</v>
      </c>
      <c r="BR341" s="190">
        <f>IF(AND(Input_Product=Elig!$C341,Elig_MatchAll_Ct&lt;22,$BC341=(Elig_MatchAll_Ct-1),AO341=0),M341,0)</f>
        <v>0</v>
      </c>
      <c r="BS341" s="190">
        <f>IF(AND(Input_Product=Elig!$C341,Elig_MatchAll_Ct&lt;22,$BC341=(Elig_MatchAll_Ct-1),AQ341=0),N341,0)</f>
        <v>0</v>
      </c>
      <c r="BT341" s="190">
        <f>IF(AND(Input_Product=Elig!$C341,Elig_MatchAll_Ct&lt;22,$BC341=(Elig_MatchAll_Ct-1),AR341=0),O341,0)</f>
        <v>0</v>
      </c>
      <c r="BU341" s="190">
        <f>IF(AND(Input_Product=Elig!$C341,Elig_MatchAll_Ct&lt;22,$BC341=(Elig_MatchAll_Ct-1),AS341=0),P341,0)</f>
        <v>0</v>
      </c>
      <c r="BV341" s="191">
        <f>IF(AND(Input_Product=Elig!$C341,Elig_MatchAll_Ct&lt;22,$BC341=(Elig_MatchAll_Ct-1),AT341=0),Q341,0)</f>
        <v>0</v>
      </c>
      <c r="BW341" s="192">
        <f>IF(AND(Input_Product=Elig!$C341,Elig_MatchAll_Ct&lt;22,$BC341=(Elig_MatchAll_Ct-1),AU341=0),R341,0)</f>
        <v>0</v>
      </c>
      <c r="BX341" s="193">
        <f>IF(AND(Input_Product=Elig!$C341,Elig_MatchAll_Ct&lt;22,$BC341=(Elig_MatchAll_Ct-1),AU341=0),S341,0)</f>
        <v>0</v>
      </c>
      <c r="BY341" s="192">
        <f>IF(AND(Input_Product=Elig!$C341,Elig_MatchAll_Ct&lt;22,$BC341=(Elig_MatchAll_Ct-1),AV341=0),T341,0)</f>
        <v>0</v>
      </c>
      <c r="BZ341" s="193">
        <f>IF(AND(Input_Product=Elig!$C341,Elig_MatchAll_Ct&lt;22,$BC341=(Elig_MatchAll_Ct-1),AV341=0),U341,0)</f>
        <v>0</v>
      </c>
      <c r="CA341" s="192">
        <f>IF(AND(Input_Product=Elig!$C341,Elig_MatchAll_Ct&lt;22,$BC341=(Elig_MatchAll_Ct-1),AW341=0),V341,0)</f>
        <v>0</v>
      </c>
      <c r="CB341" s="193">
        <f>IF(AND(Input_Product=Elig!$C341,Elig_MatchAll_Ct&lt;22,$BC341=(Elig_MatchAll_Ct-1),AW341=0),W341,0)</f>
        <v>0</v>
      </c>
      <c r="CC341" s="192">
        <f>IF(AND(Input_Product=Elig!$C341,Elig_MatchAll_Ct&lt;22,$BC341=(Elig_MatchAll_Ct-1),AX341=0),X341,0)</f>
        <v>0</v>
      </c>
      <c r="CD341" s="193">
        <f>IF(AND(Input_Product=Elig!$C341,Elig_MatchAll_Ct&lt;22,$BC341=(Elig_MatchAll_Ct-1),AX341=0),Y341,0)</f>
        <v>0</v>
      </c>
      <c r="CE341" s="192">
        <f>IF(AND(Input_LTV&lt;=AE341,Input_Product=Elig!$C341,Elig_MatchAll_Ct&lt;22,$BC341=(Elig_MatchAll_Ct-1),AY341=0),Z341,0)</f>
        <v>0</v>
      </c>
      <c r="CF341" s="193">
        <f>IF(AND(Input_LTV&lt;=AE341,Input_Product=Elig!$C341,Elig_MatchAll_Ct&lt;22,$BC341=(Elig_MatchAll_Ct-1),AY341=0),AA341,0)</f>
        <v>0</v>
      </c>
      <c r="CG341" s="192">
        <f>IF(AND(Input_Product=Elig!$C341,Elig_MatchAll_Ct&lt;22,$BC341=(Elig_MatchAll_Ct-1),AZ341=0),AB341,0)</f>
        <v>0</v>
      </c>
      <c r="CH341" s="193">
        <f>IF(AND(Input_Product=Elig!$C341,Elig_MatchAll_Ct&lt;22,$BC341=(Elig_MatchAll_Ct-1),AZ341=0),AC341,0)</f>
        <v>0</v>
      </c>
      <c r="CI341" s="192">
        <f>IF(AND(Input_Product=Elig!$C341,Elig_MatchAll_Ct&lt;22,$BC341=(Elig_MatchAll_Ct-1),BA341=0),AD341,0)</f>
        <v>0</v>
      </c>
      <c r="CJ341" s="193">
        <f>IF(AND(Input_Product=Elig!$C341,Elig_MatchAll_Ct&lt;22,$BC341=(Elig_MatchAll_Ct-1),BA341=0),AE341,0)</f>
        <v>0</v>
      </c>
    </row>
    <row r="342" spans="1:88" ht="10.15" customHeight="1" x14ac:dyDescent="0.25">
      <c r="A342" s="252" t="s">
        <v>76</v>
      </c>
      <c r="B342" s="252" t="s">
        <v>974</v>
      </c>
      <c r="C342" s="251" t="str">
        <f t="shared" si="116"/>
        <v>NonQM NOO</v>
      </c>
      <c r="D342" s="252" t="s">
        <v>1995</v>
      </c>
      <c r="E342" s="252" t="s">
        <v>166</v>
      </c>
      <c r="F342" s="252" t="s">
        <v>329</v>
      </c>
      <c r="G342" s="252" t="s">
        <v>304</v>
      </c>
      <c r="H342" s="252" t="s">
        <v>135</v>
      </c>
      <c r="I342" s="253" t="s">
        <v>273</v>
      </c>
      <c r="J342" s="253" t="s">
        <v>1130</v>
      </c>
      <c r="K342" s="253" t="s">
        <v>1398</v>
      </c>
      <c r="L342" s="252" t="s">
        <v>311</v>
      </c>
      <c r="M342" s="252" t="s">
        <v>2289</v>
      </c>
      <c r="N342" s="252" t="s">
        <v>1844</v>
      </c>
      <c r="O342" s="252" t="s">
        <v>309</v>
      </c>
      <c r="P342" s="252" t="s">
        <v>2434</v>
      </c>
      <c r="Q342" s="252" t="s">
        <v>293</v>
      </c>
      <c r="R342" s="252">
        <v>1000000.01</v>
      </c>
      <c r="S342" s="252">
        <v>1500000</v>
      </c>
      <c r="T342" s="252">
        <v>0</v>
      </c>
      <c r="U342" s="252">
        <v>0</v>
      </c>
      <c r="V342" s="252">
        <v>0</v>
      </c>
      <c r="W342" s="252">
        <v>55</v>
      </c>
      <c r="X342" s="252">
        <v>0</v>
      </c>
      <c r="Y342" s="252">
        <v>999</v>
      </c>
      <c r="Z342" s="254">
        <v>700</v>
      </c>
      <c r="AA342" s="254">
        <v>719</v>
      </c>
      <c r="AB342" s="1883">
        <v>0</v>
      </c>
      <c r="AC342" s="254">
        <v>999999</v>
      </c>
      <c r="AD342" s="252">
        <v>0</v>
      </c>
      <c r="AE342" s="255">
        <v>75</v>
      </c>
      <c r="AF342" s="144">
        <v>0</v>
      </c>
      <c r="AG342" s="145">
        <v>1</v>
      </c>
      <c r="AH342" s="145">
        <v>1</v>
      </c>
      <c r="AI342" s="145">
        <v>1</v>
      </c>
      <c r="AJ342" s="145">
        <v>0</v>
      </c>
      <c r="AK342" s="145">
        <v>1</v>
      </c>
      <c r="AL342" s="145">
        <v>1</v>
      </c>
      <c r="AM342" s="145">
        <v>1</v>
      </c>
      <c r="AN342" s="145">
        <v>1</v>
      </c>
      <c r="AO342" s="145">
        <v>1</v>
      </c>
      <c r="AP342" s="145">
        <v>1</v>
      </c>
      <c r="AQ342" s="145">
        <v>1</v>
      </c>
      <c r="AR342" s="145">
        <v>1</v>
      </c>
      <c r="AS342" s="145">
        <v>1</v>
      </c>
      <c r="AT342" s="145">
        <v>1</v>
      </c>
      <c r="AU342" s="145">
        <f t="shared" si="125"/>
        <v>0</v>
      </c>
      <c r="AV342" s="145">
        <f t="shared" si="126"/>
        <v>1</v>
      </c>
      <c r="AW342" s="145">
        <f t="shared" si="127"/>
        <v>1</v>
      </c>
      <c r="AX342" s="145">
        <f t="shared" si="110"/>
        <v>1</v>
      </c>
      <c r="AY342" s="145">
        <f t="shared" si="128"/>
        <v>0</v>
      </c>
      <c r="AZ342" s="145">
        <f t="shared" si="129"/>
        <v>1</v>
      </c>
      <c r="BA342" s="146">
        <f t="shared" si="130"/>
        <v>1</v>
      </c>
      <c r="BB342" s="149">
        <f t="shared" si="120"/>
        <v>18</v>
      </c>
      <c r="BC342" s="150">
        <f t="shared" si="121"/>
        <v>17</v>
      </c>
      <c r="BD342" s="150">
        <f t="shared" si="122"/>
        <v>18</v>
      </c>
      <c r="BE342" s="211" t="str">
        <f t="shared" si="123"/>
        <v/>
      </c>
      <c r="BH342" s="173">
        <f>IF(AND(Input_Product=Elig!$C342,Elig_MatchAll_Ct&lt;22,$BC342=(Elig_MatchAll_Ct-1),AF342=0),C342,0)</f>
        <v>0</v>
      </c>
      <c r="BI342" s="173">
        <f>IF(AND(Input_Product=Elig!$C342,Elig_MatchAll_Ct&lt;22,$BC342=(Elig_MatchAll_Ct-1),AG342=0),D342,0)</f>
        <v>0</v>
      </c>
      <c r="BJ342" s="173">
        <f>IF(AND(Input_Product=Elig!$C342,Elig_MatchAll_Ct&lt;22,$BC342=(Elig_MatchAll_Ct-1),AH342=0),E342,0)</f>
        <v>0</v>
      </c>
      <c r="BK342" s="173">
        <f>IF(AND(Input_Product=Elig!$C342,Elig_MatchAll_Ct&lt;22,$BC342=(Elig_MatchAll_Ct-1),AI342=0),F342,0)</f>
        <v>0</v>
      </c>
      <c r="BL342" s="173">
        <f>IF(AND(Input_Product=Elig!$C342,Elig_MatchAll_Ct&lt;22,$BC342=(Elig_MatchAll_Ct-1),AJ342=0),G342,0)</f>
        <v>0</v>
      </c>
      <c r="BM342" s="173">
        <f>IF(AND(Input_Product=Elig!$C342,Elig_MatchAll_Ct&lt;22,$BC342=(Elig_MatchAll_Ct-1),AK342=0),H342,0)</f>
        <v>0</v>
      </c>
      <c r="BN342" s="173">
        <f>IF(AND(Input_Product=Elig!$C342,Elig_MatchAll_Ct&lt;22,$BC342=(Elig_MatchAll_Ct-1),AL342=0),I342,0)</f>
        <v>0</v>
      </c>
      <c r="BO342" s="173">
        <f>IF(AND(Input_Product=Elig!$C342,Elig_MatchAll_Ct&lt;22,$BC342=(Elig_MatchAll_Ct-1),AM342=0),J342,0)</f>
        <v>0</v>
      </c>
      <c r="BP342" s="173">
        <f>IF(AND(Input_Product=Elig!$C342,Elig_MatchAll_Ct&lt;22,$BC342=(Elig_MatchAll_Ct-1),AN342=0),K342,0)</f>
        <v>0</v>
      </c>
      <c r="BQ342" s="173">
        <f>IF(AND(Input_Product=Elig!$C342,Elig_MatchAll_Ct&lt;22,$BC342=(Elig_MatchAll_Ct-1),AP342=0),L342,0)</f>
        <v>0</v>
      </c>
      <c r="BR342" s="173">
        <f>IF(AND(Input_Product=Elig!$C342,Elig_MatchAll_Ct&lt;22,$BC342=(Elig_MatchAll_Ct-1),AO342=0),M342,0)</f>
        <v>0</v>
      </c>
      <c r="BS342" s="173">
        <f>IF(AND(Input_Product=Elig!$C342,Elig_MatchAll_Ct&lt;22,$BC342=(Elig_MatchAll_Ct-1),AQ342=0),N342,0)</f>
        <v>0</v>
      </c>
      <c r="BT342" s="173">
        <f>IF(AND(Input_Product=Elig!$C342,Elig_MatchAll_Ct&lt;22,$BC342=(Elig_MatchAll_Ct-1),AR342=0),O342,0)</f>
        <v>0</v>
      </c>
      <c r="BU342" s="173">
        <f>IF(AND(Input_Product=Elig!$C342,Elig_MatchAll_Ct&lt;22,$BC342=(Elig_MatchAll_Ct-1),AS342=0),P342,0)</f>
        <v>0</v>
      </c>
      <c r="BV342" s="174">
        <f>IF(AND(Input_Product=Elig!$C342,Elig_MatchAll_Ct&lt;22,$BC342=(Elig_MatchAll_Ct-1),AT342=0),Q342,0)</f>
        <v>0</v>
      </c>
      <c r="BW342" s="175">
        <f>IF(AND(Input_Product=Elig!$C342,Elig_MatchAll_Ct&lt;22,$BC342=(Elig_MatchAll_Ct-1),AU342=0),R342,0)</f>
        <v>0</v>
      </c>
      <c r="BX342" s="176">
        <f>IF(AND(Input_Product=Elig!$C342,Elig_MatchAll_Ct&lt;22,$BC342=(Elig_MatchAll_Ct-1),AU342=0),S342,0)</f>
        <v>0</v>
      </c>
      <c r="BY342" s="175">
        <f>IF(AND(Input_Product=Elig!$C342,Elig_MatchAll_Ct&lt;22,$BC342=(Elig_MatchAll_Ct-1),AV342=0),T342,0)</f>
        <v>0</v>
      </c>
      <c r="BZ342" s="176">
        <f>IF(AND(Input_Product=Elig!$C342,Elig_MatchAll_Ct&lt;22,$BC342=(Elig_MatchAll_Ct-1),AV342=0),U342,0)</f>
        <v>0</v>
      </c>
      <c r="CA342" s="175">
        <f>IF(AND(Input_Product=Elig!$C342,Elig_MatchAll_Ct&lt;22,$BC342=(Elig_MatchAll_Ct-1),AW342=0),V342,0)</f>
        <v>0</v>
      </c>
      <c r="CB342" s="176">
        <f>IF(AND(Input_Product=Elig!$C342,Elig_MatchAll_Ct&lt;22,$BC342=(Elig_MatchAll_Ct-1),AW342=0),W342,0)</f>
        <v>0</v>
      </c>
      <c r="CC342" s="175">
        <f>IF(AND(Input_Product=Elig!$C342,Elig_MatchAll_Ct&lt;22,$BC342=(Elig_MatchAll_Ct-1),AX342=0),X342,0)</f>
        <v>0</v>
      </c>
      <c r="CD342" s="176">
        <f>IF(AND(Input_Product=Elig!$C342,Elig_MatchAll_Ct&lt;22,$BC342=(Elig_MatchAll_Ct-1),AX342=0),Y342,0)</f>
        <v>0</v>
      </c>
      <c r="CE342" s="175">
        <f>IF(AND(Input_LTV&lt;=AE342,Input_Product=Elig!$C342,Elig_MatchAll_Ct&lt;22,$BC342=(Elig_MatchAll_Ct-1),AY342=0),Z342,0)</f>
        <v>0</v>
      </c>
      <c r="CF342" s="176">
        <f>IF(AND(Input_LTV&lt;=AE342,Input_Product=Elig!$C342,Elig_MatchAll_Ct&lt;22,$BC342=(Elig_MatchAll_Ct-1),AY342=0),AA342,0)</f>
        <v>0</v>
      </c>
      <c r="CG342" s="175">
        <f>IF(AND(Input_Product=Elig!$C342,Elig_MatchAll_Ct&lt;22,$BC342=(Elig_MatchAll_Ct-1),AZ342=0),AB342,0)</f>
        <v>0</v>
      </c>
      <c r="CH342" s="176">
        <f>IF(AND(Input_Product=Elig!$C342,Elig_MatchAll_Ct&lt;22,$BC342=(Elig_MatchAll_Ct-1),AZ342=0),AC342,0)</f>
        <v>0</v>
      </c>
      <c r="CI342" s="175">
        <f>IF(AND(Input_Product=Elig!$C342,Elig_MatchAll_Ct&lt;22,$BC342=(Elig_MatchAll_Ct-1),BA342=0),AD342,0)</f>
        <v>0</v>
      </c>
      <c r="CJ342" s="176">
        <f>IF(AND(Input_Product=Elig!$C342,Elig_MatchAll_Ct&lt;22,$BC342=(Elig_MatchAll_Ct-1),BA342=0),AE342,0)</f>
        <v>0</v>
      </c>
    </row>
    <row r="343" spans="1:88" ht="10.15" customHeight="1" x14ac:dyDescent="0.25">
      <c r="A343" s="252" t="s">
        <v>76</v>
      </c>
      <c r="B343" s="252" t="s">
        <v>975</v>
      </c>
      <c r="C343" s="251" t="str">
        <f t="shared" si="116"/>
        <v>NonQM NOO</v>
      </c>
      <c r="D343" s="252" t="s">
        <v>1995</v>
      </c>
      <c r="E343" s="252" t="s">
        <v>166</v>
      </c>
      <c r="F343" s="252" t="s">
        <v>329</v>
      </c>
      <c r="G343" s="252" t="s">
        <v>304</v>
      </c>
      <c r="H343" s="252" t="s">
        <v>135</v>
      </c>
      <c r="I343" s="253" t="s">
        <v>273</v>
      </c>
      <c r="J343" s="253" t="s">
        <v>1130</v>
      </c>
      <c r="K343" s="253" t="s">
        <v>1398</v>
      </c>
      <c r="L343" s="252" t="s">
        <v>311</v>
      </c>
      <c r="M343" s="252" t="s">
        <v>2289</v>
      </c>
      <c r="N343" s="252" t="s">
        <v>1844</v>
      </c>
      <c r="O343" s="252" t="s">
        <v>309</v>
      </c>
      <c r="P343" s="252" t="s">
        <v>2434</v>
      </c>
      <c r="Q343" s="252" t="s">
        <v>293</v>
      </c>
      <c r="R343" s="252">
        <v>1000000.01</v>
      </c>
      <c r="S343" s="252">
        <v>1500000</v>
      </c>
      <c r="T343" s="252">
        <v>0</v>
      </c>
      <c r="U343" s="252">
        <v>0</v>
      </c>
      <c r="V343" s="252">
        <v>0</v>
      </c>
      <c r="W343" s="252">
        <v>55</v>
      </c>
      <c r="X343" s="252">
        <v>0</v>
      </c>
      <c r="Y343" s="252">
        <v>999</v>
      </c>
      <c r="Z343" s="254">
        <v>680</v>
      </c>
      <c r="AA343" s="254">
        <v>699</v>
      </c>
      <c r="AB343" s="1883">
        <v>0</v>
      </c>
      <c r="AC343" s="254">
        <v>999999</v>
      </c>
      <c r="AD343" s="252">
        <v>0</v>
      </c>
      <c r="AE343" s="255">
        <v>70</v>
      </c>
      <c r="AF343" s="144">
        <v>0</v>
      </c>
      <c r="AG343" s="145">
        <v>1</v>
      </c>
      <c r="AH343" s="145">
        <v>1</v>
      </c>
      <c r="AI343" s="145">
        <v>1</v>
      </c>
      <c r="AJ343" s="145">
        <v>0</v>
      </c>
      <c r="AK343" s="145">
        <v>1</v>
      </c>
      <c r="AL343" s="145">
        <v>1</v>
      </c>
      <c r="AM343" s="145">
        <v>1</v>
      </c>
      <c r="AN343" s="145">
        <v>1</v>
      </c>
      <c r="AO343" s="145">
        <v>1</v>
      </c>
      <c r="AP343" s="145">
        <v>1</v>
      </c>
      <c r="AQ343" s="145">
        <v>1</v>
      </c>
      <c r="AR343" s="145">
        <v>1</v>
      </c>
      <c r="AS343" s="145">
        <v>1</v>
      </c>
      <c r="AT343" s="145">
        <v>1</v>
      </c>
      <c r="AU343" s="145">
        <f t="shared" si="125"/>
        <v>0</v>
      </c>
      <c r="AV343" s="145">
        <f t="shared" si="126"/>
        <v>1</v>
      </c>
      <c r="AW343" s="145">
        <f t="shared" si="127"/>
        <v>1</v>
      </c>
      <c r="AX343" s="145">
        <f t="shared" si="110"/>
        <v>1</v>
      </c>
      <c r="AY343" s="145">
        <f t="shared" si="128"/>
        <v>0</v>
      </c>
      <c r="AZ343" s="145">
        <f t="shared" si="129"/>
        <v>1</v>
      </c>
      <c r="BA343" s="146">
        <f t="shared" si="130"/>
        <v>1</v>
      </c>
      <c r="BB343" s="149">
        <f t="shared" si="120"/>
        <v>18</v>
      </c>
      <c r="BC343" s="150">
        <f t="shared" si="121"/>
        <v>17</v>
      </c>
      <c r="BD343" s="150">
        <f t="shared" si="122"/>
        <v>18</v>
      </c>
      <c r="BE343" s="211" t="str">
        <f t="shared" si="123"/>
        <v/>
      </c>
      <c r="BH343" s="173">
        <f>IF(AND(Input_Product=Elig!$C343,Elig_MatchAll_Ct&lt;22,$BC343=(Elig_MatchAll_Ct-1),AF343=0),C343,0)</f>
        <v>0</v>
      </c>
      <c r="BI343" s="173">
        <f>IF(AND(Input_Product=Elig!$C343,Elig_MatchAll_Ct&lt;22,$BC343=(Elig_MatchAll_Ct-1),AG343=0),D343,0)</f>
        <v>0</v>
      </c>
      <c r="BJ343" s="173">
        <f>IF(AND(Input_Product=Elig!$C343,Elig_MatchAll_Ct&lt;22,$BC343=(Elig_MatchAll_Ct-1),AH343=0),E343,0)</f>
        <v>0</v>
      </c>
      <c r="BK343" s="173">
        <f>IF(AND(Input_Product=Elig!$C343,Elig_MatchAll_Ct&lt;22,$BC343=(Elig_MatchAll_Ct-1),AI343=0),F343,0)</f>
        <v>0</v>
      </c>
      <c r="BL343" s="173">
        <f>IF(AND(Input_Product=Elig!$C343,Elig_MatchAll_Ct&lt;22,$BC343=(Elig_MatchAll_Ct-1),AJ343=0),G343,0)</f>
        <v>0</v>
      </c>
      <c r="BM343" s="173">
        <f>IF(AND(Input_Product=Elig!$C343,Elig_MatchAll_Ct&lt;22,$BC343=(Elig_MatchAll_Ct-1),AK343=0),H343,0)</f>
        <v>0</v>
      </c>
      <c r="BN343" s="173">
        <f>IF(AND(Input_Product=Elig!$C343,Elig_MatchAll_Ct&lt;22,$BC343=(Elig_MatchAll_Ct-1),AL343=0),I343,0)</f>
        <v>0</v>
      </c>
      <c r="BO343" s="173">
        <f>IF(AND(Input_Product=Elig!$C343,Elig_MatchAll_Ct&lt;22,$BC343=(Elig_MatchAll_Ct-1),AM343=0),J343,0)</f>
        <v>0</v>
      </c>
      <c r="BP343" s="173">
        <f>IF(AND(Input_Product=Elig!$C343,Elig_MatchAll_Ct&lt;22,$BC343=(Elig_MatchAll_Ct-1),AN343=0),K343,0)</f>
        <v>0</v>
      </c>
      <c r="BQ343" s="173">
        <f>IF(AND(Input_Product=Elig!$C343,Elig_MatchAll_Ct&lt;22,$BC343=(Elig_MatchAll_Ct-1),AP343=0),L343,0)</f>
        <v>0</v>
      </c>
      <c r="BR343" s="173">
        <f>IF(AND(Input_Product=Elig!$C343,Elig_MatchAll_Ct&lt;22,$BC343=(Elig_MatchAll_Ct-1),AO343=0),M343,0)</f>
        <v>0</v>
      </c>
      <c r="BS343" s="173">
        <f>IF(AND(Input_Product=Elig!$C343,Elig_MatchAll_Ct&lt;22,$BC343=(Elig_MatchAll_Ct-1),AQ343=0),N343,0)</f>
        <v>0</v>
      </c>
      <c r="BT343" s="173">
        <f>IF(AND(Input_Product=Elig!$C343,Elig_MatchAll_Ct&lt;22,$BC343=(Elig_MatchAll_Ct-1),AR343=0),O343,0)</f>
        <v>0</v>
      </c>
      <c r="BU343" s="173">
        <f>IF(AND(Input_Product=Elig!$C343,Elig_MatchAll_Ct&lt;22,$BC343=(Elig_MatchAll_Ct-1),AS343=0),P343,0)</f>
        <v>0</v>
      </c>
      <c r="BV343" s="174">
        <f>IF(AND(Input_Product=Elig!$C343,Elig_MatchAll_Ct&lt;22,$BC343=(Elig_MatchAll_Ct-1),AT343=0),Q343,0)</f>
        <v>0</v>
      </c>
      <c r="BW343" s="175">
        <f>IF(AND(Input_Product=Elig!$C343,Elig_MatchAll_Ct&lt;22,$BC343=(Elig_MatchAll_Ct-1),AU343=0),R343,0)</f>
        <v>0</v>
      </c>
      <c r="BX343" s="176">
        <f>IF(AND(Input_Product=Elig!$C343,Elig_MatchAll_Ct&lt;22,$BC343=(Elig_MatchAll_Ct-1),AU343=0),S343,0)</f>
        <v>0</v>
      </c>
      <c r="BY343" s="175">
        <f>IF(AND(Input_Product=Elig!$C343,Elig_MatchAll_Ct&lt;22,$BC343=(Elig_MatchAll_Ct-1),AV343=0),T343,0)</f>
        <v>0</v>
      </c>
      <c r="BZ343" s="176">
        <f>IF(AND(Input_Product=Elig!$C343,Elig_MatchAll_Ct&lt;22,$BC343=(Elig_MatchAll_Ct-1),AV343=0),U343,0)</f>
        <v>0</v>
      </c>
      <c r="CA343" s="175">
        <f>IF(AND(Input_Product=Elig!$C343,Elig_MatchAll_Ct&lt;22,$BC343=(Elig_MatchAll_Ct-1),AW343=0),V343,0)</f>
        <v>0</v>
      </c>
      <c r="CB343" s="176">
        <f>IF(AND(Input_Product=Elig!$C343,Elig_MatchAll_Ct&lt;22,$BC343=(Elig_MatchAll_Ct-1),AW343=0),W343,0)</f>
        <v>0</v>
      </c>
      <c r="CC343" s="175">
        <f>IF(AND(Input_Product=Elig!$C343,Elig_MatchAll_Ct&lt;22,$BC343=(Elig_MatchAll_Ct-1),AX343=0),X343,0)</f>
        <v>0</v>
      </c>
      <c r="CD343" s="176">
        <f>IF(AND(Input_Product=Elig!$C343,Elig_MatchAll_Ct&lt;22,$BC343=(Elig_MatchAll_Ct-1),AX343=0),Y343,0)</f>
        <v>0</v>
      </c>
      <c r="CE343" s="175">
        <f>IF(AND(Input_LTV&lt;=AE343,Input_Product=Elig!$C343,Elig_MatchAll_Ct&lt;22,$BC343=(Elig_MatchAll_Ct-1),AY343=0),Z343,0)</f>
        <v>0</v>
      </c>
      <c r="CF343" s="176">
        <f>IF(AND(Input_LTV&lt;=AE343,Input_Product=Elig!$C343,Elig_MatchAll_Ct&lt;22,$BC343=(Elig_MatchAll_Ct-1),AY343=0),AA343,0)</f>
        <v>0</v>
      </c>
      <c r="CG343" s="175">
        <f>IF(AND(Input_Product=Elig!$C343,Elig_MatchAll_Ct&lt;22,$BC343=(Elig_MatchAll_Ct-1),AZ343=0),AB343,0)</f>
        <v>0</v>
      </c>
      <c r="CH343" s="176">
        <f>IF(AND(Input_Product=Elig!$C343,Elig_MatchAll_Ct&lt;22,$BC343=(Elig_MatchAll_Ct-1),AZ343=0),AC343,0)</f>
        <v>0</v>
      </c>
      <c r="CI343" s="175">
        <f>IF(AND(Input_Product=Elig!$C343,Elig_MatchAll_Ct&lt;22,$BC343=(Elig_MatchAll_Ct-1),BA343=0),AD343,0)</f>
        <v>0</v>
      </c>
      <c r="CJ343" s="176">
        <f>IF(AND(Input_Product=Elig!$C343,Elig_MatchAll_Ct&lt;22,$BC343=(Elig_MatchAll_Ct-1),BA343=0),AE343,0)</f>
        <v>0</v>
      </c>
    </row>
    <row r="344" spans="1:88" ht="10.15" customHeight="1" x14ac:dyDescent="0.25">
      <c r="A344" s="252" t="s">
        <v>76</v>
      </c>
      <c r="B344" s="252" t="s">
        <v>976</v>
      </c>
      <c r="C344" s="251" t="str">
        <f t="shared" si="116"/>
        <v>NonQM NOO</v>
      </c>
      <c r="D344" s="252" t="s">
        <v>1995</v>
      </c>
      <c r="E344" s="252" t="s">
        <v>166</v>
      </c>
      <c r="F344" s="252" t="s">
        <v>329</v>
      </c>
      <c r="G344" s="252" t="s">
        <v>304</v>
      </c>
      <c r="H344" s="252" t="s">
        <v>135</v>
      </c>
      <c r="I344" s="253" t="s">
        <v>273</v>
      </c>
      <c r="J344" s="253" t="s">
        <v>1130</v>
      </c>
      <c r="K344" s="253" t="s">
        <v>1398</v>
      </c>
      <c r="L344" s="252" t="s">
        <v>311</v>
      </c>
      <c r="M344" s="252" t="s">
        <v>2289</v>
      </c>
      <c r="N344" s="252" t="s">
        <v>1844</v>
      </c>
      <c r="O344" s="252" t="s">
        <v>309</v>
      </c>
      <c r="P344" s="252" t="s">
        <v>2434</v>
      </c>
      <c r="Q344" s="252" t="s">
        <v>293</v>
      </c>
      <c r="R344" s="252">
        <v>1000000.01</v>
      </c>
      <c r="S344" s="252">
        <v>1500000</v>
      </c>
      <c r="T344" s="252">
        <v>0</v>
      </c>
      <c r="U344" s="252">
        <v>0</v>
      </c>
      <c r="V344" s="252">
        <v>0</v>
      </c>
      <c r="W344" s="252">
        <v>50</v>
      </c>
      <c r="X344" s="252">
        <v>0</v>
      </c>
      <c r="Y344" s="252">
        <v>999</v>
      </c>
      <c r="Z344" s="254">
        <v>660</v>
      </c>
      <c r="AA344" s="254">
        <v>679</v>
      </c>
      <c r="AB344" s="1883">
        <v>0</v>
      </c>
      <c r="AC344" s="254">
        <v>999999</v>
      </c>
      <c r="AD344" s="252">
        <v>0</v>
      </c>
      <c r="AE344" s="255">
        <v>70</v>
      </c>
      <c r="AF344" s="144">
        <v>0</v>
      </c>
      <c r="AG344" s="145">
        <v>1</v>
      </c>
      <c r="AH344" s="145">
        <v>1</v>
      </c>
      <c r="AI344" s="145">
        <v>1</v>
      </c>
      <c r="AJ344" s="145">
        <v>0</v>
      </c>
      <c r="AK344" s="145">
        <v>1</v>
      </c>
      <c r="AL344" s="145">
        <v>1</v>
      </c>
      <c r="AM344" s="145">
        <v>1</v>
      </c>
      <c r="AN344" s="145">
        <v>1</v>
      </c>
      <c r="AO344" s="145">
        <v>1</v>
      </c>
      <c r="AP344" s="145">
        <v>1</v>
      </c>
      <c r="AQ344" s="145">
        <v>1</v>
      </c>
      <c r="AR344" s="145">
        <v>1</v>
      </c>
      <c r="AS344" s="145">
        <v>1</v>
      </c>
      <c r="AT344" s="145">
        <v>1</v>
      </c>
      <c r="AU344" s="145">
        <f t="shared" si="125"/>
        <v>0</v>
      </c>
      <c r="AV344" s="145">
        <f t="shared" si="126"/>
        <v>1</v>
      </c>
      <c r="AW344" s="145">
        <f t="shared" si="127"/>
        <v>1</v>
      </c>
      <c r="AX344" s="145">
        <f t="shared" si="110"/>
        <v>1</v>
      </c>
      <c r="AY344" s="145">
        <f t="shared" si="128"/>
        <v>0</v>
      </c>
      <c r="AZ344" s="145">
        <f t="shared" si="129"/>
        <v>1</v>
      </c>
      <c r="BA344" s="146">
        <f t="shared" si="130"/>
        <v>1</v>
      </c>
      <c r="BB344" s="149">
        <f t="shared" si="120"/>
        <v>18</v>
      </c>
      <c r="BC344" s="150">
        <f t="shared" si="121"/>
        <v>17</v>
      </c>
      <c r="BD344" s="150">
        <f t="shared" si="122"/>
        <v>18</v>
      </c>
      <c r="BE344" s="211" t="str">
        <f t="shared" si="123"/>
        <v/>
      </c>
      <c r="BH344" s="173">
        <f>IF(AND(Input_Product=Elig!$C344,Elig_MatchAll_Ct&lt;22,$BC344=(Elig_MatchAll_Ct-1),AF344=0),C344,0)</f>
        <v>0</v>
      </c>
      <c r="BI344" s="173">
        <f>IF(AND(Input_Product=Elig!$C344,Elig_MatchAll_Ct&lt;22,$BC344=(Elig_MatchAll_Ct-1),AG344=0),D344,0)</f>
        <v>0</v>
      </c>
      <c r="BJ344" s="173">
        <f>IF(AND(Input_Product=Elig!$C344,Elig_MatchAll_Ct&lt;22,$BC344=(Elig_MatchAll_Ct-1),AH344=0),E344,0)</f>
        <v>0</v>
      </c>
      <c r="BK344" s="173">
        <f>IF(AND(Input_Product=Elig!$C344,Elig_MatchAll_Ct&lt;22,$BC344=(Elig_MatchAll_Ct-1),AI344=0),F344,0)</f>
        <v>0</v>
      </c>
      <c r="BL344" s="173">
        <f>IF(AND(Input_Product=Elig!$C344,Elig_MatchAll_Ct&lt;22,$BC344=(Elig_MatchAll_Ct-1),AJ344=0),G344,0)</f>
        <v>0</v>
      </c>
      <c r="BM344" s="173">
        <f>IF(AND(Input_Product=Elig!$C344,Elig_MatchAll_Ct&lt;22,$BC344=(Elig_MatchAll_Ct-1),AK344=0),H344,0)</f>
        <v>0</v>
      </c>
      <c r="BN344" s="173">
        <f>IF(AND(Input_Product=Elig!$C344,Elig_MatchAll_Ct&lt;22,$BC344=(Elig_MatchAll_Ct-1),AL344=0),I344,0)</f>
        <v>0</v>
      </c>
      <c r="BO344" s="173">
        <f>IF(AND(Input_Product=Elig!$C344,Elig_MatchAll_Ct&lt;22,$BC344=(Elig_MatchAll_Ct-1),AM344=0),J344,0)</f>
        <v>0</v>
      </c>
      <c r="BP344" s="173">
        <f>IF(AND(Input_Product=Elig!$C344,Elig_MatchAll_Ct&lt;22,$BC344=(Elig_MatchAll_Ct-1),AN344=0),K344,0)</f>
        <v>0</v>
      </c>
      <c r="BQ344" s="173">
        <f>IF(AND(Input_Product=Elig!$C344,Elig_MatchAll_Ct&lt;22,$BC344=(Elig_MatchAll_Ct-1),AP344=0),L344,0)</f>
        <v>0</v>
      </c>
      <c r="BR344" s="173">
        <f>IF(AND(Input_Product=Elig!$C344,Elig_MatchAll_Ct&lt;22,$BC344=(Elig_MatchAll_Ct-1),AO344=0),M344,0)</f>
        <v>0</v>
      </c>
      <c r="BS344" s="173">
        <f>IF(AND(Input_Product=Elig!$C344,Elig_MatchAll_Ct&lt;22,$BC344=(Elig_MatchAll_Ct-1),AQ344=0),N344,0)</f>
        <v>0</v>
      </c>
      <c r="BT344" s="173">
        <f>IF(AND(Input_Product=Elig!$C344,Elig_MatchAll_Ct&lt;22,$BC344=(Elig_MatchAll_Ct-1),AR344=0),O344,0)</f>
        <v>0</v>
      </c>
      <c r="BU344" s="173">
        <f>IF(AND(Input_Product=Elig!$C344,Elig_MatchAll_Ct&lt;22,$BC344=(Elig_MatchAll_Ct-1),AS344=0),P344,0)</f>
        <v>0</v>
      </c>
      <c r="BV344" s="174">
        <f>IF(AND(Input_Product=Elig!$C344,Elig_MatchAll_Ct&lt;22,$BC344=(Elig_MatchAll_Ct-1),AT344=0),Q344,0)</f>
        <v>0</v>
      </c>
      <c r="BW344" s="175">
        <f>IF(AND(Input_Product=Elig!$C344,Elig_MatchAll_Ct&lt;22,$BC344=(Elig_MatchAll_Ct-1),AU344=0),R344,0)</f>
        <v>0</v>
      </c>
      <c r="BX344" s="176">
        <f>IF(AND(Input_Product=Elig!$C344,Elig_MatchAll_Ct&lt;22,$BC344=(Elig_MatchAll_Ct-1),AU344=0),S344,0)</f>
        <v>0</v>
      </c>
      <c r="BY344" s="175">
        <f>IF(AND(Input_Product=Elig!$C344,Elig_MatchAll_Ct&lt;22,$BC344=(Elig_MatchAll_Ct-1),AV344=0),T344,0)</f>
        <v>0</v>
      </c>
      <c r="BZ344" s="176">
        <f>IF(AND(Input_Product=Elig!$C344,Elig_MatchAll_Ct&lt;22,$BC344=(Elig_MatchAll_Ct-1),AV344=0),U344,0)</f>
        <v>0</v>
      </c>
      <c r="CA344" s="175">
        <f>IF(AND(Input_Product=Elig!$C344,Elig_MatchAll_Ct&lt;22,$BC344=(Elig_MatchAll_Ct-1),AW344=0),V344,0)</f>
        <v>0</v>
      </c>
      <c r="CB344" s="176">
        <f>IF(AND(Input_Product=Elig!$C344,Elig_MatchAll_Ct&lt;22,$BC344=(Elig_MatchAll_Ct-1),AW344=0),W344,0)</f>
        <v>0</v>
      </c>
      <c r="CC344" s="175">
        <f>IF(AND(Input_Product=Elig!$C344,Elig_MatchAll_Ct&lt;22,$BC344=(Elig_MatchAll_Ct-1),AX344=0),X344,0)</f>
        <v>0</v>
      </c>
      <c r="CD344" s="176">
        <f>IF(AND(Input_Product=Elig!$C344,Elig_MatchAll_Ct&lt;22,$BC344=(Elig_MatchAll_Ct-1),AX344=0),Y344,0)</f>
        <v>0</v>
      </c>
      <c r="CE344" s="175">
        <f>IF(AND(Input_LTV&lt;=AE344,Input_Product=Elig!$C344,Elig_MatchAll_Ct&lt;22,$BC344=(Elig_MatchAll_Ct-1),AY344=0),Z344,0)</f>
        <v>0</v>
      </c>
      <c r="CF344" s="176">
        <f>IF(AND(Input_LTV&lt;=AE344,Input_Product=Elig!$C344,Elig_MatchAll_Ct&lt;22,$BC344=(Elig_MatchAll_Ct-1),AY344=0),AA344,0)</f>
        <v>0</v>
      </c>
      <c r="CG344" s="175">
        <f>IF(AND(Input_Product=Elig!$C344,Elig_MatchAll_Ct&lt;22,$BC344=(Elig_MatchAll_Ct-1),AZ344=0),AB344,0)</f>
        <v>0</v>
      </c>
      <c r="CH344" s="176">
        <f>IF(AND(Input_Product=Elig!$C344,Elig_MatchAll_Ct&lt;22,$BC344=(Elig_MatchAll_Ct-1),AZ344=0),AC344,0)</f>
        <v>0</v>
      </c>
      <c r="CI344" s="175">
        <f>IF(AND(Input_Product=Elig!$C344,Elig_MatchAll_Ct&lt;22,$BC344=(Elig_MatchAll_Ct-1),BA344=0),AD344,0)</f>
        <v>0</v>
      </c>
      <c r="CJ344" s="176">
        <f>IF(AND(Input_Product=Elig!$C344,Elig_MatchAll_Ct&lt;22,$BC344=(Elig_MatchAll_Ct-1),BA344=0),AE344,0)</f>
        <v>0</v>
      </c>
    </row>
    <row r="345" spans="1:88" ht="10.15" customHeight="1" x14ac:dyDescent="0.25">
      <c r="A345" s="252" t="s">
        <v>76</v>
      </c>
      <c r="B345" s="252" t="s">
        <v>977</v>
      </c>
      <c r="C345" s="246" t="str">
        <f t="shared" si="116"/>
        <v>NonQM NOO</v>
      </c>
      <c r="D345" s="247" t="s">
        <v>1995</v>
      </c>
      <c r="E345" s="248" t="s">
        <v>166</v>
      </c>
      <c r="F345" s="248" t="s">
        <v>329</v>
      </c>
      <c r="G345" s="248" t="s">
        <v>304</v>
      </c>
      <c r="H345" s="248" t="s">
        <v>135</v>
      </c>
      <c r="I345" s="247" t="s">
        <v>16</v>
      </c>
      <c r="J345" s="247" t="s">
        <v>1130</v>
      </c>
      <c r="K345" s="247" t="s">
        <v>1398</v>
      </c>
      <c r="L345" s="248" t="s">
        <v>311</v>
      </c>
      <c r="M345" s="248" t="s">
        <v>2289</v>
      </c>
      <c r="N345" s="248" t="s">
        <v>1844</v>
      </c>
      <c r="O345" s="248" t="s">
        <v>309</v>
      </c>
      <c r="P345" s="248" t="s">
        <v>2434</v>
      </c>
      <c r="Q345" s="248" t="s">
        <v>293</v>
      </c>
      <c r="R345" s="247">
        <v>1000000.01</v>
      </c>
      <c r="S345" s="247">
        <v>1500000</v>
      </c>
      <c r="T345" s="247">
        <v>0</v>
      </c>
      <c r="U345" s="247">
        <f t="shared" ref="U345:U348" si="131">S345</f>
        <v>1500000</v>
      </c>
      <c r="V345" s="247">
        <v>0</v>
      </c>
      <c r="W345" s="247">
        <v>55</v>
      </c>
      <c r="X345" s="247">
        <v>0</v>
      </c>
      <c r="Y345" s="247">
        <v>999</v>
      </c>
      <c r="Z345" s="249">
        <v>720</v>
      </c>
      <c r="AA345" s="249">
        <v>999</v>
      </c>
      <c r="AB345" s="1882">
        <v>0</v>
      </c>
      <c r="AC345" s="249">
        <v>999999</v>
      </c>
      <c r="AD345" s="247">
        <v>0</v>
      </c>
      <c r="AE345" s="250">
        <v>70</v>
      </c>
      <c r="AF345" s="144">
        <v>0</v>
      </c>
      <c r="AG345" s="145">
        <v>1</v>
      </c>
      <c r="AH345" s="145">
        <v>1</v>
      </c>
      <c r="AI345" s="145">
        <v>1</v>
      </c>
      <c r="AJ345" s="145">
        <v>0</v>
      </c>
      <c r="AK345" s="145">
        <v>1</v>
      </c>
      <c r="AL345" s="145">
        <v>0</v>
      </c>
      <c r="AM345" s="145">
        <v>1</v>
      </c>
      <c r="AN345" s="145">
        <v>1</v>
      </c>
      <c r="AO345" s="145">
        <v>1</v>
      </c>
      <c r="AP345" s="145">
        <v>1</v>
      </c>
      <c r="AQ345" s="145">
        <v>1</v>
      </c>
      <c r="AR345" s="145">
        <v>1</v>
      </c>
      <c r="AS345" s="145">
        <v>1</v>
      </c>
      <c r="AT345" s="145">
        <v>1</v>
      </c>
      <c r="AU345" s="145">
        <f t="shared" si="125"/>
        <v>0</v>
      </c>
      <c r="AV345" s="145">
        <f t="shared" si="126"/>
        <v>1</v>
      </c>
      <c r="AW345" s="145">
        <f t="shared" si="127"/>
        <v>1</v>
      </c>
      <c r="AX345" s="145">
        <f t="shared" si="110"/>
        <v>1</v>
      </c>
      <c r="AY345" s="145">
        <f t="shared" si="128"/>
        <v>1</v>
      </c>
      <c r="AZ345" s="145">
        <f t="shared" si="129"/>
        <v>1</v>
      </c>
      <c r="BA345" s="146">
        <f t="shared" si="130"/>
        <v>1</v>
      </c>
      <c r="BB345" s="149">
        <f t="shared" si="120"/>
        <v>18</v>
      </c>
      <c r="BC345" s="150">
        <f t="shared" si="121"/>
        <v>17</v>
      </c>
      <c r="BD345" s="150">
        <f t="shared" si="122"/>
        <v>18</v>
      </c>
      <c r="BE345" s="211" t="str">
        <f t="shared" si="123"/>
        <v/>
      </c>
      <c r="BH345" s="190">
        <f>IF(AND(Input_Product=Elig!$C345,Elig_MatchAll_Ct&lt;22,$BC345=(Elig_MatchAll_Ct-1),AF345=0),C345,0)</f>
        <v>0</v>
      </c>
      <c r="BI345" s="190">
        <f>IF(AND(Input_Product=Elig!$C345,Elig_MatchAll_Ct&lt;22,$BC345=(Elig_MatchAll_Ct-1),AG345=0),D345,0)</f>
        <v>0</v>
      </c>
      <c r="BJ345" s="190">
        <f>IF(AND(Input_Product=Elig!$C345,Elig_MatchAll_Ct&lt;22,$BC345=(Elig_MatchAll_Ct-1),AH345=0),E345,0)</f>
        <v>0</v>
      </c>
      <c r="BK345" s="190">
        <f>IF(AND(Input_Product=Elig!$C345,Elig_MatchAll_Ct&lt;22,$BC345=(Elig_MatchAll_Ct-1),AI345=0),F345,0)</f>
        <v>0</v>
      </c>
      <c r="BL345" s="190">
        <f>IF(AND(Input_Product=Elig!$C345,Elig_MatchAll_Ct&lt;22,$BC345=(Elig_MatchAll_Ct-1),AJ345=0),G345,0)</f>
        <v>0</v>
      </c>
      <c r="BM345" s="190">
        <f>IF(AND(Input_Product=Elig!$C345,Elig_MatchAll_Ct&lt;22,$BC345=(Elig_MatchAll_Ct-1),AK345=0),H345,0)</f>
        <v>0</v>
      </c>
      <c r="BN345" s="190">
        <f>IF(AND(Input_Product=Elig!$C345,Elig_MatchAll_Ct&lt;22,$BC345=(Elig_MatchAll_Ct-1),AL345=0),I345,0)</f>
        <v>0</v>
      </c>
      <c r="BO345" s="190">
        <f>IF(AND(Input_Product=Elig!$C345,Elig_MatchAll_Ct&lt;22,$BC345=(Elig_MatchAll_Ct-1),AM345=0),J345,0)</f>
        <v>0</v>
      </c>
      <c r="BP345" s="190">
        <f>IF(AND(Input_Product=Elig!$C345,Elig_MatchAll_Ct&lt;22,$BC345=(Elig_MatchAll_Ct-1),AN345=0),K345,0)</f>
        <v>0</v>
      </c>
      <c r="BQ345" s="190">
        <f>IF(AND(Input_Product=Elig!$C345,Elig_MatchAll_Ct&lt;22,$BC345=(Elig_MatchAll_Ct-1),AP345=0),L345,0)</f>
        <v>0</v>
      </c>
      <c r="BR345" s="190">
        <f>IF(AND(Input_Product=Elig!$C345,Elig_MatchAll_Ct&lt;22,$BC345=(Elig_MatchAll_Ct-1),AO345=0),M345,0)</f>
        <v>0</v>
      </c>
      <c r="BS345" s="190">
        <f>IF(AND(Input_Product=Elig!$C345,Elig_MatchAll_Ct&lt;22,$BC345=(Elig_MatchAll_Ct-1),AQ345=0),N345,0)</f>
        <v>0</v>
      </c>
      <c r="BT345" s="190">
        <f>IF(AND(Input_Product=Elig!$C345,Elig_MatchAll_Ct&lt;22,$BC345=(Elig_MatchAll_Ct-1),AR345=0),O345,0)</f>
        <v>0</v>
      </c>
      <c r="BU345" s="190">
        <f>IF(AND(Input_Product=Elig!$C345,Elig_MatchAll_Ct&lt;22,$BC345=(Elig_MatchAll_Ct-1),AS345=0),P345,0)</f>
        <v>0</v>
      </c>
      <c r="BV345" s="191">
        <f>IF(AND(Input_Product=Elig!$C345,Elig_MatchAll_Ct&lt;22,$BC345=(Elig_MatchAll_Ct-1),AT345=0),Q345,0)</f>
        <v>0</v>
      </c>
      <c r="BW345" s="192">
        <f>IF(AND(Input_Product=Elig!$C345,Elig_MatchAll_Ct&lt;22,$BC345=(Elig_MatchAll_Ct-1),AU345=0),R345,0)</f>
        <v>0</v>
      </c>
      <c r="BX345" s="193">
        <f>IF(AND(Input_Product=Elig!$C345,Elig_MatchAll_Ct&lt;22,$BC345=(Elig_MatchAll_Ct-1),AU345=0),S345,0)</f>
        <v>0</v>
      </c>
      <c r="BY345" s="192">
        <f>IF(AND(Input_Product=Elig!$C345,Elig_MatchAll_Ct&lt;22,$BC345=(Elig_MatchAll_Ct-1),AV345=0),T345,0)</f>
        <v>0</v>
      </c>
      <c r="BZ345" s="193">
        <f>IF(AND(Input_Product=Elig!$C345,Elig_MatchAll_Ct&lt;22,$BC345=(Elig_MatchAll_Ct-1),AV345=0),U345,0)</f>
        <v>0</v>
      </c>
      <c r="CA345" s="192">
        <f>IF(AND(Input_Product=Elig!$C345,Elig_MatchAll_Ct&lt;22,$BC345=(Elig_MatchAll_Ct-1),AW345=0),V345,0)</f>
        <v>0</v>
      </c>
      <c r="CB345" s="193">
        <f>IF(AND(Input_Product=Elig!$C345,Elig_MatchAll_Ct&lt;22,$BC345=(Elig_MatchAll_Ct-1),AW345=0),W345,0)</f>
        <v>0</v>
      </c>
      <c r="CC345" s="192">
        <f>IF(AND(Input_Product=Elig!$C345,Elig_MatchAll_Ct&lt;22,$BC345=(Elig_MatchAll_Ct-1),AX345=0),X345,0)</f>
        <v>0</v>
      </c>
      <c r="CD345" s="193">
        <f>IF(AND(Input_Product=Elig!$C345,Elig_MatchAll_Ct&lt;22,$BC345=(Elig_MatchAll_Ct-1),AX345=0),Y345,0)</f>
        <v>0</v>
      </c>
      <c r="CE345" s="192">
        <f>IF(AND(Input_LTV&lt;=AE345,Input_Product=Elig!$C345,Elig_MatchAll_Ct&lt;22,$BC345=(Elig_MatchAll_Ct-1),AY345=0),Z345,0)</f>
        <v>0</v>
      </c>
      <c r="CF345" s="193">
        <f>IF(AND(Input_LTV&lt;=AE345,Input_Product=Elig!$C345,Elig_MatchAll_Ct&lt;22,$BC345=(Elig_MatchAll_Ct-1),AY345=0),AA345,0)</f>
        <v>0</v>
      </c>
      <c r="CG345" s="192">
        <f>IF(AND(Input_Product=Elig!$C345,Elig_MatchAll_Ct&lt;22,$BC345=(Elig_MatchAll_Ct-1),AZ345=0),AB345,0)</f>
        <v>0</v>
      </c>
      <c r="CH345" s="193">
        <f>IF(AND(Input_Product=Elig!$C345,Elig_MatchAll_Ct&lt;22,$BC345=(Elig_MatchAll_Ct-1),AZ345=0),AC345,0)</f>
        <v>0</v>
      </c>
      <c r="CI345" s="192">
        <f>IF(AND(Input_Product=Elig!$C345,Elig_MatchAll_Ct&lt;22,$BC345=(Elig_MatchAll_Ct-1),BA345=0),AD345,0)</f>
        <v>0</v>
      </c>
      <c r="CJ345" s="193">
        <f>IF(AND(Input_Product=Elig!$C345,Elig_MatchAll_Ct&lt;22,$BC345=(Elig_MatchAll_Ct-1),BA345=0),AE345,0)</f>
        <v>0</v>
      </c>
    </row>
    <row r="346" spans="1:88" ht="10.15" customHeight="1" x14ac:dyDescent="0.25">
      <c r="A346" s="252" t="s">
        <v>76</v>
      </c>
      <c r="B346" s="252" t="s">
        <v>978</v>
      </c>
      <c r="C346" s="251" t="str">
        <f t="shared" si="116"/>
        <v>NonQM NOO</v>
      </c>
      <c r="D346" s="252" t="s">
        <v>1995</v>
      </c>
      <c r="E346" s="252" t="s">
        <v>166</v>
      </c>
      <c r="F346" s="252" t="s">
        <v>329</v>
      </c>
      <c r="G346" s="252" t="s">
        <v>304</v>
      </c>
      <c r="H346" s="252" t="s">
        <v>135</v>
      </c>
      <c r="I346" s="253" t="s">
        <v>16</v>
      </c>
      <c r="J346" s="253" t="s">
        <v>1130</v>
      </c>
      <c r="K346" s="253" t="s">
        <v>1398</v>
      </c>
      <c r="L346" s="252" t="s">
        <v>311</v>
      </c>
      <c r="M346" s="252" t="s">
        <v>2289</v>
      </c>
      <c r="N346" s="252" t="s">
        <v>1844</v>
      </c>
      <c r="O346" s="252" t="s">
        <v>309</v>
      </c>
      <c r="P346" s="252" t="s">
        <v>2434</v>
      </c>
      <c r="Q346" s="252" t="s">
        <v>293</v>
      </c>
      <c r="R346" s="252">
        <v>1000000.01</v>
      </c>
      <c r="S346" s="252">
        <v>1500000</v>
      </c>
      <c r="T346" s="252">
        <v>0</v>
      </c>
      <c r="U346" s="252">
        <f t="shared" si="131"/>
        <v>1500000</v>
      </c>
      <c r="V346" s="252">
        <v>0</v>
      </c>
      <c r="W346" s="252">
        <v>55</v>
      </c>
      <c r="X346" s="252">
        <v>0</v>
      </c>
      <c r="Y346" s="252">
        <v>999</v>
      </c>
      <c r="Z346" s="254">
        <v>700</v>
      </c>
      <c r="AA346" s="254">
        <v>719</v>
      </c>
      <c r="AB346" s="1883">
        <v>0</v>
      </c>
      <c r="AC346" s="254">
        <v>999999</v>
      </c>
      <c r="AD346" s="252">
        <v>0</v>
      </c>
      <c r="AE346" s="255">
        <v>70</v>
      </c>
      <c r="AF346" s="144">
        <v>0</v>
      </c>
      <c r="AG346" s="145">
        <v>1</v>
      </c>
      <c r="AH346" s="145">
        <v>1</v>
      </c>
      <c r="AI346" s="145">
        <v>1</v>
      </c>
      <c r="AJ346" s="145">
        <v>0</v>
      </c>
      <c r="AK346" s="145">
        <v>1</v>
      </c>
      <c r="AL346" s="145">
        <v>0</v>
      </c>
      <c r="AM346" s="145">
        <v>1</v>
      </c>
      <c r="AN346" s="145">
        <v>1</v>
      </c>
      <c r="AO346" s="145">
        <v>1</v>
      </c>
      <c r="AP346" s="145">
        <v>1</v>
      </c>
      <c r="AQ346" s="145">
        <v>1</v>
      </c>
      <c r="AR346" s="145">
        <v>1</v>
      </c>
      <c r="AS346" s="145">
        <v>1</v>
      </c>
      <c r="AT346" s="145">
        <v>1</v>
      </c>
      <c r="AU346" s="145">
        <f t="shared" si="125"/>
        <v>0</v>
      </c>
      <c r="AV346" s="145">
        <f t="shared" si="126"/>
        <v>1</v>
      </c>
      <c r="AW346" s="145">
        <f t="shared" si="127"/>
        <v>1</v>
      </c>
      <c r="AX346" s="145">
        <f t="shared" si="110"/>
        <v>1</v>
      </c>
      <c r="AY346" s="145">
        <f t="shared" si="128"/>
        <v>0</v>
      </c>
      <c r="AZ346" s="145">
        <f t="shared" si="129"/>
        <v>1</v>
      </c>
      <c r="BA346" s="146">
        <f t="shared" si="130"/>
        <v>1</v>
      </c>
      <c r="BB346" s="149">
        <f t="shared" si="120"/>
        <v>17</v>
      </c>
      <c r="BC346" s="150">
        <f t="shared" si="121"/>
        <v>16</v>
      </c>
      <c r="BD346" s="150">
        <f t="shared" si="122"/>
        <v>17</v>
      </c>
      <c r="BE346" s="211" t="str">
        <f t="shared" si="123"/>
        <v/>
      </c>
      <c r="BH346" s="173">
        <f>IF(AND(Input_Product=Elig!$C346,Elig_MatchAll_Ct&lt;22,$BC346=(Elig_MatchAll_Ct-1),AF346=0),C346,0)</f>
        <v>0</v>
      </c>
      <c r="BI346" s="173">
        <f>IF(AND(Input_Product=Elig!$C346,Elig_MatchAll_Ct&lt;22,$BC346=(Elig_MatchAll_Ct-1),AG346=0),D346,0)</f>
        <v>0</v>
      </c>
      <c r="BJ346" s="173">
        <f>IF(AND(Input_Product=Elig!$C346,Elig_MatchAll_Ct&lt;22,$BC346=(Elig_MatchAll_Ct-1),AH346=0),E346,0)</f>
        <v>0</v>
      </c>
      <c r="BK346" s="173">
        <f>IF(AND(Input_Product=Elig!$C346,Elig_MatchAll_Ct&lt;22,$BC346=(Elig_MatchAll_Ct-1),AI346=0),F346,0)</f>
        <v>0</v>
      </c>
      <c r="BL346" s="173">
        <f>IF(AND(Input_Product=Elig!$C346,Elig_MatchAll_Ct&lt;22,$BC346=(Elig_MatchAll_Ct-1),AJ346=0),G346,0)</f>
        <v>0</v>
      </c>
      <c r="BM346" s="173">
        <f>IF(AND(Input_Product=Elig!$C346,Elig_MatchAll_Ct&lt;22,$BC346=(Elig_MatchAll_Ct-1),AK346=0),H346,0)</f>
        <v>0</v>
      </c>
      <c r="BN346" s="173">
        <f>IF(AND(Input_Product=Elig!$C346,Elig_MatchAll_Ct&lt;22,$BC346=(Elig_MatchAll_Ct-1),AL346=0),I346,0)</f>
        <v>0</v>
      </c>
      <c r="BO346" s="173">
        <f>IF(AND(Input_Product=Elig!$C346,Elig_MatchAll_Ct&lt;22,$BC346=(Elig_MatchAll_Ct-1),AM346=0),J346,0)</f>
        <v>0</v>
      </c>
      <c r="BP346" s="173">
        <f>IF(AND(Input_Product=Elig!$C346,Elig_MatchAll_Ct&lt;22,$BC346=(Elig_MatchAll_Ct-1),AN346=0),K346,0)</f>
        <v>0</v>
      </c>
      <c r="BQ346" s="173">
        <f>IF(AND(Input_Product=Elig!$C346,Elig_MatchAll_Ct&lt;22,$BC346=(Elig_MatchAll_Ct-1),AP346=0),L346,0)</f>
        <v>0</v>
      </c>
      <c r="BR346" s="173">
        <f>IF(AND(Input_Product=Elig!$C346,Elig_MatchAll_Ct&lt;22,$BC346=(Elig_MatchAll_Ct-1),AO346=0),M346,0)</f>
        <v>0</v>
      </c>
      <c r="BS346" s="173">
        <f>IF(AND(Input_Product=Elig!$C346,Elig_MatchAll_Ct&lt;22,$BC346=(Elig_MatchAll_Ct-1),AQ346=0),N346,0)</f>
        <v>0</v>
      </c>
      <c r="BT346" s="173">
        <f>IF(AND(Input_Product=Elig!$C346,Elig_MatchAll_Ct&lt;22,$BC346=(Elig_MatchAll_Ct-1),AR346=0),O346,0)</f>
        <v>0</v>
      </c>
      <c r="BU346" s="173">
        <f>IF(AND(Input_Product=Elig!$C346,Elig_MatchAll_Ct&lt;22,$BC346=(Elig_MatchAll_Ct-1),AS346=0),P346,0)</f>
        <v>0</v>
      </c>
      <c r="BV346" s="174">
        <f>IF(AND(Input_Product=Elig!$C346,Elig_MatchAll_Ct&lt;22,$BC346=(Elig_MatchAll_Ct-1),AT346=0),Q346,0)</f>
        <v>0</v>
      </c>
      <c r="BW346" s="175">
        <f>IF(AND(Input_Product=Elig!$C346,Elig_MatchAll_Ct&lt;22,$BC346=(Elig_MatchAll_Ct-1),AU346=0),R346,0)</f>
        <v>0</v>
      </c>
      <c r="BX346" s="176">
        <f>IF(AND(Input_Product=Elig!$C346,Elig_MatchAll_Ct&lt;22,$BC346=(Elig_MatchAll_Ct-1),AU346=0),S346,0)</f>
        <v>0</v>
      </c>
      <c r="BY346" s="175">
        <f>IF(AND(Input_Product=Elig!$C346,Elig_MatchAll_Ct&lt;22,$BC346=(Elig_MatchAll_Ct-1),AV346=0),T346,0)</f>
        <v>0</v>
      </c>
      <c r="BZ346" s="176">
        <f>IF(AND(Input_Product=Elig!$C346,Elig_MatchAll_Ct&lt;22,$BC346=(Elig_MatchAll_Ct-1),AV346=0),U346,0)</f>
        <v>0</v>
      </c>
      <c r="CA346" s="175">
        <f>IF(AND(Input_Product=Elig!$C346,Elig_MatchAll_Ct&lt;22,$BC346=(Elig_MatchAll_Ct-1),AW346=0),V346,0)</f>
        <v>0</v>
      </c>
      <c r="CB346" s="176">
        <f>IF(AND(Input_Product=Elig!$C346,Elig_MatchAll_Ct&lt;22,$BC346=(Elig_MatchAll_Ct-1),AW346=0),W346,0)</f>
        <v>0</v>
      </c>
      <c r="CC346" s="175">
        <f>IF(AND(Input_Product=Elig!$C346,Elig_MatchAll_Ct&lt;22,$BC346=(Elig_MatchAll_Ct-1),AX346=0),X346,0)</f>
        <v>0</v>
      </c>
      <c r="CD346" s="176">
        <f>IF(AND(Input_Product=Elig!$C346,Elig_MatchAll_Ct&lt;22,$BC346=(Elig_MatchAll_Ct-1),AX346=0),Y346,0)</f>
        <v>0</v>
      </c>
      <c r="CE346" s="175">
        <f>IF(AND(Input_LTV&lt;=AE346,Input_Product=Elig!$C346,Elig_MatchAll_Ct&lt;22,$BC346=(Elig_MatchAll_Ct-1),AY346=0),Z346,0)</f>
        <v>0</v>
      </c>
      <c r="CF346" s="176">
        <f>IF(AND(Input_LTV&lt;=AE346,Input_Product=Elig!$C346,Elig_MatchAll_Ct&lt;22,$BC346=(Elig_MatchAll_Ct-1),AY346=0),AA346,0)</f>
        <v>0</v>
      </c>
      <c r="CG346" s="175">
        <f>IF(AND(Input_Product=Elig!$C346,Elig_MatchAll_Ct&lt;22,$BC346=(Elig_MatchAll_Ct-1),AZ346=0),AB346,0)</f>
        <v>0</v>
      </c>
      <c r="CH346" s="176">
        <f>IF(AND(Input_Product=Elig!$C346,Elig_MatchAll_Ct&lt;22,$BC346=(Elig_MatchAll_Ct-1),AZ346=0),AC346,0)</f>
        <v>0</v>
      </c>
      <c r="CI346" s="175">
        <f>IF(AND(Input_Product=Elig!$C346,Elig_MatchAll_Ct&lt;22,$BC346=(Elig_MatchAll_Ct-1),BA346=0),AD346,0)</f>
        <v>0</v>
      </c>
      <c r="CJ346" s="176">
        <f>IF(AND(Input_Product=Elig!$C346,Elig_MatchAll_Ct&lt;22,$BC346=(Elig_MatchAll_Ct-1),BA346=0),AE346,0)</f>
        <v>0</v>
      </c>
    </row>
    <row r="347" spans="1:88" ht="10.15" customHeight="1" x14ac:dyDescent="0.25">
      <c r="A347" s="252" t="s">
        <v>76</v>
      </c>
      <c r="B347" s="252" t="s">
        <v>979</v>
      </c>
      <c r="C347" s="251" t="str">
        <f t="shared" si="116"/>
        <v>NonQM NOO</v>
      </c>
      <c r="D347" s="252" t="s">
        <v>1995</v>
      </c>
      <c r="E347" s="252" t="s">
        <v>166</v>
      </c>
      <c r="F347" s="252" t="s">
        <v>329</v>
      </c>
      <c r="G347" s="252" t="s">
        <v>304</v>
      </c>
      <c r="H347" s="252" t="s">
        <v>135</v>
      </c>
      <c r="I347" s="253" t="s">
        <v>16</v>
      </c>
      <c r="J347" s="253" t="s">
        <v>1130</v>
      </c>
      <c r="K347" s="253" t="s">
        <v>1398</v>
      </c>
      <c r="L347" s="252" t="s">
        <v>311</v>
      </c>
      <c r="M347" s="252" t="s">
        <v>2289</v>
      </c>
      <c r="N347" s="252" t="s">
        <v>1844</v>
      </c>
      <c r="O347" s="252" t="s">
        <v>309</v>
      </c>
      <c r="P347" s="252" t="s">
        <v>2434</v>
      </c>
      <c r="Q347" s="252" t="s">
        <v>293</v>
      </c>
      <c r="R347" s="252">
        <v>1000000.01</v>
      </c>
      <c r="S347" s="252">
        <v>1500000</v>
      </c>
      <c r="T347" s="252">
        <v>0</v>
      </c>
      <c r="U347" s="252">
        <f t="shared" si="131"/>
        <v>1500000</v>
      </c>
      <c r="V347" s="252">
        <v>0</v>
      </c>
      <c r="W347" s="252">
        <v>55</v>
      </c>
      <c r="X347" s="252">
        <v>0</v>
      </c>
      <c r="Y347" s="252">
        <v>999</v>
      </c>
      <c r="Z347" s="254">
        <v>680</v>
      </c>
      <c r="AA347" s="254">
        <v>699</v>
      </c>
      <c r="AB347" s="1883">
        <v>0</v>
      </c>
      <c r="AC347" s="254">
        <v>999999</v>
      </c>
      <c r="AD347" s="252">
        <v>0</v>
      </c>
      <c r="AE347" s="255">
        <v>65</v>
      </c>
      <c r="AF347" s="144">
        <v>0</v>
      </c>
      <c r="AG347" s="145">
        <v>1</v>
      </c>
      <c r="AH347" s="145">
        <v>1</v>
      </c>
      <c r="AI347" s="145">
        <v>1</v>
      </c>
      <c r="AJ347" s="145">
        <v>0</v>
      </c>
      <c r="AK347" s="145">
        <v>1</v>
      </c>
      <c r="AL347" s="145">
        <v>0</v>
      </c>
      <c r="AM347" s="145">
        <v>1</v>
      </c>
      <c r="AN347" s="145">
        <v>1</v>
      </c>
      <c r="AO347" s="145">
        <v>1</v>
      </c>
      <c r="AP347" s="145">
        <v>1</v>
      </c>
      <c r="AQ347" s="145">
        <v>1</v>
      </c>
      <c r="AR347" s="145">
        <v>1</v>
      </c>
      <c r="AS347" s="145">
        <v>1</v>
      </c>
      <c r="AT347" s="145">
        <v>1</v>
      </c>
      <c r="AU347" s="145">
        <f t="shared" si="125"/>
        <v>0</v>
      </c>
      <c r="AV347" s="145">
        <f t="shared" si="126"/>
        <v>1</v>
      </c>
      <c r="AW347" s="145">
        <f t="shared" si="127"/>
        <v>1</v>
      </c>
      <c r="AX347" s="145">
        <f t="shared" si="110"/>
        <v>1</v>
      </c>
      <c r="AY347" s="145">
        <f t="shared" si="128"/>
        <v>0</v>
      </c>
      <c r="AZ347" s="145">
        <f t="shared" si="129"/>
        <v>1</v>
      </c>
      <c r="BA347" s="146">
        <f t="shared" si="130"/>
        <v>0</v>
      </c>
      <c r="BB347" s="149">
        <f t="shared" si="120"/>
        <v>16</v>
      </c>
      <c r="BC347" s="150">
        <f t="shared" si="121"/>
        <v>16</v>
      </c>
      <c r="BD347" s="150">
        <f t="shared" si="122"/>
        <v>16</v>
      </c>
      <c r="BE347" s="211" t="str">
        <f t="shared" si="123"/>
        <v/>
      </c>
      <c r="BH347" s="173">
        <f>IF(AND(Input_Product=Elig!$C347,Elig_MatchAll_Ct&lt;22,$BC347=(Elig_MatchAll_Ct-1),AF347=0),C347,0)</f>
        <v>0</v>
      </c>
      <c r="BI347" s="173">
        <f>IF(AND(Input_Product=Elig!$C347,Elig_MatchAll_Ct&lt;22,$BC347=(Elig_MatchAll_Ct-1),AG347=0),D347,0)</f>
        <v>0</v>
      </c>
      <c r="BJ347" s="173">
        <f>IF(AND(Input_Product=Elig!$C347,Elig_MatchAll_Ct&lt;22,$BC347=(Elig_MatchAll_Ct-1),AH347=0),E347,0)</f>
        <v>0</v>
      </c>
      <c r="BK347" s="173">
        <f>IF(AND(Input_Product=Elig!$C347,Elig_MatchAll_Ct&lt;22,$BC347=(Elig_MatchAll_Ct-1),AI347=0),F347,0)</f>
        <v>0</v>
      </c>
      <c r="BL347" s="173">
        <f>IF(AND(Input_Product=Elig!$C347,Elig_MatchAll_Ct&lt;22,$BC347=(Elig_MatchAll_Ct-1),AJ347=0),G347,0)</f>
        <v>0</v>
      </c>
      <c r="BM347" s="173">
        <f>IF(AND(Input_Product=Elig!$C347,Elig_MatchAll_Ct&lt;22,$BC347=(Elig_MatchAll_Ct-1),AK347=0),H347,0)</f>
        <v>0</v>
      </c>
      <c r="BN347" s="173">
        <f>IF(AND(Input_Product=Elig!$C347,Elig_MatchAll_Ct&lt;22,$BC347=(Elig_MatchAll_Ct-1),AL347=0),I347,0)</f>
        <v>0</v>
      </c>
      <c r="BO347" s="173">
        <f>IF(AND(Input_Product=Elig!$C347,Elig_MatchAll_Ct&lt;22,$BC347=(Elig_MatchAll_Ct-1),AM347=0),J347,0)</f>
        <v>0</v>
      </c>
      <c r="BP347" s="173">
        <f>IF(AND(Input_Product=Elig!$C347,Elig_MatchAll_Ct&lt;22,$BC347=(Elig_MatchAll_Ct-1),AN347=0),K347,0)</f>
        <v>0</v>
      </c>
      <c r="BQ347" s="173">
        <f>IF(AND(Input_Product=Elig!$C347,Elig_MatchAll_Ct&lt;22,$BC347=(Elig_MatchAll_Ct-1),AP347=0),L347,0)</f>
        <v>0</v>
      </c>
      <c r="BR347" s="173">
        <f>IF(AND(Input_Product=Elig!$C347,Elig_MatchAll_Ct&lt;22,$BC347=(Elig_MatchAll_Ct-1),AO347=0),M347,0)</f>
        <v>0</v>
      </c>
      <c r="BS347" s="173">
        <f>IF(AND(Input_Product=Elig!$C347,Elig_MatchAll_Ct&lt;22,$BC347=(Elig_MatchAll_Ct-1),AQ347=0),N347,0)</f>
        <v>0</v>
      </c>
      <c r="BT347" s="173">
        <f>IF(AND(Input_Product=Elig!$C347,Elig_MatchAll_Ct&lt;22,$BC347=(Elig_MatchAll_Ct-1),AR347=0),O347,0)</f>
        <v>0</v>
      </c>
      <c r="BU347" s="173">
        <f>IF(AND(Input_Product=Elig!$C347,Elig_MatchAll_Ct&lt;22,$BC347=(Elig_MatchAll_Ct-1),AS347=0),P347,0)</f>
        <v>0</v>
      </c>
      <c r="BV347" s="174">
        <f>IF(AND(Input_Product=Elig!$C347,Elig_MatchAll_Ct&lt;22,$BC347=(Elig_MatchAll_Ct-1),AT347=0),Q347,0)</f>
        <v>0</v>
      </c>
      <c r="BW347" s="175">
        <f>IF(AND(Input_Product=Elig!$C347,Elig_MatchAll_Ct&lt;22,$BC347=(Elig_MatchAll_Ct-1),AU347=0),R347,0)</f>
        <v>0</v>
      </c>
      <c r="BX347" s="176">
        <f>IF(AND(Input_Product=Elig!$C347,Elig_MatchAll_Ct&lt;22,$BC347=(Elig_MatchAll_Ct-1),AU347=0),S347,0)</f>
        <v>0</v>
      </c>
      <c r="BY347" s="175">
        <f>IF(AND(Input_Product=Elig!$C347,Elig_MatchAll_Ct&lt;22,$BC347=(Elig_MatchAll_Ct-1),AV347=0),T347,0)</f>
        <v>0</v>
      </c>
      <c r="BZ347" s="176">
        <f>IF(AND(Input_Product=Elig!$C347,Elig_MatchAll_Ct&lt;22,$BC347=(Elig_MatchAll_Ct-1),AV347=0),U347,0)</f>
        <v>0</v>
      </c>
      <c r="CA347" s="175">
        <f>IF(AND(Input_Product=Elig!$C347,Elig_MatchAll_Ct&lt;22,$BC347=(Elig_MatchAll_Ct-1),AW347=0),V347,0)</f>
        <v>0</v>
      </c>
      <c r="CB347" s="176">
        <f>IF(AND(Input_Product=Elig!$C347,Elig_MatchAll_Ct&lt;22,$BC347=(Elig_MatchAll_Ct-1),AW347=0),W347,0)</f>
        <v>0</v>
      </c>
      <c r="CC347" s="175">
        <f>IF(AND(Input_Product=Elig!$C347,Elig_MatchAll_Ct&lt;22,$BC347=(Elig_MatchAll_Ct-1),AX347=0),X347,0)</f>
        <v>0</v>
      </c>
      <c r="CD347" s="176">
        <f>IF(AND(Input_Product=Elig!$C347,Elig_MatchAll_Ct&lt;22,$BC347=(Elig_MatchAll_Ct-1),AX347=0),Y347,0)</f>
        <v>0</v>
      </c>
      <c r="CE347" s="175">
        <f>IF(AND(Input_LTV&lt;=AE347,Input_Product=Elig!$C347,Elig_MatchAll_Ct&lt;22,$BC347=(Elig_MatchAll_Ct-1),AY347=0),Z347,0)</f>
        <v>0</v>
      </c>
      <c r="CF347" s="176">
        <f>IF(AND(Input_LTV&lt;=AE347,Input_Product=Elig!$C347,Elig_MatchAll_Ct&lt;22,$BC347=(Elig_MatchAll_Ct-1),AY347=0),AA347,0)</f>
        <v>0</v>
      </c>
      <c r="CG347" s="175">
        <f>IF(AND(Input_Product=Elig!$C347,Elig_MatchAll_Ct&lt;22,$BC347=(Elig_MatchAll_Ct-1),AZ347=0),AB347,0)</f>
        <v>0</v>
      </c>
      <c r="CH347" s="176">
        <f>IF(AND(Input_Product=Elig!$C347,Elig_MatchAll_Ct&lt;22,$BC347=(Elig_MatchAll_Ct-1),AZ347=0),AC347,0)</f>
        <v>0</v>
      </c>
      <c r="CI347" s="175">
        <f>IF(AND(Input_Product=Elig!$C347,Elig_MatchAll_Ct&lt;22,$BC347=(Elig_MatchAll_Ct-1),BA347=0),AD347,0)</f>
        <v>0</v>
      </c>
      <c r="CJ347" s="176">
        <f>IF(AND(Input_Product=Elig!$C347,Elig_MatchAll_Ct&lt;22,$BC347=(Elig_MatchAll_Ct-1),BA347=0),AE347,0)</f>
        <v>0</v>
      </c>
    </row>
    <row r="348" spans="1:88" ht="10.15" customHeight="1" x14ac:dyDescent="0.25">
      <c r="A348" s="252" t="s">
        <v>76</v>
      </c>
      <c r="B348" s="252" t="s">
        <v>980</v>
      </c>
      <c r="C348" s="251" t="str">
        <f t="shared" si="116"/>
        <v>NonQM NOO</v>
      </c>
      <c r="D348" s="252" t="s">
        <v>1995</v>
      </c>
      <c r="E348" s="252" t="s">
        <v>166</v>
      </c>
      <c r="F348" s="252" t="s">
        <v>329</v>
      </c>
      <c r="G348" s="252" t="s">
        <v>304</v>
      </c>
      <c r="H348" s="252" t="s">
        <v>135</v>
      </c>
      <c r="I348" s="252" t="s">
        <v>16</v>
      </c>
      <c r="J348" s="252" t="s">
        <v>1130</v>
      </c>
      <c r="K348" s="252" t="s">
        <v>1398</v>
      </c>
      <c r="L348" s="252" t="s">
        <v>311</v>
      </c>
      <c r="M348" s="252" t="s">
        <v>2289</v>
      </c>
      <c r="N348" s="252" t="s">
        <v>1844</v>
      </c>
      <c r="O348" s="252" t="s">
        <v>309</v>
      </c>
      <c r="P348" s="252" t="s">
        <v>2434</v>
      </c>
      <c r="Q348" s="252" t="s">
        <v>293</v>
      </c>
      <c r="R348" s="252">
        <v>1000000.01</v>
      </c>
      <c r="S348" s="252">
        <v>1500000</v>
      </c>
      <c r="T348" s="252">
        <v>0</v>
      </c>
      <c r="U348" s="252">
        <f t="shared" si="131"/>
        <v>1500000</v>
      </c>
      <c r="V348" s="252">
        <v>0</v>
      </c>
      <c r="W348" s="252">
        <v>50</v>
      </c>
      <c r="X348" s="252">
        <v>0</v>
      </c>
      <c r="Y348" s="252">
        <v>999</v>
      </c>
      <c r="Z348" s="254">
        <v>660</v>
      </c>
      <c r="AA348" s="254">
        <v>679</v>
      </c>
      <c r="AB348" s="1883">
        <v>0</v>
      </c>
      <c r="AC348" s="254">
        <v>999999</v>
      </c>
      <c r="AD348" s="252">
        <v>0</v>
      </c>
      <c r="AE348" s="255">
        <v>60</v>
      </c>
      <c r="AF348" s="144">
        <v>0</v>
      </c>
      <c r="AG348" s="145">
        <v>1</v>
      </c>
      <c r="AH348" s="145">
        <v>1</v>
      </c>
      <c r="AI348" s="145">
        <v>1</v>
      </c>
      <c r="AJ348" s="145">
        <v>0</v>
      </c>
      <c r="AK348" s="145">
        <v>1</v>
      </c>
      <c r="AL348" s="145">
        <v>0</v>
      </c>
      <c r="AM348" s="145">
        <v>1</v>
      </c>
      <c r="AN348" s="145">
        <v>1</v>
      </c>
      <c r="AO348" s="145">
        <v>1</v>
      </c>
      <c r="AP348" s="145">
        <v>1</v>
      </c>
      <c r="AQ348" s="145">
        <v>1</v>
      </c>
      <c r="AR348" s="145">
        <v>1</v>
      </c>
      <c r="AS348" s="145">
        <v>1</v>
      </c>
      <c r="AT348" s="145">
        <v>1</v>
      </c>
      <c r="AU348" s="145">
        <f t="shared" si="125"/>
        <v>0</v>
      </c>
      <c r="AV348" s="145">
        <f t="shared" si="126"/>
        <v>1</v>
      </c>
      <c r="AW348" s="145">
        <f t="shared" si="127"/>
        <v>1</v>
      </c>
      <c r="AX348" s="145">
        <f t="shared" si="110"/>
        <v>1</v>
      </c>
      <c r="AY348" s="145">
        <f t="shared" si="128"/>
        <v>0</v>
      </c>
      <c r="AZ348" s="145">
        <f t="shared" si="129"/>
        <v>1</v>
      </c>
      <c r="BA348" s="146">
        <f t="shared" si="130"/>
        <v>0</v>
      </c>
      <c r="BB348" s="149">
        <f t="shared" si="120"/>
        <v>16</v>
      </c>
      <c r="BC348" s="150">
        <f t="shared" si="121"/>
        <v>16</v>
      </c>
      <c r="BD348" s="150">
        <f t="shared" si="122"/>
        <v>16</v>
      </c>
      <c r="BE348" s="211" t="str">
        <f t="shared" si="123"/>
        <v/>
      </c>
      <c r="BH348" s="173">
        <f>IF(AND(Input_Product=Elig!$C348,Elig_MatchAll_Ct&lt;22,$BC348=(Elig_MatchAll_Ct-1),AF348=0),C348,0)</f>
        <v>0</v>
      </c>
      <c r="BI348" s="173">
        <f>IF(AND(Input_Product=Elig!$C348,Elig_MatchAll_Ct&lt;22,$BC348=(Elig_MatchAll_Ct-1),AG348=0),D348,0)</f>
        <v>0</v>
      </c>
      <c r="BJ348" s="173">
        <f>IF(AND(Input_Product=Elig!$C348,Elig_MatchAll_Ct&lt;22,$BC348=(Elig_MatchAll_Ct-1),AH348=0),E348,0)</f>
        <v>0</v>
      </c>
      <c r="BK348" s="173">
        <f>IF(AND(Input_Product=Elig!$C348,Elig_MatchAll_Ct&lt;22,$BC348=(Elig_MatchAll_Ct-1),AI348=0),F348,0)</f>
        <v>0</v>
      </c>
      <c r="BL348" s="173">
        <f>IF(AND(Input_Product=Elig!$C348,Elig_MatchAll_Ct&lt;22,$BC348=(Elig_MatchAll_Ct-1),AJ348=0),G348,0)</f>
        <v>0</v>
      </c>
      <c r="BM348" s="173">
        <f>IF(AND(Input_Product=Elig!$C348,Elig_MatchAll_Ct&lt;22,$BC348=(Elig_MatchAll_Ct-1),AK348=0),H348,0)</f>
        <v>0</v>
      </c>
      <c r="BN348" s="173">
        <f>IF(AND(Input_Product=Elig!$C348,Elig_MatchAll_Ct&lt;22,$BC348=(Elig_MatchAll_Ct-1),AL348=0),I348,0)</f>
        <v>0</v>
      </c>
      <c r="BO348" s="173">
        <f>IF(AND(Input_Product=Elig!$C348,Elig_MatchAll_Ct&lt;22,$BC348=(Elig_MatchAll_Ct-1),AM348=0),J348,0)</f>
        <v>0</v>
      </c>
      <c r="BP348" s="173">
        <f>IF(AND(Input_Product=Elig!$C348,Elig_MatchAll_Ct&lt;22,$BC348=(Elig_MatchAll_Ct-1),AN348=0),K348,0)</f>
        <v>0</v>
      </c>
      <c r="BQ348" s="173">
        <f>IF(AND(Input_Product=Elig!$C348,Elig_MatchAll_Ct&lt;22,$BC348=(Elig_MatchAll_Ct-1),AP348=0),L348,0)</f>
        <v>0</v>
      </c>
      <c r="BR348" s="173">
        <f>IF(AND(Input_Product=Elig!$C348,Elig_MatchAll_Ct&lt;22,$BC348=(Elig_MatchAll_Ct-1),AO348=0),M348,0)</f>
        <v>0</v>
      </c>
      <c r="BS348" s="173">
        <f>IF(AND(Input_Product=Elig!$C348,Elig_MatchAll_Ct&lt;22,$BC348=(Elig_MatchAll_Ct-1),AQ348=0),N348,0)</f>
        <v>0</v>
      </c>
      <c r="BT348" s="173">
        <f>IF(AND(Input_Product=Elig!$C348,Elig_MatchAll_Ct&lt;22,$BC348=(Elig_MatchAll_Ct-1),AR348=0),O348,0)</f>
        <v>0</v>
      </c>
      <c r="BU348" s="173">
        <f>IF(AND(Input_Product=Elig!$C348,Elig_MatchAll_Ct&lt;22,$BC348=(Elig_MatchAll_Ct-1),AS348=0),P348,0)</f>
        <v>0</v>
      </c>
      <c r="BV348" s="174">
        <f>IF(AND(Input_Product=Elig!$C348,Elig_MatchAll_Ct&lt;22,$BC348=(Elig_MatchAll_Ct-1),AT348=0),Q348,0)</f>
        <v>0</v>
      </c>
      <c r="BW348" s="175">
        <f>IF(AND(Input_Product=Elig!$C348,Elig_MatchAll_Ct&lt;22,$BC348=(Elig_MatchAll_Ct-1),AU348=0),R348,0)</f>
        <v>0</v>
      </c>
      <c r="BX348" s="176">
        <f>IF(AND(Input_Product=Elig!$C348,Elig_MatchAll_Ct&lt;22,$BC348=(Elig_MatchAll_Ct-1),AU348=0),S348,0)</f>
        <v>0</v>
      </c>
      <c r="BY348" s="175">
        <f>IF(AND(Input_Product=Elig!$C348,Elig_MatchAll_Ct&lt;22,$BC348=(Elig_MatchAll_Ct-1),AV348=0),T348,0)</f>
        <v>0</v>
      </c>
      <c r="BZ348" s="176">
        <f>IF(AND(Input_Product=Elig!$C348,Elig_MatchAll_Ct&lt;22,$BC348=(Elig_MatchAll_Ct-1),AV348=0),U348,0)</f>
        <v>0</v>
      </c>
      <c r="CA348" s="175">
        <f>IF(AND(Input_Product=Elig!$C348,Elig_MatchAll_Ct&lt;22,$BC348=(Elig_MatchAll_Ct-1),AW348=0),V348,0)</f>
        <v>0</v>
      </c>
      <c r="CB348" s="176">
        <f>IF(AND(Input_Product=Elig!$C348,Elig_MatchAll_Ct&lt;22,$BC348=(Elig_MatchAll_Ct-1),AW348=0),W348,0)</f>
        <v>0</v>
      </c>
      <c r="CC348" s="175">
        <f>IF(AND(Input_Product=Elig!$C348,Elig_MatchAll_Ct&lt;22,$BC348=(Elig_MatchAll_Ct-1),AX348=0),X348,0)</f>
        <v>0</v>
      </c>
      <c r="CD348" s="176">
        <f>IF(AND(Input_Product=Elig!$C348,Elig_MatchAll_Ct&lt;22,$BC348=(Elig_MatchAll_Ct-1),AX348=0),Y348,0)</f>
        <v>0</v>
      </c>
      <c r="CE348" s="175">
        <f>IF(AND(Input_LTV&lt;=AE348,Input_Product=Elig!$C348,Elig_MatchAll_Ct&lt;22,$BC348=(Elig_MatchAll_Ct-1),AY348=0),Z348,0)</f>
        <v>0</v>
      </c>
      <c r="CF348" s="176">
        <f>IF(AND(Input_LTV&lt;=AE348,Input_Product=Elig!$C348,Elig_MatchAll_Ct&lt;22,$BC348=(Elig_MatchAll_Ct-1),AY348=0),AA348,0)</f>
        <v>0</v>
      </c>
      <c r="CG348" s="175">
        <f>IF(AND(Input_Product=Elig!$C348,Elig_MatchAll_Ct&lt;22,$BC348=(Elig_MatchAll_Ct-1),AZ348=0),AB348,0)</f>
        <v>0</v>
      </c>
      <c r="CH348" s="176">
        <f>IF(AND(Input_Product=Elig!$C348,Elig_MatchAll_Ct&lt;22,$BC348=(Elig_MatchAll_Ct-1),AZ348=0),AC348,0)</f>
        <v>0</v>
      </c>
      <c r="CI348" s="175">
        <f>IF(AND(Input_Product=Elig!$C348,Elig_MatchAll_Ct&lt;22,$BC348=(Elig_MatchAll_Ct-1),BA348=0),AD348,0)</f>
        <v>0</v>
      </c>
      <c r="CJ348" s="176">
        <f>IF(AND(Input_Product=Elig!$C348,Elig_MatchAll_Ct&lt;22,$BC348=(Elig_MatchAll_Ct-1),BA348=0),AE348,0)</f>
        <v>0</v>
      </c>
    </row>
    <row r="349" spans="1:88" ht="10.15" customHeight="1" x14ac:dyDescent="0.25">
      <c r="A349" s="252" t="s">
        <v>76</v>
      </c>
      <c r="B349" s="252" t="s">
        <v>981</v>
      </c>
      <c r="C349" s="246" t="str">
        <f t="shared" si="116"/>
        <v>NonQM NOO</v>
      </c>
      <c r="D349" s="247" t="s">
        <v>1995</v>
      </c>
      <c r="E349" s="248" t="s">
        <v>166</v>
      </c>
      <c r="F349" s="248" t="s">
        <v>329</v>
      </c>
      <c r="G349" s="248" t="s">
        <v>180</v>
      </c>
      <c r="H349" s="248" t="s">
        <v>135</v>
      </c>
      <c r="I349" s="247" t="s">
        <v>273</v>
      </c>
      <c r="J349" s="247" t="s">
        <v>1130</v>
      </c>
      <c r="K349" s="247" t="s">
        <v>1398</v>
      </c>
      <c r="L349" s="248" t="s">
        <v>311</v>
      </c>
      <c r="M349" s="248" t="s">
        <v>2289</v>
      </c>
      <c r="N349" s="248" t="s">
        <v>1844</v>
      </c>
      <c r="O349" s="248" t="s">
        <v>309</v>
      </c>
      <c r="P349" s="248" t="s">
        <v>2434</v>
      </c>
      <c r="Q349" s="248" t="s">
        <v>293</v>
      </c>
      <c r="R349" s="247">
        <v>1000000.01</v>
      </c>
      <c r="S349" s="247">
        <v>1500000</v>
      </c>
      <c r="T349" s="247">
        <v>0</v>
      </c>
      <c r="U349" s="247">
        <v>0</v>
      </c>
      <c r="V349" s="247">
        <v>0</v>
      </c>
      <c r="W349" s="247">
        <v>55</v>
      </c>
      <c r="X349" s="247">
        <v>0.75</v>
      </c>
      <c r="Y349" s="247">
        <v>999</v>
      </c>
      <c r="Z349" s="249">
        <v>720</v>
      </c>
      <c r="AA349" s="249">
        <v>999</v>
      </c>
      <c r="AB349" s="1882">
        <v>0</v>
      </c>
      <c r="AC349" s="249">
        <v>999999</v>
      </c>
      <c r="AD349" s="247">
        <v>0</v>
      </c>
      <c r="AE349" s="250">
        <v>80</v>
      </c>
      <c r="AF349" s="144">
        <v>0</v>
      </c>
      <c r="AG349" s="145">
        <v>1</v>
      </c>
      <c r="AH349" s="145">
        <v>1</v>
      </c>
      <c r="AI349" s="145">
        <v>1</v>
      </c>
      <c r="AJ349" s="145">
        <v>1</v>
      </c>
      <c r="AK349" s="145">
        <v>1</v>
      </c>
      <c r="AL349" s="145">
        <v>1</v>
      </c>
      <c r="AM349" s="145">
        <v>1</v>
      </c>
      <c r="AN349" s="145">
        <v>1</v>
      </c>
      <c r="AO349" s="145">
        <v>1</v>
      </c>
      <c r="AP349" s="145">
        <v>1</v>
      </c>
      <c r="AQ349" s="145">
        <v>1</v>
      </c>
      <c r="AR349" s="145">
        <v>1</v>
      </c>
      <c r="AS349" s="145">
        <v>1</v>
      </c>
      <c r="AT349" s="145">
        <v>1</v>
      </c>
      <c r="AU349" s="145">
        <f t="shared" si="125"/>
        <v>0</v>
      </c>
      <c r="AV349" s="145">
        <f t="shared" si="126"/>
        <v>1</v>
      </c>
      <c r="AW349" s="145">
        <f t="shared" si="127"/>
        <v>1</v>
      </c>
      <c r="AX349" s="145">
        <f t="shared" si="110"/>
        <v>1</v>
      </c>
      <c r="AY349" s="145">
        <f t="shared" si="128"/>
        <v>1</v>
      </c>
      <c r="AZ349" s="145">
        <f t="shared" si="129"/>
        <v>1</v>
      </c>
      <c r="BA349" s="146">
        <f t="shared" si="130"/>
        <v>1</v>
      </c>
      <c r="BB349" s="149">
        <f t="shared" si="120"/>
        <v>20</v>
      </c>
      <c r="BC349" s="150">
        <f t="shared" si="121"/>
        <v>19</v>
      </c>
      <c r="BD349" s="150">
        <f t="shared" si="122"/>
        <v>20</v>
      </c>
      <c r="BE349" s="211" t="str">
        <f t="shared" si="123"/>
        <v/>
      </c>
      <c r="BH349" s="190">
        <f>IF(AND(Input_Product=Elig!$C349,Elig_MatchAll_Ct&lt;22,$BC349=(Elig_MatchAll_Ct-1),AF349=0),C349,0)</f>
        <v>0</v>
      </c>
      <c r="BI349" s="190">
        <f>IF(AND(Input_Product=Elig!$C349,Elig_MatchAll_Ct&lt;22,$BC349=(Elig_MatchAll_Ct-1),AG349=0),D349,0)</f>
        <v>0</v>
      </c>
      <c r="BJ349" s="190">
        <f>IF(AND(Input_Product=Elig!$C349,Elig_MatchAll_Ct&lt;22,$BC349=(Elig_MatchAll_Ct-1),AH349=0),E349,0)</f>
        <v>0</v>
      </c>
      <c r="BK349" s="190">
        <f>IF(AND(Input_Product=Elig!$C349,Elig_MatchAll_Ct&lt;22,$BC349=(Elig_MatchAll_Ct-1),AI349=0),F349,0)</f>
        <v>0</v>
      </c>
      <c r="BL349" s="190">
        <f>IF(AND(Input_Product=Elig!$C349,Elig_MatchAll_Ct&lt;22,$BC349=(Elig_MatchAll_Ct-1),AJ349=0),G349,0)</f>
        <v>0</v>
      </c>
      <c r="BM349" s="190">
        <f>IF(AND(Input_Product=Elig!$C349,Elig_MatchAll_Ct&lt;22,$BC349=(Elig_MatchAll_Ct-1),AK349=0),H349,0)</f>
        <v>0</v>
      </c>
      <c r="BN349" s="190">
        <f>IF(AND(Input_Product=Elig!$C349,Elig_MatchAll_Ct&lt;22,$BC349=(Elig_MatchAll_Ct-1),AL349=0),I349,0)</f>
        <v>0</v>
      </c>
      <c r="BO349" s="190">
        <f>IF(AND(Input_Product=Elig!$C349,Elig_MatchAll_Ct&lt;22,$BC349=(Elig_MatchAll_Ct-1),AM349=0),J349,0)</f>
        <v>0</v>
      </c>
      <c r="BP349" s="190">
        <f>IF(AND(Input_Product=Elig!$C349,Elig_MatchAll_Ct&lt;22,$BC349=(Elig_MatchAll_Ct-1),AN349=0),K349,0)</f>
        <v>0</v>
      </c>
      <c r="BQ349" s="190">
        <f>IF(AND(Input_Product=Elig!$C349,Elig_MatchAll_Ct&lt;22,$BC349=(Elig_MatchAll_Ct-1),AP349=0),L349,0)</f>
        <v>0</v>
      </c>
      <c r="BR349" s="190">
        <f>IF(AND(Input_Product=Elig!$C349,Elig_MatchAll_Ct&lt;22,$BC349=(Elig_MatchAll_Ct-1),AO349=0),M349,0)</f>
        <v>0</v>
      </c>
      <c r="BS349" s="190">
        <f>IF(AND(Input_Product=Elig!$C349,Elig_MatchAll_Ct&lt;22,$BC349=(Elig_MatchAll_Ct-1),AQ349=0),N349,0)</f>
        <v>0</v>
      </c>
      <c r="BT349" s="190">
        <f>IF(AND(Input_Product=Elig!$C349,Elig_MatchAll_Ct&lt;22,$BC349=(Elig_MatchAll_Ct-1),AR349=0),O349,0)</f>
        <v>0</v>
      </c>
      <c r="BU349" s="190">
        <f>IF(AND(Input_Product=Elig!$C349,Elig_MatchAll_Ct&lt;22,$BC349=(Elig_MatchAll_Ct-1),AS349=0),P349,0)</f>
        <v>0</v>
      </c>
      <c r="BV349" s="191">
        <f>IF(AND(Input_Product=Elig!$C349,Elig_MatchAll_Ct&lt;22,$BC349=(Elig_MatchAll_Ct-1),AT349=0),Q349,0)</f>
        <v>0</v>
      </c>
      <c r="BW349" s="192">
        <f>IF(AND(Input_Product=Elig!$C349,Elig_MatchAll_Ct&lt;22,$BC349=(Elig_MatchAll_Ct-1),AU349=0),R349,0)</f>
        <v>0</v>
      </c>
      <c r="BX349" s="193">
        <f>IF(AND(Input_Product=Elig!$C349,Elig_MatchAll_Ct&lt;22,$BC349=(Elig_MatchAll_Ct-1),AU349=0),S349,0)</f>
        <v>0</v>
      </c>
      <c r="BY349" s="192">
        <f>IF(AND(Input_Product=Elig!$C349,Elig_MatchAll_Ct&lt;22,$BC349=(Elig_MatchAll_Ct-1),AV349=0),T349,0)</f>
        <v>0</v>
      </c>
      <c r="BZ349" s="193">
        <f>IF(AND(Input_Product=Elig!$C349,Elig_MatchAll_Ct&lt;22,$BC349=(Elig_MatchAll_Ct-1),AV349=0),U349,0)</f>
        <v>0</v>
      </c>
      <c r="CA349" s="192">
        <f>IF(AND(Input_Product=Elig!$C349,Elig_MatchAll_Ct&lt;22,$BC349=(Elig_MatchAll_Ct-1),AW349=0),V349,0)</f>
        <v>0</v>
      </c>
      <c r="CB349" s="193">
        <f>IF(AND(Input_Product=Elig!$C349,Elig_MatchAll_Ct&lt;22,$BC349=(Elig_MatchAll_Ct-1),AW349=0),W349,0)</f>
        <v>0</v>
      </c>
      <c r="CC349" s="192">
        <f>IF(AND(Input_Product=Elig!$C349,Elig_MatchAll_Ct&lt;22,$BC349=(Elig_MatchAll_Ct-1),AX349=0),X349,0)</f>
        <v>0</v>
      </c>
      <c r="CD349" s="193">
        <f>IF(AND(Input_Product=Elig!$C349,Elig_MatchAll_Ct&lt;22,$BC349=(Elig_MatchAll_Ct-1),AX349=0),Y349,0)</f>
        <v>0</v>
      </c>
      <c r="CE349" s="192">
        <f>IF(AND(Input_LTV&lt;=AE349,Input_Product=Elig!$C349,Elig_MatchAll_Ct&lt;22,$BC349=(Elig_MatchAll_Ct-1),AY349=0),Z349,0)</f>
        <v>0</v>
      </c>
      <c r="CF349" s="193">
        <f>IF(AND(Input_LTV&lt;=AE349,Input_Product=Elig!$C349,Elig_MatchAll_Ct&lt;22,$BC349=(Elig_MatchAll_Ct-1),AY349=0),AA349,0)</f>
        <v>0</v>
      </c>
      <c r="CG349" s="192">
        <f>IF(AND(Input_Product=Elig!$C349,Elig_MatchAll_Ct&lt;22,$BC349=(Elig_MatchAll_Ct-1),AZ349=0),AB349,0)</f>
        <v>0</v>
      </c>
      <c r="CH349" s="193">
        <f>IF(AND(Input_Product=Elig!$C349,Elig_MatchAll_Ct&lt;22,$BC349=(Elig_MatchAll_Ct-1),AZ349=0),AC349,0)</f>
        <v>0</v>
      </c>
      <c r="CI349" s="192">
        <f>IF(AND(Input_Product=Elig!$C349,Elig_MatchAll_Ct&lt;22,$BC349=(Elig_MatchAll_Ct-1),BA349=0),AD349,0)</f>
        <v>0</v>
      </c>
      <c r="CJ349" s="193">
        <f>IF(AND(Input_Product=Elig!$C349,Elig_MatchAll_Ct&lt;22,$BC349=(Elig_MatchAll_Ct-1),BA349=0),AE349,0)</f>
        <v>0</v>
      </c>
    </row>
    <row r="350" spans="1:88" ht="10.15" customHeight="1" x14ac:dyDescent="0.25">
      <c r="A350" s="252" t="s">
        <v>76</v>
      </c>
      <c r="B350" s="252" t="s">
        <v>982</v>
      </c>
      <c r="C350" s="251" t="str">
        <f t="shared" si="116"/>
        <v>NonQM NOO</v>
      </c>
      <c r="D350" s="252" t="s">
        <v>1995</v>
      </c>
      <c r="E350" s="252" t="s">
        <v>166</v>
      </c>
      <c r="F350" s="252" t="s">
        <v>329</v>
      </c>
      <c r="G350" s="252" t="s">
        <v>180</v>
      </c>
      <c r="H350" s="252" t="s">
        <v>135</v>
      </c>
      <c r="I350" s="253" t="s">
        <v>273</v>
      </c>
      <c r="J350" s="253" t="s">
        <v>1130</v>
      </c>
      <c r="K350" s="253" t="s">
        <v>1398</v>
      </c>
      <c r="L350" s="252" t="s">
        <v>311</v>
      </c>
      <c r="M350" s="252" t="s">
        <v>2289</v>
      </c>
      <c r="N350" s="252" t="s">
        <v>1844</v>
      </c>
      <c r="O350" s="252" t="s">
        <v>309</v>
      </c>
      <c r="P350" s="252" t="s">
        <v>2434</v>
      </c>
      <c r="Q350" s="252" t="s">
        <v>293</v>
      </c>
      <c r="R350" s="252">
        <v>1000000.01</v>
      </c>
      <c r="S350" s="252">
        <v>1500000</v>
      </c>
      <c r="T350" s="252">
        <v>0</v>
      </c>
      <c r="U350" s="252">
        <v>0</v>
      </c>
      <c r="V350" s="252">
        <v>0</v>
      </c>
      <c r="W350" s="252">
        <v>55</v>
      </c>
      <c r="X350" s="252">
        <v>0.75</v>
      </c>
      <c r="Y350" s="252">
        <v>999</v>
      </c>
      <c r="Z350" s="254">
        <v>700</v>
      </c>
      <c r="AA350" s="254">
        <v>719</v>
      </c>
      <c r="AB350" s="1883">
        <v>0</v>
      </c>
      <c r="AC350" s="254">
        <v>999999</v>
      </c>
      <c r="AD350" s="252">
        <v>0</v>
      </c>
      <c r="AE350" s="255">
        <v>80</v>
      </c>
      <c r="AF350" s="144">
        <v>0</v>
      </c>
      <c r="AG350" s="145">
        <v>1</v>
      </c>
      <c r="AH350" s="145">
        <v>1</v>
      </c>
      <c r="AI350" s="145">
        <v>1</v>
      </c>
      <c r="AJ350" s="145">
        <v>1</v>
      </c>
      <c r="AK350" s="145">
        <v>1</v>
      </c>
      <c r="AL350" s="145">
        <v>1</v>
      </c>
      <c r="AM350" s="145">
        <v>1</v>
      </c>
      <c r="AN350" s="145">
        <v>1</v>
      </c>
      <c r="AO350" s="145">
        <v>1</v>
      </c>
      <c r="AP350" s="145">
        <v>1</v>
      </c>
      <c r="AQ350" s="145">
        <v>1</v>
      </c>
      <c r="AR350" s="145">
        <v>1</v>
      </c>
      <c r="AS350" s="145">
        <v>1</v>
      </c>
      <c r="AT350" s="145">
        <v>1</v>
      </c>
      <c r="AU350" s="145">
        <f t="shared" si="125"/>
        <v>0</v>
      </c>
      <c r="AV350" s="145">
        <f t="shared" si="126"/>
        <v>1</v>
      </c>
      <c r="AW350" s="145">
        <f t="shared" si="127"/>
        <v>1</v>
      </c>
      <c r="AX350" s="145">
        <f t="shared" si="110"/>
        <v>1</v>
      </c>
      <c r="AY350" s="145">
        <f t="shared" si="128"/>
        <v>0</v>
      </c>
      <c r="AZ350" s="145">
        <f t="shared" si="129"/>
        <v>1</v>
      </c>
      <c r="BA350" s="146">
        <f t="shared" si="130"/>
        <v>1</v>
      </c>
      <c r="BB350" s="149">
        <f t="shared" si="120"/>
        <v>19</v>
      </c>
      <c r="BC350" s="150">
        <f t="shared" si="121"/>
        <v>18</v>
      </c>
      <c r="BD350" s="150">
        <f t="shared" si="122"/>
        <v>19</v>
      </c>
      <c r="BE350" s="211" t="str">
        <f t="shared" si="123"/>
        <v/>
      </c>
      <c r="BH350" s="173">
        <f>IF(AND(Input_Product=Elig!$C350,Elig_MatchAll_Ct&lt;22,$BC350=(Elig_MatchAll_Ct-1),AF350=0),C350,0)</f>
        <v>0</v>
      </c>
      <c r="BI350" s="173">
        <f>IF(AND(Input_Product=Elig!$C350,Elig_MatchAll_Ct&lt;22,$BC350=(Elig_MatchAll_Ct-1),AG350=0),D350,0)</f>
        <v>0</v>
      </c>
      <c r="BJ350" s="173">
        <f>IF(AND(Input_Product=Elig!$C350,Elig_MatchAll_Ct&lt;22,$BC350=(Elig_MatchAll_Ct-1),AH350=0),E350,0)</f>
        <v>0</v>
      </c>
      <c r="BK350" s="173">
        <f>IF(AND(Input_Product=Elig!$C350,Elig_MatchAll_Ct&lt;22,$BC350=(Elig_MatchAll_Ct-1),AI350=0),F350,0)</f>
        <v>0</v>
      </c>
      <c r="BL350" s="173">
        <f>IF(AND(Input_Product=Elig!$C350,Elig_MatchAll_Ct&lt;22,$BC350=(Elig_MatchAll_Ct-1),AJ350=0),G350,0)</f>
        <v>0</v>
      </c>
      <c r="BM350" s="173">
        <f>IF(AND(Input_Product=Elig!$C350,Elig_MatchAll_Ct&lt;22,$BC350=(Elig_MatchAll_Ct-1),AK350=0),H350,0)</f>
        <v>0</v>
      </c>
      <c r="BN350" s="173">
        <f>IF(AND(Input_Product=Elig!$C350,Elig_MatchAll_Ct&lt;22,$BC350=(Elig_MatchAll_Ct-1),AL350=0),I350,0)</f>
        <v>0</v>
      </c>
      <c r="BO350" s="173">
        <f>IF(AND(Input_Product=Elig!$C350,Elig_MatchAll_Ct&lt;22,$BC350=(Elig_MatchAll_Ct-1),AM350=0),J350,0)</f>
        <v>0</v>
      </c>
      <c r="BP350" s="173">
        <f>IF(AND(Input_Product=Elig!$C350,Elig_MatchAll_Ct&lt;22,$BC350=(Elig_MatchAll_Ct-1),AN350=0),K350,0)</f>
        <v>0</v>
      </c>
      <c r="BQ350" s="173">
        <f>IF(AND(Input_Product=Elig!$C350,Elig_MatchAll_Ct&lt;22,$BC350=(Elig_MatchAll_Ct-1),AP350=0),L350,0)</f>
        <v>0</v>
      </c>
      <c r="BR350" s="173">
        <f>IF(AND(Input_Product=Elig!$C350,Elig_MatchAll_Ct&lt;22,$BC350=(Elig_MatchAll_Ct-1),AO350=0),M350,0)</f>
        <v>0</v>
      </c>
      <c r="BS350" s="173">
        <f>IF(AND(Input_Product=Elig!$C350,Elig_MatchAll_Ct&lt;22,$BC350=(Elig_MatchAll_Ct-1),AQ350=0),N350,0)</f>
        <v>0</v>
      </c>
      <c r="BT350" s="173">
        <f>IF(AND(Input_Product=Elig!$C350,Elig_MatchAll_Ct&lt;22,$BC350=(Elig_MatchAll_Ct-1),AR350=0),O350,0)</f>
        <v>0</v>
      </c>
      <c r="BU350" s="173">
        <f>IF(AND(Input_Product=Elig!$C350,Elig_MatchAll_Ct&lt;22,$BC350=(Elig_MatchAll_Ct-1),AS350=0),P350,0)</f>
        <v>0</v>
      </c>
      <c r="BV350" s="174">
        <f>IF(AND(Input_Product=Elig!$C350,Elig_MatchAll_Ct&lt;22,$BC350=(Elig_MatchAll_Ct-1),AT350=0),Q350,0)</f>
        <v>0</v>
      </c>
      <c r="BW350" s="175">
        <f>IF(AND(Input_Product=Elig!$C350,Elig_MatchAll_Ct&lt;22,$BC350=(Elig_MatchAll_Ct-1),AU350=0),R350,0)</f>
        <v>0</v>
      </c>
      <c r="BX350" s="176">
        <f>IF(AND(Input_Product=Elig!$C350,Elig_MatchAll_Ct&lt;22,$BC350=(Elig_MatchAll_Ct-1),AU350=0),S350,0)</f>
        <v>0</v>
      </c>
      <c r="BY350" s="175">
        <f>IF(AND(Input_Product=Elig!$C350,Elig_MatchAll_Ct&lt;22,$BC350=(Elig_MatchAll_Ct-1),AV350=0),T350,0)</f>
        <v>0</v>
      </c>
      <c r="BZ350" s="176">
        <f>IF(AND(Input_Product=Elig!$C350,Elig_MatchAll_Ct&lt;22,$BC350=(Elig_MatchAll_Ct-1),AV350=0),U350,0)</f>
        <v>0</v>
      </c>
      <c r="CA350" s="175">
        <f>IF(AND(Input_Product=Elig!$C350,Elig_MatchAll_Ct&lt;22,$BC350=(Elig_MatchAll_Ct-1),AW350=0),V350,0)</f>
        <v>0</v>
      </c>
      <c r="CB350" s="176">
        <f>IF(AND(Input_Product=Elig!$C350,Elig_MatchAll_Ct&lt;22,$BC350=(Elig_MatchAll_Ct-1),AW350=0),W350,0)</f>
        <v>0</v>
      </c>
      <c r="CC350" s="175">
        <f>IF(AND(Input_Product=Elig!$C350,Elig_MatchAll_Ct&lt;22,$BC350=(Elig_MatchAll_Ct-1),AX350=0),X350,0)</f>
        <v>0</v>
      </c>
      <c r="CD350" s="176">
        <f>IF(AND(Input_Product=Elig!$C350,Elig_MatchAll_Ct&lt;22,$BC350=(Elig_MatchAll_Ct-1),AX350=0),Y350,0)</f>
        <v>0</v>
      </c>
      <c r="CE350" s="175">
        <f>IF(AND(Input_LTV&lt;=AE350,Input_Product=Elig!$C350,Elig_MatchAll_Ct&lt;22,$BC350=(Elig_MatchAll_Ct-1),AY350=0),Z350,0)</f>
        <v>0</v>
      </c>
      <c r="CF350" s="176">
        <f>IF(AND(Input_LTV&lt;=AE350,Input_Product=Elig!$C350,Elig_MatchAll_Ct&lt;22,$BC350=(Elig_MatchAll_Ct-1),AY350=0),AA350,0)</f>
        <v>0</v>
      </c>
      <c r="CG350" s="175">
        <f>IF(AND(Input_Product=Elig!$C350,Elig_MatchAll_Ct&lt;22,$BC350=(Elig_MatchAll_Ct-1),AZ350=0),AB350,0)</f>
        <v>0</v>
      </c>
      <c r="CH350" s="176">
        <f>IF(AND(Input_Product=Elig!$C350,Elig_MatchAll_Ct&lt;22,$BC350=(Elig_MatchAll_Ct-1),AZ350=0),AC350,0)</f>
        <v>0</v>
      </c>
      <c r="CI350" s="175">
        <f>IF(AND(Input_Product=Elig!$C350,Elig_MatchAll_Ct&lt;22,$BC350=(Elig_MatchAll_Ct-1),BA350=0),AD350,0)</f>
        <v>0</v>
      </c>
      <c r="CJ350" s="176">
        <f>IF(AND(Input_Product=Elig!$C350,Elig_MatchAll_Ct&lt;22,$BC350=(Elig_MatchAll_Ct-1),BA350=0),AE350,0)</f>
        <v>0</v>
      </c>
    </row>
    <row r="351" spans="1:88" ht="10.15" customHeight="1" x14ac:dyDescent="0.25">
      <c r="A351" s="252" t="s">
        <v>76</v>
      </c>
      <c r="B351" s="252" t="s">
        <v>983</v>
      </c>
      <c r="C351" s="251" t="str">
        <f t="shared" si="116"/>
        <v>NonQM NOO</v>
      </c>
      <c r="D351" s="252" t="s">
        <v>1995</v>
      </c>
      <c r="E351" s="252" t="s">
        <v>166</v>
      </c>
      <c r="F351" s="252" t="s">
        <v>329</v>
      </c>
      <c r="G351" s="252" t="s">
        <v>180</v>
      </c>
      <c r="H351" s="252" t="s">
        <v>135</v>
      </c>
      <c r="I351" s="253" t="s">
        <v>273</v>
      </c>
      <c r="J351" s="253" t="s">
        <v>1130</v>
      </c>
      <c r="K351" s="253" t="s">
        <v>1398</v>
      </c>
      <c r="L351" s="252" t="s">
        <v>311</v>
      </c>
      <c r="M351" s="252" t="s">
        <v>2289</v>
      </c>
      <c r="N351" s="252" t="s">
        <v>1844</v>
      </c>
      <c r="O351" s="252" t="s">
        <v>309</v>
      </c>
      <c r="P351" s="252" t="s">
        <v>2434</v>
      </c>
      <c r="Q351" s="252" t="s">
        <v>293</v>
      </c>
      <c r="R351" s="252">
        <v>1000000.01</v>
      </c>
      <c r="S351" s="252">
        <v>1500000</v>
      </c>
      <c r="T351" s="252">
        <v>0</v>
      </c>
      <c r="U351" s="252">
        <v>0</v>
      </c>
      <c r="V351" s="252">
        <v>0</v>
      </c>
      <c r="W351" s="252">
        <v>55</v>
      </c>
      <c r="X351" s="252">
        <v>0.75</v>
      </c>
      <c r="Y351" s="252">
        <v>999</v>
      </c>
      <c r="Z351" s="254">
        <v>680</v>
      </c>
      <c r="AA351" s="254">
        <v>699</v>
      </c>
      <c r="AB351" s="1883">
        <v>0</v>
      </c>
      <c r="AC351" s="254">
        <v>999999</v>
      </c>
      <c r="AD351" s="252">
        <v>0</v>
      </c>
      <c r="AE351" s="255">
        <v>80</v>
      </c>
      <c r="AF351" s="144">
        <v>0</v>
      </c>
      <c r="AG351" s="145">
        <v>1</v>
      </c>
      <c r="AH351" s="145">
        <v>1</v>
      </c>
      <c r="AI351" s="145">
        <v>1</v>
      </c>
      <c r="AJ351" s="145">
        <v>1</v>
      </c>
      <c r="AK351" s="145">
        <v>1</v>
      </c>
      <c r="AL351" s="145">
        <v>1</v>
      </c>
      <c r="AM351" s="145">
        <v>1</v>
      </c>
      <c r="AN351" s="145">
        <v>1</v>
      </c>
      <c r="AO351" s="145">
        <v>1</v>
      </c>
      <c r="AP351" s="145">
        <v>1</v>
      </c>
      <c r="AQ351" s="145">
        <v>1</v>
      </c>
      <c r="AR351" s="145">
        <v>1</v>
      </c>
      <c r="AS351" s="145">
        <v>1</v>
      </c>
      <c r="AT351" s="145">
        <v>1</v>
      </c>
      <c r="AU351" s="145">
        <f t="shared" si="125"/>
        <v>0</v>
      </c>
      <c r="AV351" s="145">
        <f t="shared" si="126"/>
        <v>1</v>
      </c>
      <c r="AW351" s="145">
        <f t="shared" si="127"/>
        <v>1</v>
      </c>
      <c r="AX351" s="145">
        <f t="shared" si="110"/>
        <v>1</v>
      </c>
      <c r="AY351" s="145">
        <f t="shared" si="128"/>
        <v>0</v>
      </c>
      <c r="AZ351" s="145">
        <f t="shared" si="129"/>
        <v>1</v>
      </c>
      <c r="BA351" s="146">
        <f t="shared" si="130"/>
        <v>1</v>
      </c>
      <c r="BB351" s="149">
        <f t="shared" si="120"/>
        <v>19</v>
      </c>
      <c r="BC351" s="150">
        <f t="shared" si="121"/>
        <v>18</v>
      </c>
      <c r="BD351" s="150">
        <f t="shared" si="122"/>
        <v>19</v>
      </c>
      <c r="BE351" s="211" t="str">
        <f t="shared" si="123"/>
        <v/>
      </c>
      <c r="BH351" s="173">
        <f>IF(AND(Input_Product=Elig!$C351,Elig_MatchAll_Ct&lt;22,$BC351=(Elig_MatchAll_Ct-1),AF351=0),C351,0)</f>
        <v>0</v>
      </c>
      <c r="BI351" s="173">
        <f>IF(AND(Input_Product=Elig!$C351,Elig_MatchAll_Ct&lt;22,$BC351=(Elig_MatchAll_Ct-1),AG351=0),D351,0)</f>
        <v>0</v>
      </c>
      <c r="BJ351" s="173">
        <f>IF(AND(Input_Product=Elig!$C351,Elig_MatchAll_Ct&lt;22,$BC351=(Elig_MatchAll_Ct-1),AH351=0),E351,0)</f>
        <v>0</v>
      </c>
      <c r="BK351" s="173">
        <f>IF(AND(Input_Product=Elig!$C351,Elig_MatchAll_Ct&lt;22,$BC351=(Elig_MatchAll_Ct-1),AI351=0),F351,0)</f>
        <v>0</v>
      </c>
      <c r="BL351" s="173">
        <f>IF(AND(Input_Product=Elig!$C351,Elig_MatchAll_Ct&lt;22,$BC351=(Elig_MatchAll_Ct-1),AJ351=0),G351,0)</f>
        <v>0</v>
      </c>
      <c r="BM351" s="173">
        <f>IF(AND(Input_Product=Elig!$C351,Elig_MatchAll_Ct&lt;22,$BC351=(Elig_MatchAll_Ct-1),AK351=0),H351,0)</f>
        <v>0</v>
      </c>
      <c r="BN351" s="173">
        <f>IF(AND(Input_Product=Elig!$C351,Elig_MatchAll_Ct&lt;22,$BC351=(Elig_MatchAll_Ct-1),AL351=0),I351,0)</f>
        <v>0</v>
      </c>
      <c r="BO351" s="173">
        <f>IF(AND(Input_Product=Elig!$C351,Elig_MatchAll_Ct&lt;22,$BC351=(Elig_MatchAll_Ct-1),AM351=0),J351,0)</f>
        <v>0</v>
      </c>
      <c r="BP351" s="173">
        <f>IF(AND(Input_Product=Elig!$C351,Elig_MatchAll_Ct&lt;22,$BC351=(Elig_MatchAll_Ct-1),AN351=0),K351,0)</f>
        <v>0</v>
      </c>
      <c r="BQ351" s="173">
        <f>IF(AND(Input_Product=Elig!$C351,Elig_MatchAll_Ct&lt;22,$BC351=(Elig_MatchAll_Ct-1),AP351=0),L351,0)</f>
        <v>0</v>
      </c>
      <c r="BR351" s="173">
        <f>IF(AND(Input_Product=Elig!$C351,Elig_MatchAll_Ct&lt;22,$BC351=(Elig_MatchAll_Ct-1),AO351=0),M351,0)</f>
        <v>0</v>
      </c>
      <c r="BS351" s="173">
        <f>IF(AND(Input_Product=Elig!$C351,Elig_MatchAll_Ct&lt;22,$BC351=(Elig_MatchAll_Ct-1),AQ351=0),N351,0)</f>
        <v>0</v>
      </c>
      <c r="BT351" s="173">
        <f>IF(AND(Input_Product=Elig!$C351,Elig_MatchAll_Ct&lt;22,$BC351=(Elig_MatchAll_Ct-1),AR351=0),O351,0)</f>
        <v>0</v>
      </c>
      <c r="BU351" s="173">
        <f>IF(AND(Input_Product=Elig!$C351,Elig_MatchAll_Ct&lt;22,$BC351=(Elig_MatchAll_Ct-1),AS351=0),P351,0)</f>
        <v>0</v>
      </c>
      <c r="BV351" s="174">
        <f>IF(AND(Input_Product=Elig!$C351,Elig_MatchAll_Ct&lt;22,$BC351=(Elig_MatchAll_Ct-1),AT351=0),Q351,0)</f>
        <v>0</v>
      </c>
      <c r="BW351" s="175">
        <f>IF(AND(Input_Product=Elig!$C351,Elig_MatchAll_Ct&lt;22,$BC351=(Elig_MatchAll_Ct-1),AU351=0),R351,0)</f>
        <v>0</v>
      </c>
      <c r="BX351" s="176">
        <f>IF(AND(Input_Product=Elig!$C351,Elig_MatchAll_Ct&lt;22,$BC351=(Elig_MatchAll_Ct-1),AU351=0),S351,0)</f>
        <v>0</v>
      </c>
      <c r="BY351" s="175">
        <f>IF(AND(Input_Product=Elig!$C351,Elig_MatchAll_Ct&lt;22,$BC351=(Elig_MatchAll_Ct-1),AV351=0),T351,0)</f>
        <v>0</v>
      </c>
      <c r="BZ351" s="176">
        <f>IF(AND(Input_Product=Elig!$C351,Elig_MatchAll_Ct&lt;22,$BC351=(Elig_MatchAll_Ct-1),AV351=0),U351,0)</f>
        <v>0</v>
      </c>
      <c r="CA351" s="175">
        <f>IF(AND(Input_Product=Elig!$C351,Elig_MatchAll_Ct&lt;22,$BC351=(Elig_MatchAll_Ct-1),AW351=0),V351,0)</f>
        <v>0</v>
      </c>
      <c r="CB351" s="176">
        <f>IF(AND(Input_Product=Elig!$C351,Elig_MatchAll_Ct&lt;22,$BC351=(Elig_MatchAll_Ct-1),AW351=0),W351,0)</f>
        <v>0</v>
      </c>
      <c r="CC351" s="175">
        <f>IF(AND(Input_Product=Elig!$C351,Elig_MatchAll_Ct&lt;22,$BC351=(Elig_MatchAll_Ct-1),AX351=0),X351,0)</f>
        <v>0</v>
      </c>
      <c r="CD351" s="176">
        <f>IF(AND(Input_Product=Elig!$C351,Elig_MatchAll_Ct&lt;22,$BC351=(Elig_MatchAll_Ct-1),AX351=0),Y351,0)</f>
        <v>0</v>
      </c>
      <c r="CE351" s="175">
        <f>IF(AND(Input_LTV&lt;=AE351,Input_Product=Elig!$C351,Elig_MatchAll_Ct&lt;22,$BC351=(Elig_MatchAll_Ct-1),AY351=0),Z351,0)</f>
        <v>0</v>
      </c>
      <c r="CF351" s="176">
        <f>IF(AND(Input_LTV&lt;=AE351,Input_Product=Elig!$C351,Elig_MatchAll_Ct&lt;22,$BC351=(Elig_MatchAll_Ct-1),AY351=0),AA351,0)</f>
        <v>0</v>
      </c>
      <c r="CG351" s="175">
        <f>IF(AND(Input_Product=Elig!$C351,Elig_MatchAll_Ct&lt;22,$BC351=(Elig_MatchAll_Ct-1),AZ351=0),AB351,0)</f>
        <v>0</v>
      </c>
      <c r="CH351" s="176">
        <f>IF(AND(Input_Product=Elig!$C351,Elig_MatchAll_Ct&lt;22,$BC351=(Elig_MatchAll_Ct-1),AZ351=0),AC351,0)</f>
        <v>0</v>
      </c>
      <c r="CI351" s="175">
        <f>IF(AND(Input_Product=Elig!$C351,Elig_MatchAll_Ct&lt;22,$BC351=(Elig_MatchAll_Ct-1),BA351=0),AD351,0)</f>
        <v>0</v>
      </c>
      <c r="CJ351" s="176">
        <f>IF(AND(Input_Product=Elig!$C351,Elig_MatchAll_Ct&lt;22,$BC351=(Elig_MatchAll_Ct-1),BA351=0),AE351,0)</f>
        <v>0</v>
      </c>
    </row>
    <row r="352" spans="1:88" ht="10.15" customHeight="1" x14ac:dyDescent="0.25">
      <c r="A352" s="252" t="s">
        <v>76</v>
      </c>
      <c r="B352" s="252" t="s">
        <v>984</v>
      </c>
      <c r="C352" s="251" t="str">
        <f t="shared" si="116"/>
        <v>NonQM NOO</v>
      </c>
      <c r="D352" s="252" t="s">
        <v>1995</v>
      </c>
      <c r="E352" s="252" t="s">
        <v>166</v>
      </c>
      <c r="F352" s="252" t="s">
        <v>329</v>
      </c>
      <c r="G352" s="252" t="s">
        <v>180</v>
      </c>
      <c r="H352" s="252" t="s">
        <v>135</v>
      </c>
      <c r="I352" s="252" t="s">
        <v>273</v>
      </c>
      <c r="J352" s="252" t="s">
        <v>1130</v>
      </c>
      <c r="K352" s="252" t="s">
        <v>1398</v>
      </c>
      <c r="L352" s="252" t="s">
        <v>311</v>
      </c>
      <c r="M352" s="252" t="s">
        <v>2289</v>
      </c>
      <c r="N352" s="252" t="s">
        <v>1844</v>
      </c>
      <c r="O352" s="252" t="s">
        <v>309</v>
      </c>
      <c r="P352" s="252" t="s">
        <v>2434</v>
      </c>
      <c r="Q352" s="252" t="s">
        <v>293</v>
      </c>
      <c r="R352" s="252">
        <v>1000000.01</v>
      </c>
      <c r="S352" s="252">
        <v>1500000</v>
      </c>
      <c r="T352" s="252">
        <v>0</v>
      </c>
      <c r="U352" s="252">
        <v>0</v>
      </c>
      <c r="V352" s="252">
        <v>0</v>
      </c>
      <c r="W352" s="252">
        <v>50</v>
      </c>
      <c r="X352" s="261">
        <v>1</v>
      </c>
      <c r="Y352" s="252">
        <v>999</v>
      </c>
      <c r="Z352" s="1540">
        <v>660</v>
      </c>
      <c r="AA352" s="1540">
        <v>679</v>
      </c>
      <c r="AB352" s="1883">
        <v>0</v>
      </c>
      <c r="AC352" s="254">
        <v>999999</v>
      </c>
      <c r="AD352" s="252">
        <v>0</v>
      </c>
      <c r="AE352" s="255">
        <v>75</v>
      </c>
      <c r="AF352" s="144">
        <v>0</v>
      </c>
      <c r="AG352" s="145">
        <v>1</v>
      </c>
      <c r="AH352" s="145">
        <v>1</v>
      </c>
      <c r="AI352" s="145">
        <v>1</v>
      </c>
      <c r="AJ352" s="145">
        <v>1</v>
      </c>
      <c r="AK352" s="145">
        <v>1</v>
      </c>
      <c r="AL352" s="145">
        <v>1</v>
      </c>
      <c r="AM352" s="145">
        <v>1</v>
      </c>
      <c r="AN352" s="145">
        <v>1</v>
      </c>
      <c r="AO352" s="145">
        <v>1</v>
      </c>
      <c r="AP352" s="145">
        <v>1</v>
      </c>
      <c r="AQ352" s="145">
        <v>1</v>
      </c>
      <c r="AR352" s="145">
        <v>1</v>
      </c>
      <c r="AS352" s="145">
        <v>1</v>
      </c>
      <c r="AT352" s="145">
        <v>1</v>
      </c>
      <c r="AU352" s="145">
        <f t="shared" si="125"/>
        <v>0</v>
      </c>
      <c r="AV352" s="145">
        <f t="shared" si="126"/>
        <v>1</v>
      </c>
      <c r="AW352" s="145">
        <f t="shared" si="127"/>
        <v>1</v>
      </c>
      <c r="AX352" s="145">
        <f t="shared" si="110"/>
        <v>1</v>
      </c>
      <c r="AY352" s="145">
        <f t="shared" si="128"/>
        <v>0</v>
      </c>
      <c r="AZ352" s="145">
        <f t="shared" si="129"/>
        <v>1</v>
      </c>
      <c r="BA352" s="146">
        <f t="shared" si="130"/>
        <v>1</v>
      </c>
      <c r="BB352" s="149">
        <f t="shared" si="120"/>
        <v>19</v>
      </c>
      <c r="BC352" s="150">
        <f t="shared" si="121"/>
        <v>18</v>
      </c>
      <c r="BD352" s="150">
        <f t="shared" si="122"/>
        <v>19</v>
      </c>
      <c r="BE352" s="211" t="str">
        <f t="shared" si="123"/>
        <v/>
      </c>
      <c r="BH352" s="173">
        <f>IF(AND(Input_Product=Elig!$C352,Elig_MatchAll_Ct&lt;22,$BC352=(Elig_MatchAll_Ct-1),AF352=0),C352,0)</f>
        <v>0</v>
      </c>
      <c r="BI352" s="173">
        <f>IF(AND(Input_Product=Elig!$C352,Elig_MatchAll_Ct&lt;22,$BC352=(Elig_MatchAll_Ct-1),AG352=0),D352,0)</f>
        <v>0</v>
      </c>
      <c r="BJ352" s="173">
        <f>IF(AND(Input_Product=Elig!$C352,Elig_MatchAll_Ct&lt;22,$BC352=(Elig_MatchAll_Ct-1),AH352=0),E352,0)</f>
        <v>0</v>
      </c>
      <c r="BK352" s="173">
        <f>IF(AND(Input_Product=Elig!$C352,Elig_MatchAll_Ct&lt;22,$BC352=(Elig_MatchAll_Ct-1),AI352=0),F352,0)</f>
        <v>0</v>
      </c>
      <c r="BL352" s="173">
        <f>IF(AND(Input_Product=Elig!$C352,Elig_MatchAll_Ct&lt;22,$BC352=(Elig_MatchAll_Ct-1),AJ352=0),G352,0)</f>
        <v>0</v>
      </c>
      <c r="BM352" s="173">
        <f>IF(AND(Input_Product=Elig!$C352,Elig_MatchAll_Ct&lt;22,$BC352=(Elig_MatchAll_Ct-1),AK352=0),H352,0)</f>
        <v>0</v>
      </c>
      <c r="BN352" s="173">
        <f>IF(AND(Input_Product=Elig!$C352,Elig_MatchAll_Ct&lt;22,$BC352=(Elig_MatchAll_Ct-1),AL352=0),I352,0)</f>
        <v>0</v>
      </c>
      <c r="BO352" s="173">
        <f>IF(AND(Input_Product=Elig!$C352,Elig_MatchAll_Ct&lt;22,$BC352=(Elig_MatchAll_Ct-1),AM352=0),J352,0)</f>
        <v>0</v>
      </c>
      <c r="BP352" s="173">
        <f>IF(AND(Input_Product=Elig!$C352,Elig_MatchAll_Ct&lt;22,$BC352=(Elig_MatchAll_Ct-1),AN352=0),K352,0)</f>
        <v>0</v>
      </c>
      <c r="BQ352" s="173">
        <f>IF(AND(Input_Product=Elig!$C352,Elig_MatchAll_Ct&lt;22,$BC352=(Elig_MatchAll_Ct-1),AP352=0),L352,0)</f>
        <v>0</v>
      </c>
      <c r="BR352" s="173">
        <f>IF(AND(Input_Product=Elig!$C352,Elig_MatchAll_Ct&lt;22,$BC352=(Elig_MatchAll_Ct-1),AO352=0),M352,0)</f>
        <v>0</v>
      </c>
      <c r="BS352" s="173">
        <f>IF(AND(Input_Product=Elig!$C352,Elig_MatchAll_Ct&lt;22,$BC352=(Elig_MatchAll_Ct-1),AQ352=0),N352,0)</f>
        <v>0</v>
      </c>
      <c r="BT352" s="173">
        <f>IF(AND(Input_Product=Elig!$C352,Elig_MatchAll_Ct&lt;22,$BC352=(Elig_MatchAll_Ct-1),AR352=0),O352,0)</f>
        <v>0</v>
      </c>
      <c r="BU352" s="173">
        <f>IF(AND(Input_Product=Elig!$C352,Elig_MatchAll_Ct&lt;22,$BC352=(Elig_MatchAll_Ct-1),AS352=0),P352,0)</f>
        <v>0</v>
      </c>
      <c r="BV352" s="174">
        <f>IF(AND(Input_Product=Elig!$C352,Elig_MatchAll_Ct&lt;22,$BC352=(Elig_MatchAll_Ct-1),AT352=0),Q352,0)</f>
        <v>0</v>
      </c>
      <c r="BW352" s="175">
        <f>IF(AND(Input_Product=Elig!$C352,Elig_MatchAll_Ct&lt;22,$BC352=(Elig_MatchAll_Ct-1),AU352=0),R352,0)</f>
        <v>0</v>
      </c>
      <c r="BX352" s="176">
        <f>IF(AND(Input_Product=Elig!$C352,Elig_MatchAll_Ct&lt;22,$BC352=(Elig_MatchAll_Ct-1),AU352=0),S352,0)</f>
        <v>0</v>
      </c>
      <c r="BY352" s="175">
        <f>IF(AND(Input_Product=Elig!$C352,Elig_MatchAll_Ct&lt;22,$BC352=(Elig_MatchAll_Ct-1),AV352=0),T352,0)</f>
        <v>0</v>
      </c>
      <c r="BZ352" s="176">
        <f>IF(AND(Input_Product=Elig!$C352,Elig_MatchAll_Ct&lt;22,$BC352=(Elig_MatchAll_Ct-1),AV352=0),U352,0)</f>
        <v>0</v>
      </c>
      <c r="CA352" s="175">
        <f>IF(AND(Input_Product=Elig!$C352,Elig_MatchAll_Ct&lt;22,$BC352=(Elig_MatchAll_Ct-1),AW352=0),V352,0)</f>
        <v>0</v>
      </c>
      <c r="CB352" s="176">
        <f>IF(AND(Input_Product=Elig!$C352,Elig_MatchAll_Ct&lt;22,$BC352=(Elig_MatchAll_Ct-1),AW352=0),W352,0)</f>
        <v>0</v>
      </c>
      <c r="CC352" s="175">
        <f>IF(AND(Input_Product=Elig!$C352,Elig_MatchAll_Ct&lt;22,$BC352=(Elig_MatchAll_Ct-1),AX352=0),X352,0)</f>
        <v>0</v>
      </c>
      <c r="CD352" s="176">
        <f>IF(AND(Input_Product=Elig!$C352,Elig_MatchAll_Ct&lt;22,$BC352=(Elig_MatchAll_Ct-1),AX352=0),Y352,0)</f>
        <v>0</v>
      </c>
      <c r="CE352" s="175">
        <f>IF(AND(Input_LTV&lt;=AE352,Input_Product=Elig!$C352,Elig_MatchAll_Ct&lt;22,$BC352=(Elig_MatchAll_Ct-1),AY352=0),Z352,0)</f>
        <v>0</v>
      </c>
      <c r="CF352" s="176">
        <f>IF(AND(Input_LTV&lt;=AE352,Input_Product=Elig!$C352,Elig_MatchAll_Ct&lt;22,$BC352=(Elig_MatchAll_Ct-1),AY352=0),AA352,0)</f>
        <v>0</v>
      </c>
      <c r="CG352" s="175">
        <f>IF(AND(Input_Product=Elig!$C352,Elig_MatchAll_Ct&lt;22,$BC352=(Elig_MatchAll_Ct-1),AZ352=0),AB352,0)</f>
        <v>0</v>
      </c>
      <c r="CH352" s="176">
        <f>IF(AND(Input_Product=Elig!$C352,Elig_MatchAll_Ct&lt;22,$BC352=(Elig_MatchAll_Ct-1),AZ352=0),AC352,0)</f>
        <v>0</v>
      </c>
      <c r="CI352" s="175">
        <f>IF(AND(Input_Product=Elig!$C352,Elig_MatchAll_Ct&lt;22,$BC352=(Elig_MatchAll_Ct-1),BA352=0),AD352,0)</f>
        <v>0</v>
      </c>
      <c r="CJ352" s="176">
        <f>IF(AND(Input_Product=Elig!$C352,Elig_MatchAll_Ct&lt;22,$BC352=(Elig_MatchAll_Ct-1),BA352=0),AE352,0)</f>
        <v>0</v>
      </c>
    </row>
    <row r="353" spans="1:88" ht="10.15" customHeight="1" x14ac:dyDescent="0.25">
      <c r="A353" s="252" t="s">
        <v>76</v>
      </c>
      <c r="B353" s="252" t="s">
        <v>985</v>
      </c>
      <c r="C353" s="251" t="str">
        <f t="shared" si="116"/>
        <v>NonQM NOO</v>
      </c>
      <c r="D353" s="252" t="s">
        <v>1995</v>
      </c>
      <c r="E353" s="252" t="s">
        <v>166</v>
      </c>
      <c r="F353" s="252" t="s">
        <v>329</v>
      </c>
      <c r="G353" s="252" t="s">
        <v>180</v>
      </c>
      <c r="H353" s="252" t="s">
        <v>135</v>
      </c>
      <c r="I353" s="252" t="s">
        <v>273</v>
      </c>
      <c r="J353" s="252" t="s">
        <v>1130</v>
      </c>
      <c r="K353" s="252" t="s">
        <v>1398</v>
      </c>
      <c r="L353" s="252" t="s">
        <v>311</v>
      </c>
      <c r="M353" s="252" t="s">
        <v>2289</v>
      </c>
      <c r="N353" s="252" t="s">
        <v>1844</v>
      </c>
      <c r="O353" s="252" t="s">
        <v>45</v>
      </c>
      <c r="P353" s="252" t="s">
        <v>2434</v>
      </c>
      <c r="Q353" s="252" t="s">
        <v>293</v>
      </c>
      <c r="R353" s="252">
        <v>1000000.01</v>
      </c>
      <c r="S353" s="252">
        <v>1500000</v>
      </c>
      <c r="T353" s="252">
        <v>0</v>
      </c>
      <c r="U353" s="252">
        <v>0</v>
      </c>
      <c r="V353" s="252">
        <v>0</v>
      </c>
      <c r="W353" s="252">
        <v>50</v>
      </c>
      <c r="X353" s="252">
        <v>1</v>
      </c>
      <c r="Y353" s="252">
        <v>999</v>
      </c>
      <c r="Z353" s="1540">
        <v>660</v>
      </c>
      <c r="AA353" s="1540">
        <v>679</v>
      </c>
      <c r="AB353" s="1883">
        <v>0</v>
      </c>
      <c r="AC353" s="254">
        <v>999999</v>
      </c>
      <c r="AD353" s="252">
        <v>0</v>
      </c>
      <c r="AE353" s="255">
        <v>75</v>
      </c>
      <c r="AF353" s="144">
        <v>0</v>
      </c>
      <c r="AG353" s="145">
        <v>1</v>
      </c>
      <c r="AH353" s="145">
        <v>1</v>
      </c>
      <c r="AI353" s="145">
        <v>1</v>
      </c>
      <c r="AJ353" s="145">
        <v>1</v>
      </c>
      <c r="AK353" s="145">
        <v>1</v>
      </c>
      <c r="AL353" s="145">
        <v>1</v>
      </c>
      <c r="AM353" s="145">
        <v>1</v>
      </c>
      <c r="AN353" s="145">
        <v>1</v>
      </c>
      <c r="AO353" s="145">
        <v>1</v>
      </c>
      <c r="AP353" s="145">
        <v>1</v>
      </c>
      <c r="AQ353" s="145">
        <v>1</v>
      </c>
      <c r="AR353" s="145">
        <v>0</v>
      </c>
      <c r="AS353" s="145">
        <v>1</v>
      </c>
      <c r="AT353" s="145">
        <v>1</v>
      </c>
      <c r="AU353" s="145">
        <f t="shared" si="125"/>
        <v>0</v>
      </c>
      <c r="AV353" s="145">
        <f t="shared" si="126"/>
        <v>1</v>
      </c>
      <c r="AW353" s="145">
        <f t="shared" si="127"/>
        <v>1</v>
      </c>
      <c r="AX353" s="145">
        <f t="shared" si="110"/>
        <v>1</v>
      </c>
      <c r="AY353" s="145">
        <f t="shared" si="128"/>
        <v>0</v>
      </c>
      <c r="AZ353" s="145">
        <f t="shared" si="129"/>
        <v>1</v>
      </c>
      <c r="BA353" s="146">
        <f t="shared" si="130"/>
        <v>1</v>
      </c>
      <c r="BB353" s="149">
        <f t="shared" si="120"/>
        <v>18</v>
      </c>
      <c r="BC353" s="150">
        <f t="shared" si="121"/>
        <v>17</v>
      </c>
      <c r="BD353" s="150">
        <f t="shared" si="122"/>
        <v>18</v>
      </c>
      <c r="BE353" s="211" t="str">
        <f t="shared" si="123"/>
        <v/>
      </c>
      <c r="BH353" s="173">
        <f>IF(AND(Input_Product=Elig!$C353,Elig_MatchAll_Ct&lt;22,$BC353=(Elig_MatchAll_Ct-1),AF353=0),C353,0)</f>
        <v>0</v>
      </c>
      <c r="BI353" s="173">
        <f>IF(AND(Input_Product=Elig!$C353,Elig_MatchAll_Ct&lt;22,$BC353=(Elig_MatchAll_Ct-1),AG353=0),D353,0)</f>
        <v>0</v>
      </c>
      <c r="BJ353" s="173">
        <f>IF(AND(Input_Product=Elig!$C353,Elig_MatchAll_Ct&lt;22,$BC353=(Elig_MatchAll_Ct-1),AH353=0),E353,0)</f>
        <v>0</v>
      </c>
      <c r="BK353" s="173">
        <f>IF(AND(Input_Product=Elig!$C353,Elig_MatchAll_Ct&lt;22,$BC353=(Elig_MatchAll_Ct-1),AI353=0),F353,0)</f>
        <v>0</v>
      </c>
      <c r="BL353" s="173">
        <f>IF(AND(Input_Product=Elig!$C353,Elig_MatchAll_Ct&lt;22,$BC353=(Elig_MatchAll_Ct-1),AJ353=0),G353,0)</f>
        <v>0</v>
      </c>
      <c r="BM353" s="173">
        <f>IF(AND(Input_Product=Elig!$C353,Elig_MatchAll_Ct&lt;22,$BC353=(Elig_MatchAll_Ct-1),AK353=0),H353,0)</f>
        <v>0</v>
      </c>
      <c r="BN353" s="173">
        <f>IF(AND(Input_Product=Elig!$C353,Elig_MatchAll_Ct&lt;22,$BC353=(Elig_MatchAll_Ct-1),AL353=0),I353,0)</f>
        <v>0</v>
      </c>
      <c r="BO353" s="173">
        <f>IF(AND(Input_Product=Elig!$C353,Elig_MatchAll_Ct&lt;22,$BC353=(Elig_MatchAll_Ct-1),AM353=0),J353,0)</f>
        <v>0</v>
      </c>
      <c r="BP353" s="173">
        <f>IF(AND(Input_Product=Elig!$C353,Elig_MatchAll_Ct&lt;22,$BC353=(Elig_MatchAll_Ct-1),AN353=0),K353,0)</f>
        <v>0</v>
      </c>
      <c r="BQ353" s="173">
        <f>IF(AND(Input_Product=Elig!$C353,Elig_MatchAll_Ct&lt;22,$BC353=(Elig_MatchAll_Ct-1),AP353=0),L353,0)</f>
        <v>0</v>
      </c>
      <c r="BR353" s="173">
        <f>IF(AND(Input_Product=Elig!$C353,Elig_MatchAll_Ct&lt;22,$BC353=(Elig_MatchAll_Ct-1),AO353=0),M353,0)</f>
        <v>0</v>
      </c>
      <c r="BS353" s="173">
        <f>IF(AND(Input_Product=Elig!$C353,Elig_MatchAll_Ct&lt;22,$BC353=(Elig_MatchAll_Ct-1),AQ353=0),N353,0)</f>
        <v>0</v>
      </c>
      <c r="BT353" s="173">
        <f>IF(AND(Input_Product=Elig!$C353,Elig_MatchAll_Ct&lt;22,$BC353=(Elig_MatchAll_Ct-1),AR353=0),O353,0)</f>
        <v>0</v>
      </c>
      <c r="BU353" s="173">
        <f>IF(AND(Input_Product=Elig!$C353,Elig_MatchAll_Ct&lt;22,$BC353=(Elig_MatchAll_Ct-1),AS353=0),P353,0)</f>
        <v>0</v>
      </c>
      <c r="BV353" s="174">
        <f>IF(AND(Input_Product=Elig!$C353,Elig_MatchAll_Ct&lt;22,$BC353=(Elig_MatchAll_Ct-1),AT353=0),Q353,0)</f>
        <v>0</v>
      </c>
      <c r="BW353" s="175">
        <f>IF(AND(Input_Product=Elig!$C353,Elig_MatchAll_Ct&lt;22,$BC353=(Elig_MatchAll_Ct-1),AU353=0),R353,0)</f>
        <v>0</v>
      </c>
      <c r="BX353" s="176">
        <f>IF(AND(Input_Product=Elig!$C353,Elig_MatchAll_Ct&lt;22,$BC353=(Elig_MatchAll_Ct-1),AU353=0),S353,0)</f>
        <v>0</v>
      </c>
      <c r="BY353" s="175">
        <f>IF(AND(Input_Product=Elig!$C353,Elig_MatchAll_Ct&lt;22,$BC353=(Elig_MatchAll_Ct-1),AV353=0),T353,0)</f>
        <v>0</v>
      </c>
      <c r="BZ353" s="176">
        <f>IF(AND(Input_Product=Elig!$C353,Elig_MatchAll_Ct&lt;22,$BC353=(Elig_MatchAll_Ct-1),AV353=0),U353,0)</f>
        <v>0</v>
      </c>
      <c r="CA353" s="175">
        <f>IF(AND(Input_Product=Elig!$C353,Elig_MatchAll_Ct&lt;22,$BC353=(Elig_MatchAll_Ct-1),AW353=0),V353,0)</f>
        <v>0</v>
      </c>
      <c r="CB353" s="176">
        <f>IF(AND(Input_Product=Elig!$C353,Elig_MatchAll_Ct&lt;22,$BC353=(Elig_MatchAll_Ct-1),AW353=0),W353,0)</f>
        <v>0</v>
      </c>
      <c r="CC353" s="175">
        <f>IF(AND(Input_Product=Elig!$C353,Elig_MatchAll_Ct&lt;22,$BC353=(Elig_MatchAll_Ct-1),AX353=0),X353,0)</f>
        <v>0</v>
      </c>
      <c r="CD353" s="176">
        <f>IF(AND(Input_Product=Elig!$C353,Elig_MatchAll_Ct&lt;22,$BC353=(Elig_MatchAll_Ct-1),AX353=0),Y353,0)</f>
        <v>0</v>
      </c>
      <c r="CE353" s="175">
        <f>IF(AND(Input_LTV&lt;=AE353,Input_Product=Elig!$C353,Elig_MatchAll_Ct&lt;22,$BC353=(Elig_MatchAll_Ct-1),AY353=0),Z353,0)</f>
        <v>0</v>
      </c>
      <c r="CF353" s="176">
        <f>IF(AND(Input_LTV&lt;=AE353,Input_Product=Elig!$C353,Elig_MatchAll_Ct&lt;22,$BC353=(Elig_MatchAll_Ct-1),AY353=0),AA353,0)</f>
        <v>0</v>
      </c>
      <c r="CG353" s="175">
        <f>IF(AND(Input_Product=Elig!$C353,Elig_MatchAll_Ct&lt;22,$BC353=(Elig_MatchAll_Ct-1),AZ353=0),AB353,0)</f>
        <v>0</v>
      </c>
      <c r="CH353" s="176">
        <f>IF(AND(Input_Product=Elig!$C353,Elig_MatchAll_Ct&lt;22,$BC353=(Elig_MatchAll_Ct-1),AZ353=0),AC353,0)</f>
        <v>0</v>
      </c>
      <c r="CI353" s="175">
        <f>IF(AND(Input_Product=Elig!$C353,Elig_MatchAll_Ct&lt;22,$BC353=(Elig_MatchAll_Ct-1),BA353=0),AD353,0)</f>
        <v>0</v>
      </c>
      <c r="CJ353" s="176">
        <f>IF(AND(Input_Product=Elig!$C353,Elig_MatchAll_Ct&lt;22,$BC353=(Elig_MatchAll_Ct-1),BA353=0),AE353,0)</f>
        <v>0</v>
      </c>
    </row>
    <row r="354" spans="1:88" ht="10.15" customHeight="1" x14ac:dyDescent="0.25">
      <c r="A354" s="252" t="s">
        <v>76</v>
      </c>
      <c r="B354" s="252" t="s">
        <v>986</v>
      </c>
      <c r="C354" s="251" t="str">
        <f t="shared" si="116"/>
        <v>NonQM NOO</v>
      </c>
      <c r="D354" s="252" t="s">
        <v>1995</v>
      </c>
      <c r="E354" s="252" t="s">
        <v>166</v>
      </c>
      <c r="F354" s="252" t="s">
        <v>329</v>
      </c>
      <c r="G354" s="252" t="s">
        <v>180</v>
      </c>
      <c r="H354" s="252" t="s">
        <v>135</v>
      </c>
      <c r="I354" s="252" t="s">
        <v>273</v>
      </c>
      <c r="J354" s="252" t="s">
        <v>1130</v>
      </c>
      <c r="K354" s="252" t="s">
        <v>1398</v>
      </c>
      <c r="L354" s="252" t="s">
        <v>311</v>
      </c>
      <c r="M354" s="252" t="s">
        <v>2289</v>
      </c>
      <c r="N354" s="252" t="s">
        <v>1844</v>
      </c>
      <c r="O354" s="252" t="s">
        <v>309</v>
      </c>
      <c r="P354" s="252" t="s">
        <v>2434</v>
      </c>
      <c r="Q354" s="252" t="s">
        <v>293</v>
      </c>
      <c r="R354" s="252">
        <v>1000000.01</v>
      </c>
      <c r="S354" s="252">
        <v>1500000</v>
      </c>
      <c r="T354" s="252">
        <v>0</v>
      </c>
      <c r="U354" s="252">
        <v>0</v>
      </c>
      <c r="V354" s="252">
        <v>0</v>
      </c>
      <c r="W354" s="252">
        <v>50</v>
      </c>
      <c r="X354" s="261">
        <v>1</v>
      </c>
      <c r="Y354" s="252">
        <v>999</v>
      </c>
      <c r="Z354" s="254">
        <v>640</v>
      </c>
      <c r="AA354" s="254">
        <v>659</v>
      </c>
      <c r="AB354" s="1883">
        <v>0</v>
      </c>
      <c r="AC354" s="254">
        <v>999999</v>
      </c>
      <c r="AD354" s="252">
        <v>0</v>
      </c>
      <c r="AE354" s="255">
        <v>65</v>
      </c>
      <c r="AF354" s="144">
        <v>0</v>
      </c>
      <c r="AG354" s="145">
        <v>1</v>
      </c>
      <c r="AH354" s="145">
        <v>1</v>
      </c>
      <c r="AI354" s="145">
        <v>1</v>
      </c>
      <c r="AJ354" s="145">
        <v>1</v>
      </c>
      <c r="AK354" s="145">
        <v>1</v>
      </c>
      <c r="AL354" s="145">
        <v>1</v>
      </c>
      <c r="AM354" s="145">
        <v>1</v>
      </c>
      <c r="AN354" s="145">
        <v>1</v>
      </c>
      <c r="AO354" s="145">
        <v>1</v>
      </c>
      <c r="AP354" s="145">
        <v>1</v>
      </c>
      <c r="AQ354" s="145">
        <v>1</v>
      </c>
      <c r="AR354" s="145">
        <v>1</v>
      </c>
      <c r="AS354" s="145">
        <v>1</v>
      </c>
      <c r="AT354" s="145">
        <v>1</v>
      </c>
      <c r="AU354" s="145">
        <f t="shared" si="125"/>
        <v>0</v>
      </c>
      <c r="AV354" s="145">
        <f t="shared" si="126"/>
        <v>1</v>
      </c>
      <c r="AW354" s="145">
        <f t="shared" si="127"/>
        <v>1</v>
      </c>
      <c r="AX354" s="145">
        <f t="shared" si="110"/>
        <v>1</v>
      </c>
      <c r="AY354" s="145">
        <f t="shared" si="128"/>
        <v>0</v>
      </c>
      <c r="AZ354" s="145">
        <f t="shared" si="129"/>
        <v>1</v>
      </c>
      <c r="BA354" s="146">
        <f t="shared" si="130"/>
        <v>0</v>
      </c>
      <c r="BB354" s="149">
        <f t="shared" si="120"/>
        <v>18</v>
      </c>
      <c r="BC354" s="150">
        <f t="shared" si="121"/>
        <v>18</v>
      </c>
      <c r="BD354" s="150">
        <f t="shared" si="122"/>
        <v>18</v>
      </c>
      <c r="BE354" s="211" t="str">
        <f t="shared" si="123"/>
        <v/>
      </c>
      <c r="BH354" s="173">
        <f>IF(AND(Input_Product=Elig!$C354,Elig_MatchAll_Ct&lt;22,$BC354=(Elig_MatchAll_Ct-1),AF354=0),C354,0)</f>
        <v>0</v>
      </c>
      <c r="BI354" s="173">
        <f>IF(AND(Input_Product=Elig!$C354,Elig_MatchAll_Ct&lt;22,$BC354=(Elig_MatchAll_Ct-1),AG354=0),D354,0)</f>
        <v>0</v>
      </c>
      <c r="BJ354" s="173">
        <f>IF(AND(Input_Product=Elig!$C354,Elig_MatchAll_Ct&lt;22,$BC354=(Elig_MatchAll_Ct-1),AH354=0),E354,0)</f>
        <v>0</v>
      </c>
      <c r="BK354" s="173">
        <f>IF(AND(Input_Product=Elig!$C354,Elig_MatchAll_Ct&lt;22,$BC354=(Elig_MatchAll_Ct-1),AI354=0),F354,0)</f>
        <v>0</v>
      </c>
      <c r="BL354" s="173">
        <f>IF(AND(Input_Product=Elig!$C354,Elig_MatchAll_Ct&lt;22,$BC354=(Elig_MatchAll_Ct-1),AJ354=0),G354,0)</f>
        <v>0</v>
      </c>
      <c r="BM354" s="173">
        <f>IF(AND(Input_Product=Elig!$C354,Elig_MatchAll_Ct&lt;22,$BC354=(Elig_MatchAll_Ct-1),AK354=0),H354,0)</f>
        <v>0</v>
      </c>
      <c r="BN354" s="173">
        <f>IF(AND(Input_Product=Elig!$C354,Elig_MatchAll_Ct&lt;22,$BC354=(Elig_MatchAll_Ct-1),AL354=0),I354,0)</f>
        <v>0</v>
      </c>
      <c r="BO354" s="173">
        <f>IF(AND(Input_Product=Elig!$C354,Elig_MatchAll_Ct&lt;22,$BC354=(Elig_MatchAll_Ct-1),AM354=0),J354,0)</f>
        <v>0</v>
      </c>
      <c r="BP354" s="173">
        <f>IF(AND(Input_Product=Elig!$C354,Elig_MatchAll_Ct&lt;22,$BC354=(Elig_MatchAll_Ct-1),AN354=0),K354,0)</f>
        <v>0</v>
      </c>
      <c r="BQ354" s="173">
        <f>IF(AND(Input_Product=Elig!$C354,Elig_MatchAll_Ct&lt;22,$BC354=(Elig_MatchAll_Ct-1),AP354=0),L354,0)</f>
        <v>0</v>
      </c>
      <c r="BR354" s="173">
        <f>IF(AND(Input_Product=Elig!$C354,Elig_MatchAll_Ct&lt;22,$BC354=(Elig_MatchAll_Ct-1),AO354=0),M354,0)</f>
        <v>0</v>
      </c>
      <c r="BS354" s="173">
        <f>IF(AND(Input_Product=Elig!$C354,Elig_MatchAll_Ct&lt;22,$BC354=(Elig_MatchAll_Ct-1),AQ354=0),N354,0)</f>
        <v>0</v>
      </c>
      <c r="BT354" s="173">
        <f>IF(AND(Input_Product=Elig!$C354,Elig_MatchAll_Ct&lt;22,$BC354=(Elig_MatchAll_Ct-1),AR354=0),O354,0)</f>
        <v>0</v>
      </c>
      <c r="BU354" s="173">
        <f>IF(AND(Input_Product=Elig!$C354,Elig_MatchAll_Ct&lt;22,$BC354=(Elig_MatchAll_Ct-1),AS354=0),P354,0)</f>
        <v>0</v>
      </c>
      <c r="BV354" s="174">
        <f>IF(AND(Input_Product=Elig!$C354,Elig_MatchAll_Ct&lt;22,$BC354=(Elig_MatchAll_Ct-1),AT354=0),Q354,0)</f>
        <v>0</v>
      </c>
      <c r="BW354" s="175">
        <f>IF(AND(Input_Product=Elig!$C354,Elig_MatchAll_Ct&lt;22,$BC354=(Elig_MatchAll_Ct-1),AU354=0),R354,0)</f>
        <v>0</v>
      </c>
      <c r="BX354" s="176">
        <f>IF(AND(Input_Product=Elig!$C354,Elig_MatchAll_Ct&lt;22,$BC354=(Elig_MatchAll_Ct-1),AU354=0),S354,0)</f>
        <v>0</v>
      </c>
      <c r="BY354" s="175">
        <f>IF(AND(Input_Product=Elig!$C354,Elig_MatchAll_Ct&lt;22,$BC354=(Elig_MatchAll_Ct-1),AV354=0),T354,0)</f>
        <v>0</v>
      </c>
      <c r="BZ354" s="176">
        <f>IF(AND(Input_Product=Elig!$C354,Elig_MatchAll_Ct&lt;22,$BC354=(Elig_MatchAll_Ct-1),AV354=0),U354,0)</f>
        <v>0</v>
      </c>
      <c r="CA354" s="175">
        <f>IF(AND(Input_Product=Elig!$C354,Elig_MatchAll_Ct&lt;22,$BC354=(Elig_MatchAll_Ct-1),AW354=0),V354,0)</f>
        <v>0</v>
      </c>
      <c r="CB354" s="176">
        <f>IF(AND(Input_Product=Elig!$C354,Elig_MatchAll_Ct&lt;22,$BC354=(Elig_MatchAll_Ct-1),AW354=0),W354,0)</f>
        <v>0</v>
      </c>
      <c r="CC354" s="175">
        <f>IF(AND(Input_Product=Elig!$C354,Elig_MatchAll_Ct&lt;22,$BC354=(Elig_MatchAll_Ct-1),AX354=0),X354,0)</f>
        <v>0</v>
      </c>
      <c r="CD354" s="176">
        <f>IF(AND(Input_Product=Elig!$C354,Elig_MatchAll_Ct&lt;22,$BC354=(Elig_MatchAll_Ct-1),AX354=0),Y354,0)</f>
        <v>0</v>
      </c>
      <c r="CE354" s="175">
        <f>IF(AND(Input_LTV&lt;=AE354,Input_Product=Elig!$C354,Elig_MatchAll_Ct&lt;22,$BC354=(Elig_MatchAll_Ct-1),AY354=0),Z354,0)</f>
        <v>0</v>
      </c>
      <c r="CF354" s="176">
        <f>IF(AND(Input_LTV&lt;=AE354,Input_Product=Elig!$C354,Elig_MatchAll_Ct&lt;22,$BC354=(Elig_MatchAll_Ct-1),AY354=0),AA354,0)</f>
        <v>0</v>
      </c>
      <c r="CG354" s="175">
        <f>IF(AND(Input_Product=Elig!$C354,Elig_MatchAll_Ct&lt;22,$BC354=(Elig_MatchAll_Ct-1),AZ354=0),AB354,0)</f>
        <v>0</v>
      </c>
      <c r="CH354" s="176">
        <f>IF(AND(Input_Product=Elig!$C354,Elig_MatchAll_Ct&lt;22,$BC354=(Elig_MatchAll_Ct-1),AZ354=0),AC354,0)</f>
        <v>0</v>
      </c>
      <c r="CI354" s="175">
        <f>IF(AND(Input_Product=Elig!$C354,Elig_MatchAll_Ct&lt;22,$BC354=(Elig_MatchAll_Ct-1),BA354=0),AD354,0)</f>
        <v>0</v>
      </c>
      <c r="CJ354" s="176">
        <f>IF(AND(Input_Product=Elig!$C354,Elig_MatchAll_Ct&lt;22,$BC354=(Elig_MatchAll_Ct-1),BA354=0),AE354,0)</f>
        <v>0</v>
      </c>
    </row>
    <row r="355" spans="1:88" ht="10.15" customHeight="1" x14ac:dyDescent="0.25">
      <c r="A355" s="252" t="s">
        <v>76</v>
      </c>
      <c r="B355" s="252" t="s">
        <v>987</v>
      </c>
      <c r="C355" s="246" t="str">
        <f t="shared" si="116"/>
        <v>NonQM NOO</v>
      </c>
      <c r="D355" s="247" t="s">
        <v>1995</v>
      </c>
      <c r="E355" s="248" t="s">
        <v>166</v>
      </c>
      <c r="F355" s="248" t="s">
        <v>329</v>
      </c>
      <c r="G355" s="248" t="s">
        <v>180</v>
      </c>
      <c r="H355" s="248" t="s">
        <v>135</v>
      </c>
      <c r="I355" s="247" t="s">
        <v>16</v>
      </c>
      <c r="J355" s="247" t="s">
        <v>1130</v>
      </c>
      <c r="K355" s="247" t="s">
        <v>1398</v>
      </c>
      <c r="L355" s="248" t="s">
        <v>311</v>
      </c>
      <c r="M355" s="248" t="s">
        <v>2289</v>
      </c>
      <c r="N355" s="248" t="s">
        <v>1844</v>
      </c>
      <c r="O355" s="248" t="s">
        <v>309</v>
      </c>
      <c r="P355" s="248" t="s">
        <v>2434</v>
      </c>
      <c r="Q355" s="248" t="s">
        <v>293</v>
      </c>
      <c r="R355" s="247">
        <v>1000000.01</v>
      </c>
      <c r="S355" s="247">
        <v>1500000</v>
      </c>
      <c r="T355" s="247">
        <v>0</v>
      </c>
      <c r="U355" s="247">
        <f t="shared" ref="U355:U360" si="132">S355</f>
        <v>1500000</v>
      </c>
      <c r="V355" s="247">
        <v>0</v>
      </c>
      <c r="W355" s="247">
        <v>55</v>
      </c>
      <c r="X355" s="276">
        <v>0.75</v>
      </c>
      <c r="Y355" s="247">
        <v>999</v>
      </c>
      <c r="Z355" s="249">
        <v>720</v>
      </c>
      <c r="AA355" s="249">
        <v>999</v>
      </c>
      <c r="AB355" s="1882">
        <v>0</v>
      </c>
      <c r="AC355" s="249">
        <v>999999</v>
      </c>
      <c r="AD355" s="247">
        <v>0</v>
      </c>
      <c r="AE355" s="250">
        <v>75</v>
      </c>
      <c r="AF355" s="144">
        <v>0</v>
      </c>
      <c r="AG355" s="145">
        <v>1</v>
      </c>
      <c r="AH355" s="145">
        <v>1</v>
      </c>
      <c r="AI355" s="145">
        <v>1</v>
      </c>
      <c r="AJ355" s="145">
        <v>1</v>
      </c>
      <c r="AK355" s="145">
        <v>1</v>
      </c>
      <c r="AL355" s="145">
        <v>0</v>
      </c>
      <c r="AM355" s="145">
        <v>1</v>
      </c>
      <c r="AN355" s="145">
        <v>1</v>
      </c>
      <c r="AO355" s="145">
        <v>1</v>
      </c>
      <c r="AP355" s="145">
        <v>1</v>
      </c>
      <c r="AQ355" s="145">
        <v>1</v>
      </c>
      <c r="AR355" s="145">
        <v>1</v>
      </c>
      <c r="AS355" s="145">
        <v>1</v>
      </c>
      <c r="AT355" s="145">
        <v>1</v>
      </c>
      <c r="AU355" s="145">
        <f t="shared" si="125"/>
        <v>0</v>
      </c>
      <c r="AV355" s="145">
        <f t="shared" si="126"/>
        <v>1</v>
      </c>
      <c r="AW355" s="145">
        <f t="shared" si="127"/>
        <v>1</v>
      </c>
      <c r="AX355" s="145">
        <f t="shared" si="110"/>
        <v>1</v>
      </c>
      <c r="AY355" s="145">
        <f t="shared" si="128"/>
        <v>1</v>
      </c>
      <c r="AZ355" s="145">
        <f t="shared" si="129"/>
        <v>1</v>
      </c>
      <c r="BA355" s="146">
        <f t="shared" si="130"/>
        <v>1</v>
      </c>
      <c r="BB355" s="149">
        <f t="shared" si="120"/>
        <v>19</v>
      </c>
      <c r="BC355" s="150">
        <f t="shared" si="121"/>
        <v>18</v>
      </c>
      <c r="BD355" s="150">
        <f t="shared" si="122"/>
        <v>19</v>
      </c>
      <c r="BE355" s="211" t="str">
        <f t="shared" si="123"/>
        <v/>
      </c>
      <c r="BH355" s="190">
        <f>IF(AND(Input_Product=Elig!$C355,Elig_MatchAll_Ct&lt;22,$BC355=(Elig_MatchAll_Ct-1),AF355=0),C355,0)</f>
        <v>0</v>
      </c>
      <c r="BI355" s="190">
        <f>IF(AND(Input_Product=Elig!$C355,Elig_MatchAll_Ct&lt;22,$BC355=(Elig_MatchAll_Ct-1),AG355=0),D355,0)</f>
        <v>0</v>
      </c>
      <c r="BJ355" s="190">
        <f>IF(AND(Input_Product=Elig!$C355,Elig_MatchAll_Ct&lt;22,$BC355=(Elig_MatchAll_Ct-1),AH355=0),E355,0)</f>
        <v>0</v>
      </c>
      <c r="BK355" s="190">
        <f>IF(AND(Input_Product=Elig!$C355,Elig_MatchAll_Ct&lt;22,$BC355=(Elig_MatchAll_Ct-1),AI355=0),F355,0)</f>
        <v>0</v>
      </c>
      <c r="BL355" s="190">
        <f>IF(AND(Input_Product=Elig!$C355,Elig_MatchAll_Ct&lt;22,$BC355=(Elig_MatchAll_Ct-1),AJ355=0),G355,0)</f>
        <v>0</v>
      </c>
      <c r="BM355" s="190">
        <f>IF(AND(Input_Product=Elig!$C355,Elig_MatchAll_Ct&lt;22,$BC355=(Elig_MatchAll_Ct-1),AK355=0),H355,0)</f>
        <v>0</v>
      </c>
      <c r="BN355" s="190">
        <f>IF(AND(Input_Product=Elig!$C355,Elig_MatchAll_Ct&lt;22,$BC355=(Elig_MatchAll_Ct-1),AL355=0),I355,0)</f>
        <v>0</v>
      </c>
      <c r="BO355" s="190">
        <f>IF(AND(Input_Product=Elig!$C355,Elig_MatchAll_Ct&lt;22,$BC355=(Elig_MatchAll_Ct-1),AM355=0),J355,0)</f>
        <v>0</v>
      </c>
      <c r="BP355" s="190">
        <f>IF(AND(Input_Product=Elig!$C355,Elig_MatchAll_Ct&lt;22,$BC355=(Elig_MatchAll_Ct-1),AN355=0),K355,0)</f>
        <v>0</v>
      </c>
      <c r="BQ355" s="190">
        <f>IF(AND(Input_Product=Elig!$C355,Elig_MatchAll_Ct&lt;22,$BC355=(Elig_MatchAll_Ct-1),AP355=0),L355,0)</f>
        <v>0</v>
      </c>
      <c r="BR355" s="190">
        <f>IF(AND(Input_Product=Elig!$C355,Elig_MatchAll_Ct&lt;22,$BC355=(Elig_MatchAll_Ct-1),AO355=0),M355,0)</f>
        <v>0</v>
      </c>
      <c r="BS355" s="190">
        <f>IF(AND(Input_Product=Elig!$C355,Elig_MatchAll_Ct&lt;22,$BC355=(Elig_MatchAll_Ct-1),AQ355=0),N355,0)</f>
        <v>0</v>
      </c>
      <c r="BT355" s="190">
        <f>IF(AND(Input_Product=Elig!$C355,Elig_MatchAll_Ct&lt;22,$BC355=(Elig_MatchAll_Ct-1),AR355=0),O355,0)</f>
        <v>0</v>
      </c>
      <c r="BU355" s="190">
        <f>IF(AND(Input_Product=Elig!$C355,Elig_MatchAll_Ct&lt;22,$BC355=(Elig_MatchAll_Ct-1),AS355=0),P355,0)</f>
        <v>0</v>
      </c>
      <c r="BV355" s="191">
        <f>IF(AND(Input_Product=Elig!$C355,Elig_MatchAll_Ct&lt;22,$BC355=(Elig_MatchAll_Ct-1),AT355=0),Q355,0)</f>
        <v>0</v>
      </c>
      <c r="BW355" s="192">
        <f>IF(AND(Input_Product=Elig!$C355,Elig_MatchAll_Ct&lt;22,$BC355=(Elig_MatchAll_Ct-1),AU355=0),R355,0)</f>
        <v>0</v>
      </c>
      <c r="BX355" s="193">
        <f>IF(AND(Input_Product=Elig!$C355,Elig_MatchAll_Ct&lt;22,$BC355=(Elig_MatchAll_Ct-1),AU355=0),S355,0)</f>
        <v>0</v>
      </c>
      <c r="BY355" s="192">
        <f>IF(AND(Input_Product=Elig!$C355,Elig_MatchAll_Ct&lt;22,$BC355=(Elig_MatchAll_Ct-1),AV355=0),T355,0)</f>
        <v>0</v>
      </c>
      <c r="BZ355" s="193">
        <f>IF(AND(Input_Product=Elig!$C355,Elig_MatchAll_Ct&lt;22,$BC355=(Elig_MatchAll_Ct-1),AV355=0),U355,0)</f>
        <v>0</v>
      </c>
      <c r="CA355" s="192">
        <f>IF(AND(Input_Product=Elig!$C355,Elig_MatchAll_Ct&lt;22,$BC355=(Elig_MatchAll_Ct-1),AW355=0),V355,0)</f>
        <v>0</v>
      </c>
      <c r="CB355" s="193">
        <f>IF(AND(Input_Product=Elig!$C355,Elig_MatchAll_Ct&lt;22,$BC355=(Elig_MatchAll_Ct-1),AW355=0),W355,0)</f>
        <v>0</v>
      </c>
      <c r="CC355" s="192">
        <f>IF(AND(Input_Product=Elig!$C355,Elig_MatchAll_Ct&lt;22,$BC355=(Elig_MatchAll_Ct-1),AX355=0),X355,0)</f>
        <v>0</v>
      </c>
      <c r="CD355" s="193">
        <f>IF(AND(Input_Product=Elig!$C355,Elig_MatchAll_Ct&lt;22,$BC355=(Elig_MatchAll_Ct-1),AX355=0),Y355,0)</f>
        <v>0</v>
      </c>
      <c r="CE355" s="192">
        <f>IF(AND(Input_LTV&lt;=AE355,Input_Product=Elig!$C355,Elig_MatchAll_Ct&lt;22,$BC355=(Elig_MatchAll_Ct-1),AY355=0),Z355,0)</f>
        <v>0</v>
      </c>
      <c r="CF355" s="193">
        <f>IF(AND(Input_LTV&lt;=AE355,Input_Product=Elig!$C355,Elig_MatchAll_Ct&lt;22,$BC355=(Elig_MatchAll_Ct-1),AY355=0),AA355,0)</f>
        <v>0</v>
      </c>
      <c r="CG355" s="192">
        <f>IF(AND(Input_Product=Elig!$C355,Elig_MatchAll_Ct&lt;22,$BC355=(Elig_MatchAll_Ct-1),AZ355=0),AB355,0)</f>
        <v>0</v>
      </c>
      <c r="CH355" s="193">
        <f>IF(AND(Input_Product=Elig!$C355,Elig_MatchAll_Ct&lt;22,$BC355=(Elig_MatchAll_Ct-1),AZ355=0),AC355,0)</f>
        <v>0</v>
      </c>
      <c r="CI355" s="192">
        <f>IF(AND(Input_Product=Elig!$C355,Elig_MatchAll_Ct&lt;22,$BC355=(Elig_MatchAll_Ct-1),BA355=0),AD355,0)</f>
        <v>0</v>
      </c>
      <c r="CJ355" s="193">
        <f>IF(AND(Input_Product=Elig!$C355,Elig_MatchAll_Ct&lt;22,$BC355=(Elig_MatchAll_Ct-1),BA355=0),AE355,0)</f>
        <v>0</v>
      </c>
    </row>
    <row r="356" spans="1:88" ht="10.15" customHeight="1" x14ac:dyDescent="0.25">
      <c r="A356" s="252" t="s">
        <v>76</v>
      </c>
      <c r="B356" s="252" t="s">
        <v>988</v>
      </c>
      <c r="C356" s="251" t="str">
        <f t="shared" si="116"/>
        <v>NonQM NOO</v>
      </c>
      <c r="D356" s="252" t="s">
        <v>1995</v>
      </c>
      <c r="E356" s="252" t="s">
        <v>166</v>
      </c>
      <c r="F356" s="252" t="s">
        <v>329</v>
      </c>
      <c r="G356" s="252" t="s">
        <v>180</v>
      </c>
      <c r="H356" s="252" t="s">
        <v>135</v>
      </c>
      <c r="I356" s="253" t="s">
        <v>16</v>
      </c>
      <c r="J356" s="253" t="s">
        <v>1130</v>
      </c>
      <c r="K356" s="253" t="s">
        <v>1398</v>
      </c>
      <c r="L356" s="252" t="s">
        <v>311</v>
      </c>
      <c r="M356" s="252" t="s">
        <v>2289</v>
      </c>
      <c r="N356" s="252" t="s">
        <v>1844</v>
      </c>
      <c r="O356" s="252" t="s">
        <v>309</v>
      </c>
      <c r="P356" s="252" t="s">
        <v>2434</v>
      </c>
      <c r="Q356" s="252" t="s">
        <v>293</v>
      </c>
      <c r="R356" s="252">
        <v>1000000.01</v>
      </c>
      <c r="S356" s="252">
        <v>1500000</v>
      </c>
      <c r="T356" s="252">
        <v>0</v>
      </c>
      <c r="U356" s="252">
        <f t="shared" si="132"/>
        <v>1500000</v>
      </c>
      <c r="V356" s="252">
        <v>0</v>
      </c>
      <c r="W356" s="252">
        <v>55</v>
      </c>
      <c r="X356" s="261">
        <v>0.75</v>
      </c>
      <c r="Y356" s="252">
        <v>999</v>
      </c>
      <c r="Z356" s="254">
        <v>700</v>
      </c>
      <c r="AA356" s="254">
        <v>719</v>
      </c>
      <c r="AB356" s="1883">
        <v>0</v>
      </c>
      <c r="AC356" s="254">
        <v>999999</v>
      </c>
      <c r="AD356" s="252">
        <v>0</v>
      </c>
      <c r="AE356" s="255">
        <v>75</v>
      </c>
      <c r="AF356" s="144">
        <v>0</v>
      </c>
      <c r="AG356" s="145">
        <v>1</v>
      </c>
      <c r="AH356" s="145">
        <v>1</v>
      </c>
      <c r="AI356" s="145">
        <v>1</v>
      </c>
      <c r="AJ356" s="145">
        <v>1</v>
      </c>
      <c r="AK356" s="145">
        <v>1</v>
      </c>
      <c r="AL356" s="145">
        <v>0</v>
      </c>
      <c r="AM356" s="145">
        <v>1</v>
      </c>
      <c r="AN356" s="145">
        <v>1</v>
      </c>
      <c r="AO356" s="145">
        <v>1</v>
      </c>
      <c r="AP356" s="145">
        <v>1</v>
      </c>
      <c r="AQ356" s="145">
        <v>1</v>
      </c>
      <c r="AR356" s="145">
        <v>1</v>
      </c>
      <c r="AS356" s="145">
        <v>1</v>
      </c>
      <c r="AT356" s="145">
        <v>1</v>
      </c>
      <c r="AU356" s="145">
        <f t="shared" si="125"/>
        <v>0</v>
      </c>
      <c r="AV356" s="145">
        <f t="shared" si="126"/>
        <v>1</v>
      </c>
      <c r="AW356" s="145">
        <f t="shared" si="127"/>
        <v>1</v>
      </c>
      <c r="AX356" s="145">
        <f t="shared" si="110"/>
        <v>1</v>
      </c>
      <c r="AY356" s="145">
        <f t="shared" si="128"/>
        <v>0</v>
      </c>
      <c r="AZ356" s="145">
        <f t="shared" si="129"/>
        <v>1</v>
      </c>
      <c r="BA356" s="146">
        <f t="shared" si="130"/>
        <v>1</v>
      </c>
      <c r="BB356" s="149">
        <f t="shared" si="120"/>
        <v>18</v>
      </c>
      <c r="BC356" s="150">
        <f t="shared" si="121"/>
        <v>17</v>
      </c>
      <c r="BD356" s="150">
        <f t="shared" si="122"/>
        <v>18</v>
      </c>
      <c r="BE356" s="211" t="str">
        <f t="shared" si="123"/>
        <v/>
      </c>
      <c r="BH356" s="173">
        <f>IF(AND(Input_Product=Elig!$C356,Elig_MatchAll_Ct&lt;22,$BC356=(Elig_MatchAll_Ct-1),AF356=0),C356,0)</f>
        <v>0</v>
      </c>
      <c r="BI356" s="173">
        <f>IF(AND(Input_Product=Elig!$C356,Elig_MatchAll_Ct&lt;22,$BC356=(Elig_MatchAll_Ct-1),AG356=0),D356,0)</f>
        <v>0</v>
      </c>
      <c r="BJ356" s="173">
        <f>IF(AND(Input_Product=Elig!$C356,Elig_MatchAll_Ct&lt;22,$BC356=(Elig_MatchAll_Ct-1),AH356=0),E356,0)</f>
        <v>0</v>
      </c>
      <c r="BK356" s="173">
        <f>IF(AND(Input_Product=Elig!$C356,Elig_MatchAll_Ct&lt;22,$BC356=(Elig_MatchAll_Ct-1),AI356=0),F356,0)</f>
        <v>0</v>
      </c>
      <c r="BL356" s="173">
        <f>IF(AND(Input_Product=Elig!$C356,Elig_MatchAll_Ct&lt;22,$BC356=(Elig_MatchAll_Ct-1),AJ356=0),G356,0)</f>
        <v>0</v>
      </c>
      <c r="BM356" s="173">
        <f>IF(AND(Input_Product=Elig!$C356,Elig_MatchAll_Ct&lt;22,$BC356=(Elig_MatchAll_Ct-1),AK356=0),H356,0)</f>
        <v>0</v>
      </c>
      <c r="BN356" s="173">
        <f>IF(AND(Input_Product=Elig!$C356,Elig_MatchAll_Ct&lt;22,$BC356=(Elig_MatchAll_Ct-1),AL356=0),I356,0)</f>
        <v>0</v>
      </c>
      <c r="BO356" s="173">
        <f>IF(AND(Input_Product=Elig!$C356,Elig_MatchAll_Ct&lt;22,$BC356=(Elig_MatchAll_Ct-1),AM356=0),J356,0)</f>
        <v>0</v>
      </c>
      <c r="BP356" s="173">
        <f>IF(AND(Input_Product=Elig!$C356,Elig_MatchAll_Ct&lt;22,$BC356=(Elig_MatchAll_Ct-1),AN356=0),K356,0)</f>
        <v>0</v>
      </c>
      <c r="BQ356" s="173">
        <f>IF(AND(Input_Product=Elig!$C356,Elig_MatchAll_Ct&lt;22,$BC356=(Elig_MatchAll_Ct-1),AP356=0),L356,0)</f>
        <v>0</v>
      </c>
      <c r="BR356" s="173">
        <f>IF(AND(Input_Product=Elig!$C356,Elig_MatchAll_Ct&lt;22,$BC356=(Elig_MatchAll_Ct-1),AO356=0),M356,0)</f>
        <v>0</v>
      </c>
      <c r="BS356" s="173">
        <f>IF(AND(Input_Product=Elig!$C356,Elig_MatchAll_Ct&lt;22,$BC356=(Elig_MatchAll_Ct-1),AQ356=0),N356,0)</f>
        <v>0</v>
      </c>
      <c r="BT356" s="173">
        <f>IF(AND(Input_Product=Elig!$C356,Elig_MatchAll_Ct&lt;22,$BC356=(Elig_MatchAll_Ct-1),AR356=0),O356,0)</f>
        <v>0</v>
      </c>
      <c r="BU356" s="173">
        <f>IF(AND(Input_Product=Elig!$C356,Elig_MatchAll_Ct&lt;22,$BC356=(Elig_MatchAll_Ct-1),AS356=0),P356,0)</f>
        <v>0</v>
      </c>
      <c r="BV356" s="174">
        <f>IF(AND(Input_Product=Elig!$C356,Elig_MatchAll_Ct&lt;22,$BC356=(Elig_MatchAll_Ct-1),AT356=0),Q356,0)</f>
        <v>0</v>
      </c>
      <c r="BW356" s="175">
        <f>IF(AND(Input_Product=Elig!$C356,Elig_MatchAll_Ct&lt;22,$BC356=(Elig_MatchAll_Ct-1),AU356=0),R356,0)</f>
        <v>0</v>
      </c>
      <c r="BX356" s="176">
        <f>IF(AND(Input_Product=Elig!$C356,Elig_MatchAll_Ct&lt;22,$BC356=(Elig_MatchAll_Ct-1),AU356=0),S356,0)</f>
        <v>0</v>
      </c>
      <c r="BY356" s="175">
        <f>IF(AND(Input_Product=Elig!$C356,Elig_MatchAll_Ct&lt;22,$BC356=(Elig_MatchAll_Ct-1),AV356=0),T356,0)</f>
        <v>0</v>
      </c>
      <c r="BZ356" s="176">
        <f>IF(AND(Input_Product=Elig!$C356,Elig_MatchAll_Ct&lt;22,$BC356=(Elig_MatchAll_Ct-1),AV356=0),U356,0)</f>
        <v>0</v>
      </c>
      <c r="CA356" s="175">
        <f>IF(AND(Input_Product=Elig!$C356,Elig_MatchAll_Ct&lt;22,$BC356=(Elig_MatchAll_Ct-1),AW356=0),V356,0)</f>
        <v>0</v>
      </c>
      <c r="CB356" s="176">
        <f>IF(AND(Input_Product=Elig!$C356,Elig_MatchAll_Ct&lt;22,$BC356=(Elig_MatchAll_Ct-1),AW356=0),W356,0)</f>
        <v>0</v>
      </c>
      <c r="CC356" s="175">
        <f>IF(AND(Input_Product=Elig!$C356,Elig_MatchAll_Ct&lt;22,$BC356=(Elig_MatchAll_Ct-1),AX356=0),X356,0)</f>
        <v>0</v>
      </c>
      <c r="CD356" s="176">
        <f>IF(AND(Input_Product=Elig!$C356,Elig_MatchAll_Ct&lt;22,$BC356=(Elig_MatchAll_Ct-1),AX356=0),Y356,0)</f>
        <v>0</v>
      </c>
      <c r="CE356" s="175">
        <f>IF(AND(Input_LTV&lt;=AE356,Input_Product=Elig!$C356,Elig_MatchAll_Ct&lt;22,$BC356=(Elig_MatchAll_Ct-1),AY356=0),Z356,0)</f>
        <v>0</v>
      </c>
      <c r="CF356" s="176">
        <f>IF(AND(Input_LTV&lt;=AE356,Input_Product=Elig!$C356,Elig_MatchAll_Ct&lt;22,$BC356=(Elig_MatchAll_Ct-1),AY356=0),AA356,0)</f>
        <v>0</v>
      </c>
      <c r="CG356" s="175">
        <f>IF(AND(Input_Product=Elig!$C356,Elig_MatchAll_Ct&lt;22,$BC356=(Elig_MatchAll_Ct-1),AZ356=0),AB356,0)</f>
        <v>0</v>
      </c>
      <c r="CH356" s="176">
        <f>IF(AND(Input_Product=Elig!$C356,Elig_MatchAll_Ct&lt;22,$BC356=(Elig_MatchAll_Ct-1),AZ356=0),AC356,0)</f>
        <v>0</v>
      </c>
      <c r="CI356" s="175">
        <f>IF(AND(Input_Product=Elig!$C356,Elig_MatchAll_Ct&lt;22,$BC356=(Elig_MatchAll_Ct-1),BA356=0),AD356,0)</f>
        <v>0</v>
      </c>
      <c r="CJ356" s="176">
        <f>IF(AND(Input_Product=Elig!$C356,Elig_MatchAll_Ct&lt;22,$BC356=(Elig_MatchAll_Ct-1),BA356=0),AE356,0)</f>
        <v>0</v>
      </c>
    </row>
    <row r="357" spans="1:88" ht="10.15" customHeight="1" x14ac:dyDescent="0.25">
      <c r="A357" s="252" t="s">
        <v>76</v>
      </c>
      <c r="B357" s="252" t="s">
        <v>989</v>
      </c>
      <c r="C357" s="251" t="str">
        <f t="shared" si="116"/>
        <v>NonQM NOO</v>
      </c>
      <c r="D357" s="252" t="s">
        <v>1995</v>
      </c>
      <c r="E357" s="252" t="s">
        <v>166</v>
      </c>
      <c r="F357" s="252" t="s">
        <v>329</v>
      </c>
      <c r="G357" s="252" t="s">
        <v>180</v>
      </c>
      <c r="H357" s="252" t="s">
        <v>135</v>
      </c>
      <c r="I357" s="253" t="s">
        <v>16</v>
      </c>
      <c r="J357" s="253" t="s">
        <v>1130</v>
      </c>
      <c r="K357" s="253" t="s">
        <v>1398</v>
      </c>
      <c r="L357" s="252" t="s">
        <v>311</v>
      </c>
      <c r="M357" s="252" t="s">
        <v>2289</v>
      </c>
      <c r="N357" s="252" t="s">
        <v>1844</v>
      </c>
      <c r="O357" s="252" t="s">
        <v>309</v>
      </c>
      <c r="P357" s="252" t="s">
        <v>2434</v>
      </c>
      <c r="Q357" s="252" t="s">
        <v>293</v>
      </c>
      <c r="R357" s="252">
        <v>1000000.01</v>
      </c>
      <c r="S357" s="252">
        <v>1500000</v>
      </c>
      <c r="T357" s="252">
        <v>0</v>
      </c>
      <c r="U357" s="252">
        <f t="shared" si="132"/>
        <v>1500000</v>
      </c>
      <c r="V357" s="252">
        <v>0</v>
      </c>
      <c r="W357" s="252">
        <v>55</v>
      </c>
      <c r="X357" s="261">
        <v>0.75</v>
      </c>
      <c r="Y357" s="252">
        <v>999</v>
      </c>
      <c r="Z357" s="254">
        <v>680</v>
      </c>
      <c r="AA357" s="254">
        <v>699</v>
      </c>
      <c r="AB357" s="1883">
        <v>0</v>
      </c>
      <c r="AC357" s="254">
        <v>999999</v>
      </c>
      <c r="AD357" s="252">
        <v>0</v>
      </c>
      <c r="AE357" s="255">
        <v>75</v>
      </c>
      <c r="AF357" s="144">
        <v>0</v>
      </c>
      <c r="AG357" s="145">
        <v>1</v>
      </c>
      <c r="AH357" s="145">
        <v>1</v>
      </c>
      <c r="AI357" s="145">
        <v>1</v>
      </c>
      <c r="AJ357" s="145">
        <v>1</v>
      </c>
      <c r="AK357" s="145">
        <v>1</v>
      </c>
      <c r="AL357" s="145">
        <v>0</v>
      </c>
      <c r="AM357" s="145">
        <v>1</v>
      </c>
      <c r="AN357" s="145">
        <v>1</v>
      </c>
      <c r="AO357" s="145">
        <v>1</v>
      </c>
      <c r="AP357" s="145">
        <v>1</v>
      </c>
      <c r="AQ357" s="145">
        <v>1</v>
      </c>
      <c r="AR357" s="145">
        <v>1</v>
      </c>
      <c r="AS357" s="145">
        <v>1</v>
      </c>
      <c r="AT357" s="145">
        <v>1</v>
      </c>
      <c r="AU357" s="145">
        <f t="shared" si="125"/>
        <v>0</v>
      </c>
      <c r="AV357" s="145">
        <f t="shared" si="126"/>
        <v>1</v>
      </c>
      <c r="AW357" s="145">
        <f t="shared" si="127"/>
        <v>1</v>
      </c>
      <c r="AX357" s="145">
        <f t="shared" si="110"/>
        <v>1</v>
      </c>
      <c r="AY357" s="145">
        <f t="shared" si="128"/>
        <v>0</v>
      </c>
      <c r="AZ357" s="145">
        <f t="shared" si="129"/>
        <v>1</v>
      </c>
      <c r="BA357" s="146">
        <f t="shared" si="130"/>
        <v>1</v>
      </c>
      <c r="BB357" s="149">
        <f t="shared" si="120"/>
        <v>18</v>
      </c>
      <c r="BC357" s="150">
        <f t="shared" si="121"/>
        <v>17</v>
      </c>
      <c r="BD357" s="150">
        <f t="shared" si="122"/>
        <v>18</v>
      </c>
      <c r="BE357" s="211" t="str">
        <f t="shared" si="123"/>
        <v/>
      </c>
      <c r="BH357" s="173">
        <f>IF(AND(Input_Product=Elig!$C357,Elig_MatchAll_Ct&lt;22,$BC357=(Elig_MatchAll_Ct-1),AF357=0),C357,0)</f>
        <v>0</v>
      </c>
      <c r="BI357" s="173">
        <f>IF(AND(Input_Product=Elig!$C357,Elig_MatchAll_Ct&lt;22,$BC357=(Elig_MatchAll_Ct-1),AG357=0),D357,0)</f>
        <v>0</v>
      </c>
      <c r="BJ357" s="173">
        <f>IF(AND(Input_Product=Elig!$C357,Elig_MatchAll_Ct&lt;22,$BC357=(Elig_MatchAll_Ct-1),AH357=0),E357,0)</f>
        <v>0</v>
      </c>
      <c r="BK357" s="173">
        <f>IF(AND(Input_Product=Elig!$C357,Elig_MatchAll_Ct&lt;22,$BC357=(Elig_MatchAll_Ct-1),AI357=0),F357,0)</f>
        <v>0</v>
      </c>
      <c r="BL357" s="173">
        <f>IF(AND(Input_Product=Elig!$C357,Elig_MatchAll_Ct&lt;22,$BC357=(Elig_MatchAll_Ct-1),AJ357=0),G357,0)</f>
        <v>0</v>
      </c>
      <c r="BM357" s="173">
        <f>IF(AND(Input_Product=Elig!$C357,Elig_MatchAll_Ct&lt;22,$BC357=(Elig_MatchAll_Ct-1),AK357=0),H357,0)</f>
        <v>0</v>
      </c>
      <c r="BN357" s="173">
        <f>IF(AND(Input_Product=Elig!$C357,Elig_MatchAll_Ct&lt;22,$BC357=(Elig_MatchAll_Ct-1),AL357=0),I357,0)</f>
        <v>0</v>
      </c>
      <c r="BO357" s="173">
        <f>IF(AND(Input_Product=Elig!$C357,Elig_MatchAll_Ct&lt;22,$BC357=(Elig_MatchAll_Ct-1),AM357=0),J357,0)</f>
        <v>0</v>
      </c>
      <c r="BP357" s="173">
        <f>IF(AND(Input_Product=Elig!$C357,Elig_MatchAll_Ct&lt;22,$BC357=(Elig_MatchAll_Ct-1),AN357=0),K357,0)</f>
        <v>0</v>
      </c>
      <c r="BQ357" s="173">
        <f>IF(AND(Input_Product=Elig!$C357,Elig_MatchAll_Ct&lt;22,$BC357=(Elig_MatchAll_Ct-1),AP357=0),L357,0)</f>
        <v>0</v>
      </c>
      <c r="BR357" s="173">
        <f>IF(AND(Input_Product=Elig!$C357,Elig_MatchAll_Ct&lt;22,$BC357=(Elig_MatchAll_Ct-1),AO357=0),M357,0)</f>
        <v>0</v>
      </c>
      <c r="BS357" s="173">
        <f>IF(AND(Input_Product=Elig!$C357,Elig_MatchAll_Ct&lt;22,$BC357=(Elig_MatchAll_Ct-1),AQ357=0),N357,0)</f>
        <v>0</v>
      </c>
      <c r="BT357" s="173">
        <f>IF(AND(Input_Product=Elig!$C357,Elig_MatchAll_Ct&lt;22,$BC357=(Elig_MatchAll_Ct-1),AR357=0),O357,0)</f>
        <v>0</v>
      </c>
      <c r="BU357" s="173">
        <f>IF(AND(Input_Product=Elig!$C357,Elig_MatchAll_Ct&lt;22,$BC357=(Elig_MatchAll_Ct-1),AS357=0),P357,0)</f>
        <v>0</v>
      </c>
      <c r="BV357" s="174">
        <f>IF(AND(Input_Product=Elig!$C357,Elig_MatchAll_Ct&lt;22,$BC357=(Elig_MatchAll_Ct-1),AT357=0),Q357,0)</f>
        <v>0</v>
      </c>
      <c r="BW357" s="175">
        <f>IF(AND(Input_Product=Elig!$C357,Elig_MatchAll_Ct&lt;22,$BC357=(Elig_MatchAll_Ct-1),AU357=0),R357,0)</f>
        <v>0</v>
      </c>
      <c r="BX357" s="176">
        <f>IF(AND(Input_Product=Elig!$C357,Elig_MatchAll_Ct&lt;22,$BC357=(Elig_MatchAll_Ct-1),AU357=0),S357,0)</f>
        <v>0</v>
      </c>
      <c r="BY357" s="175">
        <f>IF(AND(Input_Product=Elig!$C357,Elig_MatchAll_Ct&lt;22,$BC357=(Elig_MatchAll_Ct-1),AV357=0),T357,0)</f>
        <v>0</v>
      </c>
      <c r="BZ357" s="176">
        <f>IF(AND(Input_Product=Elig!$C357,Elig_MatchAll_Ct&lt;22,$BC357=(Elig_MatchAll_Ct-1),AV357=0),U357,0)</f>
        <v>0</v>
      </c>
      <c r="CA357" s="175">
        <f>IF(AND(Input_Product=Elig!$C357,Elig_MatchAll_Ct&lt;22,$BC357=(Elig_MatchAll_Ct-1),AW357=0),V357,0)</f>
        <v>0</v>
      </c>
      <c r="CB357" s="176">
        <f>IF(AND(Input_Product=Elig!$C357,Elig_MatchAll_Ct&lt;22,$BC357=(Elig_MatchAll_Ct-1),AW357=0),W357,0)</f>
        <v>0</v>
      </c>
      <c r="CC357" s="175">
        <f>IF(AND(Input_Product=Elig!$C357,Elig_MatchAll_Ct&lt;22,$BC357=(Elig_MatchAll_Ct-1),AX357=0),X357,0)</f>
        <v>0</v>
      </c>
      <c r="CD357" s="176">
        <f>IF(AND(Input_Product=Elig!$C357,Elig_MatchAll_Ct&lt;22,$BC357=(Elig_MatchAll_Ct-1),AX357=0),Y357,0)</f>
        <v>0</v>
      </c>
      <c r="CE357" s="175">
        <f>IF(AND(Input_LTV&lt;=AE357,Input_Product=Elig!$C357,Elig_MatchAll_Ct&lt;22,$BC357=(Elig_MatchAll_Ct-1),AY357=0),Z357,0)</f>
        <v>0</v>
      </c>
      <c r="CF357" s="176">
        <f>IF(AND(Input_LTV&lt;=AE357,Input_Product=Elig!$C357,Elig_MatchAll_Ct&lt;22,$BC357=(Elig_MatchAll_Ct-1),AY357=0),AA357,0)</f>
        <v>0</v>
      </c>
      <c r="CG357" s="175">
        <f>IF(AND(Input_Product=Elig!$C357,Elig_MatchAll_Ct&lt;22,$BC357=(Elig_MatchAll_Ct-1),AZ357=0),AB357,0)</f>
        <v>0</v>
      </c>
      <c r="CH357" s="176">
        <f>IF(AND(Input_Product=Elig!$C357,Elig_MatchAll_Ct&lt;22,$BC357=(Elig_MatchAll_Ct-1),AZ357=0),AC357,0)</f>
        <v>0</v>
      </c>
      <c r="CI357" s="175">
        <f>IF(AND(Input_Product=Elig!$C357,Elig_MatchAll_Ct&lt;22,$BC357=(Elig_MatchAll_Ct-1),BA357=0),AD357,0)</f>
        <v>0</v>
      </c>
      <c r="CJ357" s="176">
        <f>IF(AND(Input_Product=Elig!$C357,Elig_MatchAll_Ct&lt;22,$BC357=(Elig_MatchAll_Ct-1),BA357=0),AE357,0)</f>
        <v>0</v>
      </c>
    </row>
    <row r="358" spans="1:88" ht="10.15" customHeight="1" x14ac:dyDescent="0.25">
      <c r="A358" s="252" t="s">
        <v>76</v>
      </c>
      <c r="B358" s="252" t="s">
        <v>990</v>
      </c>
      <c r="C358" s="251" t="str">
        <f t="shared" si="116"/>
        <v>NonQM NOO</v>
      </c>
      <c r="D358" s="252" t="s">
        <v>1995</v>
      </c>
      <c r="E358" s="252" t="s">
        <v>166</v>
      </c>
      <c r="F358" s="252" t="s">
        <v>329</v>
      </c>
      <c r="G358" s="252" t="s">
        <v>180</v>
      </c>
      <c r="H358" s="252" t="s">
        <v>135</v>
      </c>
      <c r="I358" s="252" t="s">
        <v>16</v>
      </c>
      <c r="J358" s="252" t="s">
        <v>1130</v>
      </c>
      <c r="K358" s="252" t="s">
        <v>1398</v>
      </c>
      <c r="L358" s="252" t="s">
        <v>311</v>
      </c>
      <c r="M358" s="252" t="s">
        <v>2289</v>
      </c>
      <c r="N358" s="252" t="s">
        <v>1844</v>
      </c>
      <c r="O358" s="252" t="s">
        <v>309</v>
      </c>
      <c r="P358" s="252" t="s">
        <v>2434</v>
      </c>
      <c r="Q358" s="252" t="s">
        <v>293</v>
      </c>
      <c r="R358" s="252">
        <v>1000000.01</v>
      </c>
      <c r="S358" s="252">
        <v>1500000</v>
      </c>
      <c r="T358" s="252">
        <v>0</v>
      </c>
      <c r="U358" s="252">
        <f t="shared" si="132"/>
        <v>1500000</v>
      </c>
      <c r="V358" s="252">
        <v>0</v>
      </c>
      <c r="W358" s="252">
        <v>50</v>
      </c>
      <c r="X358" s="252">
        <v>1</v>
      </c>
      <c r="Y358" s="252">
        <v>999</v>
      </c>
      <c r="Z358" s="1540">
        <v>660</v>
      </c>
      <c r="AA358" s="1540">
        <v>679</v>
      </c>
      <c r="AB358" s="1883">
        <v>0</v>
      </c>
      <c r="AC358" s="254">
        <v>999999</v>
      </c>
      <c r="AD358" s="252">
        <v>0</v>
      </c>
      <c r="AE358" s="255">
        <v>70</v>
      </c>
      <c r="AF358" s="144">
        <v>0</v>
      </c>
      <c r="AG358" s="145">
        <v>1</v>
      </c>
      <c r="AH358" s="145">
        <v>1</v>
      </c>
      <c r="AI358" s="145">
        <v>1</v>
      </c>
      <c r="AJ358" s="145">
        <v>1</v>
      </c>
      <c r="AK358" s="145">
        <v>1</v>
      </c>
      <c r="AL358" s="145">
        <v>0</v>
      </c>
      <c r="AM358" s="145">
        <v>1</v>
      </c>
      <c r="AN358" s="145">
        <v>1</v>
      </c>
      <c r="AO358" s="145">
        <v>1</v>
      </c>
      <c r="AP358" s="145">
        <v>1</v>
      </c>
      <c r="AQ358" s="145">
        <v>1</v>
      </c>
      <c r="AR358" s="145">
        <v>1</v>
      </c>
      <c r="AS358" s="145">
        <v>1</v>
      </c>
      <c r="AT358" s="145">
        <v>1</v>
      </c>
      <c r="AU358" s="145">
        <f t="shared" si="125"/>
        <v>0</v>
      </c>
      <c r="AV358" s="145">
        <f t="shared" si="126"/>
        <v>1</v>
      </c>
      <c r="AW358" s="145">
        <f t="shared" si="127"/>
        <v>1</v>
      </c>
      <c r="AX358" s="145">
        <f t="shared" si="110"/>
        <v>1</v>
      </c>
      <c r="AY358" s="145">
        <f t="shared" si="128"/>
        <v>0</v>
      </c>
      <c r="AZ358" s="145">
        <f t="shared" si="129"/>
        <v>1</v>
      </c>
      <c r="BA358" s="146">
        <f t="shared" si="130"/>
        <v>1</v>
      </c>
      <c r="BB358" s="149">
        <f t="shared" si="120"/>
        <v>18</v>
      </c>
      <c r="BC358" s="150">
        <f t="shared" si="121"/>
        <v>17</v>
      </c>
      <c r="BD358" s="150">
        <f t="shared" si="122"/>
        <v>18</v>
      </c>
      <c r="BE358" s="211" t="str">
        <f t="shared" si="123"/>
        <v/>
      </c>
      <c r="BH358" s="173">
        <f>IF(AND(Input_Product=Elig!$C358,Elig_MatchAll_Ct&lt;22,$BC358=(Elig_MatchAll_Ct-1),AF358=0),C358,0)</f>
        <v>0</v>
      </c>
      <c r="BI358" s="173">
        <f>IF(AND(Input_Product=Elig!$C358,Elig_MatchAll_Ct&lt;22,$BC358=(Elig_MatchAll_Ct-1),AG358=0),D358,0)</f>
        <v>0</v>
      </c>
      <c r="BJ358" s="173">
        <f>IF(AND(Input_Product=Elig!$C358,Elig_MatchAll_Ct&lt;22,$BC358=(Elig_MatchAll_Ct-1),AH358=0),E358,0)</f>
        <v>0</v>
      </c>
      <c r="BK358" s="173">
        <f>IF(AND(Input_Product=Elig!$C358,Elig_MatchAll_Ct&lt;22,$BC358=(Elig_MatchAll_Ct-1),AI358=0),F358,0)</f>
        <v>0</v>
      </c>
      <c r="BL358" s="173">
        <f>IF(AND(Input_Product=Elig!$C358,Elig_MatchAll_Ct&lt;22,$BC358=(Elig_MatchAll_Ct-1),AJ358=0),G358,0)</f>
        <v>0</v>
      </c>
      <c r="BM358" s="173">
        <f>IF(AND(Input_Product=Elig!$C358,Elig_MatchAll_Ct&lt;22,$BC358=(Elig_MatchAll_Ct-1),AK358=0),H358,0)</f>
        <v>0</v>
      </c>
      <c r="BN358" s="173">
        <f>IF(AND(Input_Product=Elig!$C358,Elig_MatchAll_Ct&lt;22,$BC358=(Elig_MatchAll_Ct-1),AL358=0),I358,0)</f>
        <v>0</v>
      </c>
      <c r="BO358" s="173">
        <f>IF(AND(Input_Product=Elig!$C358,Elig_MatchAll_Ct&lt;22,$BC358=(Elig_MatchAll_Ct-1),AM358=0),J358,0)</f>
        <v>0</v>
      </c>
      <c r="BP358" s="173">
        <f>IF(AND(Input_Product=Elig!$C358,Elig_MatchAll_Ct&lt;22,$BC358=(Elig_MatchAll_Ct-1),AN358=0),K358,0)</f>
        <v>0</v>
      </c>
      <c r="BQ358" s="173">
        <f>IF(AND(Input_Product=Elig!$C358,Elig_MatchAll_Ct&lt;22,$BC358=(Elig_MatchAll_Ct-1),AP358=0),L358,0)</f>
        <v>0</v>
      </c>
      <c r="BR358" s="173">
        <f>IF(AND(Input_Product=Elig!$C358,Elig_MatchAll_Ct&lt;22,$BC358=(Elig_MatchAll_Ct-1),AO358=0),M358,0)</f>
        <v>0</v>
      </c>
      <c r="BS358" s="173">
        <f>IF(AND(Input_Product=Elig!$C358,Elig_MatchAll_Ct&lt;22,$BC358=(Elig_MatchAll_Ct-1),AQ358=0),N358,0)</f>
        <v>0</v>
      </c>
      <c r="BT358" s="173">
        <f>IF(AND(Input_Product=Elig!$C358,Elig_MatchAll_Ct&lt;22,$BC358=(Elig_MatchAll_Ct-1),AR358=0),O358,0)</f>
        <v>0</v>
      </c>
      <c r="BU358" s="173">
        <f>IF(AND(Input_Product=Elig!$C358,Elig_MatchAll_Ct&lt;22,$BC358=(Elig_MatchAll_Ct-1),AS358=0),P358,0)</f>
        <v>0</v>
      </c>
      <c r="BV358" s="174">
        <f>IF(AND(Input_Product=Elig!$C358,Elig_MatchAll_Ct&lt;22,$BC358=(Elig_MatchAll_Ct-1),AT358=0),Q358,0)</f>
        <v>0</v>
      </c>
      <c r="BW358" s="175">
        <f>IF(AND(Input_Product=Elig!$C358,Elig_MatchAll_Ct&lt;22,$BC358=(Elig_MatchAll_Ct-1),AU358=0),R358,0)</f>
        <v>0</v>
      </c>
      <c r="BX358" s="176">
        <f>IF(AND(Input_Product=Elig!$C358,Elig_MatchAll_Ct&lt;22,$BC358=(Elig_MatchAll_Ct-1),AU358=0),S358,0)</f>
        <v>0</v>
      </c>
      <c r="BY358" s="175">
        <f>IF(AND(Input_Product=Elig!$C358,Elig_MatchAll_Ct&lt;22,$BC358=(Elig_MatchAll_Ct-1),AV358=0),T358,0)</f>
        <v>0</v>
      </c>
      <c r="BZ358" s="176">
        <f>IF(AND(Input_Product=Elig!$C358,Elig_MatchAll_Ct&lt;22,$BC358=(Elig_MatchAll_Ct-1),AV358=0),U358,0)</f>
        <v>0</v>
      </c>
      <c r="CA358" s="175">
        <f>IF(AND(Input_Product=Elig!$C358,Elig_MatchAll_Ct&lt;22,$BC358=(Elig_MatchAll_Ct-1),AW358=0),V358,0)</f>
        <v>0</v>
      </c>
      <c r="CB358" s="176">
        <f>IF(AND(Input_Product=Elig!$C358,Elig_MatchAll_Ct&lt;22,$BC358=(Elig_MatchAll_Ct-1),AW358=0),W358,0)</f>
        <v>0</v>
      </c>
      <c r="CC358" s="175">
        <f>IF(AND(Input_Product=Elig!$C358,Elig_MatchAll_Ct&lt;22,$BC358=(Elig_MatchAll_Ct-1),AX358=0),X358,0)</f>
        <v>0</v>
      </c>
      <c r="CD358" s="176">
        <f>IF(AND(Input_Product=Elig!$C358,Elig_MatchAll_Ct&lt;22,$BC358=(Elig_MatchAll_Ct-1),AX358=0),Y358,0)</f>
        <v>0</v>
      </c>
      <c r="CE358" s="175">
        <f>IF(AND(Input_LTV&lt;=AE358,Input_Product=Elig!$C358,Elig_MatchAll_Ct&lt;22,$BC358=(Elig_MatchAll_Ct-1),AY358=0),Z358,0)</f>
        <v>0</v>
      </c>
      <c r="CF358" s="176">
        <f>IF(AND(Input_LTV&lt;=AE358,Input_Product=Elig!$C358,Elig_MatchAll_Ct&lt;22,$BC358=(Elig_MatchAll_Ct-1),AY358=0),AA358,0)</f>
        <v>0</v>
      </c>
      <c r="CG358" s="175">
        <f>IF(AND(Input_Product=Elig!$C358,Elig_MatchAll_Ct&lt;22,$BC358=(Elig_MatchAll_Ct-1),AZ358=0),AB358,0)</f>
        <v>0</v>
      </c>
      <c r="CH358" s="176">
        <f>IF(AND(Input_Product=Elig!$C358,Elig_MatchAll_Ct&lt;22,$BC358=(Elig_MatchAll_Ct-1),AZ358=0),AC358,0)</f>
        <v>0</v>
      </c>
      <c r="CI358" s="175">
        <f>IF(AND(Input_Product=Elig!$C358,Elig_MatchAll_Ct&lt;22,$BC358=(Elig_MatchAll_Ct-1),BA358=0),AD358,0)</f>
        <v>0</v>
      </c>
      <c r="CJ358" s="176">
        <f>IF(AND(Input_Product=Elig!$C358,Elig_MatchAll_Ct&lt;22,$BC358=(Elig_MatchAll_Ct-1),BA358=0),AE358,0)</f>
        <v>0</v>
      </c>
    </row>
    <row r="359" spans="1:88" ht="10.15" customHeight="1" x14ac:dyDescent="0.25">
      <c r="A359" s="252" t="s">
        <v>76</v>
      </c>
      <c r="B359" s="252" t="s">
        <v>991</v>
      </c>
      <c r="C359" s="251" t="str">
        <f t="shared" si="116"/>
        <v>NonQM NOO</v>
      </c>
      <c r="D359" s="252" t="s">
        <v>1995</v>
      </c>
      <c r="E359" s="252" t="s">
        <v>166</v>
      </c>
      <c r="F359" s="252" t="s">
        <v>329</v>
      </c>
      <c r="G359" s="252" t="s">
        <v>180</v>
      </c>
      <c r="H359" s="252" t="s">
        <v>135</v>
      </c>
      <c r="I359" s="252" t="s">
        <v>16</v>
      </c>
      <c r="J359" s="252" t="s">
        <v>1130</v>
      </c>
      <c r="K359" s="252" t="s">
        <v>1398</v>
      </c>
      <c r="L359" s="252" t="s">
        <v>311</v>
      </c>
      <c r="M359" s="252" t="s">
        <v>2289</v>
      </c>
      <c r="N359" s="252" t="s">
        <v>1844</v>
      </c>
      <c r="O359" s="252" t="s">
        <v>45</v>
      </c>
      <c r="P359" s="252" t="s">
        <v>2434</v>
      </c>
      <c r="Q359" s="252" t="s">
        <v>293</v>
      </c>
      <c r="R359" s="252">
        <v>1000000.01</v>
      </c>
      <c r="S359" s="252">
        <v>1500000</v>
      </c>
      <c r="T359" s="252">
        <v>0</v>
      </c>
      <c r="U359" s="252">
        <f t="shared" si="132"/>
        <v>1500000</v>
      </c>
      <c r="V359" s="252">
        <v>0</v>
      </c>
      <c r="W359" s="252">
        <v>50</v>
      </c>
      <c r="X359" s="252">
        <v>1</v>
      </c>
      <c r="Y359" s="252">
        <v>999</v>
      </c>
      <c r="Z359" s="1540">
        <v>660</v>
      </c>
      <c r="AA359" s="1540">
        <v>679</v>
      </c>
      <c r="AB359" s="1883">
        <v>0</v>
      </c>
      <c r="AC359" s="254">
        <v>999999</v>
      </c>
      <c r="AD359" s="252">
        <v>0</v>
      </c>
      <c r="AE359" s="255">
        <v>70</v>
      </c>
      <c r="AF359" s="144">
        <v>0</v>
      </c>
      <c r="AG359" s="145">
        <v>1</v>
      </c>
      <c r="AH359" s="145">
        <v>1</v>
      </c>
      <c r="AI359" s="145">
        <v>1</v>
      </c>
      <c r="AJ359" s="145">
        <v>1</v>
      </c>
      <c r="AK359" s="145">
        <v>1</v>
      </c>
      <c r="AL359" s="145">
        <v>0</v>
      </c>
      <c r="AM359" s="145">
        <v>1</v>
      </c>
      <c r="AN359" s="145">
        <v>1</v>
      </c>
      <c r="AO359" s="145">
        <v>1</v>
      </c>
      <c r="AP359" s="145">
        <v>1</v>
      </c>
      <c r="AQ359" s="145">
        <v>1</v>
      </c>
      <c r="AR359" s="145">
        <v>0</v>
      </c>
      <c r="AS359" s="145">
        <v>1</v>
      </c>
      <c r="AT359" s="145">
        <v>1</v>
      </c>
      <c r="AU359" s="145">
        <f t="shared" si="125"/>
        <v>0</v>
      </c>
      <c r="AV359" s="145">
        <f t="shared" si="126"/>
        <v>1</v>
      </c>
      <c r="AW359" s="145">
        <f t="shared" si="127"/>
        <v>1</v>
      </c>
      <c r="AX359" s="145">
        <f t="shared" si="110"/>
        <v>1</v>
      </c>
      <c r="AY359" s="145">
        <f t="shared" si="128"/>
        <v>0</v>
      </c>
      <c r="AZ359" s="145">
        <f t="shared" si="129"/>
        <v>1</v>
      </c>
      <c r="BA359" s="146">
        <f t="shared" si="130"/>
        <v>1</v>
      </c>
      <c r="BB359" s="149">
        <f t="shared" si="120"/>
        <v>17</v>
      </c>
      <c r="BC359" s="150">
        <f t="shared" si="121"/>
        <v>16</v>
      </c>
      <c r="BD359" s="150">
        <f t="shared" si="122"/>
        <v>17</v>
      </c>
      <c r="BE359" s="211" t="str">
        <f t="shared" si="123"/>
        <v/>
      </c>
      <c r="BH359" s="173">
        <f>IF(AND(Input_Product=Elig!$C359,Elig_MatchAll_Ct&lt;22,$BC359=(Elig_MatchAll_Ct-1),AF359=0),C359,0)</f>
        <v>0</v>
      </c>
      <c r="BI359" s="173">
        <f>IF(AND(Input_Product=Elig!$C359,Elig_MatchAll_Ct&lt;22,$BC359=(Elig_MatchAll_Ct-1),AG359=0),D359,0)</f>
        <v>0</v>
      </c>
      <c r="BJ359" s="173">
        <f>IF(AND(Input_Product=Elig!$C359,Elig_MatchAll_Ct&lt;22,$BC359=(Elig_MatchAll_Ct-1),AH359=0),E359,0)</f>
        <v>0</v>
      </c>
      <c r="BK359" s="173">
        <f>IF(AND(Input_Product=Elig!$C359,Elig_MatchAll_Ct&lt;22,$BC359=(Elig_MatchAll_Ct-1),AI359=0),F359,0)</f>
        <v>0</v>
      </c>
      <c r="BL359" s="173">
        <f>IF(AND(Input_Product=Elig!$C359,Elig_MatchAll_Ct&lt;22,$BC359=(Elig_MatchAll_Ct-1),AJ359=0),G359,0)</f>
        <v>0</v>
      </c>
      <c r="BM359" s="173">
        <f>IF(AND(Input_Product=Elig!$C359,Elig_MatchAll_Ct&lt;22,$BC359=(Elig_MatchAll_Ct-1),AK359=0),H359,0)</f>
        <v>0</v>
      </c>
      <c r="BN359" s="173">
        <f>IF(AND(Input_Product=Elig!$C359,Elig_MatchAll_Ct&lt;22,$BC359=(Elig_MatchAll_Ct-1),AL359=0),I359,0)</f>
        <v>0</v>
      </c>
      <c r="BO359" s="173">
        <f>IF(AND(Input_Product=Elig!$C359,Elig_MatchAll_Ct&lt;22,$BC359=(Elig_MatchAll_Ct-1),AM359=0),J359,0)</f>
        <v>0</v>
      </c>
      <c r="BP359" s="173">
        <f>IF(AND(Input_Product=Elig!$C359,Elig_MatchAll_Ct&lt;22,$BC359=(Elig_MatchAll_Ct-1),AN359=0),K359,0)</f>
        <v>0</v>
      </c>
      <c r="BQ359" s="173">
        <f>IF(AND(Input_Product=Elig!$C359,Elig_MatchAll_Ct&lt;22,$BC359=(Elig_MatchAll_Ct-1),AP359=0),L359,0)</f>
        <v>0</v>
      </c>
      <c r="BR359" s="173">
        <f>IF(AND(Input_Product=Elig!$C359,Elig_MatchAll_Ct&lt;22,$BC359=(Elig_MatchAll_Ct-1),AO359=0),M359,0)</f>
        <v>0</v>
      </c>
      <c r="BS359" s="173">
        <f>IF(AND(Input_Product=Elig!$C359,Elig_MatchAll_Ct&lt;22,$BC359=(Elig_MatchAll_Ct-1),AQ359=0),N359,0)</f>
        <v>0</v>
      </c>
      <c r="BT359" s="173">
        <f>IF(AND(Input_Product=Elig!$C359,Elig_MatchAll_Ct&lt;22,$BC359=(Elig_MatchAll_Ct-1),AR359=0),O359,0)</f>
        <v>0</v>
      </c>
      <c r="BU359" s="173">
        <f>IF(AND(Input_Product=Elig!$C359,Elig_MatchAll_Ct&lt;22,$BC359=(Elig_MatchAll_Ct-1),AS359=0),P359,0)</f>
        <v>0</v>
      </c>
      <c r="BV359" s="174">
        <f>IF(AND(Input_Product=Elig!$C359,Elig_MatchAll_Ct&lt;22,$BC359=(Elig_MatchAll_Ct-1),AT359=0),Q359,0)</f>
        <v>0</v>
      </c>
      <c r="BW359" s="175">
        <f>IF(AND(Input_Product=Elig!$C359,Elig_MatchAll_Ct&lt;22,$BC359=(Elig_MatchAll_Ct-1),AU359=0),R359,0)</f>
        <v>0</v>
      </c>
      <c r="BX359" s="176">
        <f>IF(AND(Input_Product=Elig!$C359,Elig_MatchAll_Ct&lt;22,$BC359=(Elig_MatchAll_Ct-1),AU359=0),S359,0)</f>
        <v>0</v>
      </c>
      <c r="BY359" s="175">
        <f>IF(AND(Input_Product=Elig!$C359,Elig_MatchAll_Ct&lt;22,$BC359=(Elig_MatchAll_Ct-1),AV359=0),T359,0)</f>
        <v>0</v>
      </c>
      <c r="BZ359" s="176">
        <f>IF(AND(Input_Product=Elig!$C359,Elig_MatchAll_Ct&lt;22,$BC359=(Elig_MatchAll_Ct-1),AV359=0),U359,0)</f>
        <v>0</v>
      </c>
      <c r="CA359" s="175">
        <f>IF(AND(Input_Product=Elig!$C359,Elig_MatchAll_Ct&lt;22,$BC359=(Elig_MatchAll_Ct-1),AW359=0),V359,0)</f>
        <v>0</v>
      </c>
      <c r="CB359" s="176">
        <f>IF(AND(Input_Product=Elig!$C359,Elig_MatchAll_Ct&lt;22,$BC359=(Elig_MatchAll_Ct-1),AW359=0),W359,0)</f>
        <v>0</v>
      </c>
      <c r="CC359" s="175">
        <f>IF(AND(Input_Product=Elig!$C359,Elig_MatchAll_Ct&lt;22,$BC359=(Elig_MatchAll_Ct-1),AX359=0),X359,0)</f>
        <v>0</v>
      </c>
      <c r="CD359" s="176">
        <f>IF(AND(Input_Product=Elig!$C359,Elig_MatchAll_Ct&lt;22,$BC359=(Elig_MatchAll_Ct-1),AX359=0),Y359,0)</f>
        <v>0</v>
      </c>
      <c r="CE359" s="175">
        <f>IF(AND(Input_LTV&lt;=AE359,Input_Product=Elig!$C359,Elig_MatchAll_Ct&lt;22,$BC359=(Elig_MatchAll_Ct-1),AY359=0),Z359,0)</f>
        <v>0</v>
      </c>
      <c r="CF359" s="176">
        <f>IF(AND(Input_LTV&lt;=AE359,Input_Product=Elig!$C359,Elig_MatchAll_Ct&lt;22,$BC359=(Elig_MatchAll_Ct-1),AY359=0),AA359,0)</f>
        <v>0</v>
      </c>
      <c r="CG359" s="175">
        <f>IF(AND(Input_Product=Elig!$C359,Elig_MatchAll_Ct&lt;22,$BC359=(Elig_MatchAll_Ct-1),AZ359=0),AB359,0)</f>
        <v>0</v>
      </c>
      <c r="CH359" s="176">
        <f>IF(AND(Input_Product=Elig!$C359,Elig_MatchAll_Ct&lt;22,$BC359=(Elig_MatchAll_Ct-1),AZ359=0),AC359,0)</f>
        <v>0</v>
      </c>
      <c r="CI359" s="175">
        <f>IF(AND(Input_Product=Elig!$C359,Elig_MatchAll_Ct&lt;22,$BC359=(Elig_MatchAll_Ct-1),BA359=0),AD359,0)</f>
        <v>0</v>
      </c>
      <c r="CJ359" s="176">
        <f>IF(AND(Input_Product=Elig!$C359,Elig_MatchAll_Ct&lt;22,$BC359=(Elig_MatchAll_Ct-1),BA359=0),AE359,0)</f>
        <v>0</v>
      </c>
    </row>
    <row r="360" spans="1:88" ht="10.15" customHeight="1" x14ac:dyDescent="0.25">
      <c r="A360" s="252" t="s">
        <v>76</v>
      </c>
      <c r="B360" s="252" t="s">
        <v>992</v>
      </c>
      <c r="C360" s="251" t="str">
        <f t="shared" si="116"/>
        <v>NonQM NOO</v>
      </c>
      <c r="D360" s="252" t="s">
        <v>1995</v>
      </c>
      <c r="E360" s="252" t="s">
        <v>166</v>
      </c>
      <c r="F360" s="252" t="s">
        <v>329</v>
      </c>
      <c r="G360" s="252" t="s">
        <v>180</v>
      </c>
      <c r="H360" s="252" t="s">
        <v>135</v>
      </c>
      <c r="I360" s="252" t="s">
        <v>16</v>
      </c>
      <c r="J360" s="252" t="s">
        <v>1130</v>
      </c>
      <c r="K360" s="252" t="s">
        <v>1398</v>
      </c>
      <c r="L360" s="252" t="s">
        <v>311</v>
      </c>
      <c r="M360" s="252" t="s">
        <v>2289</v>
      </c>
      <c r="N360" s="252" t="s">
        <v>1844</v>
      </c>
      <c r="O360" s="252" t="s">
        <v>309</v>
      </c>
      <c r="P360" s="252" t="s">
        <v>2434</v>
      </c>
      <c r="Q360" s="252" t="s">
        <v>293</v>
      </c>
      <c r="R360" s="252">
        <v>1000000.01</v>
      </c>
      <c r="S360" s="252">
        <v>1500000</v>
      </c>
      <c r="T360" s="252">
        <v>0</v>
      </c>
      <c r="U360" s="252">
        <f t="shared" si="132"/>
        <v>1500000</v>
      </c>
      <c r="V360" s="252">
        <v>0</v>
      </c>
      <c r="W360" s="252">
        <v>50</v>
      </c>
      <c r="X360" s="252">
        <v>1</v>
      </c>
      <c r="Y360" s="252">
        <v>999</v>
      </c>
      <c r="Z360" s="254">
        <v>640</v>
      </c>
      <c r="AA360" s="254">
        <v>659</v>
      </c>
      <c r="AB360" s="1883">
        <v>0</v>
      </c>
      <c r="AC360" s="254">
        <v>999999</v>
      </c>
      <c r="AD360" s="252">
        <v>0</v>
      </c>
      <c r="AE360" s="255">
        <v>65</v>
      </c>
      <c r="AF360" s="144">
        <v>0</v>
      </c>
      <c r="AG360" s="145">
        <v>1</v>
      </c>
      <c r="AH360" s="145">
        <v>1</v>
      </c>
      <c r="AI360" s="145">
        <v>1</v>
      </c>
      <c r="AJ360" s="145">
        <v>1</v>
      </c>
      <c r="AK360" s="145">
        <v>1</v>
      </c>
      <c r="AL360" s="145">
        <v>0</v>
      </c>
      <c r="AM360" s="145">
        <v>1</v>
      </c>
      <c r="AN360" s="145">
        <v>1</v>
      </c>
      <c r="AO360" s="145">
        <v>1</v>
      </c>
      <c r="AP360" s="145">
        <v>1</v>
      </c>
      <c r="AQ360" s="145">
        <v>1</v>
      </c>
      <c r="AR360" s="145">
        <v>1</v>
      </c>
      <c r="AS360" s="145">
        <v>1</v>
      </c>
      <c r="AT360" s="145">
        <v>1</v>
      </c>
      <c r="AU360" s="145">
        <f t="shared" si="125"/>
        <v>0</v>
      </c>
      <c r="AV360" s="145">
        <f t="shared" si="126"/>
        <v>1</v>
      </c>
      <c r="AW360" s="145">
        <f t="shared" si="127"/>
        <v>1</v>
      </c>
      <c r="AX360" s="145">
        <f t="shared" ref="AX360:AX424" si="133">IF(AND(Input_DSCR&gt;=Elig_DSCR_Min,Input_DSCR&lt;=Elig_DSCR_Max),1,0)</f>
        <v>1</v>
      </c>
      <c r="AY360" s="145">
        <f t="shared" si="128"/>
        <v>0</v>
      </c>
      <c r="AZ360" s="145">
        <f t="shared" si="129"/>
        <v>1</v>
      </c>
      <c r="BA360" s="146">
        <f t="shared" si="130"/>
        <v>0</v>
      </c>
      <c r="BB360" s="149">
        <f t="shared" si="120"/>
        <v>17</v>
      </c>
      <c r="BC360" s="150">
        <f t="shared" si="121"/>
        <v>17</v>
      </c>
      <c r="BD360" s="150">
        <f t="shared" si="122"/>
        <v>17</v>
      </c>
      <c r="BE360" s="211" t="str">
        <f t="shared" si="123"/>
        <v/>
      </c>
      <c r="BH360" s="173">
        <f>IF(AND(Input_Product=Elig!$C360,Elig_MatchAll_Ct&lt;22,$BC360=(Elig_MatchAll_Ct-1),AF360=0),C360,0)</f>
        <v>0</v>
      </c>
      <c r="BI360" s="173">
        <f>IF(AND(Input_Product=Elig!$C360,Elig_MatchAll_Ct&lt;22,$BC360=(Elig_MatchAll_Ct-1),AG360=0),D360,0)</f>
        <v>0</v>
      </c>
      <c r="BJ360" s="173">
        <f>IF(AND(Input_Product=Elig!$C360,Elig_MatchAll_Ct&lt;22,$BC360=(Elig_MatchAll_Ct-1),AH360=0),E360,0)</f>
        <v>0</v>
      </c>
      <c r="BK360" s="173">
        <f>IF(AND(Input_Product=Elig!$C360,Elig_MatchAll_Ct&lt;22,$BC360=(Elig_MatchAll_Ct-1),AI360=0),F360,0)</f>
        <v>0</v>
      </c>
      <c r="BL360" s="173">
        <f>IF(AND(Input_Product=Elig!$C360,Elig_MatchAll_Ct&lt;22,$BC360=(Elig_MatchAll_Ct-1),AJ360=0),G360,0)</f>
        <v>0</v>
      </c>
      <c r="BM360" s="173">
        <f>IF(AND(Input_Product=Elig!$C360,Elig_MatchAll_Ct&lt;22,$BC360=(Elig_MatchAll_Ct-1),AK360=0),H360,0)</f>
        <v>0</v>
      </c>
      <c r="BN360" s="173">
        <f>IF(AND(Input_Product=Elig!$C360,Elig_MatchAll_Ct&lt;22,$BC360=(Elig_MatchAll_Ct-1),AL360=0),I360,0)</f>
        <v>0</v>
      </c>
      <c r="BO360" s="173">
        <f>IF(AND(Input_Product=Elig!$C360,Elig_MatchAll_Ct&lt;22,$BC360=(Elig_MatchAll_Ct-1),AM360=0),J360,0)</f>
        <v>0</v>
      </c>
      <c r="BP360" s="173">
        <f>IF(AND(Input_Product=Elig!$C360,Elig_MatchAll_Ct&lt;22,$BC360=(Elig_MatchAll_Ct-1),AN360=0),K360,0)</f>
        <v>0</v>
      </c>
      <c r="BQ360" s="173">
        <f>IF(AND(Input_Product=Elig!$C360,Elig_MatchAll_Ct&lt;22,$BC360=(Elig_MatchAll_Ct-1),AP360=0),L360,0)</f>
        <v>0</v>
      </c>
      <c r="BR360" s="173">
        <f>IF(AND(Input_Product=Elig!$C360,Elig_MatchAll_Ct&lt;22,$BC360=(Elig_MatchAll_Ct-1),AO360=0),M360,0)</f>
        <v>0</v>
      </c>
      <c r="BS360" s="173">
        <f>IF(AND(Input_Product=Elig!$C360,Elig_MatchAll_Ct&lt;22,$BC360=(Elig_MatchAll_Ct-1),AQ360=0),N360,0)</f>
        <v>0</v>
      </c>
      <c r="BT360" s="173">
        <f>IF(AND(Input_Product=Elig!$C360,Elig_MatchAll_Ct&lt;22,$BC360=(Elig_MatchAll_Ct-1),AR360=0),O360,0)</f>
        <v>0</v>
      </c>
      <c r="BU360" s="173">
        <f>IF(AND(Input_Product=Elig!$C360,Elig_MatchAll_Ct&lt;22,$BC360=(Elig_MatchAll_Ct-1),AS360=0),P360,0)</f>
        <v>0</v>
      </c>
      <c r="BV360" s="174">
        <f>IF(AND(Input_Product=Elig!$C360,Elig_MatchAll_Ct&lt;22,$BC360=(Elig_MatchAll_Ct-1),AT360=0),Q360,0)</f>
        <v>0</v>
      </c>
      <c r="BW360" s="175">
        <f>IF(AND(Input_Product=Elig!$C360,Elig_MatchAll_Ct&lt;22,$BC360=(Elig_MatchAll_Ct-1),AU360=0),R360,0)</f>
        <v>0</v>
      </c>
      <c r="BX360" s="176">
        <f>IF(AND(Input_Product=Elig!$C360,Elig_MatchAll_Ct&lt;22,$BC360=(Elig_MatchAll_Ct-1),AU360=0),S360,0)</f>
        <v>0</v>
      </c>
      <c r="BY360" s="175">
        <f>IF(AND(Input_Product=Elig!$C360,Elig_MatchAll_Ct&lt;22,$BC360=(Elig_MatchAll_Ct-1),AV360=0),T360,0)</f>
        <v>0</v>
      </c>
      <c r="BZ360" s="176">
        <f>IF(AND(Input_Product=Elig!$C360,Elig_MatchAll_Ct&lt;22,$BC360=(Elig_MatchAll_Ct-1),AV360=0),U360,0)</f>
        <v>0</v>
      </c>
      <c r="CA360" s="175">
        <f>IF(AND(Input_Product=Elig!$C360,Elig_MatchAll_Ct&lt;22,$BC360=(Elig_MatchAll_Ct-1),AW360=0),V360,0)</f>
        <v>0</v>
      </c>
      <c r="CB360" s="176">
        <f>IF(AND(Input_Product=Elig!$C360,Elig_MatchAll_Ct&lt;22,$BC360=(Elig_MatchAll_Ct-1),AW360=0),W360,0)</f>
        <v>0</v>
      </c>
      <c r="CC360" s="175">
        <f>IF(AND(Input_Product=Elig!$C360,Elig_MatchAll_Ct&lt;22,$BC360=(Elig_MatchAll_Ct-1),AX360=0),X360,0)</f>
        <v>0</v>
      </c>
      <c r="CD360" s="176">
        <f>IF(AND(Input_Product=Elig!$C360,Elig_MatchAll_Ct&lt;22,$BC360=(Elig_MatchAll_Ct-1),AX360=0),Y360,0)</f>
        <v>0</v>
      </c>
      <c r="CE360" s="175">
        <f>IF(AND(Input_LTV&lt;=AE360,Input_Product=Elig!$C360,Elig_MatchAll_Ct&lt;22,$BC360=(Elig_MatchAll_Ct-1),AY360=0),Z360,0)</f>
        <v>0</v>
      </c>
      <c r="CF360" s="176">
        <f>IF(AND(Input_LTV&lt;=AE360,Input_Product=Elig!$C360,Elig_MatchAll_Ct&lt;22,$BC360=(Elig_MatchAll_Ct-1),AY360=0),AA360,0)</f>
        <v>0</v>
      </c>
      <c r="CG360" s="175">
        <f>IF(AND(Input_Product=Elig!$C360,Elig_MatchAll_Ct&lt;22,$BC360=(Elig_MatchAll_Ct-1),AZ360=0),AB360,0)</f>
        <v>0</v>
      </c>
      <c r="CH360" s="176">
        <f>IF(AND(Input_Product=Elig!$C360,Elig_MatchAll_Ct&lt;22,$BC360=(Elig_MatchAll_Ct-1),AZ360=0),AC360,0)</f>
        <v>0</v>
      </c>
      <c r="CI360" s="175">
        <f>IF(AND(Input_Product=Elig!$C360,Elig_MatchAll_Ct&lt;22,$BC360=(Elig_MatchAll_Ct-1),BA360=0),AD360,0)</f>
        <v>0</v>
      </c>
      <c r="CJ360" s="176">
        <f>IF(AND(Input_Product=Elig!$C360,Elig_MatchAll_Ct&lt;22,$BC360=(Elig_MatchAll_Ct-1),BA360=0),AE360,0)</f>
        <v>0</v>
      </c>
    </row>
    <row r="361" spans="1:88" ht="10.15" customHeight="1" x14ac:dyDescent="0.25">
      <c r="A361" s="261" t="s">
        <v>2507</v>
      </c>
      <c r="B361" s="261" t="s">
        <v>2491</v>
      </c>
      <c r="C361" s="1930" t="str">
        <f t="shared" si="116"/>
        <v>NonQM NOO</v>
      </c>
      <c r="D361" s="276" t="s">
        <v>1995</v>
      </c>
      <c r="E361" s="1537" t="s">
        <v>166</v>
      </c>
      <c r="F361" s="1537" t="s">
        <v>329</v>
      </c>
      <c r="G361" s="1537" t="s">
        <v>180</v>
      </c>
      <c r="H361" s="1537" t="s">
        <v>135</v>
      </c>
      <c r="I361" s="276" t="s">
        <v>273</v>
      </c>
      <c r="J361" s="276" t="s">
        <v>1130</v>
      </c>
      <c r="K361" s="1930" t="s">
        <v>2516</v>
      </c>
      <c r="L361" s="261" t="s">
        <v>311</v>
      </c>
      <c r="M361" s="261" t="s">
        <v>2289</v>
      </c>
      <c r="N361" s="261" t="s">
        <v>1844</v>
      </c>
      <c r="O361" s="1985" t="s">
        <v>2196</v>
      </c>
      <c r="P361" s="1985" t="s">
        <v>2422</v>
      </c>
      <c r="Q361" s="1985" t="s">
        <v>49</v>
      </c>
      <c r="R361" s="261">
        <v>1000000.01</v>
      </c>
      <c r="S361" s="276">
        <v>1500000</v>
      </c>
      <c r="T361" s="276">
        <v>0</v>
      </c>
      <c r="U361" s="276">
        <v>0</v>
      </c>
      <c r="V361" s="276">
        <v>0</v>
      </c>
      <c r="W361" s="276">
        <v>55</v>
      </c>
      <c r="X361" s="276">
        <v>0.01</v>
      </c>
      <c r="Y361" s="261">
        <v>0.74999999999989997</v>
      </c>
      <c r="Z361" s="1882">
        <v>720</v>
      </c>
      <c r="AA361" s="1882">
        <v>999</v>
      </c>
      <c r="AB361" s="1882">
        <v>0</v>
      </c>
      <c r="AC361" s="1882">
        <v>999999</v>
      </c>
      <c r="AD361" s="276">
        <v>0</v>
      </c>
      <c r="AE361" s="1538">
        <v>80</v>
      </c>
      <c r="AF361" s="144">
        <v>0</v>
      </c>
      <c r="AG361" s="145">
        <v>1</v>
      </c>
      <c r="AH361" s="145">
        <v>1</v>
      </c>
      <c r="AI361" s="145">
        <v>1</v>
      </c>
      <c r="AJ361" s="145">
        <v>1</v>
      </c>
      <c r="AK361" s="145">
        <v>1</v>
      </c>
      <c r="AL361" s="145">
        <v>1</v>
      </c>
      <c r="AM361" s="145">
        <v>1</v>
      </c>
      <c r="AN361" s="145">
        <v>1</v>
      </c>
      <c r="AO361" s="145">
        <v>1</v>
      </c>
      <c r="AP361" s="145">
        <v>1</v>
      </c>
      <c r="AQ361" s="145">
        <v>1</v>
      </c>
      <c r="AR361" s="145">
        <v>1</v>
      </c>
      <c r="AS361" s="145">
        <v>1</v>
      </c>
      <c r="AT361" s="145">
        <v>0</v>
      </c>
      <c r="AU361" s="145">
        <f t="shared" si="125"/>
        <v>0</v>
      </c>
      <c r="AV361" s="145">
        <f t="shared" si="126"/>
        <v>1</v>
      </c>
      <c r="AW361" s="145">
        <f t="shared" si="127"/>
        <v>1</v>
      </c>
      <c r="AX361" s="145">
        <f t="shared" si="133"/>
        <v>0</v>
      </c>
      <c r="AY361" s="145">
        <f t="shared" si="128"/>
        <v>1</v>
      </c>
      <c r="AZ361" s="145">
        <f t="shared" si="129"/>
        <v>1</v>
      </c>
      <c r="BA361" s="146">
        <f t="shared" si="130"/>
        <v>1</v>
      </c>
      <c r="BB361" s="149">
        <f t="shared" ref="BB361:BB366" si="134">SUM(AF361:BA361)</f>
        <v>18</v>
      </c>
      <c r="BC361" s="150">
        <f t="shared" ref="BC361:BC366" si="135">SUM(AF361:AZ361)</f>
        <v>17</v>
      </c>
      <c r="BD361" s="150">
        <f t="shared" ref="BD361:BD366" si="136">SUM(AG361:BA361)</f>
        <v>18</v>
      </c>
      <c r="BE361" s="211" t="str">
        <f t="shared" ref="BE361:BE366" si="137">IF(BD361=21,C361,"")</f>
        <v/>
      </c>
      <c r="BH361" s="190">
        <f>IF(AND(Input_Product=Elig!$C361,Elig_MatchAll_Ct&lt;22,$BC361=(Elig_MatchAll_Ct-1),AF361=0),C361,0)</f>
        <v>0</v>
      </c>
      <c r="BI361" s="190">
        <f>IF(AND(Input_Product=Elig!$C361,Elig_MatchAll_Ct&lt;22,$BC361=(Elig_MatchAll_Ct-1),AG361=0),D361,0)</f>
        <v>0</v>
      </c>
      <c r="BJ361" s="190">
        <f>IF(AND(Input_Product=Elig!$C361,Elig_MatchAll_Ct&lt;22,$BC361=(Elig_MatchAll_Ct-1),AH361=0),E361,0)</f>
        <v>0</v>
      </c>
      <c r="BK361" s="190">
        <f>IF(AND(Input_Product=Elig!$C361,Elig_MatchAll_Ct&lt;22,$BC361=(Elig_MatchAll_Ct-1),AI361=0),F361,0)</f>
        <v>0</v>
      </c>
      <c r="BL361" s="190">
        <f>IF(AND(Input_Product=Elig!$C361,Elig_MatchAll_Ct&lt;22,$BC361=(Elig_MatchAll_Ct-1),AJ361=0),G361,0)</f>
        <v>0</v>
      </c>
      <c r="BM361" s="190">
        <f>IF(AND(Input_Product=Elig!$C361,Elig_MatchAll_Ct&lt;22,$BC361=(Elig_MatchAll_Ct-1),AK361=0),H361,0)</f>
        <v>0</v>
      </c>
      <c r="BN361" s="190">
        <f>IF(AND(Input_Product=Elig!$C361,Elig_MatchAll_Ct&lt;22,$BC361=(Elig_MatchAll_Ct-1),AL361=0),I361,0)</f>
        <v>0</v>
      </c>
      <c r="BO361" s="190">
        <f>IF(AND(Input_Product=Elig!$C361,Elig_MatchAll_Ct&lt;22,$BC361=(Elig_MatchAll_Ct-1),AM361=0),J361,0)</f>
        <v>0</v>
      </c>
      <c r="BP361" s="190">
        <f>IF(AND(Input_Product=Elig!$C361,Elig_MatchAll_Ct&lt;22,$BC361=(Elig_MatchAll_Ct-1),AN361=0),K361,0)</f>
        <v>0</v>
      </c>
      <c r="BQ361" s="190">
        <f>IF(AND(Input_Product=Elig!$C361,Elig_MatchAll_Ct&lt;22,$BC361=(Elig_MatchAll_Ct-1),AP361=0),L361,0)</f>
        <v>0</v>
      </c>
      <c r="BR361" s="190">
        <f>IF(AND(Input_Product=Elig!$C361,Elig_MatchAll_Ct&lt;22,$BC361=(Elig_MatchAll_Ct-1),AO361=0),M361,0)</f>
        <v>0</v>
      </c>
      <c r="BS361" s="190">
        <f>IF(AND(Input_Product=Elig!$C361,Elig_MatchAll_Ct&lt;22,$BC361=(Elig_MatchAll_Ct-1),AQ361=0),N361,0)</f>
        <v>0</v>
      </c>
      <c r="BT361" s="190">
        <f>IF(AND(Input_Product=Elig!$C361,Elig_MatchAll_Ct&lt;22,$BC361=(Elig_MatchAll_Ct-1),AR361=0),O361,0)</f>
        <v>0</v>
      </c>
      <c r="BU361" s="190">
        <f>IF(AND(Input_Product=Elig!$C361,Elig_MatchAll_Ct&lt;22,$BC361=(Elig_MatchAll_Ct-1),AS361=0),P361,0)</f>
        <v>0</v>
      </c>
      <c r="BV361" s="191">
        <f>IF(AND(Input_Product=Elig!$C361,Elig_MatchAll_Ct&lt;22,$BC361=(Elig_MatchAll_Ct-1),AT361=0),Q361,0)</f>
        <v>0</v>
      </c>
      <c r="BW361" s="192">
        <f>IF(AND(Input_Product=Elig!$C361,Elig_MatchAll_Ct&lt;22,$BC361=(Elig_MatchAll_Ct-1),AU361=0),R361,0)</f>
        <v>0</v>
      </c>
      <c r="BX361" s="193">
        <f>IF(AND(Input_Product=Elig!$C361,Elig_MatchAll_Ct&lt;22,$BC361=(Elig_MatchAll_Ct-1),AU361=0),S361,0)</f>
        <v>0</v>
      </c>
      <c r="BY361" s="192">
        <f>IF(AND(Input_Product=Elig!$C361,Elig_MatchAll_Ct&lt;22,$BC361=(Elig_MatchAll_Ct-1),AV361=0),T361,0)</f>
        <v>0</v>
      </c>
      <c r="BZ361" s="193">
        <f>IF(AND(Input_Product=Elig!$C361,Elig_MatchAll_Ct&lt;22,$BC361=(Elig_MatchAll_Ct-1),AV361=0),U361,0)</f>
        <v>0</v>
      </c>
      <c r="CA361" s="192">
        <f>IF(AND(Input_Product=Elig!$C361,Elig_MatchAll_Ct&lt;22,$BC361=(Elig_MatchAll_Ct-1),AW361=0),V361,0)</f>
        <v>0</v>
      </c>
      <c r="CB361" s="193">
        <f>IF(AND(Input_Product=Elig!$C361,Elig_MatchAll_Ct&lt;22,$BC361=(Elig_MatchAll_Ct-1),AW361=0),W361,0)</f>
        <v>0</v>
      </c>
      <c r="CC361" s="192">
        <f>IF(AND(Input_Product=Elig!$C361,Elig_MatchAll_Ct&lt;22,$BC361=(Elig_MatchAll_Ct-1),AX361=0),X361,0)</f>
        <v>0</v>
      </c>
      <c r="CD361" s="193">
        <f>IF(AND(Input_Product=Elig!$C361,Elig_MatchAll_Ct&lt;22,$BC361=(Elig_MatchAll_Ct-1),AX361=0),Y361,0)</f>
        <v>0</v>
      </c>
      <c r="CE361" s="192">
        <f>IF(AND(Input_LTV&lt;=AE361,Input_Product=Elig!$C361,Elig_MatchAll_Ct&lt;22,$BC361=(Elig_MatchAll_Ct-1),AY361=0),Z361,0)</f>
        <v>0</v>
      </c>
      <c r="CF361" s="193">
        <f>IF(AND(Input_LTV&lt;=AE361,Input_Product=Elig!$C361,Elig_MatchAll_Ct&lt;22,$BC361=(Elig_MatchAll_Ct-1),AY361=0),AA361,0)</f>
        <v>0</v>
      </c>
      <c r="CG361" s="192">
        <f>IF(AND(Input_Product=Elig!$C361,Elig_MatchAll_Ct&lt;22,$BC361=(Elig_MatchAll_Ct-1),AZ361=0),AB361,0)</f>
        <v>0</v>
      </c>
      <c r="CH361" s="193">
        <f>IF(AND(Input_Product=Elig!$C361,Elig_MatchAll_Ct&lt;22,$BC361=(Elig_MatchAll_Ct-1),AZ361=0),AC361,0)</f>
        <v>0</v>
      </c>
      <c r="CI361" s="192">
        <f>IF(AND(Input_Product=Elig!$C361,Elig_MatchAll_Ct&lt;22,$BC361=(Elig_MatchAll_Ct-1),BA361=0),AD361,0)</f>
        <v>0</v>
      </c>
      <c r="CJ361" s="193">
        <f>IF(AND(Input_Product=Elig!$C361,Elig_MatchAll_Ct&lt;22,$BC361=(Elig_MatchAll_Ct-1),BA361=0),AE361,0)</f>
        <v>0</v>
      </c>
    </row>
    <row r="362" spans="1:88" ht="10.15" customHeight="1" x14ac:dyDescent="0.25">
      <c r="A362" s="261" t="s">
        <v>2507</v>
      </c>
      <c r="B362" s="261" t="s">
        <v>2492</v>
      </c>
      <c r="C362" s="1970" t="str">
        <f t="shared" si="116"/>
        <v>NonQM NOO</v>
      </c>
      <c r="D362" s="261" t="s">
        <v>1995</v>
      </c>
      <c r="E362" s="261" t="s">
        <v>166</v>
      </c>
      <c r="F362" s="261" t="s">
        <v>329</v>
      </c>
      <c r="G362" s="261" t="s">
        <v>180</v>
      </c>
      <c r="H362" s="261" t="s">
        <v>135</v>
      </c>
      <c r="I362" s="1544" t="s">
        <v>273</v>
      </c>
      <c r="J362" s="1544" t="s">
        <v>1130</v>
      </c>
      <c r="K362" s="1930" t="s">
        <v>2516</v>
      </c>
      <c r="L362" s="261" t="s">
        <v>311</v>
      </c>
      <c r="M362" s="261" t="s">
        <v>2289</v>
      </c>
      <c r="N362" s="261" t="s">
        <v>1844</v>
      </c>
      <c r="O362" s="1985" t="s">
        <v>2196</v>
      </c>
      <c r="P362" s="1985" t="s">
        <v>2422</v>
      </c>
      <c r="Q362" s="1985" t="s">
        <v>49</v>
      </c>
      <c r="R362" s="261">
        <v>1000000.01</v>
      </c>
      <c r="S362" s="261">
        <v>1500000</v>
      </c>
      <c r="T362" s="261">
        <v>0</v>
      </c>
      <c r="U362" s="261">
        <v>0</v>
      </c>
      <c r="V362" s="261">
        <v>0</v>
      </c>
      <c r="W362" s="261">
        <v>55</v>
      </c>
      <c r="X362" s="276">
        <v>0.01</v>
      </c>
      <c r="Y362" s="261">
        <v>0.74999999999989997</v>
      </c>
      <c r="Z362" s="1883">
        <v>700</v>
      </c>
      <c r="AA362" s="1883">
        <v>719</v>
      </c>
      <c r="AB362" s="1883">
        <v>0</v>
      </c>
      <c r="AC362" s="1883">
        <v>999999</v>
      </c>
      <c r="AD362" s="261">
        <v>0</v>
      </c>
      <c r="AE362" s="1539">
        <v>80</v>
      </c>
      <c r="AF362" s="144">
        <v>0</v>
      </c>
      <c r="AG362" s="145">
        <v>1</v>
      </c>
      <c r="AH362" s="145">
        <v>1</v>
      </c>
      <c r="AI362" s="145">
        <v>1</v>
      </c>
      <c r="AJ362" s="145">
        <v>1</v>
      </c>
      <c r="AK362" s="145">
        <v>1</v>
      </c>
      <c r="AL362" s="145">
        <v>1</v>
      </c>
      <c r="AM362" s="145">
        <v>1</v>
      </c>
      <c r="AN362" s="145">
        <v>1</v>
      </c>
      <c r="AO362" s="145">
        <v>1</v>
      </c>
      <c r="AP362" s="145">
        <v>1</v>
      </c>
      <c r="AQ362" s="145">
        <v>1</v>
      </c>
      <c r="AR362" s="145">
        <v>1</v>
      </c>
      <c r="AS362" s="145">
        <v>1</v>
      </c>
      <c r="AT362" s="145">
        <v>0</v>
      </c>
      <c r="AU362" s="145">
        <f t="shared" si="125"/>
        <v>0</v>
      </c>
      <c r="AV362" s="145">
        <f t="shared" si="126"/>
        <v>1</v>
      </c>
      <c r="AW362" s="145">
        <f t="shared" si="127"/>
        <v>1</v>
      </c>
      <c r="AX362" s="145">
        <f t="shared" si="133"/>
        <v>0</v>
      </c>
      <c r="AY362" s="145">
        <f t="shared" si="128"/>
        <v>0</v>
      </c>
      <c r="AZ362" s="145">
        <f t="shared" si="129"/>
        <v>1</v>
      </c>
      <c r="BA362" s="146">
        <f t="shared" si="130"/>
        <v>1</v>
      </c>
      <c r="BB362" s="149">
        <f t="shared" si="134"/>
        <v>17</v>
      </c>
      <c r="BC362" s="150">
        <f t="shared" si="135"/>
        <v>16</v>
      </c>
      <c r="BD362" s="150">
        <f t="shared" si="136"/>
        <v>17</v>
      </c>
      <c r="BE362" s="211" t="str">
        <f t="shared" si="137"/>
        <v/>
      </c>
      <c r="BH362" s="173">
        <f>IF(AND(Input_Product=Elig!$C362,Elig_MatchAll_Ct&lt;22,$BC362=(Elig_MatchAll_Ct-1),AF362=0),C362,0)</f>
        <v>0</v>
      </c>
      <c r="BI362" s="173">
        <f>IF(AND(Input_Product=Elig!$C362,Elig_MatchAll_Ct&lt;22,$BC362=(Elig_MatchAll_Ct-1),AG362=0),D362,0)</f>
        <v>0</v>
      </c>
      <c r="BJ362" s="173">
        <f>IF(AND(Input_Product=Elig!$C362,Elig_MatchAll_Ct&lt;22,$BC362=(Elig_MatchAll_Ct-1),AH362=0),E362,0)</f>
        <v>0</v>
      </c>
      <c r="BK362" s="173">
        <f>IF(AND(Input_Product=Elig!$C362,Elig_MatchAll_Ct&lt;22,$BC362=(Elig_MatchAll_Ct-1),AI362=0),F362,0)</f>
        <v>0</v>
      </c>
      <c r="BL362" s="173">
        <f>IF(AND(Input_Product=Elig!$C362,Elig_MatchAll_Ct&lt;22,$BC362=(Elig_MatchAll_Ct-1),AJ362=0),G362,0)</f>
        <v>0</v>
      </c>
      <c r="BM362" s="173">
        <f>IF(AND(Input_Product=Elig!$C362,Elig_MatchAll_Ct&lt;22,$BC362=(Elig_MatchAll_Ct-1),AK362=0),H362,0)</f>
        <v>0</v>
      </c>
      <c r="BN362" s="173">
        <f>IF(AND(Input_Product=Elig!$C362,Elig_MatchAll_Ct&lt;22,$BC362=(Elig_MatchAll_Ct-1),AL362=0),I362,0)</f>
        <v>0</v>
      </c>
      <c r="BO362" s="173">
        <f>IF(AND(Input_Product=Elig!$C362,Elig_MatchAll_Ct&lt;22,$BC362=(Elig_MatchAll_Ct-1),AM362=0),J362,0)</f>
        <v>0</v>
      </c>
      <c r="BP362" s="173">
        <f>IF(AND(Input_Product=Elig!$C362,Elig_MatchAll_Ct&lt;22,$BC362=(Elig_MatchAll_Ct-1),AN362=0),K362,0)</f>
        <v>0</v>
      </c>
      <c r="BQ362" s="173">
        <f>IF(AND(Input_Product=Elig!$C362,Elig_MatchAll_Ct&lt;22,$BC362=(Elig_MatchAll_Ct-1),AP362=0),L362,0)</f>
        <v>0</v>
      </c>
      <c r="BR362" s="173">
        <f>IF(AND(Input_Product=Elig!$C362,Elig_MatchAll_Ct&lt;22,$BC362=(Elig_MatchAll_Ct-1),AO362=0),M362,0)</f>
        <v>0</v>
      </c>
      <c r="BS362" s="173">
        <f>IF(AND(Input_Product=Elig!$C362,Elig_MatchAll_Ct&lt;22,$BC362=(Elig_MatchAll_Ct-1),AQ362=0),N362,0)</f>
        <v>0</v>
      </c>
      <c r="BT362" s="173">
        <f>IF(AND(Input_Product=Elig!$C362,Elig_MatchAll_Ct&lt;22,$BC362=(Elig_MatchAll_Ct-1),AR362=0),O362,0)</f>
        <v>0</v>
      </c>
      <c r="BU362" s="173">
        <f>IF(AND(Input_Product=Elig!$C362,Elig_MatchAll_Ct&lt;22,$BC362=(Elig_MatchAll_Ct-1),AS362=0),P362,0)</f>
        <v>0</v>
      </c>
      <c r="BV362" s="174">
        <f>IF(AND(Input_Product=Elig!$C362,Elig_MatchAll_Ct&lt;22,$BC362=(Elig_MatchAll_Ct-1),AT362=0),Q362,0)</f>
        <v>0</v>
      </c>
      <c r="BW362" s="175">
        <f>IF(AND(Input_Product=Elig!$C362,Elig_MatchAll_Ct&lt;22,$BC362=(Elig_MatchAll_Ct-1),AU362=0),R362,0)</f>
        <v>0</v>
      </c>
      <c r="BX362" s="176">
        <f>IF(AND(Input_Product=Elig!$C362,Elig_MatchAll_Ct&lt;22,$BC362=(Elig_MatchAll_Ct-1),AU362=0),S362,0)</f>
        <v>0</v>
      </c>
      <c r="BY362" s="175">
        <f>IF(AND(Input_Product=Elig!$C362,Elig_MatchAll_Ct&lt;22,$BC362=(Elig_MatchAll_Ct-1),AV362=0),T362,0)</f>
        <v>0</v>
      </c>
      <c r="BZ362" s="176">
        <f>IF(AND(Input_Product=Elig!$C362,Elig_MatchAll_Ct&lt;22,$BC362=(Elig_MatchAll_Ct-1),AV362=0),U362,0)</f>
        <v>0</v>
      </c>
      <c r="CA362" s="175">
        <f>IF(AND(Input_Product=Elig!$C362,Elig_MatchAll_Ct&lt;22,$BC362=(Elig_MatchAll_Ct-1),AW362=0),V362,0)</f>
        <v>0</v>
      </c>
      <c r="CB362" s="176">
        <f>IF(AND(Input_Product=Elig!$C362,Elig_MatchAll_Ct&lt;22,$BC362=(Elig_MatchAll_Ct-1),AW362=0),W362,0)</f>
        <v>0</v>
      </c>
      <c r="CC362" s="175">
        <f>IF(AND(Input_Product=Elig!$C362,Elig_MatchAll_Ct&lt;22,$BC362=(Elig_MatchAll_Ct-1),AX362=0),X362,0)</f>
        <v>0</v>
      </c>
      <c r="CD362" s="176">
        <f>IF(AND(Input_Product=Elig!$C362,Elig_MatchAll_Ct&lt;22,$BC362=(Elig_MatchAll_Ct-1),AX362=0),Y362,0)</f>
        <v>0</v>
      </c>
      <c r="CE362" s="175">
        <f>IF(AND(Input_LTV&lt;=AE362,Input_Product=Elig!$C362,Elig_MatchAll_Ct&lt;22,$BC362=(Elig_MatchAll_Ct-1),AY362=0),Z362,0)</f>
        <v>0</v>
      </c>
      <c r="CF362" s="176">
        <f>IF(AND(Input_LTV&lt;=AE362,Input_Product=Elig!$C362,Elig_MatchAll_Ct&lt;22,$BC362=(Elig_MatchAll_Ct-1),AY362=0),AA362,0)</f>
        <v>0</v>
      </c>
      <c r="CG362" s="175">
        <f>IF(AND(Input_Product=Elig!$C362,Elig_MatchAll_Ct&lt;22,$BC362=(Elig_MatchAll_Ct-1),AZ362=0),AB362,0)</f>
        <v>0</v>
      </c>
      <c r="CH362" s="176">
        <f>IF(AND(Input_Product=Elig!$C362,Elig_MatchAll_Ct&lt;22,$BC362=(Elig_MatchAll_Ct-1),AZ362=0),AC362,0)</f>
        <v>0</v>
      </c>
      <c r="CI362" s="175">
        <f>IF(AND(Input_Product=Elig!$C362,Elig_MatchAll_Ct&lt;22,$BC362=(Elig_MatchAll_Ct-1),BA362=0),AD362,0)</f>
        <v>0</v>
      </c>
      <c r="CJ362" s="176">
        <f>IF(AND(Input_Product=Elig!$C362,Elig_MatchAll_Ct&lt;22,$BC362=(Elig_MatchAll_Ct-1),BA362=0),AE362,0)</f>
        <v>0</v>
      </c>
    </row>
    <row r="363" spans="1:88" ht="10.15" customHeight="1" x14ac:dyDescent="0.25">
      <c r="A363" s="261" t="s">
        <v>2507</v>
      </c>
      <c r="B363" s="261" t="s">
        <v>2512</v>
      </c>
      <c r="C363" s="1970" t="str">
        <f t="shared" si="116"/>
        <v>NonQM NOO</v>
      </c>
      <c r="D363" s="261" t="s">
        <v>1995</v>
      </c>
      <c r="E363" s="261" t="s">
        <v>166</v>
      </c>
      <c r="F363" s="261" t="s">
        <v>329</v>
      </c>
      <c r="G363" s="261" t="s">
        <v>180</v>
      </c>
      <c r="H363" s="261" t="s">
        <v>135</v>
      </c>
      <c r="I363" s="1544" t="s">
        <v>273</v>
      </c>
      <c r="J363" s="1544" t="s">
        <v>1130</v>
      </c>
      <c r="K363" s="1930" t="s">
        <v>2516</v>
      </c>
      <c r="L363" s="261" t="s">
        <v>311</v>
      </c>
      <c r="M363" s="261" t="s">
        <v>2289</v>
      </c>
      <c r="N363" s="261" t="s">
        <v>1844</v>
      </c>
      <c r="O363" s="1985" t="s">
        <v>2196</v>
      </c>
      <c r="P363" s="1985" t="s">
        <v>2422</v>
      </c>
      <c r="Q363" s="1985" t="s">
        <v>49</v>
      </c>
      <c r="R363" s="261">
        <v>1000000.01</v>
      </c>
      <c r="S363" s="261">
        <v>1500000</v>
      </c>
      <c r="T363" s="261">
        <v>0</v>
      </c>
      <c r="U363" s="261">
        <v>0</v>
      </c>
      <c r="V363" s="261">
        <v>0</v>
      </c>
      <c r="W363" s="261">
        <v>55</v>
      </c>
      <c r="X363" s="276">
        <v>0.01</v>
      </c>
      <c r="Y363" s="261">
        <v>0.74999999999989997</v>
      </c>
      <c r="Z363" s="1883">
        <v>680</v>
      </c>
      <c r="AA363" s="1883">
        <v>699</v>
      </c>
      <c r="AB363" s="1883">
        <v>0</v>
      </c>
      <c r="AC363" s="1883">
        <v>999999</v>
      </c>
      <c r="AD363" s="261">
        <v>0</v>
      </c>
      <c r="AE363" s="1539">
        <v>80</v>
      </c>
      <c r="AF363" s="144">
        <v>0</v>
      </c>
      <c r="AG363" s="145">
        <v>1</v>
      </c>
      <c r="AH363" s="145">
        <v>1</v>
      </c>
      <c r="AI363" s="145">
        <v>1</v>
      </c>
      <c r="AJ363" s="145">
        <v>1</v>
      </c>
      <c r="AK363" s="145">
        <v>1</v>
      </c>
      <c r="AL363" s="145">
        <v>1</v>
      </c>
      <c r="AM363" s="145">
        <v>1</v>
      </c>
      <c r="AN363" s="145">
        <v>1</v>
      </c>
      <c r="AO363" s="145">
        <v>1</v>
      </c>
      <c r="AP363" s="145">
        <v>1</v>
      </c>
      <c r="AQ363" s="145">
        <v>1</v>
      </c>
      <c r="AR363" s="145">
        <v>1</v>
      </c>
      <c r="AS363" s="145">
        <v>1</v>
      </c>
      <c r="AT363" s="145">
        <v>0</v>
      </c>
      <c r="AU363" s="145">
        <f t="shared" si="125"/>
        <v>0</v>
      </c>
      <c r="AV363" s="145">
        <f t="shared" si="126"/>
        <v>1</v>
      </c>
      <c r="AW363" s="145">
        <f t="shared" si="127"/>
        <v>1</v>
      </c>
      <c r="AX363" s="145">
        <f t="shared" si="133"/>
        <v>0</v>
      </c>
      <c r="AY363" s="145">
        <f t="shared" si="128"/>
        <v>0</v>
      </c>
      <c r="AZ363" s="145">
        <f t="shared" si="129"/>
        <v>1</v>
      </c>
      <c r="BA363" s="146">
        <f t="shared" si="130"/>
        <v>1</v>
      </c>
      <c r="BB363" s="149">
        <f t="shared" si="134"/>
        <v>17</v>
      </c>
      <c r="BC363" s="150">
        <f t="shared" si="135"/>
        <v>16</v>
      </c>
      <c r="BD363" s="150">
        <f t="shared" si="136"/>
        <v>17</v>
      </c>
      <c r="BE363" s="211" t="str">
        <f t="shared" si="137"/>
        <v/>
      </c>
      <c r="BH363" s="173">
        <f>IF(AND(Input_Product=Elig!$C363,Elig_MatchAll_Ct&lt;22,$BC363=(Elig_MatchAll_Ct-1),AF363=0),C363,0)</f>
        <v>0</v>
      </c>
      <c r="BI363" s="173">
        <f>IF(AND(Input_Product=Elig!$C363,Elig_MatchAll_Ct&lt;22,$BC363=(Elig_MatchAll_Ct-1),AG363=0),D363,0)</f>
        <v>0</v>
      </c>
      <c r="BJ363" s="173">
        <f>IF(AND(Input_Product=Elig!$C363,Elig_MatchAll_Ct&lt;22,$BC363=(Elig_MatchAll_Ct-1),AH363=0),E363,0)</f>
        <v>0</v>
      </c>
      <c r="BK363" s="173">
        <f>IF(AND(Input_Product=Elig!$C363,Elig_MatchAll_Ct&lt;22,$BC363=(Elig_MatchAll_Ct-1),AI363=0),F363,0)</f>
        <v>0</v>
      </c>
      <c r="BL363" s="173">
        <f>IF(AND(Input_Product=Elig!$C363,Elig_MatchAll_Ct&lt;22,$BC363=(Elig_MatchAll_Ct-1),AJ363=0),G363,0)</f>
        <v>0</v>
      </c>
      <c r="BM363" s="173">
        <f>IF(AND(Input_Product=Elig!$C363,Elig_MatchAll_Ct&lt;22,$BC363=(Elig_MatchAll_Ct-1),AK363=0),H363,0)</f>
        <v>0</v>
      </c>
      <c r="BN363" s="173">
        <f>IF(AND(Input_Product=Elig!$C363,Elig_MatchAll_Ct&lt;22,$BC363=(Elig_MatchAll_Ct-1),AL363=0),I363,0)</f>
        <v>0</v>
      </c>
      <c r="BO363" s="173">
        <f>IF(AND(Input_Product=Elig!$C363,Elig_MatchAll_Ct&lt;22,$BC363=(Elig_MatchAll_Ct-1),AM363=0),J363,0)</f>
        <v>0</v>
      </c>
      <c r="BP363" s="173">
        <f>IF(AND(Input_Product=Elig!$C363,Elig_MatchAll_Ct&lt;22,$BC363=(Elig_MatchAll_Ct-1),AN363=0),K363,0)</f>
        <v>0</v>
      </c>
      <c r="BQ363" s="173">
        <f>IF(AND(Input_Product=Elig!$C363,Elig_MatchAll_Ct&lt;22,$BC363=(Elig_MatchAll_Ct-1),AP363=0),L363,0)</f>
        <v>0</v>
      </c>
      <c r="BR363" s="173">
        <f>IF(AND(Input_Product=Elig!$C363,Elig_MatchAll_Ct&lt;22,$BC363=(Elig_MatchAll_Ct-1),AO363=0),M363,0)</f>
        <v>0</v>
      </c>
      <c r="BS363" s="173">
        <f>IF(AND(Input_Product=Elig!$C363,Elig_MatchAll_Ct&lt;22,$BC363=(Elig_MatchAll_Ct-1),AQ363=0),N363,0)</f>
        <v>0</v>
      </c>
      <c r="BT363" s="173">
        <f>IF(AND(Input_Product=Elig!$C363,Elig_MatchAll_Ct&lt;22,$BC363=(Elig_MatchAll_Ct-1),AR363=0),O363,0)</f>
        <v>0</v>
      </c>
      <c r="BU363" s="173">
        <f>IF(AND(Input_Product=Elig!$C363,Elig_MatchAll_Ct&lt;22,$BC363=(Elig_MatchAll_Ct-1),AS363=0),P363,0)</f>
        <v>0</v>
      </c>
      <c r="BV363" s="174">
        <f>IF(AND(Input_Product=Elig!$C363,Elig_MatchAll_Ct&lt;22,$BC363=(Elig_MatchAll_Ct-1),AT363=0),Q363,0)</f>
        <v>0</v>
      </c>
      <c r="BW363" s="175">
        <f>IF(AND(Input_Product=Elig!$C363,Elig_MatchAll_Ct&lt;22,$BC363=(Elig_MatchAll_Ct-1),AU363=0),R363,0)</f>
        <v>0</v>
      </c>
      <c r="BX363" s="176">
        <f>IF(AND(Input_Product=Elig!$C363,Elig_MatchAll_Ct&lt;22,$BC363=(Elig_MatchAll_Ct-1),AU363=0),S363,0)</f>
        <v>0</v>
      </c>
      <c r="BY363" s="175">
        <f>IF(AND(Input_Product=Elig!$C363,Elig_MatchAll_Ct&lt;22,$BC363=(Elig_MatchAll_Ct-1),AV363=0),T363,0)</f>
        <v>0</v>
      </c>
      <c r="BZ363" s="176">
        <f>IF(AND(Input_Product=Elig!$C363,Elig_MatchAll_Ct&lt;22,$BC363=(Elig_MatchAll_Ct-1),AV363=0),U363,0)</f>
        <v>0</v>
      </c>
      <c r="CA363" s="175">
        <f>IF(AND(Input_Product=Elig!$C363,Elig_MatchAll_Ct&lt;22,$BC363=(Elig_MatchAll_Ct-1),AW363=0),V363,0)</f>
        <v>0</v>
      </c>
      <c r="CB363" s="176">
        <f>IF(AND(Input_Product=Elig!$C363,Elig_MatchAll_Ct&lt;22,$BC363=(Elig_MatchAll_Ct-1),AW363=0),W363,0)</f>
        <v>0</v>
      </c>
      <c r="CC363" s="175">
        <f>IF(AND(Input_Product=Elig!$C363,Elig_MatchAll_Ct&lt;22,$BC363=(Elig_MatchAll_Ct-1),AX363=0),X363,0)</f>
        <v>0</v>
      </c>
      <c r="CD363" s="176">
        <f>IF(AND(Input_Product=Elig!$C363,Elig_MatchAll_Ct&lt;22,$BC363=(Elig_MatchAll_Ct-1),AX363=0),Y363,0)</f>
        <v>0</v>
      </c>
      <c r="CE363" s="175">
        <f>IF(AND(Input_LTV&lt;=AE363,Input_Product=Elig!$C363,Elig_MatchAll_Ct&lt;22,$BC363=(Elig_MatchAll_Ct-1),AY363=0),Z363,0)</f>
        <v>0</v>
      </c>
      <c r="CF363" s="176">
        <f>IF(AND(Input_LTV&lt;=AE363,Input_Product=Elig!$C363,Elig_MatchAll_Ct&lt;22,$BC363=(Elig_MatchAll_Ct-1),AY363=0),AA363,0)</f>
        <v>0</v>
      </c>
      <c r="CG363" s="175">
        <f>IF(AND(Input_Product=Elig!$C363,Elig_MatchAll_Ct&lt;22,$BC363=(Elig_MatchAll_Ct-1),AZ363=0),AB363,0)</f>
        <v>0</v>
      </c>
      <c r="CH363" s="176">
        <f>IF(AND(Input_Product=Elig!$C363,Elig_MatchAll_Ct&lt;22,$BC363=(Elig_MatchAll_Ct-1),AZ363=0),AC363,0)</f>
        <v>0</v>
      </c>
      <c r="CI363" s="175">
        <f>IF(AND(Input_Product=Elig!$C363,Elig_MatchAll_Ct&lt;22,$BC363=(Elig_MatchAll_Ct-1),BA363=0),AD363,0)</f>
        <v>0</v>
      </c>
      <c r="CJ363" s="176">
        <f>IF(AND(Input_Product=Elig!$C363,Elig_MatchAll_Ct&lt;22,$BC363=(Elig_MatchAll_Ct-1),BA363=0),AE363,0)</f>
        <v>0</v>
      </c>
    </row>
    <row r="364" spans="1:88" ht="10.15" customHeight="1" x14ac:dyDescent="0.25">
      <c r="A364" s="261" t="s">
        <v>2507</v>
      </c>
      <c r="B364" s="261" t="s">
        <v>2493</v>
      </c>
      <c r="C364" s="1930" t="str">
        <f t="shared" si="116"/>
        <v>NonQM NOO</v>
      </c>
      <c r="D364" s="276" t="s">
        <v>1995</v>
      </c>
      <c r="E364" s="1537" t="s">
        <v>166</v>
      </c>
      <c r="F364" s="1537" t="s">
        <v>329</v>
      </c>
      <c r="G364" s="1537" t="s">
        <v>180</v>
      </c>
      <c r="H364" s="1537" t="s">
        <v>135</v>
      </c>
      <c r="I364" s="276" t="s">
        <v>16</v>
      </c>
      <c r="J364" s="276" t="s">
        <v>1130</v>
      </c>
      <c r="K364" s="1930" t="s">
        <v>2516</v>
      </c>
      <c r="L364" s="261" t="s">
        <v>311</v>
      </c>
      <c r="M364" s="261" t="s">
        <v>2289</v>
      </c>
      <c r="N364" s="261" t="s">
        <v>1844</v>
      </c>
      <c r="O364" s="1985" t="s">
        <v>2196</v>
      </c>
      <c r="P364" s="1985" t="s">
        <v>2422</v>
      </c>
      <c r="Q364" s="1985" t="s">
        <v>49</v>
      </c>
      <c r="R364" s="261">
        <v>1000000.01</v>
      </c>
      <c r="S364" s="276">
        <v>1500000</v>
      </c>
      <c r="T364" s="276">
        <v>0</v>
      </c>
      <c r="U364" s="276">
        <f t="shared" ref="U364:U366" si="138">S364</f>
        <v>1500000</v>
      </c>
      <c r="V364" s="276">
        <v>0</v>
      </c>
      <c r="W364" s="276">
        <v>55</v>
      </c>
      <c r="X364" s="276">
        <v>0.01</v>
      </c>
      <c r="Y364" s="261">
        <v>0.74999999999989997</v>
      </c>
      <c r="Z364" s="1882">
        <v>720</v>
      </c>
      <c r="AA364" s="1882">
        <v>999</v>
      </c>
      <c r="AB364" s="1882">
        <v>0</v>
      </c>
      <c r="AC364" s="1882">
        <v>999999</v>
      </c>
      <c r="AD364" s="276">
        <v>0</v>
      </c>
      <c r="AE364" s="1538">
        <v>75</v>
      </c>
      <c r="AF364" s="144">
        <v>0</v>
      </c>
      <c r="AG364" s="145">
        <v>1</v>
      </c>
      <c r="AH364" s="145">
        <v>1</v>
      </c>
      <c r="AI364" s="145">
        <v>1</v>
      </c>
      <c r="AJ364" s="145">
        <v>1</v>
      </c>
      <c r="AK364" s="145">
        <v>1</v>
      </c>
      <c r="AL364" s="145">
        <v>0</v>
      </c>
      <c r="AM364" s="145">
        <v>1</v>
      </c>
      <c r="AN364" s="145">
        <v>1</v>
      </c>
      <c r="AO364" s="145">
        <v>1</v>
      </c>
      <c r="AP364" s="145">
        <v>1</v>
      </c>
      <c r="AQ364" s="145">
        <v>1</v>
      </c>
      <c r="AR364" s="145">
        <v>1</v>
      </c>
      <c r="AS364" s="145">
        <v>1</v>
      </c>
      <c r="AT364" s="145">
        <v>0</v>
      </c>
      <c r="AU364" s="145">
        <f t="shared" si="125"/>
        <v>0</v>
      </c>
      <c r="AV364" s="145">
        <f t="shared" si="126"/>
        <v>1</v>
      </c>
      <c r="AW364" s="145">
        <f t="shared" si="127"/>
        <v>1</v>
      </c>
      <c r="AX364" s="145">
        <f t="shared" si="133"/>
        <v>0</v>
      </c>
      <c r="AY364" s="145">
        <f t="shared" si="128"/>
        <v>1</v>
      </c>
      <c r="AZ364" s="145">
        <f t="shared" si="129"/>
        <v>1</v>
      </c>
      <c r="BA364" s="146">
        <f t="shared" si="130"/>
        <v>1</v>
      </c>
      <c r="BB364" s="149">
        <f t="shared" si="134"/>
        <v>17</v>
      </c>
      <c r="BC364" s="150">
        <f t="shared" si="135"/>
        <v>16</v>
      </c>
      <c r="BD364" s="150">
        <f t="shared" si="136"/>
        <v>17</v>
      </c>
      <c r="BE364" s="211" t="str">
        <f t="shared" si="137"/>
        <v/>
      </c>
      <c r="BH364" s="190">
        <f>IF(AND(Input_Product=Elig!$C364,Elig_MatchAll_Ct&lt;22,$BC364=(Elig_MatchAll_Ct-1),AF364=0),C364,0)</f>
        <v>0</v>
      </c>
      <c r="BI364" s="190">
        <f>IF(AND(Input_Product=Elig!$C364,Elig_MatchAll_Ct&lt;22,$BC364=(Elig_MatchAll_Ct-1),AG364=0),D364,0)</f>
        <v>0</v>
      </c>
      <c r="BJ364" s="190">
        <f>IF(AND(Input_Product=Elig!$C364,Elig_MatchAll_Ct&lt;22,$BC364=(Elig_MatchAll_Ct-1),AH364=0),E364,0)</f>
        <v>0</v>
      </c>
      <c r="BK364" s="190">
        <f>IF(AND(Input_Product=Elig!$C364,Elig_MatchAll_Ct&lt;22,$BC364=(Elig_MatchAll_Ct-1),AI364=0),F364,0)</f>
        <v>0</v>
      </c>
      <c r="BL364" s="190">
        <f>IF(AND(Input_Product=Elig!$C364,Elig_MatchAll_Ct&lt;22,$BC364=(Elig_MatchAll_Ct-1),AJ364=0),G364,0)</f>
        <v>0</v>
      </c>
      <c r="BM364" s="190">
        <f>IF(AND(Input_Product=Elig!$C364,Elig_MatchAll_Ct&lt;22,$BC364=(Elig_MatchAll_Ct-1),AK364=0),H364,0)</f>
        <v>0</v>
      </c>
      <c r="BN364" s="190">
        <f>IF(AND(Input_Product=Elig!$C364,Elig_MatchAll_Ct&lt;22,$BC364=(Elig_MatchAll_Ct-1),AL364=0),I364,0)</f>
        <v>0</v>
      </c>
      <c r="BO364" s="190">
        <f>IF(AND(Input_Product=Elig!$C364,Elig_MatchAll_Ct&lt;22,$BC364=(Elig_MatchAll_Ct-1),AM364=0),J364,0)</f>
        <v>0</v>
      </c>
      <c r="BP364" s="190">
        <f>IF(AND(Input_Product=Elig!$C364,Elig_MatchAll_Ct&lt;22,$BC364=(Elig_MatchAll_Ct-1),AN364=0),K364,0)</f>
        <v>0</v>
      </c>
      <c r="BQ364" s="190">
        <f>IF(AND(Input_Product=Elig!$C364,Elig_MatchAll_Ct&lt;22,$BC364=(Elig_MatchAll_Ct-1),AP364=0),L364,0)</f>
        <v>0</v>
      </c>
      <c r="BR364" s="190">
        <f>IF(AND(Input_Product=Elig!$C364,Elig_MatchAll_Ct&lt;22,$BC364=(Elig_MatchAll_Ct-1),AO364=0),M364,0)</f>
        <v>0</v>
      </c>
      <c r="BS364" s="190">
        <f>IF(AND(Input_Product=Elig!$C364,Elig_MatchAll_Ct&lt;22,$BC364=(Elig_MatchAll_Ct-1),AQ364=0),N364,0)</f>
        <v>0</v>
      </c>
      <c r="BT364" s="190">
        <f>IF(AND(Input_Product=Elig!$C364,Elig_MatchAll_Ct&lt;22,$BC364=(Elig_MatchAll_Ct-1),AR364=0),O364,0)</f>
        <v>0</v>
      </c>
      <c r="BU364" s="190">
        <f>IF(AND(Input_Product=Elig!$C364,Elig_MatchAll_Ct&lt;22,$BC364=(Elig_MatchAll_Ct-1),AS364=0),P364,0)</f>
        <v>0</v>
      </c>
      <c r="BV364" s="191">
        <f>IF(AND(Input_Product=Elig!$C364,Elig_MatchAll_Ct&lt;22,$BC364=(Elig_MatchAll_Ct-1),AT364=0),Q364,0)</f>
        <v>0</v>
      </c>
      <c r="BW364" s="192">
        <f>IF(AND(Input_Product=Elig!$C364,Elig_MatchAll_Ct&lt;22,$BC364=(Elig_MatchAll_Ct-1),AU364=0),R364,0)</f>
        <v>0</v>
      </c>
      <c r="BX364" s="193">
        <f>IF(AND(Input_Product=Elig!$C364,Elig_MatchAll_Ct&lt;22,$BC364=(Elig_MatchAll_Ct-1),AU364=0),S364,0)</f>
        <v>0</v>
      </c>
      <c r="BY364" s="192">
        <f>IF(AND(Input_Product=Elig!$C364,Elig_MatchAll_Ct&lt;22,$BC364=(Elig_MatchAll_Ct-1),AV364=0),T364,0)</f>
        <v>0</v>
      </c>
      <c r="BZ364" s="193">
        <f>IF(AND(Input_Product=Elig!$C364,Elig_MatchAll_Ct&lt;22,$BC364=(Elig_MatchAll_Ct-1),AV364=0),U364,0)</f>
        <v>0</v>
      </c>
      <c r="CA364" s="192">
        <f>IF(AND(Input_Product=Elig!$C364,Elig_MatchAll_Ct&lt;22,$BC364=(Elig_MatchAll_Ct-1),AW364=0),V364,0)</f>
        <v>0</v>
      </c>
      <c r="CB364" s="193">
        <f>IF(AND(Input_Product=Elig!$C364,Elig_MatchAll_Ct&lt;22,$BC364=(Elig_MatchAll_Ct-1),AW364=0),W364,0)</f>
        <v>0</v>
      </c>
      <c r="CC364" s="192">
        <f>IF(AND(Input_Product=Elig!$C364,Elig_MatchAll_Ct&lt;22,$BC364=(Elig_MatchAll_Ct-1),AX364=0),X364,0)</f>
        <v>0</v>
      </c>
      <c r="CD364" s="193">
        <f>IF(AND(Input_Product=Elig!$C364,Elig_MatchAll_Ct&lt;22,$BC364=(Elig_MatchAll_Ct-1),AX364=0),Y364,0)</f>
        <v>0</v>
      </c>
      <c r="CE364" s="192">
        <f>IF(AND(Input_LTV&lt;=AE364,Input_Product=Elig!$C364,Elig_MatchAll_Ct&lt;22,$BC364=(Elig_MatchAll_Ct-1),AY364=0),Z364,0)</f>
        <v>0</v>
      </c>
      <c r="CF364" s="193">
        <f>IF(AND(Input_LTV&lt;=AE364,Input_Product=Elig!$C364,Elig_MatchAll_Ct&lt;22,$BC364=(Elig_MatchAll_Ct-1),AY364=0),AA364,0)</f>
        <v>0</v>
      </c>
      <c r="CG364" s="192">
        <f>IF(AND(Input_Product=Elig!$C364,Elig_MatchAll_Ct&lt;22,$BC364=(Elig_MatchAll_Ct-1),AZ364=0),AB364,0)</f>
        <v>0</v>
      </c>
      <c r="CH364" s="193">
        <f>IF(AND(Input_Product=Elig!$C364,Elig_MatchAll_Ct&lt;22,$BC364=(Elig_MatchAll_Ct-1),AZ364=0),AC364,0)</f>
        <v>0</v>
      </c>
      <c r="CI364" s="192">
        <f>IF(AND(Input_Product=Elig!$C364,Elig_MatchAll_Ct&lt;22,$BC364=(Elig_MatchAll_Ct-1),BA364=0),AD364,0)</f>
        <v>0</v>
      </c>
      <c r="CJ364" s="193">
        <f>IF(AND(Input_Product=Elig!$C364,Elig_MatchAll_Ct&lt;22,$BC364=(Elig_MatchAll_Ct-1),BA364=0),AE364,0)</f>
        <v>0</v>
      </c>
    </row>
    <row r="365" spans="1:88" ht="10.15" customHeight="1" x14ac:dyDescent="0.25">
      <c r="A365" s="261" t="s">
        <v>2507</v>
      </c>
      <c r="B365" s="261" t="s">
        <v>2494</v>
      </c>
      <c r="C365" s="1970" t="str">
        <f t="shared" si="116"/>
        <v>NonQM NOO</v>
      </c>
      <c r="D365" s="261" t="s">
        <v>1995</v>
      </c>
      <c r="E365" s="261" t="s">
        <v>166</v>
      </c>
      <c r="F365" s="261" t="s">
        <v>329</v>
      </c>
      <c r="G365" s="261" t="s">
        <v>180</v>
      </c>
      <c r="H365" s="261" t="s">
        <v>135</v>
      </c>
      <c r="I365" s="1544" t="s">
        <v>16</v>
      </c>
      <c r="J365" s="1544" t="s">
        <v>1130</v>
      </c>
      <c r="K365" s="1930" t="s">
        <v>2516</v>
      </c>
      <c r="L365" s="261" t="s">
        <v>311</v>
      </c>
      <c r="M365" s="261" t="s">
        <v>2289</v>
      </c>
      <c r="N365" s="261" t="s">
        <v>1844</v>
      </c>
      <c r="O365" s="1985" t="s">
        <v>2196</v>
      </c>
      <c r="P365" s="1985" t="s">
        <v>2422</v>
      </c>
      <c r="Q365" s="1985" t="s">
        <v>49</v>
      </c>
      <c r="R365" s="261">
        <v>1000000.01</v>
      </c>
      <c r="S365" s="261">
        <v>1500000</v>
      </c>
      <c r="T365" s="261">
        <v>0</v>
      </c>
      <c r="U365" s="261">
        <f t="shared" si="138"/>
        <v>1500000</v>
      </c>
      <c r="V365" s="261">
        <v>0</v>
      </c>
      <c r="W365" s="261">
        <v>55</v>
      </c>
      <c r="X365" s="276">
        <v>0.01</v>
      </c>
      <c r="Y365" s="261">
        <v>0.74999999999989997</v>
      </c>
      <c r="Z365" s="1883">
        <v>700</v>
      </c>
      <c r="AA365" s="1883">
        <v>719</v>
      </c>
      <c r="AB365" s="1883">
        <v>0</v>
      </c>
      <c r="AC365" s="1883">
        <v>999999</v>
      </c>
      <c r="AD365" s="261">
        <v>0</v>
      </c>
      <c r="AE365" s="1539">
        <v>75</v>
      </c>
      <c r="AF365" s="144">
        <v>0</v>
      </c>
      <c r="AG365" s="145">
        <v>1</v>
      </c>
      <c r="AH365" s="145">
        <v>1</v>
      </c>
      <c r="AI365" s="145">
        <v>1</v>
      </c>
      <c r="AJ365" s="145">
        <v>1</v>
      </c>
      <c r="AK365" s="145">
        <v>1</v>
      </c>
      <c r="AL365" s="145">
        <v>0</v>
      </c>
      <c r="AM365" s="145">
        <v>1</v>
      </c>
      <c r="AN365" s="145">
        <v>1</v>
      </c>
      <c r="AO365" s="145">
        <v>1</v>
      </c>
      <c r="AP365" s="145">
        <v>1</v>
      </c>
      <c r="AQ365" s="145">
        <v>1</v>
      </c>
      <c r="AR365" s="145">
        <v>1</v>
      </c>
      <c r="AS365" s="145">
        <v>1</v>
      </c>
      <c r="AT365" s="145">
        <v>0</v>
      </c>
      <c r="AU365" s="145">
        <f t="shared" si="125"/>
        <v>0</v>
      </c>
      <c r="AV365" s="145">
        <f t="shared" si="126"/>
        <v>1</v>
      </c>
      <c r="AW365" s="145">
        <f t="shared" si="127"/>
        <v>1</v>
      </c>
      <c r="AX365" s="145">
        <f t="shared" si="133"/>
        <v>0</v>
      </c>
      <c r="AY365" s="145">
        <f t="shared" si="128"/>
        <v>0</v>
      </c>
      <c r="AZ365" s="145">
        <f t="shared" si="129"/>
        <v>1</v>
      </c>
      <c r="BA365" s="146">
        <f t="shared" si="130"/>
        <v>1</v>
      </c>
      <c r="BB365" s="149">
        <f t="shared" si="134"/>
        <v>16</v>
      </c>
      <c r="BC365" s="150">
        <f t="shared" si="135"/>
        <v>15</v>
      </c>
      <c r="BD365" s="150">
        <f t="shared" si="136"/>
        <v>16</v>
      </c>
      <c r="BE365" s="211" t="str">
        <f t="shared" si="137"/>
        <v/>
      </c>
      <c r="BH365" s="173">
        <f>IF(AND(Input_Product=Elig!$C365,Elig_MatchAll_Ct&lt;22,$BC365=(Elig_MatchAll_Ct-1),AF365=0),C365,0)</f>
        <v>0</v>
      </c>
      <c r="BI365" s="173">
        <f>IF(AND(Input_Product=Elig!$C365,Elig_MatchAll_Ct&lt;22,$BC365=(Elig_MatchAll_Ct-1),AG365=0),D365,0)</f>
        <v>0</v>
      </c>
      <c r="BJ365" s="173">
        <f>IF(AND(Input_Product=Elig!$C365,Elig_MatchAll_Ct&lt;22,$BC365=(Elig_MatchAll_Ct-1),AH365=0),E365,0)</f>
        <v>0</v>
      </c>
      <c r="BK365" s="173">
        <f>IF(AND(Input_Product=Elig!$C365,Elig_MatchAll_Ct&lt;22,$BC365=(Elig_MatchAll_Ct-1),AI365=0),F365,0)</f>
        <v>0</v>
      </c>
      <c r="BL365" s="173">
        <f>IF(AND(Input_Product=Elig!$C365,Elig_MatchAll_Ct&lt;22,$BC365=(Elig_MatchAll_Ct-1),AJ365=0),G365,0)</f>
        <v>0</v>
      </c>
      <c r="BM365" s="173">
        <f>IF(AND(Input_Product=Elig!$C365,Elig_MatchAll_Ct&lt;22,$BC365=(Elig_MatchAll_Ct-1),AK365=0),H365,0)</f>
        <v>0</v>
      </c>
      <c r="BN365" s="173">
        <f>IF(AND(Input_Product=Elig!$C365,Elig_MatchAll_Ct&lt;22,$BC365=(Elig_MatchAll_Ct-1),AL365=0),I365,0)</f>
        <v>0</v>
      </c>
      <c r="BO365" s="173">
        <f>IF(AND(Input_Product=Elig!$C365,Elig_MatchAll_Ct&lt;22,$BC365=(Elig_MatchAll_Ct-1),AM365=0),J365,0)</f>
        <v>0</v>
      </c>
      <c r="BP365" s="173">
        <f>IF(AND(Input_Product=Elig!$C365,Elig_MatchAll_Ct&lt;22,$BC365=(Elig_MatchAll_Ct-1),AN365=0),K365,0)</f>
        <v>0</v>
      </c>
      <c r="BQ365" s="173">
        <f>IF(AND(Input_Product=Elig!$C365,Elig_MatchAll_Ct&lt;22,$BC365=(Elig_MatchAll_Ct-1),AP365=0),L365,0)</f>
        <v>0</v>
      </c>
      <c r="BR365" s="173">
        <f>IF(AND(Input_Product=Elig!$C365,Elig_MatchAll_Ct&lt;22,$BC365=(Elig_MatchAll_Ct-1),AO365=0),M365,0)</f>
        <v>0</v>
      </c>
      <c r="BS365" s="173">
        <f>IF(AND(Input_Product=Elig!$C365,Elig_MatchAll_Ct&lt;22,$BC365=(Elig_MatchAll_Ct-1),AQ365=0),N365,0)</f>
        <v>0</v>
      </c>
      <c r="BT365" s="173">
        <f>IF(AND(Input_Product=Elig!$C365,Elig_MatchAll_Ct&lt;22,$BC365=(Elig_MatchAll_Ct-1),AR365=0),O365,0)</f>
        <v>0</v>
      </c>
      <c r="BU365" s="173">
        <f>IF(AND(Input_Product=Elig!$C365,Elig_MatchAll_Ct&lt;22,$BC365=(Elig_MatchAll_Ct-1),AS365=0),P365,0)</f>
        <v>0</v>
      </c>
      <c r="BV365" s="174">
        <f>IF(AND(Input_Product=Elig!$C365,Elig_MatchAll_Ct&lt;22,$BC365=(Elig_MatchAll_Ct-1),AT365=0),Q365,0)</f>
        <v>0</v>
      </c>
      <c r="BW365" s="175">
        <f>IF(AND(Input_Product=Elig!$C365,Elig_MatchAll_Ct&lt;22,$BC365=(Elig_MatchAll_Ct-1),AU365=0),R365,0)</f>
        <v>0</v>
      </c>
      <c r="BX365" s="176">
        <f>IF(AND(Input_Product=Elig!$C365,Elig_MatchAll_Ct&lt;22,$BC365=(Elig_MatchAll_Ct-1),AU365=0),S365,0)</f>
        <v>0</v>
      </c>
      <c r="BY365" s="175">
        <f>IF(AND(Input_Product=Elig!$C365,Elig_MatchAll_Ct&lt;22,$BC365=(Elig_MatchAll_Ct-1),AV365=0),T365,0)</f>
        <v>0</v>
      </c>
      <c r="BZ365" s="176">
        <f>IF(AND(Input_Product=Elig!$C365,Elig_MatchAll_Ct&lt;22,$BC365=(Elig_MatchAll_Ct-1),AV365=0),U365,0)</f>
        <v>0</v>
      </c>
      <c r="CA365" s="175">
        <f>IF(AND(Input_Product=Elig!$C365,Elig_MatchAll_Ct&lt;22,$BC365=(Elig_MatchAll_Ct-1),AW365=0),V365,0)</f>
        <v>0</v>
      </c>
      <c r="CB365" s="176">
        <f>IF(AND(Input_Product=Elig!$C365,Elig_MatchAll_Ct&lt;22,$BC365=(Elig_MatchAll_Ct-1),AW365=0),W365,0)</f>
        <v>0</v>
      </c>
      <c r="CC365" s="175">
        <f>IF(AND(Input_Product=Elig!$C365,Elig_MatchAll_Ct&lt;22,$BC365=(Elig_MatchAll_Ct-1),AX365=0),X365,0)</f>
        <v>0</v>
      </c>
      <c r="CD365" s="176">
        <f>IF(AND(Input_Product=Elig!$C365,Elig_MatchAll_Ct&lt;22,$BC365=(Elig_MatchAll_Ct-1),AX365=0),Y365,0)</f>
        <v>0</v>
      </c>
      <c r="CE365" s="175">
        <f>IF(AND(Input_LTV&lt;=AE365,Input_Product=Elig!$C365,Elig_MatchAll_Ct&lt;22,$BC365=(Elig_MatchAll_Ct-1),AY365=0),Z365,0)</f>
        <v>0</v>
      </c>
      <c r="CF365" s="176">
        <f>IF(AND(Input_LTV&lt;=AE365,Input_Product=Elig!$C365,Elig_MatchAll_Ct&lt;22,$BC365=(Elig_MatchAll_Ct-1),AY365=0),AA365,0)</f>
        <v>0</v>
      </c>
      <c r="CG365" s="175">
        <f>IF(AND(Input_Product=Elig!$C365,Elig_MatchAll_Ct&lt;22,$BC365=(Elig_MatchAll_Ct-1),AZ365=0),AB365,0)</f>
        <v>0</v>
      </c>
      <c r="CH365" s="176">
        <f>IF(AND(Input_Product=Elig!$C365,Elig_MatchAll_Ct&lt;22,$BC365=(Elig_MatchAll_Ct-1),AZ365=0),AC365,0)</f>
        <v>0</v>
      </c>
      <c r="CI365" s="175">
        <f>IF(AND(Input_Product=Elig!$C365,Elig_MatchAll_Ct&lt;22,$BC365=(Elig_MatchAll_Ct-1),BA365=0),AD365,0)</f>
        <v>0</v>
      </c>
      <c r="CJ365" s="176">
        <f>IF(AND(Input_Product=Elig!$C365,Elig_MatchAll_Ct&lt;22,$BC365=(Elig_MatchAll_Ct-1),BA365=0),AE365,0)</f>
        <v>0</v>
      </c>
    </row>
    <row r="366" spans="1:88" ht="10.15" customHeight="1" x14ac:dyDescent="0.25">
      <c r="A366" s="261" t="s">
        <v>2507</v>
      </c>
      <c r="B366" s="261" t="s">
        <v>2513</v>
      </c>
      <c r="C366" s="261" t="str">
        <f t="shared" si="116"/>
        <v>NonQM NOO</v>
      </c>
      <c r="D366" s="261" t="s">
        <v>1995</v>
      </c>
      <c r="E366" s="261" t="s">
        <v>166</v>
      </c>
      <c r="F366" s="261" t="s">
        <v>329</v>
      </c>
      <c r="G366" s="261" t="s">
        <v>180</v>
      </c>
      <c r="H366" s="261" t="s">
        <v>135</v>
      </c>
      <c r="I366" s="1544" t="s">
        <v>16</v>
      </c>
      <c r="J366" s="1544" t="s">
        <v>1130</v>
      </c>
      <c r="K366" s="1930" t="s">
        <v>2516</v>
      </c>
      <c r="L366" s="261" t="s">
        <v>311</v>
      </c>
      <c r="M366" s="261" t="s">
        <v>2289</v>
      </c>
      <c r="N366" s="261" t="s">
        <v>1844</v>
      </c>
      <c r="O366" s="1985" t="s">
        <v>2196</v>
      </c>
      <c r="P366" s="1985" t="s">
        <v>2422</v>
      </c>
      <c r="Q366" s="1985" t="s">
        <v>49</v>
      </c>
      <c r="R366" s="261">
        <v>1000000.01</v>
      </c>
      <c r="S366" s="261">
        <v>1500000</v>
      </c>
      <c r="T366" s="261">
        <v>0</v>
      </c>
      <c r="U366" s="261">
        <f t="shared" si="138"/>
        <v>1500000</v>
      </c>
      <c r="V366" s="261">
        <v>0</v>
      </c>
      <c r="W366" s="261">
        <v>55</v>
      </c>
      <c r="X366" s="276">
        <v>0.01</v>
      </c>
      <c r="Y366" s="261">
        <v>0.74999999999989997</v>
      </c>
      <c r="Z366" s="1883">
        <v>680</v>
      </c>
      <c r="AA366" s="1883">
        <v>699</v>
      </c>
      <c r="AB366" s="1883">
        <v>0</v>
      </c>
      <c r="AC366" s="1883">
        <v>999999</v>
      </c>
      <c r="AD366" s="261">
        <v>0</v>
      </c>
      <c r="AE366" s="1539">
        <v>75</v>
      </c>
      <c r="AF366" s="144">
        <v>0</v>
      </c>
      <c r="AG366" s="145">
        <v>1</v>
      </c>
      <c r="AH366" s="145">
        <v>1</v>
      </c>
      <c r="AI366" s="145">
        <v>1</v>
      </c>
      <c r="AJ366" s="145">
        <v>1</v>
      </c>
      <c r="AK366" s="145">
        <v>1</v>
      </c>
      <c r="AL366" s="145">
        <v>0</v>
      </c>
      <c r="AM366" s="145">
        <v>1</v>
      </c>
      <c r="AN366" s="145">
        <v>1</v>
      </c>
      <c r="AO366" s="145">
        <v>1</v>
      </c>
      <c r="AP366" s="145">
        <v>1</v>
      </c>
      <c r="AQ366" s="145">
        <v>1</v>
      </c>
      <c r="AR366" s="145">
        <v>1</v>
      </c>
      <c r="AS366" s="145">
        <v>1</v>
      </c>
      <c r="AT366" s="145">
        <v>0</v>
      </c>
      <c r="AU366" s="145">
        <f t="shared" si="125"/>
        <v>0</v>
      </c>
      <c r="AV366" s="145">
        <f t="shared" si="126"/>
        <v>1</v>
      </c>
      <c r="AW366" s="145">
        <f t="shared" si="127"/>
        <v>1</v>
      </c>
      <c r="AX366" s="145">
        <f t="shared" si="133"/>
        <v>0</v>
      </c>
      <c r="AY366" s="145">
        <f t="shared" si="128"/>
        <v>0</v>
      </c>
      <c r="AZ366" s="145">
        <f t="shared" si="129"/>
        <v>1</v>
      </c>
      <c r="BA366" s="146">
        <f t="shared" si="130"/>
        <v>1</v>
      </c>
      <c r="BB366" s="149">
        <f t="shared" si="134"/>
        <v>16</v>
      </c>
      <c r="BC366" s="150">
        <f t="shared" si="135"/>
        <v>15</v>
      </c>
      <c r="BD366" s="150">
        <f t="shared" si="136"/>
        <v>16</v>
      </c>
      <c r="BE366" s="211" t="str">
        <f t="shared" si="137"/>
        <v/>
      </c>
      <c r="BH366" s="173">
        <f>IF(AND(Input_Product=Elig!$C366,Elig_MatchAll_Ct&lt;22,$BC366=(Elig_MatchAll_Ct-1),AF366=0),C366,0)</f>
        <v>0</v>
      </c>
      <c r="BI366" s="173">
        <f>IF(AND(Input_Product=Elig!$C366,Elig_MatchAll_Ct&lt;22,$BC366=(Elig_MatchAll_Ct-1),AG366=0),D366,0)</f>
        <v>0</v>
      </c>
      <c r="BJ366" s="173">
        <f>IF(AND(Input_Product=Elig!$C366,Elig_MatchAll_Ct&lt;22,$BC366=(Elig_MatchAll_Ct-1),AH366=0),E366,0)</f>
        <v>0</v>
      </c>
      <c r="BK366" s="173">
        <f>IF(AND(Input_Product=Elig!$C366,Elig_MatchAll_Ct&lt;22,$BC366=(Elig_MatchAll_Ct-1),AI366=0),F366,0)</f>
        <v>0</v>
      </c>
      <c r="BL366" s="173">
        <f>IF(AND(Input_Product=Elig!$C366,Elig_MatchAll_Ct&lt;22,$BC366=(Elig_MatchAll_Ct-1),AJ366=0),G366,0)</f>
        <v>0</v>
      </c>
      <c r="BM366" s="173">
        <f>IF(AND(Input_Product=Elig!$C366,Elig_MatchAll_Ct&lt;22,$BC366=(Elig_MatchAll_Ct-1),AK366=0),H366,0)</f>
        <v>0</v>
      </c>
      <c r="BN366" s="173">
        <f>IF(AND(Input_Product=Elig!$C366,Elig_MatchAll_Ct&lt;22,$BC366=(Elig_MatchAll_Ct-1),AL366=0),I366,0)</f>
        <v>0</v>
      </c>
      <c r="BO366" s="173">
        <f>IF(AND(Input_Product=Elig!$C366,Elig_MatchAll_Ct&lt;22,$BC366=(Elig_MatchAll_Ct-1),AM366=0),J366,0)</f>
        <v>0</v>
      </c>
      <c r="BP366" s="173">
        <f>IF(AND(Input_Product=Elig!$C366,Elig_MatchAll_Ct&lt;22,$BC366=(Elig_MatchAll_Ct-1),AN366=0),K366,0)</f>
        <v>0</v>
      </c>
      <c r="BQ366" s="173">
        <f>IF(AND(Input_Product=Elig!$C366,Elig_MatchAll_Ct&lt;22,$BC366=(Elig_MatchAll_Ct-1),AP366=0),L366,0)</f>
        <v>0</v>
      </c>
      <c r="BR366" s="173">
        <f>IF(AND(Input_Product=Elig!$C366,Elig_MatchAll_Ct&lt;22,$BC366=(Elig_MatchAll_Ct-1),AO366=0),M366,0)</f>
        <v>0</v>
      </c>
      <c r="BS366" s="173">
        <f>IF(AND(Input_Product=Elig!$C366,Elig_MatchAll_Ct&lt;22,$BC366=(Elig_MatchAll_Ct-1),AQ366=0),N366,0)</f>
        <v>0</v>
      </c>
      <c r="BT366" s="173">
        <f>IF(AND(Input_Product=Elig!$C366,Elig_MatchAll_Ct&lt;22,$BC366=(Elig_MatchAll_Ct-1),AR366=0),O366,0)</f>
        <v>0</v>
      </c>
      <c r="BU366" s="173">
        <f>IF(AND(Input_Product=Elig!$C366,Elig_MatchAll_Ct&lt;22,$BC366=(Elig_MatchAll_Ct-1),AS366=0),P366,0)</f>
        <v>0</v>
      </c>
      <c r="BV366" s="174">
        <f>IF(AND(Input_Product=Elig!$C366,Elig_MatchAll_Ct&lt;22,$BC366=(Elig_MatchAll_Ct-1),AT366=0),Q366,0)</f>
        <v>0</v>
      </c>
      <c r="BW366" s="175">
        <f>IF(AND(Input_Product=Elig!$C366,Elig_MatchAll_Ct&lt;22,$BC366=(Elig_MatchAll_Ct-1),AU366=0),R366,0)</f>
        <v>0</v>
      </c>
      <c r="BX366" s="176">
        <f>IF(AND(Input_Product=Elig!$C366,Elig_MatchAll_Ct&lt;22,$BC366=(Elig_MatchAll_Ct-1),AU366=0),S366,0)</f>
        <v>0</v>
      </c>
      <c r="BY366" s="175">
        <f>IF(AND(Input_Product=Elig!$C366,Elig_MatchAll_Ct&lt;22,$BC366=(Elig_MatchAll_Ct-1),AV366=0),T366,0)</f>
        <v>0</v>
      </c>
      <c r="BZ366" s="176">
        <f>IF(AND(Input_Product=Elig!$C366,Elig_MatchAll_Ct&lt;22,$BC366=(Elig_MatchAll_Ct-1),AV366=0),U366,0)</f>
        <v>0</v>
      </c>
      <c r="CA366" s="175">
        <f>IF(AND(Input_Product=Elig!$C366,Elig_MatchAll_Ct&lt;22,$BC366=(Elig_MatchAll_Ct-1),AW366=0),V366,0)</f>
        <v>0</v>
      </c>
      <c r="CB366" s="176">
        <f>IF(AND(Input_Product=Elig!$C366,Elig_MatchAll_Ct&lt;22,$BC366=(Elig_MatchAll_Ct-1),AW366=0),W366,0)</f>
        <v>0</v>
      </c>
      <c r="CC366" s="175">
        <f>IF(AND(Input_Product=Elig!$C366,Elig_MatchAll_Ct&lt;22,$BC366=(Elig_MatchAll_Ct-1),AX366=0),X366,0)</f>
        <v>0</v>
      </c>
      <c r="CD366" s="176">
        <f>IF(AND(Input_Product=Elig!$C366,Elig_MatchAll_Ct&lt;22,$BC366=(Elig_MatchAll_Ct-1),AX366=0),Y366,0)</f>
        <v>0</v>
      </c>
      <c r="CE366" s="175">
        <f>IF(AND(Input_LTV&lt;=AE366,Input_Product=Elig!$C366,Elig_MatchAll_Ct&lt;22,$BC366=(Elig_MatchAll_Ct-1),AY366=0),Z366,0)</f>
        <v>0</v>
      </c>
      <c r="CF366" s="176">
        <f>IF(AND(Input_LTV&lt;=AE366,Input_Product=Elig!$C366,Elig_MatchAll_Ct&lt;22,$BC366=(Elig_MatchAll_Ct-1),AY366=0),AA366,0)</f>
        <v>0</v>
      </c>
      <c r="CG366" s="175">
        <f>IF(AND(Input_Product=Elig!$C366,Elig_MatchAll_Ct&lt;22,$BC366=(Elig_MatchAll_Ct-1),AZ366=0),AB366,0)</f>
        <v>0</v>
      </c>
      <c r="CH366" s="176">
        <f>IF(AND(Input_Product=Elig!$C366,Elig_MatchAll_Ct&lt;22,$BC366=(Elig_MatchAll_Ct-1),AZ366=0),AC366,0)</f>
        <v>0</v>
      </c>
      <c r="CI366" s="175">
        <f>IF(AND(Input_Product=Elig!$C366,Elig_MatchAll_Ct&lt;22,$BC366=(Elig_MatchAll_Ct-1),BA366=0),AD366,0)</f>
        <v>0</v>
      </c>
      <c r="CJ366" s="176">
        <f>IF(AND(Input_Product=Elig!$C366,Elig_MatchAll_Ct&lt;22,$BC366=(Elig_MatchAll_Ct-1),BA366=0),AE366,0)</f>
        <v>0</v>
      </c>
    </row>
    <row r="367" spans="1:88" ht="10.15" customHeight="1" x14ac:dyDescent="0.25">
      <c r="A367" s="252" t="s">
        <v>76</v>
      </c>
      <c r="B367" s="252" t="s">
        <v>993</v>
      </c>
      <c r="C367" s="246" t="str">
        <f t="shared" si="116"/>
        <v>NonQM NOO</v>
      </c>
      <c r="D367" s="247" t="s">
        <v>1995</v>
      </c>
      <c r="E367" s="248" t="s">
        <v>166</v>
      </c>
      <c r="F367" s="248" t="s">
        <v>329</v>
      </c>
      <c r="G367" s="248" t="s">
        <v>302</v>
      </c>
      <c r="H367" s="248" t="s">
        <v>135</v>
      </c>
      <c r="I367" s="247" t="s">
        <v>273</v>
      </c>
      <c r="J367" s="247" t="s">
        <v>1130</v>
      </c>
      <c r="K367" s="247" t="s">
        <v>1398</v>
      </c>
      <c r="L367" s="248" t="s">
        <v>311</v>
      </c>
      <c r="M367" s="248" t="s">
        <v>2289</v>
      </c>
      <c r="N367" s="248" t="s">
        <v>1844</v>
      </c>
      <c r="O367" s="248" t="s">
        <v>309</v>
      </c>
      <c r="P367" s="248" t="s">
        <v>2434</v>
      </c>
      <c r="Q367" s="248" t="s">
        <v>293</v>
      </c>
      <c r="R367" s="247">
        <v>1500000.01</v>
      </c>
      <c r="S367" s="247">
        <v>2000000</v>
      </c>
      <c r="T367" s="247">
        <v>0</v>
      </c>
      <c r="U367" s="247">
        <v>0</v>
      </c>
      <c r="V367" s="247">
        <v>0</v>
      </c>
      <c r="W367" s="247">
        <v>50</v>
      </c>
      <c r="X367" s="247">
        <v>0</v>
      </c>
      <c r="Y367" s="247">
        <v>999</v>
      </c>
      <c r="Z367" s="249">
        <v>720</v>
      </c>
      <c r="AA367" s="249">
        <v>999</v>
      </c>
      <c r="AB367" s="1882">
        <v>0</v>
      </c>
      <c r="AC367" s="249">
        <v>999999</v>
      </c>
      <c r="AD367" s="247">
        <v>0</v>
      </c>
      <c r="AE367" s="250">
        <v>80</v>
      </c>
      <c r="AF367" s="144">
        <v>0</v>
      </c>
      <c r="AG367" s="145">
        <v>1</v>
      </c>
      <c r="AH367" s="145">
        <v>1</v>
      </c>
      <c r="AI367" s="145">
        <v>1</v>
      </c>
      <c r="AJ367" s="145">
        <v>0</v>
      </c>
      <c r="AK367" s="145">
        <v>1</v>
      </c>
      <c r="AL367" s="145">
        <v>1</v>
      </c>
      <c r="AM367" s="145">
        <v>1</v>
      </c>
      <c r="AN367" s="145">
        <v>1</v>
      </c>
      <c r="AO367" s="145">
        <v>1</v>
      </c>
      <c r="AP367" s="145">
        <v>1</v>
      </c>
      <c r="AQ367" s="145">
        <v>1</v>
      </c>
      <c r="AR367" s="145">
        <v>1</v>
      </c>
      <c r="AS367" s="145">
        <v>1</v>
      </c>
      <c r="AT367" s="145">
        <v>1</v>
      </c>
      <c r="AU367" s="145">
        <f t="shared" si="125"/>
        <v>0</v>
      </c>
      <c r="AV367" s="145">
        <f t="shared" si="126"/>
        <v>1</v>
      </c>
      <c r="AW367" s="145">
        <f t="shared" si="127"/>
        <v>1</v>
      </c>
      <c r="AX367" s="145">
        <f t="shared" si="133"/>
        <v>1</v>
      </c>
      <c r="AY367" s="145">
        <f t="shared" si="128"/>
        <v>1</v>
      </c>
      <c r="AZ367" s="145">
        <f t="shared" si="129"/>
        <v>1</v>
      </c>
      <c r="BA367" s="146">
        <f t="shared" si="130"/>
        <v>1</v>
      </c>
      <c r="BB367" s="149">
        <f t="shared" si="120"/>
        <v>19</v>
      </c>
      <c r="BC367" s="150">
        <f t="shared" si="121"/>
        <v>18</v>
      </c>
      <c r="BD367" s="150">
        <f t="shared" si="122"/>
        <v>19</v>
      </c>
      <c r="BE367" s="211" t="str">
        <f t="shared" si="123"/>
        <v/>
      </c>
      <c r="BH367" s="190">
        <f>IF(AND(Input_Product=Elig!$C367,Elig_MatchAll_Ct&lt;22,$BC367=(Elig_MatchAll_Ct-1),AF367=0),C367,0)</f>
        <v>0</v>
      </c>
      <c r="BI367" s="190">
        <f>IF(AND(Input_Product=Elig!$C367,Elig_MatchAll_Ct&lt;22,$BC367=(Elig_MatchAll_Ct-1),AG367=0),D367,0)</f>
        <v>0</v>
      </c>
      <c r="BJ367" s="190">
        <f>IF(AND(Input_Product=Elig!$C367,Elig_MatchAll_Ct&lt;22,$BC367=(Elig_MatchAll_Ct-1),AH367=0),E367,0)</f>
        <v>0</v>
      </c>
      <c r="BK367" s="190">
        <f>IF(AND(Input_Product=Elig!$C367,Elig_MatchAll_Ct&lt;22,$BC367=(Elig_MatchAll_Ct-1),AI367=0),F367,0)</f>
        <v>0</v>
      </c>
      <c r="BL367" s="190">
        <f>IF(AND(Input_Product=Elig!$C367,Elig_MatchAll_Ct&lt;22,$BC367=(Elig_MatchAll_Ct-1),AJ367=0),G367,0)</f>
        <v>0</v>
      </c>
      <c r="BM367" s="190">
        <f>IF(AND(Input_Product=Elig!$C367,Elig_MatchAll_Ct&lt;22,$BC367=(Elig_MatchAll_Ct-1),AK367=0),H367,0)</f>
        <v>0</v>
      </c>
      <c r="BN367" s="190">
        <f>IF(AND(Input_Product=Elig!$C367,Elig_MatchAll_Ct&lt;22,$BC367=(Elig_MatchAll_Ct-1),AL367=0),I367,0)</f>
        <v>0</v>
      </c>
      <c r="BO367" s="190">
        <f>IF(AND(Input_Product=Elig!$C367,Elig_MatchAll_Ct&lt;22,$BC367=(Elig_MatchAll_Ct-1),AM367=0),J367,0)</f>
        <v>0</v>
      </c>
      <c r="BP367" s="190">
        <f>IF(AND(Input_Product=Elig!$C367,Elig_MatchAll_Ct&lt;22,$BC367=(Elig_MatchAll_Ct-1),AN367=0),K367,0)</f>
        <v>0</v>
      </c>
      <c r="BQ367" s="190">
        <f>IF(AND(Input_Product=Elig!$C367,Elig_MatchAll_Ct&lt;22,$BC367=(Elig_MatchAll_Ct-1),AP367=0),L367,0)</f>
        <v>0</v>
      </c>
      <c r="BR367" s="190">
        <f>IF(AND(Input_Product=Elig!$C367,Elig_MatchAll_Ct&lt;22,$BC367=(Elig_MatchAll_Ct-1),AO367=0),M367,0)</f>
        <v>0</v>
      </c>
      <c r="BS367" s="190">
        <f>IF(AND(Input_Product=Elig!$C367,Elig_MatchAll_Ct&lt;22,$BC367=(Elig_MatchAll_Ct-1),AQ367=0),N367,0)</f>
        <v>0</v>
      </c>
      <c r="BT367" s="190">
        <f>IF(AND(Input_Product=Elig!$C367,Elig_MatchAll_Ct&lt;22,$BC367=(Elig_MatchAll_Ct-1),AR367=0),O367,0)</f>
        <v>0</v>
      </c>
      <c r="BU367" s="190">
        <f>IF(AND(Input_Product=Elig!$C367,Elig_MatchAll_Ct&lt;22,$BC367=(Elig_MatchAll_Ct-1),AS367=0),P367,0)</f>
        <v>0</v>
      </c>
      <c r="BV367" s="191">
        <f>IF(AND(Input_Product=Elig!$C367,Elig_MatchAll_Ct&lt;22,$BC367=(Elig_MatchAll_Ct-1),AT367=0),Q367,0)</f>
        <v>0</v>
      </c>
      <c r="BW367" s="192">
        <f>IF(AND(Input_Product=Elig!$C367,Elig_MatchAll_Ct&lt;22,$BC367=(Elig_MatchAll_Ct-1),AU367=0),R367,0)</f>
        <v>0</v>
      </c>
      <c r="BX367" s="193">
        <f>IF(AND(Input_Product=Elig!$C367,Elig_MatchAll_Ct&lt;22,$BC367=(Elig_MatchAll_Ct-1),AU367=0),S367,0)</f>
        <v>0</v>
      </c>
      <c r="BY367" s="192">
        <f>IF(AND(Input_Product=Elig!$C367,Elig_MatchAll_Ct&lt;22,$BC367=(Elig_MatchAll_Ct-1),AV367=0),T367,0)</f>
        <v>0</v>
      </c>
      <c r="BZ367" s="193">
        <f>IF(AND(Input_Product=Elig!$C367,Elig_MatchAll_Ct&lt;22,$BC367=(Elig_MatchAll_Ct-1),AV367=0),U367,0)</f>
        <v>0</v>
      </c>
      <c r="CA367" s="192">
        <f>IF(AND(Input_Product=Elig!$C367,Elig_MatchAll_Ct&lt;22,$BC367=(Elig_MatchAll_Ct-1),AW367=0),V367,0)</f>
        <v>0</v>
      </c>
      <c r="CB367" s="193">
        <f>IF(AND(Input_Product=Elig!$C367,Elig_MatchAll_Ct&lt;22,$BC367=(Elig_MatchAll_Ct-1),AW367=0),W367,0)</f>
        <v>0</v>
      </c>
      <c r="CC367" s="192">
        <f>IF(AND(Input_Product=Elig!$C367,Elig_MatchAll_Ct&lt;22,$BC367=(Elig_MatchAll_Ct-1),AX367=0),X367,0)</f>
        <v>0</v>
      </c>
      <c r="CD367" s="193">
        <f>IF(AND(Input_Product=Elig!$C367,Elig_MatchAll_Ct&lt;22,$BC367=(Elig_MatchAll_Ct-1),AX367=0),Y367,0)</f>
        <v>0</v>
      </c>
      <c r="CE367" s="192">
        <f>IF(AND(Input_LTV&lt;=AE367,Input_Product=Elig!$C367,Elig_MatchAll_Ct&lt;22,$BC367=(Elig_MatchAll_Ct-1),AY367=0),Z367,0)</f>
        <v>0</v>
      </c>
      <c r="CF367" s="193">
        <f>IF(AND(Input_LTV&lt;=AE367,Input_Product=Elig!$C367,Elig_MatchAll_Ct&lt;22,$BC367=(Elig_MatchAll_Ct-1),AY367=0),AA367,0)</f>
        <v>0</v>
      </c>
      <c r="CG367" s="192">
        <f>IF(AND(Input_Product=Elig!$C367,Elig_MatchAll_Ct&lt;22,$BC367=(Elig_MatchAll_Ct-1),AZ367=0),AB367,0)</f>
        <v>0</v>
      </c>
      <c r="CH367" s="193">
        <f>IF(AND(Input_Product=Elig!$C367,Elig_MatchAll_Ct&lt;22,$BC367=(Elig_MatchAll_Ct-1),AZ367=0),AC367,0)</f>
        <v>0</v>
      </c>
      <c r="CI367" s="192">
        <f>IF(AND(Input_Product=Elig!$C367,Elig_MatchAll_Ct&lt;22,$BC367=(Elig_MatchAll_Ct-1),BA367=0),AD367,0)</f>
        <v>0</v>
      </c>
      <c r="CJ367" s="193">
        <f>IF(AND(Input_Product=Elig!$C367,Elig_MatchAll_Ct&lt;22,$BC367=(Elig_MatchAll_Ct-1),BA367=0),AE367,0)</f>
        <v>0</v>
      </c>
    </row>
    <row r="368" spans="1:88" ht="10.15" customHeight="1" x14ac:dyDescent="0.25">
      <c r="A368" s="252" t="s">
        <v>76</v>
      </c>
      <c r="B368" s="252" t="s">
        <v>994</v>
      </c>
      <c r="C368" s="251" t="str">
        <f t="shared" si="116"/>
        <v>NonQM NOO</v>
      </c>
      <c r="D368" s="252" t="s">
        <v>1995</v>
      </c>
      <c r="E368" s="252" t="s">
        <v>166</v>
      </c>
      <c r="F368" s="252" t="s">
        <v>329</v>
      </c>
      <c r="G368" s="252" t="s">
        <v>302</v>
      </c>
      <c r="H368" s="252" t="s">
        <v>135</v>
      </c>
      <c r="I368" s="253" t="s">
        <v>273</v>
      </c>
      <c r="J368" s="253" t="s">
        <v>1130</v>
      </c>
      <c r="K368" s="253" t="s">
        <v>1398</v>
      </c>
      <c r="L368" s="252" t="s">
        <v>311</v>
      </c>
      <c r="M368" s="252" t="s">
        <v>2289</v>
      </c>
      <c r="N368" s="252" t="s">
        <v>1844</v>
      </c>
      <c r="O368" s="252" t="s">
        <v>309</v>
      </c>
      <c r="P368" s="252" t="s">
        <v>2434</v>
      </c>
      <c r="Q368" s="252" t="s">
        <v>293</v>
      </c>
      <c r="R368" s="252">
        <v>1500000.01</v>
      </c>
      <c r="S368" s="252">
        <v>2000000</v>
      </c>
      <c r="T368" s="252">
        <v>0</v>
      </c>
      <c r="U368" s="252">
        <v>0</v>
      </c>
      <c r="V368" s="252">
        <v>0</v>
      </c>
      <c r="W368" s="252">
        <v>50</v>
      </c>
      <c r="X368" s="252">
        <v>0</v>
      </c>
      <c r="Y368" s="252">
        <v>999</v>
      </c>
      <c r="Z368" s="254">
        <v>700</v>
      </c>
      <c r="AA368" s="254">
        <v>719</v>
      </c>
      <c r="AB368" s="1883">
        <v>0</v>
      </c>
      <c r="AC368" s="254">
        <v>999999</v>
      </c>
      <c r="AD368" s="252">
        <v>0</v>
      </c>
      <c r="AE368" s="255">
        <v>80</v>
      </c>
      <c r="AF368" s="144">
        <v>0</v>
      </c>
      <c r="AG368" s="145">
        <v>1</v>
      </c>
      <c r="AH368" s="145">
        <v>1</v>
      </c>
      <c r="AI368" s="145">
        <v>1</v>
      </c>
      <c r="AJ368" s="145">
        <v>0</v>
      </c>
      <c r="AK368" s="145">
        <v>1</v>
      </c>
      <c r="AL368" s="145">
        <v>1</v>
      </c>
      <c r="AM368" s="145">
        <v>1</v>
      </c>
      <c r="AN368" s="145">
        <v>1</v>
      </c>
      <c r="AO368" s="145">
        <v>1</v>
      </c>
      <c r="AP368" s="145">
        <v>1</v>
      </c>
      <c r="AQ368" s="145">
        <v>1</v>
      </c>
      <c r="AR368" s="145">
        <v>1</v>
      </c>
      <c r="AS368" s="145">
        <v>1</v>
      </c>
      <c r="AT368" s="145">
        <v>1</v>
      </c>
      <c r="AU368" s="145">
        <f t="shared" si="125"/>
        <v>0</v>
      </c>
      <c r="AV368" s="145">
        <f t="shared" si="126"/>
        <v>1</v>
      </c>
      <c r="AW368" s="145">
        <f t="shared" si="127"/>
        <v>1</v>
      </c>
      <c r="AX368" s="145">
        <f t="shared" si="133"/>
        <v>1</v>
      </c>
      <c r="AY368" s="145">
        <f t="shared" si="128"/>
        <v>0</v>
      </c>
      <c r="AZ368" s="145">
        <f t="shared" si="129"/>
        <v>1</v>
      </c>
      <c r="BA368" s="146">
        <f t="shared" si="130"/>
        <v>1</v>
      </c>
      <c r="BB368" s="149">
        <f t="shared" si="120"/>
        <v>18</v>
      </c>
      <c r="BC368" s="150">
        <f t="shared" si="121"/>
        <v>17</v>
      </c>
      <c r="BD368" s="150">
        <f t="shared" si="122"/>
        <v>18</v>
      </c>
      <c r="BE368" s="211" t="str">
        <f t="shared" si="123"/>
        <v/>
      </c>
      <c r="BH368" s="173">
        <f>IF(AND(Input_Product=Elig!$C368,Elig_MatchAll_Ct&lt;22,$BC368=(Elig_MatchAll_Ct-1),AF368=0),C368,0)</f>
        <v>0</v>
      </c>
      <c r="BI368" s="173">
        <f>IF(AND(Input_Product=Elig!$C368,Elig_MatchAll_Ct&lt;22,$BC368=(Elig_MatchAll_Ct-1),AG368=0),D368,0)</f>
        <v>0</v>
      </c>
      <c r="BJ368" s="173">
        <f>IF(AND(Input_Product=Elig!$C368,Elig_MatchAll_Ct&lt;22,$BC368=(Elig_MatchAll_Ct-1),AH368=0),E368,0)</f>
        <v>0</v>
      </c>
      <c r="BK368" s="173">
        <f>IF(AND(Input_Product=Elig!$C368,Elig_MatchAll_Ct&lt;22,$BC368=(Elig_MatchAll_Ct-1),AI368=0),F368,0)</f>
        <v>0</v>
      </c>
      <c r="BL368" s="173">
        <f>IF(AND(Input_Product=Elig!$C368,Elig_MatchAll_Ct&lt;22,$BC368=(Elig_MatchAll_Ct-1),AJ368=0),G368,0)</f>
        <v>0</v>
      </c>
      <c r="BM368" s="173">
        <f>IF(AND(Input_Product=Elig!$C368,Elig_MatchAll_Ct&lt;22,$BC368=(Elig_MatchAll_Ct-1),AK368=0),H368,0)</f>
        <v>0</v>
      </c>
      <c r="BN368" s="173">
        <f>IF(AND(Input_Product=Elig!$C368,Elig_MatchAll_Ct&lt;22,$BC368=(Elig_MatchAll_Ct-1),AL368=0),I368,0)</f>
        <v>0</v>
      </c>
      <c r="BO368" s="173">
        <f>IF(AND(Input_Product=Elig!$C368,Elig_MatchAll_Ct&lt;22,$BC368=(Elig_MatchAll_Ct-1),AM368=0),J368,0)</f>
        <v>0</v>
      </c>
      <c r="BP368" s="173">
        <f>IF(AND(Input_Product=Elig!$C368,Elig_MatchAll_Ct&lt;22,$BC368=(Elig_MatchAll_Ct-1),AN368=0),K368,0)</f>
        <v>0</v>
      </c>
      <c r="BQ368" s="173">
        <f>IF(AND(Input_Product=Elig!$C368,Elig_MatchAll_Ct&lt;22,$BC368=(Elig_MatchAll_Ct-1),AP368=0),L368,0)</f>
        <v>0</v>
      </c>
      <c r="BR368" s="173">
        <f>IF(AND(Input_Product=Elig!$C368,Elig_MatchAll_Ct&lt;22,$BC368=(Elig_MatchAll_Ct-1),AO368=0),M368,0)</f>
        <v>0</v>
      </c>
      <c r="BS368" s="173">
        <f>IF(AND(Input_Product=Elig!$C368,Elig_MatchAll_Ct&lt;22,$BC368=(Elig_MatchAll_Ct-1),AQ368=0),N368,0)</f>
        <v>0</v>
      </c>
      <c r="BT368" s="173">
        <f>IF(AND(Input_Product=Elig!$C368,Elig_MatchAll_Ct&lt;22,$BC368=(Elig_MatchAll_Ct-1),AR368=0),O368,0)</f>
        <v>0</v>
      </c>
      <c r="BU368" s="173">
        <f>IF(AND(Input_Product=Elig!$C368,Elig_MatchAll_Ct&lt;22,$BC368=(Elig_MatchAll_Ct-1),AS368=0),P368,0)</f>
        <v>0</v>
      </c>
      <c r="BV368" s="174">
        <f>IF(AND(Input_Product=Elig!$C368,Elig_MatchAll_Ct&lt;22,$BC368=(Elig_MatchAll_Ct-1),AT368=0),Q368,0)</f>
        <v>0</v>
      </c>
      <c r="BW368" s="175">
        <f>IF(AND(Input_Product=Elig!$C368,Elig_MatchAll_Ct&lt;22,$BC368=(Elig_MatchAll_Ct-1),AU368=0),R368,0)</f>
        <v>0</v>
      </c>
      <c r="BX368" s="176">
        <f>IF(AND(Input_Product=Elig!$C368,Elig_MatchAll_Ct&lt;22,$BC368=(Elig_MatchAll_Ct-1),AU368=0),S368,0)</f>
        <v>0</v>
      </c>
      <c r="BY368" s="175">
        <f>IF(AND(Input_Product=Elig!$C368,Elig_MatchAll_Ct&lt;22,$BC368=(Elig_MatchAll_Ct-1),AV368=0),T368,0)</f>
        <v>0</v>
      </c>
      <c r="BZ368" s="176">
        <f>IF(AND(Input_Product=Elig!$C368,Elig_MatchAll_Ct&lt;22,$BC368=(Elig_MatchAll_Ct-1),AV368=0),U368,0)</f>
        <v>0</v>
      </c>
      <c r="CA368" s="175">
        <f>IF(AND(Input_Product=Elig!$C368,Elig_MatchAll_Ct&lt;22,$BC368=(Elig_MatchAll_Ct-1),AW368=0),V368,0)</f>
        <v>0</v>
      </c>
      <c r="CB368" s="176">
        <f>IF(AND(Input_Product=Elig!$C368,Elig_MatchAll_Ct&lt;22,$BC368=(Elig_MatchAll_Ct-1),AW368=0),W368,0)</f>
        <v>0</v>
      </c>
      <c r="CC368" s="175">
        <f>IF(AND(Input_Product=Elig!$C368,Elig_MatchAll_Ct&lt;22,$BC368=(Elig_MatchAll_Ct-1),AX368=0),X368,0)</f>
        <v>0</v>
      </c>
      <c r="CD368" s="176">
        <f>IF(AND(Input_Product=Elig!$C368,Elig_MatchAll_Ct&lt;22,$BC368=(Elig_MatchAll_Ct-1),AX368=0),Y368,0)</f>
        <v>0</v>
      </c>
      <c r="CE368" s="175">
        <f>IF(AND(Input_LTV&lt;=AE368,Input_Product=Elig!$C368,Elig_MatchAll_Ct&lt;22,$BC368=(Elig_MatchAll_Ct-1),AY368=0),Z368,0)</f>
        <v>0</v>
      </c>
      <c r="CF368" s="176">
        <f>IF(AND(Input_LTV&lt;=AE368,Input_Product=Elig!$C368,Elig_MatchAll_Ct&lt;22,$BC368=(Elig_MatchAll_Ct-1),AY368=0),AA368,0)</f>
        <v>0</v>
      </c>
      <c r="CG368" s="175">
        <f>IF(AND(Input_Product=Elig!$C368,Elig_MatchAll_Ct&lt;22,$BC368=(Elig_MatchAll_Ct-1),AZ368=0),AB368,0)</f>
        <v>0</v>
      </c>
      <c r="CH368" s="176">
        <f>IF(AND(Input_Product=Elig!$C368,Elig_MatchAll_Ct&lt;22,$BC368=(Elig_MatchAll_Ct-1),AZ368=0),AC368,0)</f>
        <v>0</v>
      </c>
      <c r="CI368" s="175">
        <f>IF(AND(Input_Product=Elig!$C368,Elig_MatchAll_Ct&lt;22,$BC368=(Elig_MatchAll_Ct-1),BA368=0),AD368,0)</f>
        <v>0</v>
      </c>
      <c r="CJ368" s="176">
        <f>IF(AND(Input_Product=Elig!$C368,Elig_MatchAll_Ct&lt;22,$BC368=(Elig_MatchAll_Ct-1),BA368=0),AE368,0)</f>
        <v>0</v>
      </c>
    </row>
    <row r="369" spans="1:88" ht="10.15" customHeight="1" x14ac:dyDescent="0.25">
      <c r="A369" s="252" t="s">
        <v>76</v>
      </c>
      <c r="B369" s="252" t="s">
        <v>995</v>
      </c>
      <c r="C369" s="251" t="str">
        <f t="shared" si="116"/>
        <v>NonQM NOO</v>
      </c>
      <c r="D369" s="252" t="s">
        <v>1995</v>
      </c>
      <c r="E369" s="252" t="s">
        <v>166</v>
      </c>
      <c r="F369" s="252" t="s">
        <v>329</v>
      </c>
      <c r="G369" s="252" t="s">
        <v>302</v>
      </c>
      <c r="H369" s="252" t="s">
        <v>135</v>
      </c>
      <c r="I369" s="253" t="s">
        <v>273</v>
      </c>
      <c r="J369" s="253" t="s">
        <v>1130</v>
      </c>
      <c r="K369" s="253" t="s">
        <v>1398</v>
      </c>
      <c r="L369" s="252" t="s">
        <v>311</v>
      </c>
      <c r="M369" s="252" t="s">
        <v>2289</v>
      </c>
      <c r="N369" s="252" t="s">
        <v>1844</v>
      </c>
      <c r="O369" s="252" t="s">
        <v>309</v>
      </c>
      <c r="P369" s="252" t="s">
        <v>2434</v>
      </c>
      <c r="Q369" s="252" t="s">
        <v>293</v>
      </c>
      <c r="R369" s="252">
        <v>1500000.01</v>
      </c>
      <c r="S369" s="252">
        <v>2000000</v>
      </c>
      <c r="T369" s="252">
        <v>0</v>
      </c>
      <c r="U369" s="252">
        <v>0</v>
      </c>
      <c r="V369" s="252">
        <v>0</v>
      </c>
      <c r="W369" s="252">
        <v>50</v>
      </c>
      <c r="X369" s="252">
        <v>0</v>
      </c>
      <c r="Y369" s="252">
        <v>999</v>
      </c>
      <c r="Z369" s="254">
        <v>680</v>
      </c>
      <c r="AA369" s="254">
        <v>699</v>
      </c>
      <c r="AB369" s="1883">
        <v>0</v>
      </c>
      <c r="AC369" s="254">
        <v>999999</v>
      </c>
      <c r="AD369" s="252">
        <v>0</v>
      </c>
      <c r="AE369" s="255">
        <v>75</v>
      </c>
      <c r="AF369" s="144">
        <v>0</v>
      </c>
      <c r="AG369" s="145">
        <v>1</v>
      </c>
      <c r="AH369" s="145">
        <v>1</v>
      </c>
      <c r="AI369" s="145">
        <v>1</v>
      </c>
      <c r="AJ369" s="145">
        <v>0</v>
      </c>
      <c r="AK369" s="145">
        <v>1</v>
      </c>
      <c r="AL369" s="145">
        <v>1</v>
      </c>
      <c r="AM369" s="145">
        <v>1</v>
      </c>
      <c r="AN369" s="145">
        <v>1</v>
      </c>
      <c r="AO369" s="145">
        <v>1</v>
      </c>
      <c r="AP369" s="145">
        <v>1</v>
      </c>
      <c r="AQ369" s="145">
        <v>1</v>
      </c>
      <c r="AR369" s="145">
        <v>1</v>
      </c>
      <c r="AS369" s="145">
        <v>1</v>
      </c>
      <c r="AT369" s="145">
        <v>1</v>
      </c>
      <c r="AU369" s="145">
        <f t="shared" si="125"/>
        <v>0</v>
      </c>
      <c r="AV369" s="145">
        <f t="shared" si="126"/>
        <v>1</v>
      </c>
      <c r="AW369" s="145">
        <f t="shared" si="127"/>
        <v>1</v>
      </c>
      <c r="AX369" s="145">
        <f t="shared" si="133"/>
        <v>1</v>
      </c>
      <c r="AY369" s="145">
        <f t="shared" si="128"/>
        <v>0</v>
      </c>
      <c r="AZ369" s="145">
        <f t="shared" si="129"/>
        <v>1</v>
      </c>
      <c r="BA369" s="146">
        <f t="shared" si="130"/>
        <v>1</v>
      </c>
      <c r="BB369" s="149">
        <f t="shared" si="120"/>
        <v>18</v>
      </c>
      <c r="BC369" s="150">
        <f t="shared" si="121"/>
        <v>17</v>
      </c>
      <c r="BD369" s="150">
        <f t="shared" si="122"/>
        <v>18</v>
      </c>
      <c r="BE369" s="211" t="str">
        <f t="shared" si="123"/>
        <v/>
      </c>
      <c r="BH369" s="173">
        <f>IF(AND(Input_Product=Elig!$C369,Elig_MatchAll_Ct&lt;22,$BC369=(Elig_MatchAll_Ct-1),AF369=0),C369,0)</f>
        <v>0</v>
      </c>
      <c r="BI369" s="173">
        <f>IF(AND(Input_Product=Elig!$C369,Elig_MatchAll_Ct&lt;22,$BC369=(Elig_MatchAll_Ct-1),AG369=0),D369,0)</f>
        <v>0</v>
      </c>
      <c r="BJ369" s="173">
        <f>IF(AND(Input_Product=Elig!$C369,Elig_MatchAll_Ct&lt;22,$BC369=(Elig_MatchAll_Ct-1),AH369=0),E369,0)</f>
        <v>0</v>
      </c>
      <c r="BK369" s="173">
        <f>IF(AND(Input_Product=Elig!$C369,Elig_MatchAll_Ct&lt;22,$BC369=(Elig_MatchAll_Ct-1),AI369=0),F369,0)</f>
        <v>0</v>
      </c>
      <c r="BL369" s="173">
        <f>IF(AND(Input_Product=Elig!$C369,Elig_MatchAll_Ct&lt;22,$BC369=(Elig_MatchAll_Ct-1),AJ369=0),G369,0)</f>
        <v>0</v>
      </c>
      <c r="BM369" s="173">
        <f>IF(AND(Input_Product=Elig!$C369,Elig_MatchAll_Ct&lt;22,$BC369=(Elig_MatchAll_Ct-1),AK369=0),H369,0)</f>
        <v>0</v>
      </c>
      <c r="BN369" s="173">
        <f>IF(AND(Input_Product=Elig!$C369,Elig_MatchAll_Ct&lt;22,$BC369=(Elig_MatchAll_Ct-1),AL369=0),I369,0)</f>
        <v>0</v>
      </c>
      <c r="BO369" s="173">
        <f>IF(AND(Input_Product=Elig!$C369,Elig_MatchAll_Ct&lt;22,$BC369=(Elig_MatchAll_Ct-1),AM369=0),J369,0)</f>
        <v>0</v>
      </c>
      <c r="BP369" s="173">
        <f>IF(AND(Input_Product=Elig!$C369,Elig_MatchAll_Ct&lt;22,$BC369=(Elig_MatchAll_Ct-1),AN369=0),K369,0)</f>
        <v>0</v>
      </c>
      <c r="BQ369" s="173">
        <f>IF(AND(Input_Product=Elig!$C369,Elig_MatchAll_Ct&lt;22,$BC369=(Elig_MatchAll_Ct-1),AP369=0),L369,0)</f>
        <v>0</v>
      </c>
      <c r="BR369" s="173">
        <f>IF(AND(Input_Product=Elig!$C369,Elig_MatchAll_Ct&lt;22,$BC369=(Elig_MatchAll_Ct-1),AO369=0),M369,0)</f>
        <v>0</v>
      </c>
      <c r="BS369" s="173">
        <f>IF(AND(Input_Product=Elig!$C369,Elig_MatchAll_Ct&lt;22,$BC369=(Elig_MatchAll_Ct-1),AQ369=0),N369,0)</f>
        <v>0</v>
      </c>
      <c r="BT369" s="173">
        <f>IF(AND(Input_Product=Elig!$C369,Elig_MatchAll_Ct&lt;22,$BC369=(Elig_MatchAll_Ct-1),AR369=0),O369,0)</f>
        <v>0</v>
      </c>
      <c r="BU369" s="173">
        <f>IF(AND(Input_Product=Elig!$C369,Elig_MatchAll_Ct&lt;22,$BC369=(Elig_MatchAll_Ct-1),AS369=0),P369,0)</f>
        <v>0</v>
      </c>
      <c r="BV369" s="174">
        <f>IF(AND(Input_Product=Elig!$C369,Elig_MatchAll_Ct&lt;22,$BC369=(Elig_MatchAll_Ct-1),AT369=0),Q369,0)</f>
        <v>0</v>
      </c>
      <c r="BW369" s="175">
        <f>IF(AND(Input_Product=Elig!$C369,Elig_MatchAll_Ct&lt;22,$BC369=(Elig_MatchAll_Ct-1),AU369=0),R369,0)</f>
        <v>0</v>
      </c>
      <c r="BX369" s="176">
        <f>IF(AND(Input_Product=Elig!$C369,Elig_MatchAll_Ct&lt;22,$BC369=(Elig_MatchAll_Ct-1),AU369=0),S369,0)</f>
        <v>0</v>
      </c>
      <c r="BY369" s="175">
        <f>IF(AND(Input_Product=Elig!$C369,Elig_MatchAll_Ct&lt;22,$BC369=(Elig_MatchAll_Ct-1),AV369=0),T369,0)</f>
        <v>0</v>
      </c>
      <c r="BZ369" s="176">
        <f>IF(AND(Input_Product=Elig!$C369,Elig_MatchAll_Ct&lt;22,$BC369=(Elig_MatchAll_Ct-1),AV369=0),U369,0)</f>
        <v>0</v>
      </c>
      <c r="CA369" s="175">
        <f>IF(AND(Input_Product=Elig!$C369,Elig_MatchAll_Ct&lt;22,$BC369=(Elig_MatchAll_Ct-1),AW369=0),V369,0)</f>
        <v>0</v>
      </c>
      <c r="CB369" s="176">
        <f>IF(AND(Input_Product=Elig!$C369,Elig_MatchAll_Ct&lt;22,$BC369=(Elig_MatchAll_Ct-1),AW369=0),W369,0)</f>
        <v>0</v>
      </c>
      <c r="CC369" s="175">
        <f>IF(AND(Input_Product=Elig!$C369,Elig_MatchAll_Ct&lt;22,$BC369=(Elig_MatchAll_Ct-1),AX369=0),X369,0)</f>
        <v>0</v>
      </c>
      <c r="CD369" s="176">
        <f>IF(AND(Input_Product=Elig!$C369,Elig_MatchAll_Ct&lt;22,$BC369=(Elig_MatchAll_Ct-1),AX369=0),Y369,0)</f>
        <v>0</v>
      </c>
      <c r="CE369" s="175">
        <f>IF(AND(Input_LTV&lt;=AE369,Input_Product=Elig!$C369,Elig_MatchAll_Ct&lt;22,$BC369=(Elig_MatchAll_Ct-1),AY369=0),Z369,0)</f>
        <v>0</v>
      </c>
      <c r="CF369" s="176">
        <f>IF(AND(Input_LTV&lt;=AE369,Input_Product=Elig!$C369,Elig_MatchAll_Ct&lt;22,$BC369=(Elig_MatchAll_Ct-1),AY369=0),AA369,0)</f>
        <v>0</v>
      </c>
      <c r="CG369" s="175">
        <f>IF(AND(Input_Product=Elig!$C369,Elig_MatchAll_Ct&lt;22,$BC369=(Elig_MatchAll_Ct-1),AZ369=0),AB369,0)</f>
        <v>0</v>
      </c>
      <c r="CH369" s="176">
        <f>IF(AND(Input_Product=Elig!$C369,Elig_MatchAll_Ct&lt;22,$BC369=(Elig_MatchAll_Ct-1),AZ369=0),AC369,0)</f>
        <v>0</v>
      </c>
      <c r="CI369" s="175">
        <f>IF(AND(Input_Product=Elig!$C369,Elig_MatchAll_Ct&lt;22,$BC369=(Elig_MatchAll_Ct-1),BA369=0),AD369,0)</f>
        <v>0</v>
      </c>
      <c r="CJ369" s="176">
        <f>IF(AND(Input_Product=Elig!$C369,Elig_MatchAll_Ct&lt;22,$BC369=(Elig_MatchAll_Ct-1),BA369=0),AE369,0)</f>
        <v>0</v>
      </c>
    </row>
    <row r="370" spans="1:88" ht="10.15" customHeight="1" x14ac:dyDescent="0.25">
      <c r="A370" s="252" t="s">
        <v>76</v>
      </c>
      <c r="B370" s="252" t="s">
        <v>996</v>
      </c>
      <c r="C370" s="251" t="str">
        <f t="shared" si="116"/>
        <v>NonQM NOO</v>
      </c>
      <c r="D370" s="252" t="s">
        <v>1995</v>
      </c>
      <c r="E370" s="252" t="s">
        <v>166</v>
      </c>
      <c r="F370" s="252" t="s">
        <v>329</v>
      </c>
      <c r="G370" s="252" t="s">
        <v>302</v>
      </c>
      <c r="H370" s="252" t="s">
        <v>135</v>
      </c>
      <c r="I370" s="252" t="s">
        <v>273</v>
      </c>
      <c r="J370" s="252" t="s">
        <v>1130</v>
      </c>
      <c r="K370" s="252" t="s">
        <v>1398</v>
      </c>
      <c r="L370" s="252" t="s">
        <v>311</v>
      </c>
      <c r="M370" s="252" t="s">
        <v>2289</v>
      </c>
      <c r="N370" s="252" t="s">
        <v>1844</v>
      </c>
      <c r="O370" s="252" t="s">
        <v>309</v>
      </c>
      <c r="P370" s="252" t="s">
        <v>2434</v>
      </c>
      <c r="Q370" s="252" t="s">
        <v>293</v>
      </c>
      <c r="R370" s="252">
        <v>1500000.01</v>
      </c>
      <c r="S370" s="252">
        <v>2000000</v>
      </c>
      <c r="T370" s="252">
        <v>0</v>
      </c>
      <c r="U370" s="252">
        <v>0</v>
      </c>
      <c r="V370" s="252">
        <v>0</v>
      </c>
      <c r="W370" s="252">
        <v>50</v>
      </c>
      <c r="X370" s="252">
        <v>0</v>
      </c>
      <c r="Y370" s="252">
        <v>999</v>
      </c>
      <c r="Z370" s="254">
        <v>660</v>
      </c>
      <c r="AA370" s="254">
        <v>679</v>
      </c>
      <c r="AB370" s="1883">
        <v>0</v>
      </c>
      <c r="AC370" s="254">
        <v>999999</v>
      </c>
      <c r="AD370" s="252">
        <v>0</v>
      </c>
      <c r="AE370" s="255">
        <v>70</v>
      </c>
      <c r="AF370" s="144">
        <v>0</v>
      </c>
      <c r="AG370" s="145">
        <v>1</v>
      </c>
      <c r="AH370" s="145">
        <v>1</v>
      </c>
      <c r="AI370" s="145">
        <v>1</v>
      </c>
      <c r="AJ370" s="145">
        <v>0</v>
      </c>
      <c r="AK370" s="145">
        <v>1</v>
      </c>
      <c r="AL370" s="145">
        <v>1</v>
      </c>
      <c r="AM370" s="145">
        <v>1</v>
      </c>
      <c r="AN370" s="145">
        <v>1</v>
      </c>
      <c r="AO370" s="145">
        <v>1</v>
      </c>
      <c r="AP370" s="145">
        <v>1</v>
      </c>
      <c r="AQ370" s="145">
        <v>1</v>
      </c>
      <c r="AR370" s="145">
        <v>1</v>
      </c>
      <c r="AS370" s="145">
        <v>1</v>
      </c>
      <c r="AT370" s="145">
        <v>1</v>
      </c>
      <c r="AU370" s="145">
        <f t="shared" si="125"/>
        <v>0</v>
      </c>
      <c r="AV370" s="145">
        <f t="shared" si="126"/>
        <v>1</v>
      </c>
      <c r="AW370" s="145">
        <f t="shared" si="127"/>
        <v>1</v>
      </c>
      <c r="AX370" s="145">
        <f t="shared" si="133"/>
        <v>1</v>
      </c>
      <c r="AY370" s="145">
        <f t="shared" si="128"/>
        <v>0</v>
      </c>
      <c r="AZ370" s="145">
        <f t="shared" si="129"/>
        <v>1</v>
      </c>
      <c r="BA370" s="146">
        <f t="shared" si="130"/>
        <v>1</v>
      </c>
      <c r="BB370" s="149">
        <f t="shared" si="120"/>
        <v>18</v>
      </c>
      <c r="BC370" s="150">
        <f t="shared" si="121"/>
        <v>17</v>
      </c>
      <c r="BD370" s="150">
        <f t="shared" si="122"/>
        <v>18</v>
      </c>
      <c r="BE370" s="211" t="str">
        <f t="shared" si="123"/>
        <v/>
      </c>
      <c r="BH370" s="173">
        <f>IF(AND(Input_Product=Elig!$C370,Elig_MatchAll_Ct&lt;22,$BC370=(Elig_MatchAll_Ct-1),AF370=0),C370,0)</f>
        <v>0</v>
      </c>
      <c r="BI370" s="173">
        <f>IF(AND(Input_Product=Elig!$C370,Elig_MatchAll_Ct&lt;22,$BC370=(Elig_MatchAll_Ct-1),AG370=0),D370,0)</f>
        <v>0</v>
      </c>
      <c r="BJ370" s="173">
        <f>IF(AND(Input_Product=Elig!$C370,Elig_MatchAll_Ct&lt;22,$BC370=(Elig_MatchAll_Ct-1),AH370=0),E370,0)</f>
        <v>0</v>
      </c>
      <c r="BK370" s="173">
        <f>IF(AND(Input_Product=Elig!$C370,Elig_MatchAll_Ct&lt;22,$BC370=(Elig_MatchAll_Ct-1),AI370=0),F370,0)</f>
        <v>0</v>
      </c>
      <c r="BL370" s="173">
        <f>IF(AND(Input_Product=Elig!$C370,Elig_MatchAll_Ct&lt;22,$BC370=(Elig_MatchAll_Ct-1),AJ370=0),G370,0)</f>
        <v>0</v>
      </c>
      <c r="BM370" s="173">
        <f>IF(AND(Input_Product=Elig!$C370,Elig_MatchAll_Ct&lt;22,$BC370=(Elig_MatchAll_Ct-1),AK370=0),H370,0)</f>
        <v>0</v>
      </c>
      <c r="BN370" s="173">
        <f>IF(AND(Input_Product=Elig!$C370,Elig_MatchAll_Ct&lt;22,$BC370=(Elig_MatchAll_Ct-1),AL370=0),I370,0)</f>
        <v>0</v>
      </c>
      <c r="BO370" s="173">
        <f>IF(AND(Input_Product=Elig!$C370,Elig_MatchAll_Ct&lt;22,$BC370=(Elig_MatchAll_Ct-1),AM370=0),J370,0)</f>
        <v>0</v>
      </c>
      <c r="BP370" s="173">
        <f>IF(AND(Input_Product=Elig!$C370,Elig_MatchAll_Ct&lt;22,$BC370=(Elig_MatchAll_Ct-1),AN370=0),K370,0)</f>
        <v>0</v>
      </c>
      <c r="BQ370" s="173">
        <f>IF(AND(Input_Product=Elig!$C370,Elig_MatchAll_Ct&lt;22,$BC370=(Elig_MatchAll_Ct-1),AP370=0),L370,0)</f>
        <v>0</v>
      </c>
      <c r="BR370" s="173">
        <f>IF(AND(Input_Product=Elig!$C370,Elig_MatchAll_Ct&lt;22,$BC370=(Elig_MatchAll_Ct-1),AO370=0),M370,0)</f>
        <v>0</v>
      </c>
      <c r="BS370" s="173">
        <f>IF(AND(Input_Product=Elig!$C370,Elig_MatchAll_Ct&lt;22,$BC370=(Elig_MatchAll_Ct-1),AQ370=0),N370,0)</f>
        <v>0</v>
      </c>
      <c r="BT370" s="173">
        <f>IF(AND(Input_Product=Elig!$C370,Elig_MatchAll_Ct&lt;22,$BC370=(Elig_MatchAll_Ct-1),AR370=0),O370,0)</f>
        <v>0</v>
      </c>
      <c r="BU370" s="173">
        <f>IF(AND(Input_Product=Elig!$C370,Elig_MatchAll_Ct&lt;22,$BC370=(Elig_MatchAll_Ct-1),AS370=0),P370,0)</f>
        <v>0</v>
      </c>
      <c r="BV370" s="174">
        <f>IF(AND(Input_Product=Elig!$C370,Elig_MatchAll_Ct&lt;22,$BC370=(Elig_MatchAll_Ct-1),AT370=0),Q370,0)</f>
        <v>0</v>
      </c>
      <c r="BW370" s="175">
        <f>IF(AND(Input_Product=Elig!$C370,Elig_MatchAll_Ct&lt;22,$BC370=(Elig_MatchAll_Ct-1),AU370=0),R370,0)</f>
        <v>0</v>
      </c>
      <c r="BX370" s="176">
        <f>IF(AND(Input_Product=Elig!$C370,Elig_MatchAll_Ct&lt;22,$BC370=(Elig_MatchAll_Ct-1),AU370=0),S370,0)</f>
        <v>0</v>
      </c>
      <c r="BY370" s="175">
        <f>IF(AND(Input_Product=Elig!$C370,Elig_MatchAll_Ct&lt;22,$BC370=(Elig_MatchAll_Ct-1),AV370=0),T370,0)</f>
        <v>0</v>
      </c>
      <c r="BZ370" s="176">
        <f>IF(AND(Input_Product=Elig!$C370,Elig_MatchAll_Ct&lt;22,$BC370=(Elig_MatchAll_Ct-1),AV370=0),U370,0)</f>
        <v>0</v>
      </c>
      <c r="CA370" s="175">
        <f>IF(AND(Input_Product=Elig!$C370,Elig_MatchAll_Ct&lt;22,$BC370=(Elig_MatchAll_Ct-1),AW370=0),V370,0)</f>
        <v>0</v>
      </c>
      <c r="CB370" s="176">
        <f>IF(AND(Input_Product=Elig!$C370,Elig_MatchAll_Ct&lt;22,$BC370=(Elig_MatchAll_Ct-1),AW370=0),W370,0)</f>
        <v>0</v>
      </c>
      <c r="CC370" s="175">
        <f>IF(AND(Input_Product=Elig!$C370,Elig_MatchAll_Ct&lt;22,$BC370=(Elig_MatchAll_Ct-1),AX370=0),X370,0)</f>
        <v>0</v>
      </c>
      <c r="CD370" s="176">
        <f>IF(AND(Input_Product=Elig!$C370,Elig_MatchAll_Ct&lt;22,$BC370=(Elig_MatchAll_Ct-1),AX370=0),Y370,0)</f>
        <v>0</v>
      </c>
      <c r="CE370" s="175">
        <f>IF(AND(Input_LTV&lt;=AE370,Input_Product=Elig!$C370,Elig_MatchAll_Ct&lt;22,$BC370=(Elig_MatchAll_Ct-1),AY370=0),Z370,0)</f>
        <v>0</v>
      </c>
      <c r="CF370" s="176">
        <f>IF(AND(Input_LTV&lt;=AE370,Input_Product=Elig!$C370,Elig_MatchAll_Ct&lt;22,$BC370=(Elig_MatchAll_Ct-1),AY370=0),AA370,0)</f>
        <v>0</v>
      </c>
      <c r="CG370" s="175">
        <f>IF(AND(Input_Product=Elig!$C370,Elig_MatchAll_Ct&lt;22,$BC370=(Elig_MatchAll_Ct-1),AZ370=0),AB370,0)</f>
        <v>0</v>
      </c>
      <c r="CH370" s="176">
        <f>IF(AND(Input_Product=Elig!$C370,Elig_MatchAll_Ct&lt;22,$BC370=(Elig_MatchAll_Ct-1),AZ370=0),AC370,0)</f>
        <v>0</v>
      </c>
      <c r="CI370" s="175">
        <f>IF(AND(Input_Product=Elig!$C370,Elig_MatchAll_Ct&lt;22,$BC370=(Elig_MatchAll_Ct-1),BA370=0),AD370,0)</f>
        <v>0</v>
      </c>
      <c r="CJ370" s="176">
        <f>IF(AND(Input_Product=Elig!$C370,Elig_MatchAll_Ct&lt;22,$BC370=(Elig_MatchAll_Ct-1),BA370=0),AE370,0)</f>
        <v>0</v>
      </c>
    </row>
    <row r="371" spans="1:88" ht="10.15" customHeight="1" x14ac:dyDescent="0.25">
      <c r="A371" s="252" t="s">
        <v>76</v>
      </c>
      <c r="B371" s="252" t="s">
        <v>997</v>
      </c>
      <c r="C371" s="246" t="str">
        <f t="shared" si="116"/>
        <v>NonQM NOO</v>
      </c>
      <c r="D371" s="247" t="s">
        <v>1995</v>
      </c>
      <c r="E371" s="248" t="s">
        <v>166</v>
      </c>
      <c r="F371" s="248" t="s">
        <v>329</v>
      </c>
      <c r="G371" s="248" t="s">
        <v>302</v>
      </c>
      <c r="H371" s="248" t="s">
        <v>135</v>
      </c>
      <c r="I371" s="247" t="s">
        <v>16</v>
      </c>
      <c r="J371" s="247" t="s">
        <v>1130</v>
      </c>
      <c r="K371" s="247" t="s">
        <v>1398</v>
      </c>
      <c r="L371" s="248" t="s">
        <v>311</v>
      </c>
      <c r="M371" s="248" t="s">
        <v>2289</v>
      </c>
      <c r="N371" s="248" t="s">
        <v>1844</v>
      </c>
      <c r="O371" s="248" t="s">
        <v>309</v>
      </c>
      <c r="P371" s="248" t="s">
        <v>2434</v>
      </c>
      <c r="Q371" s="248" t="s">
        <v>293</v>
      </c>
      <c r="R371" s="247">
        <v>1500000.01</v>
      </c>
      <c r="S371" s="247">
        <v>2000000</v>
      </c>
      <c r="T371" s="247">
        <v>0</v>
      </c>
      <c r="U371" s="247">
        <f t="shared" ref="U371:U374" si="139">S371</f>
        <v>2000000</v>
      </c>
      <c r="V371" s="247">
        <v>0</v>
      </c>
      <c r="W371" s="247">
        <v>50</v>
      </c>
      <c r="X371" s="247">
        <v>0</v>
      </c>
      <c r="Y371" s="247">
        <v>999</v>
      </c>
      <c r="Z371" s="249">
        <v>720</v>
      </c>
      <c r="AA371" s="249">
        <v>999</v>
      </c>
      <c r="AB371" s="1882">
        <v>0</v>
      </c>
      <c r="AC371" s="249">
        <v>999999</v>
      </c>
      <c r="AD371" s="247">
        <v>0</v>
      </c>
      <c r="AE371" s="250">
        <v>75</v>
      </c>
      <c r="AF371" s="144">
        <v>0</v>
      </c>
      <c r="AG371" s="145">
        <v>1</v>
      </c>
      <c r="AH371" s="145">
        <v>1</v>
      </c>
      <c r="AI371" s="145">
        <v>1</v>
      </c>
      <c r="AJ371" s="145">
        <v>0</v>
      </c>
      <c r="AK371" s="145">
        <v>1</v>
      </c>
      <c r="AL371" s="145">
        <v>0</v>
      </c>
      <c r="AM371" s="145">
        <v>1</v>
      </c>
      <c r="AN371" s="145">
        <v>1</v>
      </c>
      <c r="AO371" s="145">
        <v>1</v>
      </c>
      <c r="AP371" s="145">
        <v>1</v>
      </c>
      <c r="AQ371" s="145">
        <v>1</v>
      </c>
      <c r="AR371" s="145">
        <v>1</v>
      </c>
      <c r="AS371" s="145">
        <v>1</v>
      </c>
      <c r="AT371" s="145">
        <v>1</v>
      </c>
      <c r="AU371" s="145">
        <f t="shared" si="125"/>
        <v>0</v>
      </c>
      <c r="AV371" s="145">
        <f t="shared" si="126"/>
        <v>1</v>
      </c>
      <c r="AW371" s="145">
        <f t="shared" si="127"/>
        <v>1</v>
      </c>
      <c r="AX371" s="145">
        <f t="shared" si="133"/>
        <v>1</v>
      </c>
      <c r="AY371" s="145">
        <f t="shared" si="128"/>
        <v>1</v>
      </c>
      <c r="AZ371" s="145">
        <f t="shared" si="129"/>
        <v>1</v>
      </c>
      <c r="BA371" s="146">
        <f t="shared" si="130"/>
        <v>1</v>
      </c>
      <c r="BB371" s="149">
        <f t="shared" si="120"/>
        <v>18</v>
      </c>
      <c r="BC371" s="150">
        <f t="shared" si="121"/>
        <v>17</v>
      </c>
      <c r="BD371" s="150">
        <f t="shared" si="122"/>
        <v>18</v>
      </c>
      <c r="BE371" s="211" t="str">
        <f t="shared" si="123"/>
        <v/>
      </c>
      <c r="BH371" s="190">
        <f>IF(AND(Input_Product=Elig!$C371,Elig_MatchAll_Ct&lt;22,$BC371=(Elig_MatchAll_Ct-1),AF371=0),C371,0)</f>
        <v>0</v>
      </c>
      <c r="BI371" s="190">
        <f>IF(AND(Input_Product=Elig!$C371,Elig_MatchAll_Ct&lt;22,$BC371=(Elig_MatchAll_Ct-1),AG371=0),D371,0)</f>
        <v>0</v>
      </c>
      <c r="BJ371" s="190">
        <f>IF(AND(Input_Product=Elig!$C371,Elig_MatchAll_Ct&lt;22,$BC371=(Elig_MatchAll_Ct-1),AH371=0),E371,0)</f>
        <v>0</v>
      </c>
      <c r="BK371" s="190">
        <f>IF(AND(Input_Product=Elig!$C371,Elig_MatchAll_Ct&lt;22,$BC371=(Elig_MatchAll_Ct-1),AI371=0),F371,0)</f>
        <v>0</v>
      </c>
      <c r="BL371" s="190">
        <f>IF(AND(Input_Product=Elig!$C371,Elig_MatchAll_Ct&lt;22,$BC371=(Elig_MatchAll_Ct-1),AJ371=0),G371,0)</f>
        <v>0</v>
      </c>
      <c r="BM371" s="190">
        <f>IF(AND(Input_Product=Elig!$C371,Elig_MatchAll_Ct&lt;22,$BC371=(Elig_MatchAll_Ct-1),AK371=0),H371,0)</f>
        <v>0</v>
      </c>
      <c r="BN371" s="190">
        <f>IF(AND(Input_Product=Elig!$C371,Elig_MatchAll_Ct&lt;22,$BC371=(Elig_MatchAll_Ct-1),AL371=0),I371,0)</f>
        <v>0</v>
      </c>
      <c r="BO371" s="190">
        <f>IF(AND(Input_Product=Elig!$C371,Elig_MatchAll_Ct&lt;22,$BC371=(Elig_MatchAll_Ct-1),AM371=0),J371,0)</f>
        <v>0</v>
      </c>
      <c r="BP371" s="190">
        <f>IF(AND(Input_Product=Elig!$C371,Elig_MatchAll_Ct&lt;22,$BC371=(Elig_MatchAll_Ct-1),AN371=0),K371,0)</f>
        <v>0</v>
      </c>
      <c r="BQ371" s="190">
        <f>IF(AND(Input_Product=Elig!$C371,Elig_MatchAll_Ct&lt;22,$BC371=(Elig_MatchAll_Ct-1),AP371=0),L371,0)</f>
        <v>0</v>
      </c>
      <c r="BR371" s="190">
        <f>IF(AND(Input_Product=Elig!$C371,Elig_MatchAll_Ct&lt;22,$BC371=(Elig_MatchAll_Ct-1),AO371=0),M371,0)</f>
        <v>0</v>
      </c>
      <c r="BS371" s="190">
        <f>IF(AND(Input_Product=Elig!$C371,Elig_MatchAll_Ct&lt;22,$BC371=(Elig_MatchAll_Ct-1),AQ371=0),N371,0)</f>
        <v>0</v>
      </c>
      <c r="BT371" s="190">
        <f>IF(AND(Input_Product=Elig!$C371,Elig_MatchAll_Ct&lt;22,$BC371=(Elig_MatchAll_Ct-1),AR371=0),O371,0)</f>
        <v>0</v>
      </c>
      <c r="BU371" s="190">
        <f>IF(AND(Input_Product=Elig!$C371,Elig_MatchAll_Ct&lt;22,$BC371=(Elig_MatchAll_Ct-1),AS371=0),P371,0)</f>
        <v>0</v>
      </c>
      <c r="BV371" s="191">
        <f>IF(AND(Input_Product=Elig!$C371,Elig_MatchAll_Ct&lt;22,$BC371=(Elig_MatchAll_Ct-1),AT371=0),Q371,0)</f>
        <v>0</v>
      </c>
      <c r="BW371" s="192">
        <f>IF(AND(Input_Product=Elig!$C371,Elig_MatchAll_Ct&lt;22,$BC371=(Elig_MatchAll_Ct-1),AU371=0),R371,0)</f>
        <v>0</v>
      </c>
      <c r="BX371" s="193">
        <f>IF(AND(Input_Product=Elig!$C371,Elig_MatchAll_Ct&lt;22,$BC371=(Elig_MatchAll_Ct-1),AU371=0),S371,0)</f>
        <v>0</v>
      </c>
      <c r="BY371" s="192">
        <f>IF(AND(Input_Product=Elig!$C371,Elig_MatchAll_Ct&lt;22,$BC371=(Elig_MatchAll_Ct-1),AV371=0),T371,0)</f>
        <v>0</v>
      </c>
      <c r="BZ371" s="193">
        <f>IF(AND(Input_Product=Elig!$C371,Elig_MatchAll_Ct&lt;22,$BC371=(Elig_MatchAll_Ct-1),AV371=0),U371,0)</f>
        <v>0</v>
      </c>
      <c r="CA371" s="192">
        <f>IF(AND(Input_Product=Elig!$C371,Elig_MatchAll_Ct&lt;22,$BC371=(Elig_MatchAll_Ct-1),AW371=0),V371,0)</f>
        <v>0</v>
      </c>
      <c r="CB371" s="193">
        <f>IF(AND(Input_Product=Elig!$C371,Elig_MatchAll_Ct&lt;22,$BC371=(Elig_MatchAll_Ct-1),AW371=0),W371,0)</f>
        <v>0</v>
      </c>
      <c r="CC371" s="192">
        <f>IF(AND(Input_Product=Elig!$C371,Elig_MatchAll_Ct&lt;22,$BC371=(Elig_MatchAll_Ct-1),AX371=0),X371,0)</f>
        <v>0</v>
      </c>
      <c r="CD371" s="193">
        <f>IF(AND(Input_Product=Elig!$C371,Elig_MatchAll_Ct&lt;22,$BC371=(Elig_MatchAll_Ct-1),AX371=0),Y371,0)</f>
        <v>0</v>
      </c>
      <c r="CE371" s="192">
        <f>IF(AND(Input_LTV&lt;=AE371,Input_Product=Elig!$C371,Elig_MatchAll_Ct&lt;22,$BC371=(Elig_MatchAll_Ct-1),AY371=0),Z371,0)</f>
        <v>0</v>
      </c>
      <c r="CF371" s="193">
        <f>IF(AND(Input_LTV&lt;=AE371,Input_Product=Elig!$C371,Elig_MatchAll_Ct&lt;22,$BC371=(Elig_MatchAll_Ct-1),AY371=0),AA371,0)</f>
        <v>0</v>
      </c>
      <c r="CG371" s="192">
        <f>IF(AND(Input_Product=Elig!$C371,Elig_MatchAll_Ct&lt;22,$BC371=(Elig_MatchAll_Ct-1),AZ371=0),AB371,0)</f>
        <v>0</v>
      </c>
      <c r="CH371" s="193">
        <f>IF(AND(Input_Product=Elig!$C371,Elig_MatchAll_Ct&lt;22,$BC371=(Elig_MatchAll_Ct-1),AZ371=0),AC371,0)</f>
        <v>0</v>
      </c>
      <c r="CI371" s="192">
        <f>IF(AND(Input_Product=Elig!$C371,Elig_MatchAll_Ct&lt;22,$BC371=(Elig_MatchAll_Ct-1),BA371=0),AD371,0)</f>
        <v>0</v>
      </c>
      <c r="CJ371" s="193">
        <f>IF(AND(Input_Product=Elig!$C371,Elig_MatchAll_Ct&lt;22,$BC371=(Elig_MatchAll_Ct-1),BA371=0),AE371,0)</f>
        <v>0</v>
      </c>
    </row>
    <row r="372" spans="1:88" ht="10.15" customHeight="1" x14ac:dyDescent="0.25">
      <c r="A372" s="252" t="s">
        <v>76</v>
      </c>
      <c r="B372" s="252" t="s">
        <v>998</v>
      </c>
      <c r="C372" s="251" t="str">
        <f t="shared" si="116"/>
        <v>NonQM NOO</v>
      </c>
      <c r="D372" s="252" t="s">
        <v>1995</v>
      </c>
      <c r="E372" s="252" t="s">
        <v>166</v>
      </c>
      <c r="F372" s="252" t="s">
        <v>329</v>
      </c>
      <c r="G372" s="252" t="s">
        <v>302</v>
      </c>
      <c r="H372" s="252" t="s">
        <v>135</v>
      </c>
      <c r="I372" s="253" t="s">
        <v>16</v>
      </c>
      <c r="J372" s="253" t="s">
        <v>1130</v>
      </c>
      <c r="K372" s="253" t="s">
        <v>1398</v>
      </c>
      <c r="L372" s="252" t="s">
        <v>311</v>
      </c>
      <c r="M372" s="252" t="s">
        <v>2289</v>
      </c>
      <c r="N372" s="252" t="s">
        <v>1844</v>
      </c>
      <c r="O372" s="252" t="s">
        <v>309</v>
      </c>
      <c r="P372" s="252" t="s">
        <v>2434</v>
      </c>
      <c r="Q372" s="252" t="s">
        <v>293</v>
      </c>
      <c r="R372" s="252">
        <v>1500000.01</v>
      </c>
      <c r="S372" s="252">
        <v>2000000</v>
      </c>
      <c r="T372" s="252">
        <v>0</v>
      </c>
      <c r="U372" s="252">
        <f t="shared" si="139"/>
        <v>2000000</v>
      </c>
      <c r="V372" s="252">
        <v>0</v>
      </c>
      <c r="W372" s="252">
        <v>50</v>
      </c>
      <c r="X372" s="252">
        <v>0</v>
      </c>
      <c r="Y372" s="252">
        <v>999</v>
      </c>
      <c r="Z372" s="254">
        <v>700</v>
      </c>
      <c r="AA372" s="254">
        <v>719</v>
      </c>
      <c r="AB372" s="1883">
        <v>0</v>
      </c>
      <c r="AC372" s="254">
        <v>999999</v>
      </c>
      <c r="AD372" s="252">
        <v>0</v>
      </c>
      <c r="AE372" s="255">
        <v>75</v>
      </c>
      <c r="AF372" s="144">
        <v>0</v>
      </c>
      <c r="AG372" s="145">
        <v>1</v>
      </c>
      <c r="AH372" s="145">
        <v>1</v>
      </c>
      <c r="AI372" s="145">
        <v>1</v>
      </c>
      <c r="AJ372" s="145">
        <v>0</v>
      </c>
      <c r="AK372" s="145">
        <v>1</v>
      </c>
      <c r="AL372" s="145">
        <v>0</v>
      </c>
      <c r="AM372" s="145">
        <v>1</v>
      </c>
      <c r="AN372" s="145">
        <v>1</v>
      </c>
      <c r="AO372" s="145">
        <v>1</v>
      </c>
      <c r="AP372" s="145">
        <v>1</v>
      </c>
      <c r="AQ372" s="145">
        <v>1</v>
      </c>
      <c r="AR372" s="145">
        <v>1</v>
      </c>
      <c r="AS372" s="145">
        <v>1</v>
      </c>
      <c r="AT372" s="145">
        <v>1</v>
      </c>
      <c r="AU372" s="145">
        <f t="shared" si="125"/>
        <v>0</v>
      </c>
      <c r="AV372" s="145">
        <f t="shared" si="126"/>
        <v>1</v>
      </c>
      <c r="AW372" s="145">
        <f t="shared" si="127"/>
        <v>1</v>
      </c>
      <c r="AX372" s="145">
        <f t="shared" si="133"/>
        <v>1</v>
      </c>
      <c r="AY372" s="145">
        <f t="shared" si="128"/>
        <v>0</v>
      </c>
      <c r="AZ372" s="145">
        <f t="shared" si="129"/>
        <v>1</v>
      </c>
      <c r="BA372" s="146">
        <f t="shared" si="130"/>
        <v>1</v>
      </c>
      <c r="BB372" s="149">
        <f t="shared" si="120"/>
        <v>17</v>
      </c>
      <c r="BC372" s="150">
        <f t="shared" si="121"/>
        <v>16</v>
      </c>
      <c r="BD372" s="150">
        <f t="shared" si="122"/>
        <v>17</v>
      </c>
      <c r="BE372" s="211" t="str">
        <f t="shared" si="123"/>
        <v/>
      </c>
      <c r="BH372" s="173">
        <f>IF(AND(Input_Product=Elig!$C372,Elig_MatchAll_Ct&lt;22,$BC372=(Elig_MatchAll_Ct-1),AF372=0),C372,0)</f>
        <v>0</v>
      </c>
      <c r="BI372" s="173">
        <f>IF(AND(Input_Product=Elig!$C372,Elig_MatchAll_Ct&lt;22,$BC372=(Elig_MatchAll_Ct-1),AG372=0),D372,0)</f>
        <v>0</v>
      </c>
      <c r="BJ372" s="173">
        <f>IF(AND(Input_Product=Elig!$C372,Elig_MatchAll_Ct&lt;22,$BC372=(Elig_MatchAll_Ct-1),AH372=0),E372,0)</f>
        <v>0</v>
      </c>
      <c r="BK372" s="173">
        <f>IF(AND(Input_Product=Elig!$C372,Elig_MatchAll_Ct&lt;22,$BC372=(Elig_MatchAll_Ct-1),AI372=0),F372,0)</f>
        <v>0</v>
      </c>
      <c r="BL372" s="173">
        <f>IF(AND(Input_Product=Elig!$C372,Elig_MatchAll_Ct&lt;22,$BC372=(Elig_MatchAll_Ct-1),AJ372=0),G372,0)</f>
        <v>0</v>
      </c>
      <c r="BM372" s="173">
        <f>IF(AND(Input_Product=Elig!$C372,Elig_MatchAll_Ct&lt;22,$BC372=(Elig_MatchAll_Ct-1),AK372=0),H372,0)</f>
        <v>0</v>
      </c>
      <c r="BN372" s="173">
        <f>IF(AND(Input_Product=Elig!$C372,Elig_MatchAll_Ct&lt;22,$BC372=(Elig_MatchAll_Ct-1),AL372=0),I372,0)</f>
        <v>0</v>
      </c>
      <c r="BO372" s="173">
        <f>IF(AND(Input_Product=Elig!$C372,Elig_MatchAll_Ct&lt;22,$BC372=(Elig_MatchAll_Ct-1),AM372=0),J372,0)</f>
        <v>0</v>
      </c>
      <c r="BP372" s="173">
        <f>IF(AND(Input_Product=Elig!$C372,Elig_MatchAll_Ct&lt;22,$BC372=(Elig_MatchAll_Ct-1),AN372=0),K372,0)</f>
        <v>0</v>
      </c>
      <c r="BQ372" s="173">
        <f>IF(AND(Input_Product=Elig!$C372,Elig_MatchAll_Ct&lt;22,$BC372=(Elig_MatchAll_Ct-1),AP372=0),L372,0)</f>
        <v>0</v>
      </c>
      <c r="BR372" s="173">
        <f>IF(AND(Input_Product=Elig!$C372,Elig_MatchAll_Ct&lt;22,$BC372=(Elig_MatchAll_Ct-1),AO372=0),M372,0)</f>
        <v>0</v>
      </c>
      <c r="BS372" s="173">
        <f>IF(AND(Input_Product=Elig!$C372,Elig_MatchAll_Ct&lt;22,$BC372=(Elig_MatchAll_Ct-1),AQ372=0),N372,0)</f>
        <v>0</v>
      </c>
      <c r="BT372" s="173">
        <f>IF(AND(Input_Product=Elig!$C372,Elig_MatchAll_Ct&lt;22,$BC372=(Elig_MatchAll_Ct-1),AR372=0),O372,0)</f>
        <v>0</v>
      </c>
      <c r="BU372" s="173">
        <f>IF(AND(Input_Product=Elig!$C372,Elig_MatchAll_Ct&lt;22,$BC372=(Elig_MatchAll_Ct-1),AS372=0),P372,0)</f>
        <v>0</v>
      </c>
      <c r="BV372" s="174">
        <f>IF(AND(Input_Product=Elig!$C372,Elig_MatchAll_Ct&lt;22,$BC372=(Elig_MatchAll_Ct-1),AT372=0),Q372,0)</f>
        <v>0</v>
      </c>
      <c r="BW372" s="175">
        <f>IF(AND(Input_Product=Elig!$C372,Elig_MatchAll_Ct&lt;22,$BC372=(Elig_MatchAll_Ct-1),AU372=0),R372,0)</f>
        <v>0</v>
      </c>
      <c r="BX372" s="176">
        <f>IF(AND(Input_Product=Elig!$C372,Elig_MatchAll_Ct&lt;22,$BC372=(Elig_MatchAll_Ct-1),AU372=0),S372,0)</f>
        <v>0</v>
      </c>
      <c r="BY372" s="175">
        <f>IF(AND(Input_Product=Elig!$C372,Elig_MatchAll_Ct&lt;22,$BC372=(Elig_MatchAll_Ct-1),AV372=0),T372,0)</f>
        <v>0</v>
      </c>
      <c r="BZ372" s="176">
        <f>IF(AND(Input_Product=Elig!$C372,Elig_MatchAll_Ct&lt;22,$BC372=(Elig_MatchAll_Ct-1),AV372=0),U372,0)</f>
        <v>0</v>
      </c>
      <c r="CA372" s="175">
        <f>IF(AND(Input_Product=Elig!$C372,Elig_MatchAll_Ct&lt;22,$BC372=(Elig_MatchAll_Ct-1),AW372=0),V372,0)</f>
        <v>0</v>
      </c>
      <c r="CB372" s="176">
        <f>IF(AND(Input_Product=Elig!$C372,Elig_MatchAll_Ct&lt;22,$BC372=(Elig_MatchAll_Ct-1),AW372=0),W372,0)</f>
        <v>0</v>
      </c>
      <c r="CC372" s="175">
        <f>IF(AND(Input_Product=Elig!$C372,Elig_MatchAll_Ct&lt;22,$BC372=(Elig_MatchAll_Ct-1),AX372=0),X372,0)</f>
        <v>0</v>
      </c>
      <c r="CD372" s="176">
        <f>IF(AND(Input_Product=Elig!$C372,Elig_MatchAll_Ct&lt;22,$BC372=(Elig_MatchAll_Ct-1),AX372=0),Y372,0)</f>
        <v>0</v>
      </c>
      <c r="CE372" s="175">
        <f>IF(AND(Input_LTV&lt;=AE372,Input_Product=Elig!$C372,Elig_MatchAll_Ct&lt;22,$BC372=(Elig_MatchAll_Ct-1),AY372=0),Z372,0)</f>
        <v>0</v>
      </c>
      <c r="CF372" s="176">
        <f>IF(AND(Input_LTV&lt;=AE372,Input_Product=Elig!$C372,Elig_MatchAll_Ct&lt;22,$BC372=(Elig_MatchAll_Ct-1),AY372=0),AA372,0)</f>
        <v>0</v>
      </c>
      <c r="CG372" s="175">
        <f>IF(AND(Input_Product=Elig!$C372,Elig_MatchAll_Ct&lt;22,$BC372=(Elig_MatchAll_Ct-1),AZ372=0),AB372,0)</f>
        <v>0</v>
      </c>
      <c r="CH372" s="176">
        <f>IF(AND(Input_Product=Elig!$C372,Elig_MatchAll_Ct&lt;22,$BC372=(Elig_MatchAll_Ct-1),AZ372=0),AC372,0)</f>
        <v>0</v>
      </c>
      <c r="CI372" s="175">
        <f>IF(AND(Input_Product=Elig!$C372,Elig_MatchAll_Ct&lt;22,$BC372=(Elig_MatchAll_Ct-1),BA372=0),AD372,0)</f>
        <v>0</v>
      </c>
      <c r="CJ372" s="176">
        <f>IF(AND(Input_Product=Elig!$C372,Elig_MatchAll_Ct&lt;22,$BC372=(Elig_MatchAll_Ct-1),BA372=0),AE372,0)</f>
        <v>0</v>
      </c>
    </row>
    <row r="373" spans="1:88" ht="10.15" customHeight="1" x14ac:dyDescent="0.25">
      <c r="A373" s="252" t="s">
        <v>76</v>
      </c>
      <c r="B373" s="252" t="s">
        <v>999</v>
      </c>
      <c r="C373" s="251" t="str">
        <f t="shared" ref="C373:C464" si="140">Input_Name_Product2</f>
        <v>NonQM NOO</v>
      </c>
      <c r="D373" s="252" t="s">
        <v>1995</v>
      </c>
      <c r="E373" s="252" t="s">
        <v>166</v>
      </c>
      <c r="F373" s="252" t="s">
        <v>329</v>
      </c>
      <c r="G373" s="252" t="s">
        <v>302</v>
      </c>
      <c r="H373" s="252" t="s">
        <v>135</v>
      </c>
      <c r="I373" s="253" t="s">
        <v>16</v>
      </c>
      <c r="J373" s="253" t="s">
        <v>1130</v>
      </c>
      <c r="K373" s="253" t="s">
        <v>1398</v>
      </c>
      <c r="L373" s="252" t="s">
        <v>311</v>
      </c>
      <c r="M373" s="252" t="s">
        <v>2289</v>
      </c>
      <c r="N373" s="252" t="s">
        <v>1844</v>
      </c>
      <c r="O373" s="252" t="s">
        <v>309</v>
      </c>
      <c r="P373" s="252" t="s">
        <v>2434</v>
      </c>
      <c r="Q373" s="252" t="s">
        <v>293</v>
      </c>
      <c r="R373" s="252">
        <v>1500000.01</v>
      </c>
      <c r="S373" s="252">
        <v>2000000</v>
      </c>
      <c r="T373" s="252">
        <v>0</v>
      </c>
      <c r="U373" s="252">
        <f t="shared" si="139"/>
        <v>2000000</v>
      </c>
      <c r="V373" s="252">
        <v>0</v>
      </c>
      <c r="W373" s="252">
        <v>50</v>
      </c>
      <c r="X373" s="252">
        <v>0</v>
      </c>
      <c r="Y373" s="252">
        <v>999</v>
      </c>
      <c r="Z373" s="254">
        <v>680</v>
      </c>
      <c r="AA373" s="254">
        <v>699</v>
      </c>
      <c r="AB373" s="1883">
        <v>0</v>
      </c>
      <c r="AC373" s="254">
        <v>999999</v>
      </c>
      <c r="AD373" s="252">
        <v>0</v>
      </c>
      <c r="AE373" s="255">
        <v>70</v>
      </c>
      <c r="AF373" s="144">
        <v>0</v>
      </c>
      <c r="AG373" s="145">
        <v>1</v>
      </c>
      <c r="AH373" s="145">
        <v>1</v>
      </c>
      <c r="AI373" s="145">
        <v>1</v>
      </c>
      <c r="AJ373" s="145">
        <v>0</v>
      </c>
      <c r="AK373" s="145">
        <v>1</v>
      </c>
      <c r="AL373" s="145">
        <v>0</v>
      </c>
      <c r="AM373" s="145">
        <v>1</v>
      </c>
      <c r="AN373" s="145">
        <v>1</v>
      </c>
      <c r="AO373" s="145">
        <v>1</v>
      </c>
      <c r="AP373" s="145">
        <v>1</v>
      </c>
      <c r="AQ373" s="145">
        <v>1</v>
      </c>
      <c r="AR373" s="145">
        <v>1</v>
      </c>
      <c r="AS373" s="145">
        <v>1</v>
      </c>
      <c r="AT373" s="145">
        <v>1</v>
      </c>
      <c r="AU373" s="145">
        <f t="shared" si="125"/>
        <v>0</v>
      </c>
      <c r="AV373" s="145">
        <f t="shared" si="126"/>
        <v>1</v>
      </c>
      <c r="AW373" s="145">
        <f t="shared" si="127"/>
        <v>1</v>
      </c>
      <c r="AX373" s="145">
        <f t="shared" si="133"/>
        <v>1</v>
      </c>
      <c r="AY373" s="145">
        <f t="shared" si="128"/>
        <v>0</v>
      </c>
      <c r="AZ373" s="145">
        <f t="shared" si="129"/>
        <v>1</v>
      </c>
      <c r="BA373" s="146">
        <f t="shared" si="130"/>
        <v>1</v>
      </c>
      <c r="BB373" s="149">
        <f t="shared" si="120"/>
        <v>17</v>
      </c>
      <c r="BC373" s="150">
        <f t="shared" si="121"/>
        <v>16</v>
      </c>
      <c r="BD373" s="150">
        <f t="shared" si="122"/>
        <v>17</v>
      </c>
      <c r="BE373" s="211" t="str">
        <f t="shared" si="123"/>
        <v/>
      </c>
      <c r="BH373" s="173">
        <f>IF(AND(Input_Product=Elig!$C373,Elig_MatchAll_Ct&lt;22,$BC373=(Elig_MatchAll_Ct-1),AF373=0),C373,0)</f>
        <v>0</v>
      </c>
      <c r="BI373" s="173">
        <f>IF(AND(Input_Product=Elig!$C373,Elig_MatchAll_Ct&lt;22,$BC373=(Elig_MatchAll_Ct-1),AG373=0),D373,0)</f>
        <v>0</v>
      </c>
      <c r="BJ373" s="173">
        <f>IF(AND(Input_Product=Elig!$C373,Elig_MatchAll_Ct&lt;22,$BC373=(Elig_MatchAll_Ct-1),AH373=0),E373,0)</f>
        <v>0</v>
      </c>
      <c r="BK373" s="173">
        <f>IF(AND(Input_Product=Elig!$C373,Elig_MatchAll_Ct&lt;22,$BC373=(Elig_MatchAll_Ct-1),AI373=0),F373,0)</f>
        <v>0</v>
      </c>
      <c r="BL373" s="173">
        <f>IF(AND(Input_Product=Elig!$C373,Elig_MatchAll_Ct&lt;22,$BC373=(Elig_MatchAll_Ct-1),AJ373=0),G373,0)</f>
        <v>0</v>
      </c>
      <c r="BM373" s="173">
        <f>IF(AND(Input_Product=Elig!$C373,Elig_MatchAll_Ct&lt;22,$BC373=(Elig_MatchAll_Ct-1),AK373=0),H373,0)</f>
        <v>0</v>
      </c>
      <c r="BN373" s="173">
        <f>IF(AND(Input_Product=Elig!$C373,Elig_MatchAll_Ct&lt;22,$BC373=(Elig_MatchAll_Ct-1),AL373=0),I373,0)</f>
        <v>0</v>
      </c>
      <c r="BO373" s="173">
        <f>IF(AND(Input_Product=Elig!$C373,Elig_MatchAll_Ct&lt;22,$BC373=(Elig_MatchAll_Ct-1),AM373=0),J373,0)</f>
        <v>0</v>
      </c>
      <c r="BP373" s="173">
        <f>IF(AND(Input_Product=Elig!$C373,Elig_MatchAll_Ct&lt;22,$BC373=(Elig_MatchAll_Ct-1),AN373=0),K373,0)</f>
        <v>0</v>
      </c>
      <c r="BQ373" s="173">
        <f>IF(AND(Input_Product=Elig!$C373,Elig_MatchAll_Ct&lt;22,$BC373=(Elig_MatchAll_Ct-1),AP373=0),L373,0)</f>
        <v>0</v>
      </c>
      <c r="BR373" s="173">
        <f>IF(AND(Input_Product=Elig!$C373,Elig_MatchAll_Ct&lt;22,$BC373=(Elig_MatchAll_Ct-1),AO373=0),M373,0)</f>
        <v>0</v>
      </c>
      <c r="BS373" s="173">
        <f>IF(AND(Input_Product=Elig!$C373,Elig_MatchAll_Ct&lt;22,$BC373=(Elig_MatchAll_Ct-1),AQ373=0),N373,0)</f>
        <v>0</v>
      </c>
      <c r="BT373" s="173">
        <f>IF(AND(Input_Product=Elig!$C373,Elig_MatchAll_Ct&lt;22,$BC373=(Elig_MatchAll_Ct-1),AR373=0),O373,0)</f>
        <v>0</v>
      </c>
      <c r="BU373" s="173">
        <f>IF(AND(Input_Product=Elig!$C373,Elig_MatchAll_Ct&lt;22,$BC373=(Elig_MatchAll_Ct-1),AS373=0),P373,0)</f>
        <v>0</v>
      </c>
      <c r="BV373" s="174">
        <f>IF(AND(Input_Product=Elig!$C373,Elig_MatchAll_Ct&lt;22,$BC373=(Elig_MatchAll_Ct-1),AT373=0),Q373,0)</f>
        <v>0</v>
      </c>
      <c r="BW373" s="175">
        <f>IF(AND(Input_Product=Elig!$C373,Elig_MatchAll_Ct&lt;22,$BC373=(Elig_MatchAll_Ct-1),AU373=0),R373,0)</f>
        <v>0</v>
      </c>
      <c r="BX373" s="176">
        <f>IF(AND(Input_Product=Elig!$C373,Elig_MatchAll_Ct&lt;22,$BC373=(Elig_MatchAll_Ct-1),AU373=0),S373,0)</f>
        <v>0</v>
      </c>
      <c r="BY373" s="175">
        <f>IF(AND(Input_Product=Elig!$C373,Elig_MatchAll_Ct&lt;22,$BC373=(Elig_MatchAll_Ct-1),AV373=0),T373,0)</f>
        <v>0</v>
      </c>
      <c r="BZ373" s="176">
        <f>IF(AND(Input_Product=Elig!$C373,Elig_MatchAll_Ct&lt;22,$BC373=(Elig_MatchAll_Ct-1),AV373=0),U373,0)</f>
        <v>0</v>
      </c>
      <c r="CA373" s="175">
        <f>IF(AND(Input_Product=Elig!$C373,Elig_MatchAll_Ct&lt;22,$BC373=(Elig_MatchAll_Ct-1),AW373=0),V373,0)</f>
        <v>0</v>
      </c>
      <c r="CB373" s="176">
        <f>IF(AND(Input_Product=Elig!$C373,Elig_MatchAll_Ct&lt;22,$BC373=(Elig_MatchAll_Ct-1),AW373=0),W373,0)</f>
        <v>0</v>
      </c>
      <c r="CC373" s="175">
        <f>IF(AND(Input_Product=Elig!$C373,Elig_MatchAll_Ct&lt;22,$BC373=(Elig_MatchAll_Ct-1),AX373=0),X373,0)</f>
        <v>0</v>
      </c>
      <c r="CD373" s="176">
        <f>IF(AND(Input_Product=Elig!$C373,Elig_MatchAll_Ct&lt;22,$BC373=(Elig_MatchAll_Ct-1),AX373=0),Y373,0)</f>
        <v>0</v>
      </c>
      <c r="CE373" s="175">
        <f>IF(AND(Input_LTV&lt;=AE373,Input_Product=Elig!$C373,Elig_MatchAll_Ct&lt;22,$BC373=(Elig_MatchAll_Ct-1),AY373=0),Z373,0)</f>
        <v>0</v>
      </c>
      <c r="CF373" s="176">
        <f>IF(AND(Input_LTV&lt;=AE373,Input_Product=Elig!$C373,Elig_MatchAll_Ct&lt;22,$BC373=(Elig_MatchAll_Ct-1),AY373=0),AA373,0)</f>
        <v>0</v>
      </c>
      <c r="CG373" s="175">
        <f>IF(AND(Input_Product=Elig!$C373,Elig_MatchAll_Ct&lt;22,$BC373=(Elig_MatchAll_Ct-1),AZ373=0),AB373,0)</f>
        <v>0</v>
      </c>
      <c r="CH373" s="176">
        <f>IF(AND(Input_Product=Elig!$C373,Elig_MatchAll_Ct&lt;22,$BC373=(Elig_MatchAll_Ct-1),AZ373=0),AC373,0)</f>
        <v>0</v>
      </c>
      <c r="CI373" s="175">
        <f>IF(AND(Input_Product=Elig!$C373,Elig_MatchAll_Ct&lt;22,$BC373=(Elig_MatchAll_Ct-1),BA373=0),AD373,0)</f>
        <v>0</v>
      </c>
      <c r="CJ373" s="176">
        <f>IF(AND(Input_Product=Elig!$C373,Elig_MatchAll_Ct&lt;22,$BC373=(Elig_MatchAll_Ct-1),BA373=0),AE373,0)</f>
        <v>0</v>
      </c>
    </row>
    <row r="374" spans="1:88" ht="10.15" customHeight="1" x14ac:dyDescent="0.25">
      <c r="A374" s="252" t="s">
        <v>76</v>
      </c>
      <c r="B374" s="252" t="s">
        <v>1000</v>
      </c>
      <c r="C374" s="251" t="str">
        <f t="shared" si="140"/>
        <v>NonQM NOO</v>
      </c>
      <c r="D374" s="252" t="s">
        <v>1995</v>
      </c>
      <c r="E374" s="252" t="s">
        <v>166</v>
      </c>
      <c r="F374" s="252" t="s">
        <v>329</v>
      </c>
      <c r="G374" s="252" t="s">
        <v>302</v>
      </c>
      <c r="H374" s="252" t="s">
        <v>135</v>
      </c>
      <c r="I374" s="252" t="s">
        <v>16</v>
      </c>
      <c r="J374" s="252" t="s">
        <v>1130</v>
      </c>
      <c r="K374" s="252" t="s">
        <v>1398</v>
      </c>
      <c r="L374" s="252" t="s">
        <v>311</v>
      </c>
      <c r="M374" s="252" t="s">
        <v>2289</v>
      </c>
      <c r="N374" s="252" t="s">
        <v>1844</v>
      </c>
      <c r="O374" s="252" t="s">
        <v>309</v>
      </c>
      <c r="P374" s="252" t="s">
        <v>2434</v>
      </c>
      <c r="Q374" s="252" t="s">
        <v>293</v>
      </c>
      <c r="R374" s="252">
        <v>1500000.01</v>
      </c>
      <c r="S374" s="252">
        <v>2000000</v>
      </c>
      <c r="T374" s="252">
        <v>0</v>
      </c>
      <c r="U374" s="252">
        <f t="shared" si="139"/>
        <v>2000000</v>
      </c>
      <c r="V374" s="252">
        <v>0</v>
      </c>
      <c r="W374" s="252">
        <v>50</v>
      </c>
      <c r="X374" s="252">
        <v>0</v>
      </c>
      <c r="Y374" s="252">
        <v>999</v>
      </c>
      <c r="Z374" s="254">
        <v>660</v>
      </c>
      <c r="AA374" s="254">
        <v>679</v>
      </c>
      <c r="AB374" s="1883">
        <v>0</v>
      </c>
      <c r="AC374" s="254">
        <v>999999</v>
      </c>
      <c r="AD374" s="252">
        <v>0</v>
      </c>
      <c r="AE374" s="255">
        <v>65</v>
      </c>
      <c r="AF374" s="144">
        <v>0</v>
      </c>
      <c r="AG374" s="145">
        <v>1</v>
      </c>
      <c r="AH374" s="145">
        <v>1</v>
      </c>
      <c r="AI374" s="145">
        <v>1</v>
      </c>
      <c r="AJ374" s="145">
        <v>0</v>
      </c>
      <c r="AK374" s="145">
        <v>1</v>
      </c>
      <c r="AL374" s="145">
        <v>0</v>
      </c>
      <c r="AM374" s="145">
        <v>1</v>
      </c>
      <c r="AN374" s="145">
        <v>1</v>
      </c>
      <c r="AO374" s="145">
        <v>1</v>
      </c>
      <c r="AP374" s="145">
        <v>1</v>
      </c>
      <c r="AQ374" s="145">
        <v>1</v>
      </c>
      <c r="AR374" s="145">
        <v>1</v>
      </c>
      <c r="AS374" s="145">
        <v>1</v>
      </c>
      <c r="AT374" s="145">
        <v>1</v>
      </c>
      <c r="AU374" s="145">
        <f t="shared" si="125"/>
        <v>0</v>
      </c>
      <c r="AV374" s="145">
        <f t="shared" si="126"/>
        <v>1</v>
      </c>
      <c r="AW374" s="145">
        <f t="shared" si="127"/>
        <v>1</v>
      </c>
      <c r="AX374" s="145">
        <f t="shared" si="133"/>
        <v>1</v>
      </c>
      <c r="AY374" s="145">
        <f t="shared" si="128"/>
        <v>0</v>
      </c>
      <c r="AZ374" s="145">
        <f t="shared" si="129"/>
        <v>1</v>
      </c>
      <c r="BA374" s="146">
        <f t="shared" si="130"/>
        <v>0</v>
      </c>
      <c r="BB374" s="149">
        <f t="shared" si="120"/>
        <v>16</v>
      </c>
      <c r="BC374" s="150">
        <f t="shared" si="121"/>
        <v>16</v>
      </c>
      <c r="BD374" s="150">
        <f t="shared" si="122"/>
        <v>16</v>
      </c>
      <c r="BE374" s="211" t="str">
        <f t="shared" si="123"/>
        <v/>
      </c>
      <c r="BH374" s="173">
        <f>IF(AND(Input_Product=Elig!$C374,Elig_MatchAll_Ct&lt;22,$BC374=(Elig_MatchAll_Ct-1),AF374=0),C374,0)</f>
        <v>0</v>
      </c>
      <c r="BI374" s="173">
        <f>IF(AND(Input_Product=Elig!$C374,Elig_MatchAll_Ct&lt;22,$BC374=(Elig_MatchAll_Ct-1),AG374=0),D374,0)</f>
        <v>0</v>
      </c>
      <c r="BJ374" s="173">
        <f>IF(AND(Input_Product=Elig!$C374,Elig_MatchAll_Ct&lt;22,$BC374=(Elig_MatchAll_Ct-1),AH374=0),E374,0)</f>
        <v>0</v>
      </c>
      <c r="BK374" s="173">
        <f>IF(AND(Input_Product=Elig!$C374,Elig_MatchAll_Ct&lt;22,$BC374=(Elig_MatchAll_Ct-1),AI374=0),F374,0)</f>
        <v>0</v>
      </c>
      <c r="BL374" s="173">
        <f>IF(AND(Input_Product=Elig!$C374,Elig_MatchAll_Ct&lt;22,$BC374=(Elig_MatchAll_Ct-1),AJ374=0),G374,0)</f>
        <v>0</v>
      </c>
      <c r="BM374" s="173">
        <f>IF(AND(Input_Product=Elig!$C374,Elig_MatchAll_Ct&lt;22,$BC374=(Elig_MatchAll_Ct-1),AK374=0),H374,0)</f>
        <v>0</v>
      </c>
      <c r="BN374" s="173">
        <f>IF(AND(Input_Product=Elig!$C374,Elig_MatchAll_Ct&lt;22,$BC374=(Elig_MatchAll_Ct-1),AL374=0),I374,0)</f>
        <v>0</v>
      </c>
      <c r="BO374" s="173">
        <f>IF(AND(Input_Product=Elig!$C374,Elig_MatchAll_Ct&lt;22,$BC374=(Elig_MatchAll_Ct-1),AM374=0),J374,0)</f>
        <v>0</v>
      </c>
      <c r="BP374" s="173">
        <f>IF(AND(Input_Product=Elig!$C374,Elig_MatchAll_Ct&lt;22,$BC374=(Elig_MatchAll_Ct-1),AN374=0),K374,0)</f>
        <v>0</v>
      </c>
      <c r="BQ374" s="173">
        <f>IF(AND(Input_Product=Elig!$C374,Elig_MatchAll_Ct&lt;22,$BC374=(Elig_MatchAll_Ct-1),AP374=0),L374,0)</f>
        <v>0</v>
      </c>
      <c r="BR374" s="173">
        <f>IF(AND(Input_Product=Elig!$C374,Elig_MatchAll_Ct&lt;22,$BC374=(Elig_MatchAll_Ct-1),AO374=0),M374,0)</f>
        <v>0</v>
      </c>
      <c r="BS374" s="173">
        <f>IF(AND(Input_Product=Elig!$C374,Elig_MatchAll_Ct&lt;22,$BC374=(Elig_MatchAll_Ct-1),AQ374=0),N374,0)</f>
        <v>0</v>
      </c>
      <c r="BT374" s="173">
        <f>IF(AND(Input_Product=Elig!$C374,Elig_MatchAll_Ct&lt;22,$BC374=(Elig_MatchAll_Ct-1),AR374=0),O374,0)</f>
        <v>0</v>
      </c>
      <c r="BU374" s="173">
        <f>IF(AND(Input_Product=Elig!$C374,Elig_MatchAll_Ct&lt;22,$BC374=(Elig_MatchAll_Ct-1),AS374=0),P374,0)</f>
        <v>0</v>
      </c>
      <c r="BV374" s="174">
        <f>IF(AND(Input_Product=Elig!$C374,Elig_MatchAll_Ct&lt;22,$BC374=(Elig_MatchAll_Ct-1),AT374=0),Q374,0)</f>
        <v>0</v>
      </c>
      <c r="BW374" s="175">
        <f>IF(AND(Input_Product=Elig!$C374,Elig_MatchAll_Ct&lt;22,$BC374=(Elig_MatchAll_Ct-1),AU374=0),R374,0)</f>
        <v>0</v>
      </c>
      <c r="BX374" s="176">
        <f>IF(AND(Input_Product=Elig!$C374,Elig_MatchAll_Ct&lt;22,$BC374=(Elig_MatchAll_Ct-1),AU374=0),S374,0)</f>
        <v>0</v>
      </c>
      <c r="BY374" s="175">
        <f>IF(AND(Input_Product=Elig!$C374,Elig_MatchAll_Ct&lt;22,$BC374=(Elig_MatchAll_Ct-1),AV374=0),T374,0)</f>
        <v>0</v>
      </c>
      <c r="BZ374" s="176">
        <f>IF(AND(Input_Product=Elig!$C374,Elig_MatchAll_Ct&lt;22,$BC374=(Elig_MatchAll_Ct-1),AV374=0),U374,0)</f>
        <v>0</v>
      </c>
      <c r="CA374" s="175">
        <f>IF(AND(Input_Product=Elig!$C374,Elig_MatchAll_Ct&lt;22,$BC374=(Elig_MatchAll_Ct-1),AW374=0),V374,0)</f>
        <v>0</v>
      </c>
      <c r="CB374" s="176">
        <f>IF(AND(Input_Product=Elig!$C374,Elig_MatchAll_Ct&lt;22,$BC374=(Elig_MatchAll_Ct-1),AW374=0),W374,0)</f>
        <v>0</v>
      </c>
      <c r="CC374" s="175">
        <f>IF(AND(Input_Product=Elig!$C374,Elig_MatchAll_Ct&lt;22,$BC374=(Elig_MatchAll_Ct-1),AX374=0),X374,0)</f>
        <v>0</v>
      </c>
      <c r="CD374" s="176">
        <f>IF(AND(Input_Product=Elig!$C374,Elig_MatchAll_Ct&lt;22,$BC374=(Elig_MatchAll_Ct-1),AX374=0),Y374,0)</f>
        <v>0</v>
      </c>
      <c r="CE374" s="175">
        <f>IF(AND(Input_LTV&lt;=AE374,Input_Product=Elig!$C374,Elig_MatchAll_Ct&lt;22,$BC374=(Elig_MatchAll_Ct-1),AY374=0),Z374,0)</f>
        <v>0</v>
      </c>
      <c r="CF374" s="176">
        <f>IF(AND(Input_LTV&lt;=AE374,Input_Product=Elig!$C374,Elig_MatchAll_Ct&lt;22,$BC374=(Elig_MatchAll_Ct-1),AY374=0),AA374,0)</f>
        <v>0</v>
      </c>
      <c r="CG374" s="175">
        <f>IF(AND(Input_Product=Elig!$C374,Elig_MatchAll_Ct&lt;22,$BC374=(Elig_MatchAll_Ct-1),AZ374=0),AB374,0)</f>
        <v>0</v>
      </c>
      <c r="CH374" s="176">
        <f>IF(AND(Input_Product=Elig!$C374,Elig_MatchAll_Ct&lt;22,$BC374=(Elig_MatchAll_Ct-1),AZ374=0),AC374,0)</f>
        <v>0</v>
      </c>
      <c r="CI374" s="175">
        <f>IF(AND(Input_Product=Elig!$C374,Elig_MatchAll_Ct&lt;22,$BC374=(Elig_MatchAll_Ct-1),BA374=0),AD374,0)</f>
        <v>0</v>
      </c>
      <c r="CJ374" s="176">
        <f>IF(AND(Input_Product=Elig!$C374,Elig_MatchAll_Ct&lt;22,$BC374=(Elig_MatchAll_Ct-1),BA374=0),AE374,0)</f>
        <v>0</v>
      </c>
    </row>
    <row r="375" spans="1:88" ht="10.15" customHeight="1" x14ac:dyDescent="0.25">
      <c r="A375" s="252" t="s">
        <v>76</v>
      </c>
      <c r="B375" s="252" t="s">
        <v>1001</v>
      </c>
      <c r="C375" s="246" t="str">
        <f t="shared" si="140"/>
        <v>NonQM NOO</v>
      </c>
      <c r="D375" s="247" t="s">
        <v>1995</v>
      </c>
      <c r="E375" s="248" t="s">
        <v>166</v>
      </c>
      <c r="F375" s="248" t="s">
        <v>329</v>
      </c>
      <c r="G375" s="248" t="s">
        <v>303</v>
      </c>
      <c r="H375" s="248" t="s">
        <v>444</v>
      </c>
      <c r="I375" s="247" t="s">
        <v>273</v>
      </c>
      <c r="J375" s="247" t="s">
        <v>1130</v>
      </c>
      <c r="K375" s="247" t="s">
        <v>1398</v>
      </c>
      <c r="L375" s="248" t="s">
        <v>311</v>
      </c>
      <c r="M375" s="248" t="s">
        <v>2289</v>
      </c>
      <c r="N375" s="248" t="s">
        <v>1844</v>
      </c>
      <c r="O375" s="248" t="s">
        <v>309</v>
      </c>
      <c r="P375" s="248" t="s">
        <v>2434</v>
      </c>
      <c r="Q375" s="248" t="s">
        <v>293</v>
      </c>
      <c r="R375" s="247">
        <v>1500000.01</v>
      </c>
      <c r="S375" s="247">
        <v>2000000</v>
      </c>
      <c r="T375" s="247">
        <v>0</v>
      </c>
      <c r="U375" s="247">
        <v>0</v>
      </c>
      <c r="V375" s="247">
        <v>0</v>
      </c>
      <c r="W375" s="247">
        <v>50</v>
      </c>
      <c r="X375" s="247">
        <v>0</v>
      </c>
      <c r="Y375" s="247">
        <v>999</v>
      </c>
      <c r="Z375" s="249">
        <v>720</v>
      </c>
      <c r="AA375" s="249">
        <v>999</v>
      </c>
      <c r="AB375" s="1882">
        <v>0</v>
      </c>
      <c r="AC375" s="249">
        <v>999999</v>
      </c>
      <c r="AD375" s="247">
        <v>0</v>
      </c>
      <c r="AE375" s="250">
        <v>80</v>
      </c>
      <c r="AF375" s="144">
        <v>0</v>
      </c>
      <c r="AG375" s="145">
        <v>1</v>
      </c>
      <c r="AH375" s="145">
        <v>1</v>
      </c>
      <c r="AI375" s="145">
        <v>1</v>
      </c>
      <c r="AJ375" s="145">
        <v>0</v>
      </c>
      <c r="AK375" s="145">
        <v>0</v>
      </c>
      <c r="AL375" s="145">
        <v>1</v>
      </c>
      <c r="AM375" s="145">
        <v>1</v>
      </c>
      <c r="AN375" s="145">
        <v>1</v>
      </c>
      <c r="AO375" s="145">
        <v>1</v>
      </c>
      <c r="AP375" s="145">
        <v>1</v>
      </c>
      <c r="AQ375" s="145">
        <v>1</v>
      </c>
      <c r="AR375" s="145">
        <v>1</v>
      </c>
      <c r="AS375" s="145">
        <v>1</v>
      </c>
      <c r="AT375" s="145">
        <v>1</v>
      </c>
      <c r="AU375" s="145">
        <f t="shared" si="125"/>
        <v>0</v>
      </c>
      <c r="AV375" s="145">
        <f t="shared" si="126"/>
        <v>1</v>
      </c>
      <c r="AW375" s="145">
        <f t="shared" si="127"/>
        <v>1</v>
      </c>
      <c r="AX375" s="145">
        <f t="shared" si="133"/>
        <v>1</v>
      </c>
      <c r="AY375" s="145">
        <f t="shared" si="128"/>
        <v>1</v>
      </c>
      <c r="AZ375" s="145">
        <f t="shared" si="129"/>
        <v>1</v>
      </c>
      <c r="BA375" s="146">
        <f t="shared" si="130"/>
        <v>1</v>
      </c>
      <c r="BB375" s="149">
        <f t="shared" si="120"/>
        <v>18</v>
      </c>
      <c r="BC375" s="150">
        <f t="shared" si="121"/>
        <v>17</v>
      </c>
      <c r="BD375" s="150">
        <f t="shared" si="122"/>
        <v>18</v>
      </c>
      <c r="BE375" s="211" t="str">
        <f t="shared" si="123"/>
        <v/>
      </c>
      <c r="BH375" s="190">
        <f>IF(AND(Input_Product=Elig!$C375,Elig_MatchAll_Ct&lt;22,$BC375=(Elig_MatchAll_Ct-1),AF375=0),C375,0)</f>
        <v>0</v>
      </c>
      <c r="BI375" s="190">
        <f>IF(AND(Input_Product=Elig!$C375,Elig_MatchAll_Ct&lt;22,$BC375=(Elig_MatchAll_Ct-1),AG375=0),D375,0)</f>
        <v>0</v>
      </c>
      <c r="BJ375" s="190">
        <f>IF(AND(Input_Product=Elig!$C375,Elig_MatchAll_Ct&lt;22,$BC375=(Elig_MatchAll_Ct-1),AH375=0),E375,0)</f>
        <v>0</v>
      </c>
      <c r="BK375" s="190">
        <f>IF(AND(Input_Product=Elig!$C375,Elig_MatchAll_Ct&lt;22,$BC375=(Elig_MatchAll_Ct-1),AI375=0),F375,0)</f>
        <v>0</v>
      </c>
      <c r="BL375" s="190">
        <f>IF(AND(Input_Product=Elig!$C375,Elig_MatchAll_Ct&lt;22,$BC375=(Elig_MatchAll_Ct-1),AJ375=0),G375,0)</f>
        <v>0</v>
      </c>
      <c r="BM375" s="190">
        <f>IF(AND(Input_Product=Elig!$C375,Elig_MatchAll_Ct&lt;22,$BC375=(Elig_MatchAll_Ct-1),AK375=0),H375,0)</f>
        <v>0</v>
      </c>
      <c r="BN375" s="190">
        <f>IF(AND(Input_Product=Elig!$C375,Elig_MatchAll_Ct&lt;22,$BC375=(Elig_MatchAll_Ct-1),AL375=0),I375,0)</f>
        <v>0</v>
      </c>
      <c r="BO375" s="190">
        <f>IF(AND(Input_Product=Elig!$C375,Elig_MatchAll_Ct&lt;22,$BC375=(Elig_MatchAll_Ct-1),AM375=0),J375,0)</f>
        <v>0</v>
      </c>
      <c r="BP375" s="190">
        <f>IF(AND(Input_Product=Elig!$C375,Elig_MatchAll_Ct&lt;22,$BC375=(Elig_MatchAll_Ct-1),AN375=0),K375,0)</f>
        <v>0</v>
      </c>
      <c r="BQ375" s="190">
        <f>IF(AND(Input_Product=Elig!$C375,Elig_MatchAll_Ct&lt;22,$BC375=(Elig_MatchAll_Ct-1),AP375=0),L375,0)</f>
        <v>0</v>
      </c>
      <c r="BR375" s="190">
        <f>IF(AND(Input_Product=Elig!$C375,Elig_MatchAll_Ct&lt;22,$BC375=(Elig_MatchAll_Ct-1),AO375=0),M375,0)</f>
        <v>0</v>
      </c>
      <c r="BS375" s="190">
        <f>IF(AND(Input_Product=Elig!$C375,Elig_MatchAll_Ct&lt;22,$BC375=(Elig_MatchAll_Ct-1),AQ375=0),N375,0)</f>
        <v>0</v>
      </c>
      <c r="BT375" s="190">
        <f>IF(AND(Input_Product=Elig!$C375,Elig_MatchAll_Ct&lt;22,$BC375=(Elig_MatchAll_Ct-1),AR375=0),O375,0)</f>
        <v>0</v>
      </c>
      <c r="BU375" s="190">
        <f>IF(AND(Input_Product=Elig!$C375,Elig_MatchAll_Ct&lt;22,$BC375=(Elig_MatchAll_Ct-1),AS375=0),P375,0)</f>
        <v>0</v>
      </c>
      <c r="BV375" s="191">
        <f>IF(AND(Input_Product=Elig!$C375,Elig_MatchAll_Ct&lt;22,$BC375=(Elig_MatchAll_Ct-1),AT375=0),Q375,0)</f>
        <v>0</v>
      </c>
      <c r="BW375" s="192">
        <f>IF(AND(Input_Product=Elig!$C375,Elig_MatchAll_Ct&lt;22,$BC375=(Elig_MatchAll_Ct-1),AU375=0),R375,0)</f>
        <v>0</v>
      </c>
      <c r="BX375" s="193">
        <f>IF(AND(Input_Product=Elig!$C375,Elig_MatchAll_Ct&lt;22,$BC375=(Elig_MatchAll_Ct-1),AU375=0),S375,0)</f>
        <v>0</v>
      </c>
      <c r="BY375" s="192">
        <f>IF(AND(Input_Product=Elig!$C375,Elig_MatchAll_Ct&lt;22,$BC375=(Elig_MatchAll_Ct-1),AV375=0),T375,0)</f>
        <v>0</v>
      </c>
      <c r="BZ375" s="193">
        <f>IF(AND(Input_Product=Elig!$C375,Elig_MatchAll_Ct&lt;22,$BC375=(Elig_MatchAll_Ct-1),AV375=0),U375,0)</f>
        <v>0</v>
      </c>
      <c r="CA375" s="192">
        <f>IF(AND(Input_Product=Elig!$C375,Elig_MatchAll_Ct&lt;22,$BC375=(Elig_MatchAll_Ct-1),AW375=0),V375,0)</f>
        <v>0</v>
      </c>
      <c r="CB375" s="193">
        <f>IF(AND(Input_Product=Elig!$C375,Elig_MatchAll_Ct&lt;22,$BC375=(Elig_MatchAll_Ct-1),AW375=0),W375,0)</f>
        <v>0</v>
      </c>
      <c r="CC375" s="192">
        <f>IF(AND(Input_Product=Elig!$C375,Elig_MatchAll_Ct&lt;22,$BC375=(Elig_MatchAll_Ct-1),AX375=0),X375,0)</f>
        <v>0</v>
      </c>
      <c r="CD375" s="193">
        <f>IF(AND(Input_Product=Elig!$C375,Elig_MatchAll_Ct&lt;22,$BC375=(Elig_MatchAll_Ct-1),AX375=0),Y375,0)</f>
        <v>0</v>
      </c>
      <c r="CE375" s="192">
        <f>IF(AND(Input_LTV&lt;=AE375,Input_Product=Elig!$C375,Elig_MatchAll_Ct&lt;22,$BC375=(Elig_MatchAll_Ct-1),AY375=0),Z375,0)</f>
        <v>0</v>
      </c>
      <c r="CF375" s="193">
        <f>IF(AND(Input_LTV&lt;=AE375,Input_Product=Elig!$C375,Elig_MatchAll_Ct&lt;22,$BC375=(Elig_MatchAll_Ct-1),AY375=0),AA375,0)</f>
        <v>0</v>
      </c>
      <c r="CG375" s="192">
        <f>IF(AND(Input_Product=Elig!$C375,Elig_MatchAll_Ct&lt;22,$BC375=(Elig_MatchAll_Ct-1),AZ375=0),AB375,0)</f>
        <v>0</v>
      </c>
      <c r="CH375" s="193">
        <f>IF(AND(Input_Product=Elig!$C375,Elig_MatchAll_Ct&lt;22,$BC375=(Elig_MatchAll_Ct-1),AZ375=0),AC375,0)</f>
        <v>0</v>
      </c>
      <c r="CI375" s="192">
        <f>IF(AND(Input_Product=Elig!$C375,Elig_MatchAll_Ct&lt;22,$BC375=(Elig_MatchAll_Ct-1),BA375=0),AD375,0)</f>
        <v>0</v>
      </c>
      <c r="CJ375" s="193">
        <f>IF(AND(Input_Product=Elig!$C375,Elig_MatchAll_Ct&lt;22,$BC375=(Elig_MatchAll_Ct-1),BA375=0),AE375,0)</f>
        <v>0</v>
      </c>
    </row>
    <row r="376" spans="1:88" ht="10.15" customHeight="1" x14ac:dyDescent="0.25">
      <c r="A376" s="252" t="s">
        <v>76</v>
      </c>
      <c r="B376" s="252" t="s">
        <v>1002</v>
      </c>
      <c r="C376" s="251" t="str">
        <f t="shared" si="140"/>
        <v>NonQM NOO</v>
      </c>
      <c r="D376" s="252" t="s">
        <v>1995</v>
      </c>
      <c r="E376" s="252" t="s">
        <v>166</v>
      </c>
      <c r="F376" s="252" t="s">
        <v>329</v>
      </c>
      <c r="G376" s="252" t="s">
        <v>303</v>
      </c>
      <c r="H376" s="252" t="s">
        <v>444</v>
      </c>
      <c r="I376" s="253" t="s">
        <v>273</v>
      </c>
      <c r="J376" s="253" t="s">
        <v>1130</v>
      </c>
      <c r="K376" s="253" t="s">
        <v>1398</v>
      </c>
      <c r="L376" s="252" t="s">
        <v>311</v>
      </c>
      <c r="M376" s="252" t="s">
        <v>2289</v>
      </c>
      <c r="N376" s="252" t="s">
        <v>1844</v>
      </c>
      <c r="O376" s="252" t="s">
        <v>309</v>
      </c>
      <c r="P376" s="252" t="s">
        <v>2434</v>
      </c>
      <c r="Q376" s="252" t="s">
        <v>293</v>
      </c>
      <c r="R376" s="252">
        <v>1500000.01</v>
      </c>
      <c r="S376" s="252">
        <v>2000000</v>
      </c>
      <c r="T376" s="252">
        <v>0</v>
      </c>
      <c r="U376" s="252">
        <v>0</v>
      </c>
      <c r="V376" s="252">
        <v>0</v>
      </c>
      <c r="W376" s="252">
        <v>50</v>
      </c>
      <c r="X376" s="252">
        <v>0</v>
      </c>
      <c r="Y376" s="252">
        <v>999</v>
      </c>
      <c r="Z376" s="254">
        <v>700</v>
      </c>
      <c r="AA376" s="254">
        <v>719</v>
      </c>
      <c r="AB376" s="1883">
        <v>0</v>
      </c>
      <c r="AC376" s="254">
        <v>999999</v>
      </c>
      <c r="AD376" s="252">
        <v>0</v>
      </c>
      <c r="AE376" s="255">
        <v>80</v>
      </c>
      <c r="AF376" s="144">
        <v>0</v>
      </c>
      <c r="AG376" s="145">
        <v>1</v>
      </c>
      <c r="AH376" s="145">
        <v>1</v>
      </c>
      <c r="AI376" s="145">
        <v>1</v>
      </c>
      <c r="AJ376" s="145">
        <v>0</v>
      </c>
      <c r="AK376" s="145">
        <v>0</v>
      </c>
      <c r="AL376" s="145">
        <v>1</v>
      </c>
      <c r="AM376" s="145">
        <v>1</v>
      </c>
      <c r="AN376" s="145">
        <v>1</v>
      </c>
      <c r="AO376" s="145">
        <v>1</v>
      </c>
      <c r="AP376" s="145">
        <v>1</v>
      </c>
      <c r="AQ376" s="145">
        <v>1</v>
      </c>
      <c r="AR376" s="145">
        <v>1</v>
      </c>
      <c r="AS376" s="145">
        <v>1</v>
      </c>
      <c r="AT376" s="145">
        <v>1</v>
      </c>
      <c r="AU376" s="145">
        <f t="shared" si="125"/>
        <v>0</v>
      </c>
      <c r="AV376" s="145">
        <f t="shared" si="126"/>
        <v>1</v>
      </c>
      <c r="AW376" s="145">
        <f t="shared" si="127"/>
        <v>1</v>
      </c>
      <c r="AX376" s="145">
        <f t="shared" si="133"/>
        <v>1</v>
      </c>
      <c r="AY376" s="145">
        <f t="shared" si="128"/>
        <v>0</v>
      </c>
      <c r="AZ376" s="145">
        <f t="shared" si="129"/>
        <v>1</v>
      </c>
      <c r="BA376" s="146">
        <f t="shared" si="130"/>
        <v>1</v>
      </c>
      <c r="BB376" s="149">
        <f t="shared" si="120"/>
        <v>17</v>
      </c>
      <c r="BC376" s="150">
        <f t="shared" si="121"/>
        <v>16</v>
      </c>
      <c r="BD376" s="150">
        <f t="shared" si="122"/>
        <v>17</v>
      </c>
      <c r="BE376" s="211" t="str">
        <f t="shared" si="123"/>
        <v/>
      </c>
      <c r="BH376" s="173">
        <f>IF(AND(Input_Product=Elig!$C376,Elig_MatchAll_Ct&lt;22,$BC376=(Elig_MatchAll_Ct-1),AF376=0),C376,0)</f>
        <v>0</v>
      </c>
      <c r="BI376" s="173">
        <f>IF(AND(Input_Product=Elig!$C376,Elig_MatchAll_Ct&lt;22,$BC376=(Elig_MatchAll_Ct-1),AG376=0),D376,0)</f>
        <v>0</v>
      </c>
      <c r="BJ376" s="173">
        <f>IF(AND(Input_Product=Elig!$C376,Elig_MatchAll_Ct&lt;22,$BC376=(Elig_MatchAll_Ct-1),AH376=0),E376,0)</f>
        <v>0</v>
      </c>
      <c r="BK376" s="173">
        <f>IF(AND(Input_Product=Elig!$C376,Elig_MatchAll_Ct&lt;22,$BC376=(Elig_MatchAll_Ct-1),AI376=0),F376,0)</f>
        <v>0</v>
      </c>
      <c r="BL376" s="173">
        <f>IF(AND(Input_Product=Elig!$C376,Elig_MatchAll_Ct&lt;22,$BC376=(Elig_MatchAll_Ct-1),AJ376=0),G376,0)</f>
        <v>0</v>
      </c>
      <c r="BM376" s="173">
        <f>IF(AND(Input_Product=Elig!$C376,Elig_MatchAll_Ct&lt;22,$BC376=(Elig_MatchAll_Ct-1),AK376=0),H376,0)</f>
        <v>0</v>
      </c>
      <c r="BN376" s="173">
        <f>IF(AND(Input_Product=Elig!$C376,Elig_MatchAll_Ct&lt;22,$BC376=(Elig_MatchAll_Ct-1),AL376=0),I376,0)</f>
        <v>0</v>
      </c>
      <c r="BO376" s="173">
        <f>IF(AND(Input_Product=Elig!$C376,Elig_MatchAll_Ct&lt;22,$BC376=(Elig_MatchAll_Ct-1),AM376=0),J376,0)</f>
        <v>0</v>
      </c>
      <c r="BP376" s="173">
        <f>IF(AND(Input_Product=Elig!$C376,Elig_MatchAll_Ct&lt;22,$BC376=(Elig_MatchAll_Ct-1),AN376=0),K376,0)</f>
        <v>0</v>
      </c>
      <c r="BQ376" s="173">
        <f>IF(AND(Input_Product=Elig!$C376,Elig_MatchAll_Ct&lt;22,$BC376=(Elig_MatchAll_Ct-1),AP376=0),L376,0)</f>
        <v>0</v>
      </c>
      <c r="BR376" s="173">
        <f>IF(AND(Input_Product=Elig!$C376,Elig_MatchAll_Ct&lt;22,$BC376=(Elig_MatchAll_Ct-1),AO376=0),M376,0)</f>
        <v>0</v>
      </c>
      <c r="BS376" s="173">
        <f>IF(AND(Input_Product=Elig!$C376,Elig_MatchAll_Ct&lt;22,$BC376=(Elig_MatchAll_Ct-1),AQ376=0),N376,0)</f>
        <v>0</v>
      </c>
      <c r="BT376" s="173">
        <f>IF(AND(Input_Product=Elig!$C376,Elig_MatchAll_Ct&lt;22,$BC376=(Elig_MatchAll_Ct-1),AR376=0),O376,0)</f>
        <v>0</v>
      </c>
      <c r="BU376" s="173">
        <f>IF(AND(Input_Product=Elig!$C376,Elig_MatchAll_Ct&lt;22,$BC376=(Elig_MatchAll_Ct-1),AS376=0),P376,0)</f>
        <v>0</v>
      </c>
      <c r="BV376" s="174">
        <f>IF(AND(Input_Product=Elig!$C376,Elig_MatchAll_Ct&lt;22,$BC376=(Elig_MatchAll_Ct-1),AT376=0),Q376,0)</f>
        <v>0</v>
      </c>
      <c r="BW376" s="175">
        <f>IF(AND(Input_Product=Elig!$C376,Elig_MatchAll_Ct&lt;22,$BC376=(Elig_MatchAll_Ct-1),AU376=0),R376,0)</f>
        <v>0</v>
      </c>
      <c r="BX376" s="176">
        <f>IF(AND(Input_Product=Elig!$C376,Elig_MatchAll_Ct&lt;22,$BC376=(Elig_MatchAll_Ct-1),AU376=0),S376,0)</f>
        <v>0</v>
      </c>
      <c r="BY376" s="175">
        <f>IF(AND(Input_Product=Elig!$C376,Elig_MatchAll_Ct&lt;22,$BC376=(Elig_MatchAll_Ct-1),AV376=0),T376,0)</f>
        <v>0</v>
      </c>
      <c r="BZ376" s="176">
        <f>IF(AND(Input_Product=Elig!$C376,Elig_MatchAll_Ct&lt;22,$BC376=(Elig_MatchAll_Ct-1),AV376=0),U376,0)</f>
        <v>0</v>
      </c>
      <c r="CA376" s="175">
        <f>IF(AND(Input_Product=Elig!$C376,Elig_MatchAll_Ct&lt;22,$BC376=(Elig_MatchAll_Ct-1),AW376=0),V376,0)</f>
        <v>0</v>
      </c>
      <c r="CB376" s="176">
        <f>IF(AND(Input_Product=Elig!$C376,Elig_MatchAll_Ct&lt;22,$BC376=(Elig_MatchAll_Ct-1),AW376=0),W376,0)</f>
        <v>0</v>
      </c>
      <c r="CC376" s="175">
        <f>IF(AND(Input_Product=Elig!$C376,Elig_MatchAll_Ct&lt;22,$BC376=(Elig_MatchAll_Ct-1),AX376=0),X376,0)</f>
        <v>0</v>
      </c>
      <c r="CD376" s="176">
        <f>IF(AND(Input_Product=Elig!$C376,Elig_MatchAll_Ct&lt;22,$BC376=(Elig_MatchAll_Ct-1),AX376=0),Y376,0)</f>
        <v>0</v>
      </c>
      <c r="CE376" s="175">
        <f>IF(AND(Input_LTV&lt;=AE376,Input_Product=Elig!$C376,Elig_MatchAll_Ct&lt;22,$BC376=(Elig_MatchAll_Ct-1),AY376=0),Z376,0)</f>
        <v>0</v>
      </c>
      <c r="CF376" s="176">
        <f>IF(AND(Input_LTV&lt;=AE376,Input_Product=Elig!$C376,Elig_MatchAll_Ct&lt;22,$BC376=(Elig_MatchAll_Ct-1),AY376=0),AA376,0)</f>
        <v>0</v>
      </c>
      <c r="CG376" s="175">
        <f>IF(AND(Input_Product=Elig!$C376,Elig_MatchAll_Ct&lt;22,$BC376=(Elig_MatchAll_Ct-1),AZ376=0),AB376,0)</f>
        <v>0</v>
      </c>
      <c r="CH376" s="176">
        <f>IF(AND(Input_Product=Elig!$C376,Elig_MatchAll_Ct&lt;22,$BC376=(Elig_MatchAll_Ct-1),AZ376=0),AC376,0)</f>
        <v>0</v>
      </c>
      <c r="CI376" s="175">
        <f>IF(AND(Input_Product=Elig!$C376,Elig_MatchAll_Ct&lt;22,$BC376=(Elig_MatchAll_Ct-1),BA376=0),AD376,0)</f>
        <v>0</v>
      </c>
      <c r="CJ376" s="176">
        <f>IF(AND(Input_Product=Elig!$C376,Elig_MatchAll_Ct&lt;22,$BC376=(Elig_MatchAll_Ct-1),BA376=0),AE376,0)</f>
        <v>0</v>
      </c>
    </row>
    <row r="377" spans="1:88" ht="10.15" customHeight="1" x14ac:dyDescent="0.25">
      <c r="A377" s="252" t="s">
        <v>76</v>
      </c>
      <c r="B377" s="252" t="s">
        <v>1003</v>
      </c>
      <c r="C377" s="251" t="str">
        <f t="shared" si="140"/>
        <v>NonQM NOO</v>
      </c>
      <c r="D377" s="252" t="s">
        <v>1995</v>
      </c>
      <c r="E377" s="252" t="s">
        <v>166</v>
      </c>
      <c r="F377" s="252" t="s">
        <v>329</v>
      </c>
      <c r="G377" s="252" t="s">
        <v>303</v>
      </c>
      <c r="H377" s="252" t="s">
        <v>444</v>
      </c>
      <c r="I377" s="253" t="s">
        <v>273</v>
      </c>
      <c r="J377" s="253" t="s">
        <v>1130</v>
      </c>
      <c r="K377" s="253" t="s">
        <v>1398</v>
      </c>
      <c r="L377" s="252" t="s">
        <v>311</v>
      </c>
      <c r="M377" s="252" t="s">
        <v>2289</v>
      </c>
      <c r="N377" s="252" t="s">
        <v>1844</v>
      </c>
      <c r="O377" s="252" t="s">
        <v>309</v>
      </c>
      <c r="P377" s="252" t="s">
        <v>2434</v>
      </c>
      <c r="Q377" s="252" t="s">
        <v>293</v>
      </c>
      <c r="R377" s="252">
        <v>1500000.01</v>
      </c>
      <c r="S377" s="252">
        <v>2000000</v>
      </c>
      <c r="T377" s="252">
        <v>0</v>
      </c>
      <c r="U377" s="252">
        <v>0</v>
      </c>
      <c r="V377" s="252">
        <v>0</v>
      </c>
      <c r="W377" s="252">
        <v>50</v>
      </c>
      <c r="X377" s="252">
        <v>0</v>
      </c>
      <c r="Y377" s="252">
        <v>999</v>
      </c>
      <c r="Z377" s="254">
        <v>680</v>
      </c>
      <c r="AA377" s="254">
        <v>699</v>
      </c>
      <c r="AB377" s="1883">
        <v>0</v>
      </c>
      <c r="AC377" s="254">
        <v>999999</v>
      </c>
      <c r="AD377" s="252">
        <v>0</v>
      </c>
      <c r="AE377" s="255">
        <v>75</v>
      </c>
      <c r="AF377" s="144">
        <v>0</v>
      </c>
      <c r="AG377" s="145">
        <v>1</v>
      </c>
      <c r="AH377" s="145">
        <v>1</v>
      </c>
      <c r="AI377" s="145">
        <v>1</v>
      </c>
      <c r="AJ377" s="145">
        <v>0</v>
      </c>
      <c r="AK377" s="145">
        <v>0</v>
      </c>
      <c r="AL377" s="145">
        <v>1</v>
      </c>
      <c r="AM377" s="145">
        <v>1</v>
      </c>
      <c r="AN377" s="145">
        <v>1</v>
      </c>
      <c r="AO377" s="145">
        <v>1</v>
      </c>
      <c r="AP377" s="145">
        <v>1</v>
      </c>
      <c r="AQ377" s="145">
        <v>1</v>
      </c>
      <c r="AR377" s="145">
        <v>1</v>
      </c>
      <c r="AS377" s="145">
        <v>1</v>
      </c>
      <c r="AT377" s="145">
        <v>1</v>
      </c>
      <c r="AU377" s="145">
        <f t="shared" si="125"/>
        <v>0</v>
      </c>
      <c r="AV377" s="145">
        <f t="shared" si="126"/>
        <v>1</v>
      </c>
      <c r="AW377" s="145">
        <f t="shared" si="127"/>
        <v>1</v>
      </c>
      <c r="AX377" s="145">
        <f t="shared" si="133"/>
        <v>1</v>
      </c>
      <c r="AY377" s="145">
        <f t="shared" si="128"/>
        <v>0</v>
      </c>
      <c r="AZ377" s="145">
        <f t="shared" si="129"/>
        <v>1</v>
      </c>
      <c r="BA377" s="146">
        <f t="shared" si="130"/>
        <v>1</v>
      </c>
      <c r="BB377" s="149">
        <f t="shared" si="120"/>
        <v>17</v>
      </c>
      <c r="BC377" s="150">
        <f t="shared" si="121"/>
        <v>16</v>
      </c>
      <c r="BD377" s="150">
        <f t="shared" si="122"/>
        <v>17</v>
      </c>
      <c r="BE377" s="211" t="str">
        <f t="shared" si="123"/>
        <v/>
      </c>
      <c r="BH377" s="173">
        <f>IF(AND(Input_Product=Elig!$C377,Elig_MatchAll_Ct&lt;22,$BC377=(Elig_MatchAll_Ct-1),AF377=0),C377,0)</f>
        <v>0</v>
      </c>
      <c r="BI377" s="173">
        <f>IF(AND(Input_Product=Elig!$C377,Elig_MatchAll_Ct&lt;22,$BC377=(Elig_MatchAll_Ct-1),AG377=0),D377,0)</f>
        <v>0</v>
      </c>
      <c r="BJ377" s="173">
        <f>IF(AND(Input_Product=Elig!$C377,Elig_MatchAll_Ct&lt;22,$BC377=(Elig_MatchAll_Ct-1),AH377=0),E377,0)</f>
        <v>0</v>
      </c>
      <c r="BK377" s="173">
        <f>IF(AND(Input_Product=Elig!$C377,Elig_MatchAll_Ct&lt;22,$BC377=(Elig_MatchAll_Ct-1),AI377=0),F377,0)</f>
        <v>0</v>
      </c>
      <c r="BL377" s="173">
        <f>IF(AND(Input_Product=Elig!$C377,Elig_MatchAll_Ct&lt;22,$BC377=(Elig_MatchAll_Ct-1),AJ377=0),G377,0)</f>
        <v>0</v>
      </c>
      <c r="BM377" s="173">
        <f>IF(AND(Input_Product=Elig!$C377,Elig_MatchAll_Ct&lt;22,$BC377=(Elig_MatchAll_Ct-1),AK377=0),H377,0)</f>
        <v>0</v>
      </c>
      <c r="BN377" s="173">
        <f>IF(AND(Input_Product=Elig!$C377,Elig_MatchAll_Ct&lt;22,$BC377=(Elig_MatchAll_Ct-1),AL377=0),I377,0)</f>
        <v>0</v>
      </c>
      <c r="BO377" s="173">
        <f>IF(AND(Input_Product=Elig!$C377,Elig_MatchAll_Ct&lt;22,$BC377=(Elig_MatchAll_Ct-1),AM377=0),J377,0)</f>
        <v>0</v>
      </c>
      <c r="BP377" s="173">
        <f>IF(AND(Input_Product=Elig!$C377,Elig_MatchAll_Ct&lt;22,$BC377=(Elig_MatchAll_Ct-1),AN377=0),K377,0)</f>
        <v>0</v>
      </c>
      <c r="BQ377" s="173">
        <f>IF(AND(Input_Product=Elig!$C377,Elig_MatchAll_Ct&lt;22,$BC377=(Elig_MatchAll_Ct-1),AP377=0),L377,0)</f>
        <v>0</v>
      </c>
      <c r="BR377" s="173">
        <f>IF(AND(Input_Product=Elig!$C377,Elig_MatchAll_Ct&lt;22,$BC377=(Elig_MatchAll_Ct-1),AO377=0),M377,0)</f>
        <v>0</v>
      </c>
      <c r="BS377" s="173">
        <f>IF(AND(Input_Product=Elig!$C377,Elig_MatchAll_Ct&lt;22,$BC377=(Elig_MatchAll_Ct-1),AQ377=0),N377,0)</f>
        <v>0</v>
      </c>
      <c r="BT377" s="173">
        <f>IF(AND(Input_Product=Elig!$C377,Elig_MatchAll_Ct&lt;22,$BC377=(Elig_MatchAll_Ct-1),AR377=0),O377,0)</f>
        <v>0</v>
      </c>
      <c r="BU377" s="173">
        <f>IF(AND(Input_Product=Elig!$C377,Elig_MatchAll_Ct&lt;22,$BC377=(Elig_MatchAll_Ct-1),AS377=0),P377,0)</f>
        <v>0</v>
      </c>
      <c r="BV377" s="174">
        <f>IF(AND(Input_Product=Elig!$C377,Elig_MatchAll_Ct&lt;22,$BC377=(Elig_MatchAll_Ct-1),AT377=0),Q377,0)</f>
        <v>0</v>
      </c>
      <c r="BW377" s="175">
        <f>IF(AND(Input_Product=Elig!$C377,Elig_MatchAll_Ct&lt;22,$BC377=(Elig_MatchAll_Ct-1),AU377=0),R377,0)</f>
        <v>0</v>
      </c>
      <c r="BX377" s="176">
        <f>IF(AND(Input_Product=Elig!$C377,Elig_MatchAll_Ct&lt;22,$BC377=(Elig_MatchAll_Ct-1),AU377=0),S377,0)</f>
        <v>0</v>
      </c>
      <c r="BY377" s="175">
        <f>IF(AND(Input_Product=Elig!$C377,Elig_MatchAll_Ct&lt;22,$BC377=(Elig_MatchAll_Ct-1),AV377=0),T377,0)</f>
        <v>0</v>
      </c>
      <c r="BZ377" s="176">
        <f>IF(AND(Input_Product=Elig!$C377,Elig_MatchAll_Ct&lt;22,$BC377=(Elig_MatchAll_Ct-1),AV377=0),U377,0)</f>
        <v>0</v>
      </c>
      <c r="CA377" s="175">
        <f>IF(AND(Input_Product=Elig!$C377,Elig_MatchAll_Ct&lt;22,$BC377=(Elig_MatchAll_Ct-1),AW377=0),V377,0)</f>
        <v>0</v>
      </c>
      <c r="CB377" s="176">
        <f>IF(AND(Input_Product=Elig!$C377,Elig_MatchAll_Ct&lt;22,$BC377=(Elig_MatchAll_Ct-1),AW377=0),W377,0)</f>
        <v>0</v>
      </c>
      <c r="CC377" s="175">
        <f>IF(AND(Input_Product=Elig!$C377,Elig_MatchAll_Ct&lt;22,$BC377=(Elig_MatchAll_Ct-1),AX377=0),X377,0)</f>
        <v>0</v>
      </c>
      <c r="CD377" s="176">
        <f>IF(AND(Input_Product=Elig!$C377,Elig_MatchAll_Ct&lt;22,$BC377=(Elig_MatchAll_Ct-1),AX377=0),Y377,0)</f>
        <v>0</v>
      </c>
      <c r="CE377" s="175">
        <f>IF(AND(Input_LTV&lt;=AE377,Input_Product=Elig!$C377,Elig_MatchAll_Ct&lt;22,$BC377=(Elig_MatchAll_Ct-1),AY377=0),Z377,0)</f>
        <v>0</v>
      </c>
      <c r="CF377" s="176">
        <f>IF(AND(Input_LTV&lt;=AE377,Input_Product=Elig!$C377,Elig_MatchAll_Ct&lt;22,$BC377=(Elig_MatchAll_Ct-1),AY377=0),AA377,0)</f>
        <v>0</v>
      </c>
      <c r="CG377" s="175">
        <f>IF(AND(Input_Product=Elig!$C377,Elig_MatchAll_Ct&lt;22,$BC377=(Elig_MatchAll_Ct-1),AZ377=0),AB377,0)</f>
        <v>0</v>
      </c>
      <c r="CH377" s="176">
        <f>IF(AND(Input_Product=Elig!$C377,Elig_MatchAll_Ct&lt;22,$BC377=(Elig_MatchAll_Ct-1),AZ377=0),AC377,0)</f>
        <v>0</v>
      </c>
      <c r="CI377" s="175">
        <f>IF(AND(Input_Product=Elig!$C377,Elig_MatchAll_Ct&lt;22,$BC377=(Elig_MatchAll_Ct-1),BA377=0),AD377,0)</f>
        <v>0</v>
      </c>
      <c r="CJ377" s="176">
        <f>IF(AND(Input_Product=Elig!$C377,Elig_MatchAll_Ct&lt;22,$BC377=(Elig_MatchAll_Ct-1),BA377=0),AE377,0)</f>
        <v>0</v>
      </c>
    </row>
    <row r="378" spans="1:88" ht="10.15" customHeight="1" x14ac:dyDescent="0.25">
      <c r="A378" s="252" t="s">
        <v>76</v>
      </c>
      <c r="B378" s="252" t="s">
        <v>1004</v>
      </c>
      <c r="C378" s="251" t="str">
        <f t="shared" si="140"/>
        <v>NonQM NOO</v>
      </c>
      <c r="D378" s="252" t="s">
        <v>1995</v>
      </c>
      <c r="E378" s="252" t="s">
        <v>166</v>
      </c>
      <c r="F378" s="252" t="s">
        <v>329</v>
      </c>
      <c r="G378" s="252" t="s">
        <v>303</v>
      </c>
      <c r="H378" s="252" t="s">
        <v>444</v>
      </c>
      <c r="I378" s="252" t="s">
        <v>273</v>
      </c>
      <c r="J378" s="252" t="s">
        <v>1130</v>
      </c>
      <c r="K378" s="252" t="s">
        <v>1398</v>
      </c>
      <c r="L378" s="252" t="s">
        <v>311</v>
      </c>
      <c r="M378" s="252" t="s">
        <v>2289</v>
      </c>
      <c r="N378" s="252" t="s">
        <v>1844</v>
      </c>
      <c r="O378" s="252" t="s">
        <v>309</v>
      </c>
      <c r="P378" s="252" t="s">
        <v>2434</v>
      </c>
      <c r="Q378" s="252" t="s">
        <v>293</v>
      </c>
      <c r="R378" s="252">
        <v>1500000.01</v>
      </c>
      <c r="S378" s="252">
        <v>2000000</v>
      </c>
      <c r="T378" s="252">
        <v>0</v>
      </c>
      <c r="U378" s="252">
        <v>0</v>
      </c>
      <c r="V378" s="252">
        <v>0</v>
      </c>
      <c r="W378" s="252">
        <v>50</v>
      </c>
      <c r="X378" s="252">
        <v>0</v>
      </c>
      <c r="Y378" s="252">
        <v>999</v>
      </c>
      <c r="Z378" s="254">
        <v>660</v>
      </c>
      <c r="AA378" s="254">
        <v>679</v>
      </c>
      <c r="AB378" s="1883">
        <v>0</v>
      </c>
      <c r="AC378" s="254">
        <v>999999</v>
      </c>
      <c r="AD378" s="252">
        <v>0</v>
      </c>
      <c r="AE378" s="255">
        <v>70</v>
      </c>
      <c r="AF378" s="144">
        <v>0</v>
      </c>
      <c r="AG378" s="145">
        <v>1</v>
      </c>
      <c r="AH378" s="145">
        <v>1</v>
      </c>
      <c r="AI378" s="145">
        <v>1</v>
      </c>
      <c r="AJ378" s="145">
        <v>0</v>
      </c>
      <c r="AK378" s="145">
        <v>0</v>
      </c>
      <c r="AL378" s="145">
        <v>1</v>
      </c>
      <c r="AM378" s="145">
        <v>1</v>
      </c>
      <c r="AN378" s="145">
        <v>1</v>
      </c>
      <c r="AO378" s="145">
        <v>1</v>
      </c>
      <c r="AP378" s="145">
        <v>1</v>
      </c>
      <c r="AQ378" s="145">
        <v>1</v>
      </c>
      <c r="AR378" s="145">
        <v>1</v>
      </c>
      <c r="AS378" s="145">
        <v>1</v>
      </c>
      <c r="AT378" s="145">
        <v>1</v>
      </c>
      <c r="AU378" s="145">
        <f t="shared" si="125"/>
        <v>0</v>
      </c>
      <c r="AV378" s="145">
        <f t="shared" si="126"/>
        <v>1</v>
      </c>
      <c r="AW378" s="145">
        <f t="shared" si="127"/>
        <v>1</v>
      </c>
      <c r="AX378" s="145">
        <f t="shared" si="133"/>
        <v>1</v>
      </c>
      <c r="AY378" s="145">
        <f t="shared" si="128"/>
        <v>0</v>
      </c>
      <c r="AZ378" s="145">
        <f t="shared" si="129"/>
        <v>1</v>
      </c>
      <c r="BA378" s="146">
        <f t="shared" si="130"/>
        <v>1</v>
      </c>
      <c r="BB378" s="149">
        <f t="shared" si="120"/>
        <v>17</v>
      </c>
      <c r="BC378" s="150">
        <f t="shared" si="121"/>
        <v>16</v>
      </c>
      <c r="BD378" s="150">
        <f t="shared" si="122"/>
        <v>17</v>
      </c>
      <c r="BE378" s="211" t="str">
        <f t="shared" si="123"/>
        <v/>
      </c>
      <c r="BH378" s="173">
        <f>IF(AND(Input_Product=Elig!$C378,Elig_MatchAll_Ct&lt;22,$BC378=(Elig_MatchAll_Ct-1),AF378=0),C378,0)</f>
        <v>0</v>
      </c>
      <c r="BI378" s="173">
        <f>IF(AND(Input_Product=Elig!$C378,Elig_MatchAll_Ct&lt;22,$BC378=(Elig_MatchAll_Ct-1),AG378=0),D378,0)</f>
        <v>0</v>
      </c>
      <c r="BJ378" s="173">
        <f>IF(AND(Input_Product=Elig!$C378,Elig_MatchAll_Ct&lt;22,$BC378=(Elig_MatchAll_Ct-1),AH378=0),E378,0)</f>
        <v>0</v>
      </c>
      <c r="BK378" s="173">
        <f>IF(AND(Input_Product=Elig!$C378,Elig_MatchAll_Ct&lt;22,$BC378=(Elig_MatchAll_Ct-1),AI378=0),F378,0)</f>
        <v>0</v>
      </c>
      <c r="BL378" s="173">
        <f>IF(AND(Input_Product=Elig!$C378,Elig_MatchAll_Ct&lt;22,$BC378=(Elig_MatchAll_Ct-1),AJ378=0),G378,0)</f>
        <v>0</v>
      </c>
      <c r="BM378" s="173">
        <f>IF(AND(Input_Product=Elig!$C378,Elig_MatchAll_Ct&lt;22,$BC378=(Elig_MatchAll_Ct-1),AK378=0),H378,0)</f>
        <v>0</v>
      </c>
      <c r="BN378" s="173">
        <f>IF(AND(Input_Product=Elig!$C378,Elig_MatchAll_Ct&lt;22,$BC378=(Elig_MatchAll_Ct-1),AL378=0),I378,0)</f>
        <v>0</v>
      </c>
      <c r="BO378" s="173">
        <f>IF(AND(Input_Product=Elig!$C378,Elig_MatchAll_Ct&lt;22,$BC378=(Elig_MatchAll_Ct-1),AM378=0),J378,0)</f>
        <v>0</v>
      </c>
      <c r="BP378" s="173">
        <f>IF(AND(Input_Product=Elig!$C378,Elig_MatchAll_Ct&lt;22,$BC378=(Elig_MatchAll_Ct-1),AN378=0),K378,0)</f>
        <v>0</v>
      </c>
      <c r="BQ378" s="173">
        <f>IF(AND(Input_Product=Elig!$C378,Elig_MatchAll_Ct&lt;22,$BC378=(Elig_MatchAll_Ct-1),AP378=0),L378,0)</f>
        <v>0</v>
      </c>
      <c r="BR378" s="173">
        <f>IF(AND(Input_Product=Elig!$C378,Elig_MatchAll_Ct&lt;22,$BC378=(Elig_MatchAll_Ct-1),AO378=0),M378,0)</f>
        <v>0</v>
      </c>
      <c r="BS378" s="173">
        <f>IF(AND(Input_Product=Elig!$C378,Elig_MatchAll_Ct&lt;22,$BC378=(Elig_MatchAll_Ct-1),AQ378=0),N378,0)</f>
        <v>0</v>
      </c>
      <c r="BT378" s="173">
        <f>IF(AND(Input_Product=Elig!$C378,Elig_MatchAll_Ct&lt;22,$BC378=(Elig_MatchAll_Ct-1),AR378=0),O378,0)</f>
        <v>0</v>
      </c>
      <c r="BU378" s="173">
        <f>IF(AND(Input_Product=Elig!$C378,Elig_MatchAll_Ct&lt;22,$BC378=(Elig_MatchAll_Ct-1),AS378=0),P378,0)</f>
        <v>0</v>
      </c>
      <c r="BV378" s="174">
        <f>IF(AND(Input_Product=Elig!$C378,Elig_MatchAll_Ct&lt;22,$BC378=(Elig_MatchAll_Ct-1),AT378=0),Q378,0)</f>
        <v>0</v>
      </c>
      <c r="BW378" s="175">
        <f>IF(AND(Input_Product=Elig!$C378,Elig_MatchAll_Ct&lt;22,$BC378=(Elig_MatchAll_Ct-1),AU378=0),R378,0)</f>
        <v>0</v>
      </c>
      <c r="BX378" s="176">
        <f>IF(AND(Input_Product=Elig!$C378,Elig_MatchAll_Ct&lt;22,$BC378=(Elig_MatchAll_Ct-1),AU378=0),S378,0)</f>
        <v>0</v>
      </c>
      <c r="BY378" s="175">
        <f>IF(AND(Input_Product=Elig!$C378,Elig_MatchAll_Ct&lt;22,$BC378=(Elig_MatchAll_Ct-1),AV378=0),T378,0)</f>
        <v>0</v>
      </c>
      <c r="BZ378" s="176">
        <f>IF(AND(Input_Product=Elig!$C378,Elig_MatchAll_Ct&lt;22,$BC378=(Elig_MatchAll_Ct-1),AV378=0),U378,0)</f>
        <v>0</v>
      </c>
      <c r="CA378" s="175">
        <f>IF(AND(Input_Product=Elig!$C378,Elig_MatchAll_Ct&lt;22,$BC378=(Elig_MatchAll_Ct-1),AW378=0),V378,0)</f>
        <v>0</v>
      </c>
      <c r="CB378" s="176">
        <f>IF(AND(Input_Product=Elig!$C378,Elig_MatchAll_Ct&lt;22,$BC378=(Elig_MatchAll_Ct-1),AW378=0),W378,0)</f>
        <v>0</v>
      </c>
      <c r="CC378" s="175">
        <f>IF(AND(Input_Product=Elig!$C378,Elig_MatchAll_Ct&lt;22,$BC378=(Elig_MatchAll_Ct-1),AX378=0),X378,0)</f>
        <v>0</v>
      </c>
      <c r="CD378" s="176">
        <f>IF(AND(Input_Product=Elig!$C378,Elig_MatchAll_Ct&lt;22,$BC378=(Elig_MatchAll_Ct-1),AX378=0),Y378,0)</f>
        <v>0</v>
      </c>
      <c r="CE378" s="175">
        <f>IF(AND(Input_LTV&lt;=AE378,Input_Product=Elig!$C378,Elig_MatchAll_Ct&lt;22,$BC378=(Elig_MatchAll_Ct-1),AY378=0),Z378,0)</f>
        <v>0</v>
      </c>
      <c r="CF378" s="176">
        <f>IF(AND(Input_LTV&lt;=AE378,Input_Product=Elig!$C378,Elig_MatchAll_Ct&lt;22,$BC378=(Elig_MatchAll_Ct-1),AY378=0),AA378,0)</f>
        <v>0</v>
      </c>
      <c r="CG378" s="175">
        <f>IF(AND(Input_Product=Elig!$C378,Elig_MatchAll_Ct&lt;22,$BC378=(Elig_MatchAll_Ct-1),AZ378=0),AB378,0)</f>
        <v>0</v>
      </c>
      <c r="CH378" s="176">
        <f>IF(AND(Input_Product=Elig!$C378,Elig_MatchAll_Ct&lt;22,$BC378=(Elig_MatchAll_Ct-1),AZ378=0),AC378,0)</f>
        <v>0</v>
      </c>
      <c r="CI378" s="175">
        <f>IF(AND(Input_Product=Elig!$C378,Elig_MatchAll_Ct&lt;22,$BC378=(Elig_MatchAll_Ct-1),BA378=0),AD378,0)</f>
        <v>0</v>
      </c>
      <c r="CJ378" s="176">
        <f>IF(AND(Input_Product=Elig!$C378,Elig_MatchAll_Ct&lt;22,$BC378=(Elig_MatchAll_Ct-1),BA378=0),AE378,0)</f>
        <v>0</v>
      </c>
    </row>
    <row r="379" spans="1:88" ht="10.15" customHeight="1" x14ac:dyDescent="0.25">
      <c r="A379" s="252" t="s">
        <v>76</v>
      </c>
      <c r="B379" s="252" t="s">
        <v>1005</v>
      </c>
      <c r="C379" s="246" t="str">
        <f t="shared" si="140"/>
        <v>NonQM NOO</v>
      </c>
      <c r="D379" s="247" t="s">
        <v>1995</v>
      </c>
      <c r="E379" s="248" t="s">
        <v>166</v>
      </c>
      <c r="F379" s="248" t="s">
        <v>329</v>
      </c>
      <c r="G379" s="248" t="s">
        <v>303</v>
      </c>
      <c r="H379" s="248" t="s">
        <v>444</v>
      </c>
      <c r="I379" s="247" t="s">
        <v>16</v>
      </c>
      <c r="J379" s="247" t="s">
        <v>1130</v>
      </c>
      <c r="K379" s="247" t="s">
        <v>1398</v>
      </c>
      <c r="L379" s="248" t="s">
        <v>311</v>
      </c>
      <c r="M379" s="248" t="s">
        <v>2289</v>
      </c>
      <c r="N379" s="248" t="s">
        <v>1844</v>
      </c>
      <c r="O379" s="248" t="s">
        <v>309</v>
      </c>
      <c r="P379" s="248" t="s">
        <v>2434</v>
      </c>
      <c r="Q379" s="248" t="s">
        <v>293</v>
      </c>
      <c r="R379" s="247">
        <v>1500000.01</v>
      </c>
      <c r="S379" s="247">
        <v>2000000</v>
      </c>
      <c r="T379" s="247">
        <v>0</v>
      </c>
      <c r="U379" s="247">
        <f t="shared" ref="U379:U382" si="141">S379</f>
        <v>2000000</v>
      </c>
      <c r="V379" s="247">
        <v>0</v>
      </c>
      <c r="W379" s="247">
        <v>50</v>
      </c>
      <c r="X379" s="247">
        <v>0</v>
      </c>
      <c r="Y379" s="247">
        <v>999</v>
      </c>
      <c r="Z379" s="249">
        <v>720</v>
      </c>
      <c r="AA379" s="249">
        <v>999</v>
      </c>
      <c r="AB379" s="1882">
        <v>0</v>
      </c>
      <c r="AC379" s="249">
        <v>999999</v>
      </c>
      <c r="AD379" s="247">
        <v>0</v>
      </c>
      <c r="AE379" s="250">
        <v>75</v>
      </c>
      <c r="AF379" s="144">
        <v>0</v>
      </c>
      <c r="AG379" s="145">
        <v>1</v>
      </c>
      <c r="AH379" s="145">
        <v>1</v>
      </c>
      <c r="AI379" s="145">
        <v>1</v>
      </c>
      <c r="AJ379" s="145">
        <v>0</v>
      </c>
      <c r="AK379" s="145">
        <v>0</v>
      </c>
      <c r="AL379" s="145">
        <v>0</v>
      </c>
      <c r="AM379" s="145">
        <v>1</v>
      </c>
      <c r="AN379" s="145">
        <v>1</v>
      </c>
      <c r="AO379" s="145">
        <v>1</v>
      </c>
      <c r="AP379" s="145">
        <v>1</v>
      </c>
      <c r="AQ379" s="145">
        <v>1</v>
      </c>
      <c r="AR379" s="145">
        <v>1</v>
      </c>
      <c r="AS379" s="145">
        <v>1</v>
      </c>
      <c r="AT379" s="145">
        <v>1</v>
      </c>
      <c r="AU379" s="145">
        <f t="shared" si="125"/>
        <v>0</v>
      </c>
      <c r="AV379" s="145">
        <f t="shared" si="126"/>
        <v>1</v>
      </c>
      <c r="AW379" s="145">
        <f t="shared" si="127"/>
        <v>1</v>
      </c>
      <c r="AX379" s="145">
        <f t="shared" si="133"/>
        <v>1</v>
      </c>
      <c r="AY379" s="145">
        <f t="shared" si="128"/>
        <v>1</v>
      </c>
      <c r="AZ379" s="145">
        <f t="shared" si="129"/>
        <v>1</v>
      </c>
      <c r="BA379" s="146">
        <f t="shared" si="130"/>
        <v>1</v>
      </c>
      <c r="BB379" s="149">
        <f t="shared" si="120"/>
        <v>17</v>
      </c>
      <c r="BC379" s="150">
        <f t="shared" si="121"/>
        <v>16</v>
      </c>
      <c r="BD379" s="150">
        <f t="shared" si="122"/>
        <v>17</v>
      </c>
      <c r="BE379" s="211" t="str">
        <f t="shared" si="123"/>
        <v/>
      </c>
      <c r="BH379" s="190">
        <f>IF(AND(Input_Product=Elig!$C379,Elig_MatchAll_Ct&lt;22,$BC379=(Elig_MatchAll_Ct-1),AF379=0),C379,0)</f>
        <v>0</v>
      </c>
      <c r="BI379" s="190">
        <f>IF(AND(Input_Product=Elig!$C379,Elig_MatchAll_Ct&lt;22,$BC379=(Elig_MatchAll_Ct-1),AG379=0),D379,0)</f>
        <v>0</v>
      </c>
      <c r="BJ379" s="190">
        <f>IF(AND(Input_Product=Elig!$C379,Elig_MatchAll_Ct&lt;22,$BC379=(Elig_MatchAll_Ct-1),AH379=0),E379,0)</f>
        <v>0</v>
      </c>
      <c r="BK379" s="190">
        <f>IF(AND(Input_Product=Elig!$C379,Elig_MatchAll_Ct&lt;22,$BC379=(Elig_MatchAll_Ct-1),AI379=0),F379,0)</f>
        <v>0</v>
      </c>
      <c r="BL379" s="190">
        <f>IF(AND(Input_Product=Elig!$C379,Elig_MatchAll_Ct&lt;22,$BC379=(Elig_MatchAll_Ct-1),AJ379=0),G379,0)</f>
        <v>0</v>
      </c>
      <c r="BM379" s="190">
        <f>IF(AND(Input_Product=Elig!$C379,Elig_MatchAll_Ct&lt;22,$BC379=(Elig_MatchAll_Ct-1),AK379=0),H379,0)</f>
        <v>0</v>
      </c>
      <c r="BN379" s="190">
        <f>IF(AND(Input_Product=Elig!$C379,Elig_MatchAll_Ct&lt;22,$BC379=(Elig_MatchAll_Ct-1),AL379=0),I379,0)</f>
        <v>0</v>
      </c>
      <c r="BO379" s="190">
        <f>IF(AND(Input_Product=Elig!$C379,Elig_MatchAll_Ct&lt;22,$BC379=(Elig_MatchAll_Ct-1),AM379=0),J379,0)</f>
        <v>0</v>
      </c>
      <c r="BP379" s="190">
        <f>IF(AND(Input_Product=Elig!$C379,Elig_MatchAll_Ct&lt;22,$BC379=(Elig_MatchAll_Ct-1),AN379=0),K379,0)</f>
        <v>0</v>
      </c>
      <c r="BQ379" s="190">
        <f>IF(AND(Input_Product=Elig!$C379,Elig_MatchAll_Ct&lt;22,$BC379=(Elig_MatchAll_Ct-1),AP379=0),L379,0)</f>
        <v>0</v>
      </c>
      <c r="BR379" s="190">
        <f>IF(AND(Input_Product=Elig!$C379,Elig_MatchAll_Ct&lt;22,$BC379=(Elig_MatchAll_Ct-1),AO379=0),M379,0)</f>
        <v>0</v>
      </c>
      <c r="BS379" s="190">
        <f>IF(AND(Input_Product=Elig!$C379,Elig_MatchAll_Ct&lt;22,$BC379=(Elig_MatchAll_Ct-1),AQ379=0),N379,0)</f>
        <v>0</v>
      </c>
      <c r="BT379" s="190">
        <f>IF(AND(Input_Product=Elig!$C379,Elig_MatchAll_Ct&lt;22,$BC379=(Elig_MatchAll_Ct-1),AR379=0),O379,0)</f>
        <v>0</v>
      </c>
      <c r="BU379" s="190">
        <f>IF(AND(Input_Product=Elig!$C379,Elig_MatchAll_Ct&lt;22,$BC379=(Elig_MatchAll_Ct-1),AS379=0),P379,0)</f>
        <v>0</v>
      </c>
      <c r="BV379" s="191">
        <f>IF(AND(Input_Product=Elig!$C379,Elig_MatchAll_Ct&lt;22,$BC379=(Elig_MatchAll_Ct-1),AT379=0),Q379,0)</f>
        <v>0</v>
      </c>
      <c r="BW379" s="192">
        <f>IF(AND(Input_Product=Elig!$C379,Elig_MatchAll_Ct&lt;22,$BC379=(Elig_MatchAll_Ct-1),AU379=0),R379,0)</f>
        <v>0</v>
      </c>
      <c r="BX379" s="193">
        <f>IF(AND(Input_Product=Elig!$C379,Elig_MatchAll_Ct&lt;22,$BC379=(Elig_MatchAll_Ct-1),AU379=0),S379,0)</f>
        <v>0</v>
      </c>
      <c r="BY379" s="192">
        <f>IF(AND(Input_Product=Elig!$C379,Elig_MatchAll_Ct&lt;22,$BC379=(Elig_MatchAll_Ct-1),AV379=0),T379,0)</f>
        <v>0</v>
      </c>
      <c r="BZ379" s="193">
        <f>IF(AND(Input_Product=Elig!$C379,Elig_MatchAll_Ct&lt;22,$BC379=(Elig_MatchAll_Ct-1),AV379=0),U379,0)</f>
        <v>0</v>
      </c>
      <c r="CA379" s="192">
        <f>IF(AND(Input_Product=Elig!$C379,Elig_MatchAll_Ct&lt;22,$BC379=(Elig_MatchAll_Ct-1),AW379=0),V379,0)</f>
        <v>0</v>
      </c>
      <c r="CB379" s="193">
        <f>IF(AND(Input_Product=Elig!$C379,Elig_MatchAll_Ct&lt;22,$BC379=(Elig_MatchAll_Ct-1),AW379=0),W379,0)</f>
        <v>0</v>
      </c>
      <c r="CC379" s="192">
        <f>IF(AND(Input_Product=Elig!$C379,Elig_MatchAll_Ct&lt;22,$BC379=(Elig_MatchAll_Ct-1),AX379=0),X379,0)</f>
        <v>0</v>
      </c>
      <c r="CD379" s="193">
        <f>IF(AND(Input_Product=Elig!$C379,Elig_MatchAll_Ct&lt;22,$BC379=(Elig_MatchAll_Ct-1),AX379=0),Y379,0)</f>
        <v>0</v>
      </c>
      <c r="CE379" s="192">
        <f>IF(AND(Input_LTV&lt;=AE379,Input_Product=Elig!$C379,Elig_MatchAll_Ct&lt;22,$BC379=(Elig_MatchAll_Ct-1),AY379=0),Z379,0)</f>
        <v>0</v>
      </c>
      <c r="CF379" s="193">
        <f>IF(AND(Input_LTV&lt;=AE379,Input_Product=Elig!$C379,Elig_MatchAll_Ct&lt;22,$BC379=(Elig_MatchAll_Ct-1),AY379=0),AA379,0)</f>
        <v>0</v>
      </c>
      <c r="CG379" s="192">
        <f>IF(AND(Input_Product=Elig!$C379,Elig_MatchAll_Ct&lt;22,$BC379=(Elig_MatchAll_Ct-1),AZ379=0),AB379,0)</f>
        <v>0</v>
      </c>
      <c r="CH379" s="193">
        <f>IF(AND(Input_Product=Elig!$C379,Elig_MatchAll_Ct&lt;22,$BC379=(Elig_MatchAll_Ct-1),AZ379=0),AC379,0)</f>
        <v>0</v>
      </c>
      <c r="CI379" s="192">
        <f>IF(AND(Input_Product=Elig!$C379,Elig_MatchAll_Ct&lt;22,$BC379=(Elig_MatchAll_Ct-1),BA379=0),AD379,0)</f>
        <v>0</v>
      </c>
      <c r="CJ379" s="193">
        <f>IF(AND(Input_Product=Elig!$C379,Elig_MatchAll_Ct&lt;22,$BC379=(Elig_MatchAll_Ct-1),BA379=0),AE379,0)</f>
        <v>0</v>
      </c>
    </row>
    <row r="380" spans="1:88" ht="10.15" customHeight="1" x14ac:dyDescent="0.25">
      <c r="A380" s="252" t="s">
        <v>76</v>
      </c>
      <c r="B380" s="252" t="s">
        <v>1006</v>
      </c>
      <c r="C380" s="251" t="str">
        <f t="shared" si="140"/>
        <v>NonQM NOO</v>
      </c>
      <c r="D380" s="252" t="s">
        <v>1995</v>
      </c>
      <c r="E380" s="252" t="s">
        <v>166</v>
      </c>
      <c r="F380" s="252" t="s">
        <v>329</v>
      </c>
      <c r="G380" s="252" t="s">
        <v>303</v>
      </c>
      <c r="H380" s="252" t="s">
        <v>444</v>
      </c>
      <c r="I380" s="253" t="s">
        <v>16</v>
      </c>
      <c r="J380" s="253" t="s">
        <v>1130</v>
      </c>
      <c r="K380" s="253" t="s">
        <v>1398</v>
      </c>
      <c r="L380" s="252" t="s">
        <v>311</v>
      </c>
      <c r="M380" s="252" t="s">
        <v>2289</v>
      </c>
      <c r="N380" s="252" t="s">
        <v>1844</v>
      </c>
      <c r="O380" s="252" t="s">
        <v>309</v>
      </c>
      <c r="P380" s="252" t="s">
        <v>2434</v>
      </c>
      <c r="Q380" s="252" t="s">
        <v>293</v>
      </c>
      <c r="R380" s="252">
        <v>1500000.01</v>
      </c>
      <c r="S380" s="252">
        <v>2000000</v>
      </c>
      <c r="T380" s="252">
        <v>0</v>
      </c>
      <c r="U380" s="252">
        <f t="shared" si="141"/>
        <v>2000000</v>
      </c>
      <c r="V380" s="252">
        <v>0</v>
      </c>
      <c r="W380" s="252">
        <v>50</v>
      </c>
      <c r="X380" s="252">
        <v>0</v>
      </c>
      <c r="Y380" s="252">
        <v>999</v>
      </c>
      <c r="Z380" s="254">
        <v>700</v>
      </c>
      <c r="AA380" s="254">
        <v>719</v>
      </c>
      <c r="AB380" s="1883">
        <v>0</v>
      </c>
      <c r="AC380" s="254">
        <v>999999</v>
      </c>
      <c r="AD380" s="252">
        <v>0</v>
      </c>
      <c r="AE380" s="255">
        <v>75</v>
      </c>
      <c r="AF380" s="144">
        <v>0</v>
      </c>
      <c r="AG380" s="145">
        <v>1</v>
      </c>
      <c r="AH380" s="145">
        <v>1</v>
      </c>
      <c r="AI380" s="145">
        <v>1</v>
      </c>
      <c r="AJ380" s="145">
        <v>0</v>
      </c>
      <c r="AK380" s="145">
        <v>0</v>
      </c>
      <c r="AL380" s="145">
        <v>0</v>
      </c>
      <c r="AM380" s="145">
        <v>1</v>
      </c>
      <c r="AN380" s="145">
        <v>1</v>
      </c>
      <c r="AO380" s="145">
        <v>1</v>
      </c>
      <c r="AP380" s="145">
        <v>1</v>
      </c>
      <c r="AQ380" s="145">
        <v>1</v>
      </c>
      <c r="AR380" s="145">
        <v>1</v>
      </c>
      <c r="AS380" s="145">
        <v>1</v>
      </c>
      <c r="AT380" s="145">
        <v>1</v>
      </c>
      <c r="AU380" s="145">
        <f t="shared" si="125"/>
        <v>0</v>
      </c>
      <c r="AV380" s="145">
        <f t="shared" si="126"/>
        <v>1</v>
      </c>
      <c r="AW380" s="145">
        <f t="shared" si="127"/>
        <v>1</v>
      </c>
      <c r="AX380" s="145">
        <f t="shared" si="133"/>
        <v>1</v>
      </c>
      <c r="AY380" s="145">
        <f t="shared" si="128"/>
        <v>0</v>
      </c>
      <c r="AZ380" s="145">
        <f t="shared" si="129"/>
        <v>1</v>
      </c>
      <c r="BA380" s="146">
        <f t="shared" si="130"/>
        <v>1</v>
      </c>
      <c r="BB380" s="149">
        <f t="shared" si="120"/>
        <v>16</v>
      </c>
      <c r="BC380" s="150">
        <f t="shared" si="121"/>
        <v>15</v>
      </c>
      <c r="BD380" s="150">
        <f t="shared" si="122"/>
        <v>16</v>
      </c>
      <c r="BE380" s="211" t="str">
        <f t="shared" si="123"/>
        <v/>
      </c>
      <c r="BH380" s="173">
        <f>IF(AND(Input_Product=Elig!$C380,Elig_MatchAll_Ct&lt;22,$BC380=(Elig_MatchAll_Ct-1),AF380=0),C380,0)</f>
        <v>0</v>
      </c>
      <c r="BI380" s="173">
        <f>IF(AND(Input_Product=Elig!$C380,Elig_MatchAll_Ct&lt;22,$BC380=(Elig_MatchAll_Ct-1),AG380=0),D380,0)</f>
        <v>0</v>
      </c>
      <c r="BJ380" s="173">
        <f>IF(AND(Input_Product=Elig!$C380,Elig_MatchAll_Ct&lt;22,$BC380=(Elig_MatchAll_Ct-1),AH380=0),E380,0)</f>
        <v>0</v>
      </c>
      <c r="BK380" s="173">
        <f>IF(AND(Input_Product=Elig!$C380,Elig_MatchAll_Ct&lt;22,$BC380=(Elig_MatchAll_Ct-1),AI380=0),F380,0)</f>
        <v>0</v>
      </c>
      <c r="BL380" s="173">
        <f>IF(AND(Input_Product=Elig!$C380,Elig_MatchAll_Ct&lt;22,$BC380=(Elig_MatchAll_Ct-1),AJ380=0),G380,0)</f>
        <v>0</v>
      </c>
      <c r="BM380" s="173">
        <f>IF(AND(Input_Product=Elig!$C380,Elig_MatchAll_Ct&lt;22,$BC380=(Elig_MatchAll_Ct-1),AK380=0),H380,0)</f>
        <v>0</v>
      </c>
      <c r="BN380" s="173">
        <f>IF(AND(Input_Product=Elig!$C380,Elig_MatchAll_Ct&lt;22,$BC380=(Elig_MatchAll_Ct-1),AL380=0),I380,0)</f>
        <v>0</v>
      </c>
      <c r="BO380" s="173">
        <f>IF(AND(Input_Product=Elig!$C380,Elig_MatchAll_Ct&lt;22,$BC380=(Elig_MatchAll_Ct-1),AM380=0),J380,0)</f>
        <v>0</v>
      </c>
      <c r="BP380" s="173">
        <f>IF(AND(Input_Product=Elig!$C380,Elig_MatchAll_Ct&lt;22,$BC380=(Elig_MatchAll_Ct-1),AN380=0),K380,0)</f>
        <v>0</v>
      </c>
      <c r="BQ380" s="173">
        <f>IF(AND(Input_Product=Elig!$C380,Elig_MatchAll_Ct&lt;22,$BC380=(Elig_MatchAll_Ct-1),AP380=0),L380,0)</f>
        <v>0</v>
      </c>
      <c r="BR380" s="173">
        <f>IF(AND(Input_Product=Elig!$C380,Elig_MatchAll_Ct&lt;22,$BC380=(Elig_MatchAll_Ct-1),AO380=0),M380,0)</f>
        <v>0</v>
      </c>
      <c r="BS380" s="173">
        <f>IF(AND(Input_Product=Elig!$C380,Elig_MatchAll_Ct&lt;22,$BC380=(Elig_MatchAll_Ct-1),AQ380=0),N380,0)</f>
        <v>0</v>
      </c>
      <c r="BT380" s="173">
        <f>IF(AND(Input_Product=Elig!$C380,Elig_MatchAll_Ct&lt;22,$BC380=(Elig_MatchAll_Ct-1),AR380=0),O380,0)</f>
        <v>0</v>
      </c>
      <c r="BU380" s="173">
        <f>IF(AND(Input_Product=Elig!$C380,Elig_MatchAll_Ct&lt;22,$BC380=(Elig_MatchAll_Ct-1),AS380=0),P380,0)</f>
        <v>0</v>
      </c>
      <c r="BV380" s="174">
        <f>IF(AND(Input_Product=Elig!$C380,Elig_MatchAll_Ct&lt;22,$BC380=(Elig_MatchAll_Ct-1),AT380=0),Q380,0)</f>
        <v>0</v>
      </c>
      <c r="BW380" s="175">
        <f>IF(AND(Input_Product=Elig!$C380,Elig_MatchAll_Ct&lt;22,$BC380=(Elig_MatchAll_Ct-1),AU380=0),R380,0)</f>
        <v>0</v>
      </c>
      <c r="BX380" s="176">
        <f>IF(AND(Input_Product=Elig!$C380,Elig_MatchAll_Ct&lt;22,$BC380=(Elig_MatchAll_Ct-1),AU380=0),S380,0)</f>
        <v>0</v>
      </c>
      <c r="BY380" s="175">
        <f>IF(AND(Input_Product=Elig!$C380,Elig_MatchAll_Ct&lt;22,$BC380=(Elig_MatchAll_Ct-1),AV380=0),T380,0)</f>
        <v>0</v>
      </c>
      <c r="BZ380" s="176">
        <f>IF(AND(Input_Product=Elig!$C380,Elig_MatchAll_Ct&lt;22,$BC380=(Elig_MatchAll_Ct-1),AV380=0),U380,0)</f>
        <v>0</v>
      </c>
      <c r="CA380" s="175">
        <f>IF(AND(Input_Product=Elig!$C380,Elig_MatchAll_Ct&lt;22,$BC380=(Elig_MatchAll_Ct-1),AW380=0),V380,0)</f>
        <v>0</v>
      </c>
      <c r="CB380" s="176">
        <f>IF(AND(Input_Product=Elig!$C380,Elig_MatchAll_Ct&lt;22,$BC380=(Elig_MatchAll_Ct-1),AW380=0),W380,0)</f>
        <v>0</v>
      </c>
      <c r="CC380" s="175">
        <f>IF(AND(Input_Product=Elig!$C380,Elig_MatchAll_Ct&lt;22,$BC380=(Elig_MatchAll_Ct-1),AX380=0),X380,0)</f>
        <v>0</v>
      </c>
      <c r="CD380" s="176">
        <f>IF(AND(Input_Product=Elig!$C380,Elig_MatchAll_Ct&lt;22,$BC380=(Elig_MatchAll_Ct-1),AX380=0),Y380,0)</f>
        <v>0</v>
      </c>
      <c r="CE380" s="175">
        <f>IF(AND(Input_LTV&lt;=AE380,Input_Product=Elig!$C380,Elig_MatchAll_Ct&lt;22,$BC380=(Elig_MatchAll_Ct-1),AY380=0),Z380,0)</f>
        <v>0</v>
      </c>
      <c r="CF380" s="176">
        <f>IF(AND(Input_LTV&lt;=AE380,Input_Product=Elig!$C380,Elig_MatchAll_Ct&lt;22,$BC380=(Elig_MatchAll_Ct-1),AY380=0),AA380,0)</f>
        <v>0</v>
      </c>
      <c r="CG380" s="175">
        <f>IF(AND(Input_Product=Elig!$C380,Elig_MatchAll_Ct&lt;22,$BC380=(Elig_MatchAll_Ct-1),AZ380=0),AB380,0)</f>
        <v>0</v>
      </c>
      <c r="CH380" s="176">
        <f>IF(AND(Input_Product=Elig!$C380,Elig_MatchAll_Ct&lt;22,$BC380=(Elig_MatchAll_Ct-1),AZ380=0),AC380,0)</f>
        <v>0</v>
      </c>
      <c r="CI380" s="175">
        <f>IF(AND(Input_Product=Elig!$C380,Elig_MatchAll_Ct&lt;22,$BC380=(Elig_MatchAll_Ct-1),BA380=0),AD380,0)</f>
        <v>0</v>
      </c>
      <c r="CJ380" s="176">
        <f>IF(AND(Input_Product=Elig!$C380,Elig_MatchAll_Ct&lt;22,$BC380=(Elig_MatchAll_Ct-1),BA380=0),AE380,0)</f>
        <v>0</v>
      </c>
    </row>
    <row r="381" spans="1:88" ht="10.15" customHeight="1" x14ac:dyDescent="0.25">
      <c r="A381" s="252" t="s">
        <v>76</v>
      </c>
      <c r="B381" s="252" t="s">
        <v>1007</v>
      </c>
      <c r="C381" s="251" t="str">
        <f t="shared" si="140"/>
        <v>NonQM NOO</v>
      </c>
      <c r="D381" s="252" t="s">
        <v>1995</v>
      </c>
      <c r="E381" s="252" t="s">
        <v>166</v>
      </c>
      <c r="F381" s="252" t="s">
        <v>329</v>
      </c>
      <c r="G381" s="252" t="s">
        <v>303</v>
      </c>
      <c r="H381" s="252" t="s">
        <v>444</v>
      </c>
      <c r="I381" s="253" t="s">
        <v>16</v>
      </c>
      <c r="J381" s="253" t="s">
        <v>1130</v>
      </c>
      <c r="K381" s="253" t="s">
        <v>1398</v>
      </c>
      <c r="L381" s="252" t="s">
        <v>311</v>
      </c>
      <c r="M381" s="252" t="s">
        <v>2289</v>
      </c>
      <c r="N381" s="252" t="s">
        <v>1844</v>
      </c>
      <c r="O381" s="252" t="s">
        <v>309</v>
      </c>
      <c r="P381" s="252" t="s">
        <v>2434</v>
      </c>
      <c r="Q381" s="252" t="s">
        <v>293</v>
      </c>
      <c r="R381" s="252">
        <v>1500000.01</v>
      </c>
      <c r="S381" s="252">
        <v>2000000</v>
      </c>
      <c r="T381" s="252">
        <v>0</v>
      </c>
      <c r="U381" s="252">
        <f t="shared" si="141"/>
        <v>2000000</v>
      </c>
      <c r="V381" s="252">
        <v>0</v>
      </c>
      <c r="W381" s="252">
        <v>50</v>
      </c>
      <c r="X381" s="252">
        <v>0</v>
      </c>
      <c r="Y381" s="252">
        <v>999</v>
      </c>
      <c r="Z381" s="254">
        <v>680</v>
      </c>
      <c r="AA381" s="254">
        <v>699</v>
      </c>
      <c r="AB381" s="1883">
        <v>0</v>
      </c>
      <c r="AC381" s="254">
        <v>999999</v>
      </c>
      <c r="AD381" s="252">
        <v>0</v>
      </c>
      <c r="AE381" s="255">
        <v>70</v>
      </c>
      <c r="AF381" s="144">
        <v>0</v>
      </c>
      <c r="AG381" s="145">
        <v>1</v>
      </c>
      <c r="AH381" s="145">
        <v>1</v>
      </c>
      <c r="AI381" s="145">
        <v>1</v>
      </c>
      <c r="AJ381" s="145">
        <v>0</v>
      </c>
      <c r="AK381" s="145">
        <v>0</v>
      </c>
      <c r="AL381" s="145">
        <v>0</v>
      </c>
      <c r="AM381" s="145">
        <v>1</v>
      </c>
      <c r="AN381" s="145">
        <v>1</v>
      </c>
      <c r="AO381" s="145">
        <v>1</v>
      </c>
      <c r="AP381" s="145">
        <v>1</v>
      </c>
      <c r="AQ381" s="145">
        <v>1</v>
      </c>
      <c r="AR381" s="145">
        <v>1</v>
      </c>
      <c r="AS381" s="145">
        <v>1</v>
      </c>
      <c r="AT381" s="145">
        <v>1</v>
      </c>
      <c r="AU381" s="145">
        <f t="shared" si="125"/>
        <v>0</v>
      </c>
      <c r="AV381" s="145">
        <f t="shared" si="126"/>
        <v>1</v>
      </c>
      <c r="AW381" s="145">
        <f t="shared" si="127"/>
        <v>1</v>
      </c>
      <c r="AX381" s="145">
        <f t="shared" si="133"/>
        <v>1</v>
      </c>
      <c r="AY381" s="145">
        <f t="shared" si="128"/>
        <v>0</v>
      </c>
      <c r="AZ381" s="145">
        <f t="shared" si="129"/>
        <v>1</v>
      </c>
      <c r="BA381" s="146">
        <f t="shared" si="130"/>
        <v>1</v>
      </c>
      <c r="BB381" s="149">
        <f t="shared" si="120"/>
        <v>16</v>
      </c>
      <c r="BC381" s="150">
        <f t="shared" si="121"/>
        <v>15</v>
      </c>
      <c r="BD381" s="150">
        <f t="shared" si="122"/>
        <v>16</v>
      </c>
      <c r="BE381" s="211" t="str">
        <f t="shared" si="123"/>
        <v/>
      </c>
      <c r="BH381" s="173">
        <f>IF(AND(Input_Product=Elig!$C381,Elig_MatchAll_Ct&lt;22,$BC381=(Elig_MatchAll_Ct-1),AF381=0),C381,0)</f>
        <v>0</v>
      </c>
      <c r="BI381" s="173">
        <f>IF(AND(Input_Product=Elig!$C381,Elig_MatchAll_Ct&lt;22,$BC381=(Elig_MatchAll_Ct-1),AG381=0),D381,0)</f>
        <v>0</v>
      </c>
      <c r="BJ381" s="173">
        <f>IF(AND(Input_Product=Elig!$C381,Elig_MatchAll_Ct&lt;22,$BC381=(Elig_MatchAll_Ct-1),AH381=0),E381,0)</f>
        <v>0</v>
      </c>
      <c r="BK381" s="173">
        <f>IF(AND(Input_Product=Elig!$C381,Elig_MatchAll_Ct&lt;22,$BC381=(Elig_MatchAll_Ct-1),AI381=0),F381,0)</f>
        <v>0</v>
      </c>
      <c r="BL381" s="173">
        <f>IF(AND(Input_Product=Elig!$C381,Elig_MatchAll_Ct&lt;22,$BC381=(Elig_MatchAll_Ct-1),AJ381=0),G381,0)</f>
        <v>0</v>
      </c>
      <c r="BM381" s="173">
        <f>IF(AND(Input_Product=Elig!$C381,Elig_MatchAll_Ct&lt;22,$BC381=(Elig_MatchAll_Ct-1),AK381=0),H381,0)</f>
        <v>0</v>
      </c>
      <c r="BN381" s="173">
        <f>IF(AND(Input_Product=Elig!$C381,Elig_MatchAll_Ct&lt;22,$BC381=(Elig_MatchAll_Ct-1),AL381=0),I381,0)</f>
        <v>0</v>
      </c>
      <c r="BO381" s="173">
        <f>IF(AND(Input_Product=Elig!$C381,Elig_MatchAll_Ct&lt;22,$BC381=(Elig_MatchAll_Ct-1),AM381=0),J381,0)</f>
        <v>0</v>
      </c>
      <c r="BP381" s="173">
        <f>IF(AND(Input_Product=Elig!$C381,Elig_MatchAll_Ct&lt;22,$BC381=(Elig_MatchAll_Ct-1),AN381=0),K381,0)</f>
        <v>0</v>
      </c>
      <c r="BQ381" s="173">
        <f>IF(AND(Input_Product=Elig!$C381,Elig_MatchAll_Ct&lt;22,$BC381=(Elig_MatchAll_Ct-1),AP381=0),L381,0)</f>
        <v>0</v>
      </c>
      <c r="BR381" s="173">
        <f>IF(AND(Input_Product=Elig!$C381,Elig_MatchAll_Ct&lt;22,$BC381=(Elig_MatchAll_Ct-1),AO381=0),M381,0)</f>
        <v>0</v>
      </c>
      <c r="BS381" s="173">
        <f>IF(AND(Input_Product=Elig!$C381,Elig_MatchAll_Ct&lt;22,$BC381=(Elig_MatchAll_Ct-1),AQ381=0),N381,0)</f>
        <v>0</v>
      </c>
      <c r="BT381" s="173">
        <f>IF(AND(Input_Product=Elig!$C381,Elig_MatchAll_Ct&lt;22,$BC381=(Elig_MatchAll_Ct-1),AR381=0),O381,0)</f>
        <v>0</v>
      </c>
      <c r="BU381" s="173">
        <f>IF(AND(Input_Product=Elig!$C381,Elig_MatchAll_Ct&lt;22,$BC381=(Elig_MatchAll_Ct-1),AS381=0),P381,0)</f>
        <v>0</v>
      </c>
      <c r="BV381" s="174">
        <f>IF(AND(Input_Product=Elig!$C381,Elig_MatchAll_Ct&lt;22,$BC381=(Elig_MatchAll_Ct-1),AT381=0),Q381,0)</f>
        <v>0</v>
      </c>
      <c r="BW381" s="175">
        <f>IF(AND(Input_Product=Elig!$C381,Elig_MatchAll_Ct&lt;22,$BC381=(Elig_MatchAll_Ct-1),AU381=0),R381,0)</f>
        <v>0</v>
      </c>
      <c r="BX381" s="176">
        <f>IF(AND(Input_Product=Elig!$C381,Elig_MatchAll_Ct&lt;22,$BC381=(Elig_MatchAll_Ct-1),AU381=0),S381,0)</f>
        <v>0</v>
      </c>
      <c r="BY381" s="175">
        <f>IF(AND(Input_Product=Elig!$C381,Elig_MatchAll_Ct&lt;22,$BC381=(Elig_MatchAll_Ct-1),AV381=0),T381,0)</f>
        <v>0</v>
      </c>
      <c r="BZ381" s="176">
        <f>IF(AND(Input_Product=Elig!$C381,Elig_MatchAll_Ct&lt;22,$BC381=(Elig_MatchAll_Ct-1),AV381=0),U381,0)</f>
        <v>0</v>
      </c>
      <c r="CA381" s="175">
        <f>IF(AND(Input_Product=Elig!$C381,Elig_MatchAll_Ct&lt;22,$BC381=(Elig_MatchAll_Ct-1),AW381=0),V381,0)</f>
        <v>0</v>
      </c>
      <c r="CB381" s="176">
        <f>IF(AND(Input_Product=Elig!$C381,Elig_MatchAll_Ct&lt;22,$BC381=(Elig_MatchAll_Ct-1),AW381=0),W381,0)</f>
        <v>0</v>
      </c>
      <c r="CC381" s="175">
        <f>IF(AND(Input_Product=Elig!$C381,Elig_MatchAll_Ct&lt;22,$BC381=(Elig_MatchAll_Ct-1),AX381=0),X381,0)</f>
        <v>0</v>
      </c>
      <c r="CD381" s="176">
        <f>IF(AND(Input_Product=Elig!$C381,Elig_MatchAll_Ct&lt;22,$BC381=(Elig_MatchAll_Ct-1),AX381=0),Y381,0)</f>
        <v>0</v>
      </c>
      <c r="CE381" s="175">
        <f>IF(AND(Input_LTV&lt;=AE381,Input_Product=Elig!$C381,Elig_MatchAll_Ct&lt;22,$BC381=(Elig_MatchAll_Ct-1),AY381=0),Z381,0)</f>
        <v>0</v>
      </c>
      <c r="CF381" s="176">
        <f>IF(AND(Input_LTV&lt;=AE381,Input_Product=Elig!$C381,Elig_MatchAll_Ct&lt;22,$BC381=(Elig_MatchAll_Ct-1),AY381=0),AA381,0)</f>
        <v>0</v>
      </c>
      <c r="CG381" s="175">
        <f>IF(AND(Input_Product=Elig!$C381,Elig_MatchAll_Ct&lt;22,$BC381=(Elig_MatchAll_Ct-1),AZ381=0),AB381,0)</f>
        <v>0</v>
      </c>
      <c r="CH381" s="176">
        <f>IF(AND(Input_Product=Elig!$C381,Elig_MatchAll_Ct&lt;22,$BC381=(Elig_MatchAll_Ct-1),AZ381=0),AC381,0)</f>
        <v>0</v>
      </c>
      <c r="CI381" s="175">
        <f>IF(AND(Input_Product=Elig!$C381,Elig_MatchAll_Ct&lt;22,$BC381=(Elig_MatchAll_Ct-1),BA381=0),AD381,0)</f>
        <v>0</v>
      </c>
      <c r="CJ381" s="176">
        <f>IF(AND(Input_Product=Elig!$C381,Elig_MatchAll_Ct&lt;22,$BC381=(Elig_MatchAll_Ct-1),BA381=0),AE381,0)</f>
        <v>0</v>
      </c>
    </row>
    <row r="382" spans="1:88" ht="10.15" customHeight="1" x14ac:dyDescent="0.25">
      <c r="A382" s="252" t="s">
        <v>76</v>
      </c>
      <c r="B382" s="252" t="s">
        <v>1008</v>
      </c>
      <c r="C382" s="251" t="str">
        <f t="shared" si="140"/>
        <v>NonQM NOO</v>
      </c>
      <c r="D382" s="252" t="s">
        <v>1995</v>
      </c>
      <c r="E382" s="252" t="s">
        <v>166</v>
      </c>
      <c r="F382" s="252" t="s">
        <v>329</v>
      </c>
      <c r="G382" s="252" t="s">
        <v>303</v>
      </c>
      <c r="H382" s="252" t="s">
        <v>444</v>
      </c>
      <c r="I382" s="252" t="s">
        <v>16</v>
      </c>
      <c r="J382" s="252" t="s">
        <v>1130</v>
      </c>
      <c r="K382" s="252" t="s">
        <v>1398</v>
      </c>
      <c r="L382" s="252" t="s">
        <v>311</v>
      </c>
      <c r="M382" s="252" t="s">
        <v>2289</v>
      </c>
      <c r="N382" s="252" t="s">
        <v>1844</v>
      </c>
      <c r="O382" s="252" t="s">
        <v>309</v>
      </c>
      <c r="P382" s="252" t="s">
        <v>2434</v>
      </c>
      <c r="Q382" s="252" t="s">
        <v>293</v>
      </c>
      <c r="R382" s="252">
        <v>1500000.01</v>
      </c>
      <c r="S382" s="252">
        <v>2000000</v>
      </c>
      <c r="T382" s="252">
        <v>0</v>
      </c>
      <c r="U382" s="252">
        <f t="shared" si="141"/>
        <v>2000000</v>
      </c>
      <c r="V382" s="252">
        <v>0</v>
      </c>
      <c r="W382" s="252">
        <v>50</v>
      </c>
      <c r="X382" s="252">
        <v>0</v>
      </c>
      <c r="Y382" s="252">
        <v>999</v>
      </c>
      <c r="Z382" s="254">
        <v>660</v>
      </c>
      <c r="AA382" s="254">
        <v>679</v>
      </c>
      <c r="AB382" s="1883">
        <v>0</v>
      </c>
      <c r="AC382" s="254">
        <v>999999</v>
      </c>
      <c r="AD382" s="252">
        <v>0</v>
      </c>
      <c r="AE382" s="255">
        <v>65</v>
      </c>
      <c r="AF382" s="144">
        <v>0</v>
      </c>
      <c r="AG382" s="145">
        <v>1</v>
      </c>
      <c r="AH382" s="145">
        <v>1</v>
      </c>
      <c r="AI382" s="145">
        <v>1</v>
      </c>
      <c r="AJ382" s="145">
        <v>0</v>
      </c>
      <c r="AK382" s="145">
        <v>0</v>
      </c>
      <c r="AL382" s="145">
        <v>0</v>
      </c>
      <c r="AM382" s="145">
        <v>1</v>
      </c>
      <c r="AN382" s="145">
        <v>1</v>
      </c>
      <c r="AO382" s="145">
        <v>1</v>
      </c>
      <c r="AP382" s="145">
        <v>1</v>
      </c>
      <c r="AQ382" s="145">
        <v>1</v>
      </c>
      <c r="AR382" s="145">
        <v>1</v>
      </c>
      <c r="AS382" s="145">
        <v>1</v>
      </c>
      <c r="AT382" s="145">
        <v>1</v>
      </c>
      <c r="AU382" s="145">
        <f t="shared" si="125"/>
        <v>0</v>
      </c>
      <c r="AV382" s="145">
        <f t="shared" si="126"/>
        <v>1</v>
      </c>
      <c r="AW382" s="145">
        <f t="shared" si="127"/>
        <v>1</v>
      </c>
      <c r="AX382" s="145">
        <f t="shared" si="133"/>
        <v>1</v>
      </c>
      <c r="AY382" s="145">
        <f t="shared" si="128"/>
        <v>0</v>
      </c>
      <c r="AZ382" s="145">
        <f t="shared" si="129"/>
        <v>1</v>
      </c>
      <c r="BA382" s="146">
        <f t="shared" si="130"/>
        <v>0</v>
      </c>
      <c r="BB382" s="149">
        <f t="shared" si="120"/>
        <v>15</v>
      </c>
      <c r="BC382" s="150">
        <f t="shared" si="121"/>
        <v>15</v>
      </c>
      <c r="BD382" s="150">
        <f t="shared" si="122"/>
        <v>15</v>
      </c>
      <c r="BE382" s="211" t="str">
        <f t="shared" si="123"/>
        <v/>
      </c>
      <c r="BH382" s="173">
        <f>IF(AND(Input_Product=Elig!$C382,Elig_MatchAll_Ct&lt;22,$BC382=(Elig_MatchAll_Ct-1),AF382=0),C382,0)</f>
        <v>0</v>
      </c>
      <c r="BI382" s="173">
        <f>IF(AND(Input_Product=Elig!$C382,Elig_MatchAll_Ct&lt;22,$BC382=(Elig_MatchAll_Ct-1),AG382=0),D382,0)</f>
        <v>0</v>
      </c>
      <c r="BJ382" s="173">
        <f>IF(AND(Input_Product=Elig!$C382,Elig_MatchAll_Ct&lt;22,$BC382=(Elig_MatchAll_Ct-1),AH382=0),E382,0)</f>
        <v>0</v>
      </c>
      <c r="BK382" s="173">
        <f>IF(AND(Input_Product=Elig!$C382,Elig_MatchAll_Ct&lt;22,$BC382=(Elig_MatchAll_Ct-1),AI382=0),F382,0)</f>
        <v>0</v>
      </c>
      <c r="BL382" s="173">
        <f>IF(AND(Input_Product=Elig!$C382,Elig_MatchAll_Ct&lt;22,$BC382=(Elig_MatchAll_Ct-1),AJ382=0),G382,0)</f>
        <v>0</v>
      </c>
      <c r="BM382" s="173">
        <f>IF(AND(Input_Product=Elig!$C382,Elig_MatchAll_Ct&lt;22,$BC382=(Elig_MatchAll_Ct-1),AK382=0),H382,0)</f>
        <v>0</v>
      </c>
      <c r="BN382" s="173">
        <f>IF(AND(Input_Product=Elig!$C382,Elig_MatchAll_Ct&lt;22,$BC382=(Elig_MatchAll_Ct-1),AL382=0),I382,0)</f>
        <v>0</v>
      </c>
      <c r="BO382" s="173">
        <f>IF(AND(Input_Product=Elig!$C382,Elig_MatchAll_Ct&lt;22,$BC382=(Elig_MatchAll_Ct-1),AM382=0),J382,0)</f>
        <v>0</v>
      </c>
      <c r="BP382" s="173">
        <f>IF(AND(Input_Product=Elig!$C382,Elig_MatchAll_Ct&lt;22,$BC382=(Elig_MatchAll_Ct-1),AN382=0),K382,0)</f>
        <v>0</v>
      </c>
      <c r="BQ382" s="173">
        <f>IF(AND(Input_Product=Elig!$C382,Elig_MatchAll_Ct&lt;22,$BC382=(Elig_MatchAll_Ct-1),AP382=0),L382,0)</f>
        <v>0</v>
      </c>
      <c r="BR382" s="173">
        <f>IF(AND(Input_Product=Elig!$C382,Elig_MatchAll_Ct&lt;22,$BC382=(Elig_MatchAll_Ct-1),AO382=0),M382,0)</f>
        <v>0</v>
      </c>
      <c r="BS382" s="173">
        <f>IF(AND(Input_Product=Elig!$C382,Elig_MatchAll_Ct&lt;22,$BC382=(Elig_MatchAll_Ct-1),AQ382=0),N382,0)</f>
        <v>0</v>
      </c>
      <c r="BT382" s="173">
        <f>IF(AND(Input_Product=Elig!$C382,Elig_MatchAll_Ct&lt;22,$BC382=(Elig_MatchAll_Ct-1),AR382=0),O382,0)</f>
        <v>0</v>
      </c>
      <c r="BU382" s="173">
        <f>IF(AND(Input_Product=Elig!$C382,Elig_MatchAll_Ct&lt;22,$BC382=(Elig_MatchAll_Ct-1),AS382=0),P382,0)</f>
        <v>0</v>
      </c>
      <c r="BV382" s="174">
        <f>IF(AND(Input_Product=Elig!$C382,Elig_MatchAll_Ct&lt;22,$BC382=(Elig_MatchAll_Ct-1),AT382=0),Q382,0)</f>
        <v>0</v>
      </c>
      <c r="BW382" s="175">
        <f>IF(AND(Input_Product=Elig!$C382,Elig_MatchAll_Ct&lt;22,$BC382=(Elig_MatchAll_Ct-1),AU382=0),R382,0)</f>
        <v>0</v>
      </c>
      <c r="BX382" s="176">
        <f>IF(AND(Input_Product=Elig!$C382,Elig_MatchAll_Ct&lt;22,$BC382=(Elig_MatchAll_Ct-1),AU382=0),S382,0)</f>
        <v>0</v>
      </c>
      <c r="BY382" s="175">
        <f>IF(AND(Input_Product=Elig!$C382,Elig_MatchAll_Ct&lt;22,$BC382=(Elig_MatchAll_Ct-1),AV382=0),T382,0)</f>
        <v>0</v>
      </c>
      <c r="BZ382" s="176">
        <f>IF(AND(Input_Product=Elig!$C382,Elig_MatchAll_Ct&lt;22,$BC382=(Elig_MatchAll_Ct-1),AV382=0),U382,0)</f>
        <v>0</v>
      </c>
      <c r="CA382" s="175">
        <f>IF(AND(Input_Product=Elig!$C382,Elig_MatchAll_Ct&lt;22,$BC382=(Elig_MatchAll_Ct-1),AW382=0),V382,0)</f>
        <v>0</v>
      </c>
      <c r="CB382" s="176">
        <f>IF(AND(Input_Product=Elig!$C382,Elig_MatchAll_Ct&lt;22,$BC382=(Elig_MatchAll_Ct-1),AW382=0),W382,0)</f>
        <v>0</v>
      </c>
      <c r="CC382" s="175">
        <f>IF(AND(Input_Product=Elig!$C382,Elig_MatchAll_Ct&lt;22,$BC382=(Elig_MatchAll_Ct-1),AX382=0),X382,0)</f>
        <v>0</v>
      </c>
      <c r="CD382" s="176">
        <f>IF(AND(Input_Product=Elig!$C382,Elig_MatchAll_Ct&lt;22,$BC382=(Elig_MatchAll_Ct-1),AX382=0),Y382,0)</f>
        <v>0</v>
      </c>
      <c r="CE382" s="175">
        <f>IF(AND(Input_LTV&lt;=AE382,Input_Product=Elig!$C382,Elig_MatchAll_Ct&lt;22,$BC382=(Elig_MatchAll_Ct-1),AY382=0),Z382,0)</f>
        <v>0</v>
      </c>
      <c r="CF382" s="176">
        <f>IF(AND(Input_LTV&lt;=AE382,Input_Product=Elig!$C382,Elig_MatchAll_Ct&lt;22,$BC382=(Elig_MatchAll_Ct-1),AY382=0),AA382,0)</f>
        <v>0</v>
      </c>
      <c r="CG382" s="175">
        <f>IF(AND(Input_Product=Elig!$C382,Elig_MatchAll_Ct&lt;22,$BC382=(Elig_MatchAll_Ct-1),AZ382=0),AB382,0)</f>
        <v>0</v>
      </c>
      <c r="CH382" s="176">
        <f>IF(AND(Input_Product=Elig!$C382,Elig_MatchAll_Ct&lt;22,$BC382=(Elig_MatchAll_Ct-1),AZ382=0),AC382,0)</f>
        <v>0</v>
      </c>
      <c r="CI382" s="175">
        <f>IF(AND(Input_Product=Elig!$C382,Elig_MatchAll_Ct&lt;22,$BC382=(Elig_MatchAll_Ct-1),BA382=0),AD382,0)</f>
        <v>0</v>
      </c>
      <c r="CJ382" s="176">
        <f>IF(AND(Input_Product=Elig!$C382,Elig_MatchAll_Ct&lt;22,$BC382=(Elig_MatchAll_Ct-1),BA382=0),AE382,0)</f>
        <v>0</v>
      </c>
    </row>
    <row r="383" spans="1:88" ht="10.15" customHeight="1" x14ac:dyDescent="0.25">
      <c r="A383" s="252" t="s">
        <v>76</v>
      </c>
      <c r="B383" s="252" t="s">
        <v>1009</v>
      </c>
      <c r="C383" s="246" t="str">
        <f t="shared" si="140"/>
        <v>NonQM NOO</v>
      </c>
      <c r="D383" s="247" t="s">
        <v>1995</v>
      </c>
      <c r="E383" s="248" t="s">
        <v>166</v>
      </c>
      <c r="F383" s="248" t="s">
        <v>329</v>
      </c>
      <c r="G383" s="248" t="s">
        <v>465</v>
      </c>
      <c r="H383" s="248" t="s">
        <v>135</v>
      </c>
      <c r="I383" s="247" t="s">
        <v>273</v>
      </c>
      <c r="J383" s="247" t="s">
        <v>1130</v>
      </c>
      <c r="K383" s="247" t="s">
        <v>1398</v>
      </c>
      <c r="L383" s="248" t="s">
        <v>311</v>
      </c>
      <c r="M383" s="248" t="s">
        <v>2289</v>
      </c>
      <c r="N383" s="248" t="s">
        <v>1844</v>
      </c>
      <c r="O383" s="248" t="s">
        <v>309</v>
      </c>
      <c r="P383" s="248" t="s">
        <v>2434</v>
      </c>
      <c r="Q383" s="248" t="s">
        <v>293</v>
      </c>
      <c r="R383" s="247">
        <v>1500000.01</v>
      </c>
      <c r="S383" s="247">
        <v>2000000</v>
      </c>
      <c r="T383" s="247">
        <v>0</v>
      </c>
      <c r="U383" s="247">
        <v>0</v>
      </c>
      <c r="V383" s="247">
        <v>0</v>
      </c>
      <c r="W383" s="247">
        <v>50</v>
      </c>
      <c r="X383" s="247">
        <v>0</v>
      </c>
      <c r="Y383" s="247">
        <v>999</v>
      </c>
      <c r="Z383" s="249">
        <v>720</v>
      </c>
      <c r="AA383" s="249">
        <v>999</v>
      </c>
      <c r="AB383" s="1882">
        <v>0</v>
      </c>
      <c r="AC383" s="249">
        <v>999999</v>
      </c>
      <c r="AD383" s="247">
        <v>0</v>
      </c>
      <c r="AE383" s="250">
        <v>80</v>
      </c>
      <c r="AF383" s="144">
        <v>0</v>
      </c>
      <c r="AG383" s="145">
        <v>1</v>
      </c>
      <c r="AH383" s="145">
        <v>1</v>
      </c>
      <c r="AI383" s="145">
        <v>1</v>
      </c>
      <c r="AJ383" s="145">
        <v>0</v>
      </c>
      <c r="AK383" s="145">
        <v>1</v>
      </c>
      <c r="AL383" s="145">
        <v>1</v>
      </c>
      <c r="AM383" s="145">
        <v>1</v>
      </c>
      <c r="AN383" s="145">
        <v>1</v>
      </c>
      <c r="AO383" s="145">
        <v>1</v>
      </c>
      <c r="AP383" s="145">
        <v>1</v>
      </c>
      <c r="AQ383" s="145">
        <v>1</v>
      </c>
      <c r="AR383" s="145">
        <v>1</v>
      </c>
      <c r="AS383" s="145">
        <v>1</v>
      </c>
      <c r="AT383" s="145">
        <v>1</v>
      </c>
      <c r="AU383" s="145">
        <f t="shared" si="125"/>
        <v>0</v>
      </c>
      <c r="AV383" s="145">
        <f t="shared" si="126"/>
        <v>1</v>
      </c>
      <c r="AW383" s="145">
        <f t="shared" si="127"/>
        <v>1</v>
      </c>
      <c r="AX383" s="145">
        <f t="shared" si="133"/>
        <v>1</v>
      </c>
      <c r="AY383" s="145">
        <f t="shared" si="128"/>
        <v>1</v>
      </c>
      <c r="AZ383" s="145">
        <f t="shared" si="129"/>
        <v>1</v>
      </c>
      <c r="BA383" s="146">
        <f t="shared" si="130"/>
        <v>1</v>
      </c>
      <c r="BB383" s="149">
        <f t="shared" ref="BB383:BB437" si="142">SUM(AF383:BA383)</f>
        <v>19</v>
      </c>
      <c r="BC383" s="150">
        <f t="shared" ref="BC383:BC437" si="143">SUM(AF383:AZ383)</f>
        <v>18</v>
      </c>
      <c r="BD383" s="150">
        <f t="shared" ref="BD383:BD437" si="144">SUM(AG383:BA383)</f>
        <v>19</v>
      </c>
      <c r="BE383" s="211" t="str">
        <f t="shared" ref="BE383:BE437" si="145">IF(BD383=21,C383,"")</f>
        <v/>
      </c>
      <c r="BH383" s="190">
        <f>IF(AND(Input_Product=Elig!$C383,Elig_MatchAll_Ct&lt;22,$BC383=(Elig_MatchAll_Ct-1),AF383=0),C383,0)</f>
        <v>0</v>
      </c>
      <c r="BI383" s="190">
        <f>IF(AND(Input_Product=Elig!$C383,Elig_MatchAll_Ct&lt;22,$BC383=(Elig_MatchAll_Ct-1),AG383=0),D383,0)</f>
        <v>0</v>
      </c>
      <c r="BJ383" s="190">
        <f>IF(AND(Input_Product=Elig!$C383,Elig_MatchAll_Ct&lt;22,$BC383=(Elig_MatchAll_Ct-1),AH383=0),E383,0)</f>
        <v>0</v>
      </c>
      <c r="BK383" s="190">
        <f>IF(AND(Input_Product=Elig!$C383,Elig_MatchAll_Ct&lt;22,$BC383=(Elig_MatchAll_Ct-1),AI383=0),F383,0)</f>
        <v>0</v>
      </c>
      <c r="BL383" s="190">
        <f>IF(AND(Input_Product=Elig!$C383,Elig_MatchAll_Ct&lt;22,$BC383=(Elig_MatchAll_Ct-1),AJ383=0),G383,0)</f>
        <v>0</v>
      </c>
      <c r="BM383" s="190">
        <f>IF(AND(Input_Product=Elig!$C383,Elig_MatchAll_Ct&lt;22,$BC383=(Elig_MatchAll_Ct-1),AK383=0),H383,0)</f>
        <v>0</v>
      </c>
      <c r="BN383" s="190">
        <f>IF(AND(Input_Product=Elig!$C383,Elig_MatchAll_Ct&lt;22,$BC383=(Elig_MatchAll_Ct-1),AL383=0),I383,0)</f>
        <v>0</v>
      </c>
      <c r="BO383" s="190">
        <f>IF(AND(Input_Product=Elig!$C383,Elig_MatchAll_Ct&lt;22,$BC383=(Elig_MatchAll_Ct-1),AM383=0),J383,0)</f>
        <v>0</v>
      </c>
      <c r="BP383" s="190">
        <f>IF(AND(Input_Product=Elig!$C383,Elig_MatchAll_Ct&lt;22,$BC383=(Elig_MatchAll_Ct-1),AN383=0),K383,0)</f>
        <v>0</v>
      </c>
      <c r="BQ383" s="190">
        <f>IF(AND(Input_Product=Elig!$C383,Elig_MatchAll_Ct&lt;22,$BC383=(Elig_MatchAll_Ct-1),AP383=0),L383,0)</f>
        <v>0</v>
      </c>
      <c r="BR383" s="190">
        <f>IF(AND(Input_Product=Elig!$C383,Elig_MatchAll_Ct&lt;22,$BC383=(Elig_MatchAll_Ct-1),AO383=0),M383,0)</f>
        <v>0</v>
      </c>
      <c r="BS383" s="190">
        <f>IF(AND(Input_Product=Elig!$C383,Elig_MatchAll_Ct&lt;22,$BC383=(Elig_MatchAll_Ct-1),AQ383=0),N383,0)</f>
        <v>0</v>
      </c>
      <c r="BT383" s="190">
        <f>IF(AND(Input_Product=Elig!$C383,Elig_MatchAll_Ct&lt;22,$BC383=(Elig_MatchAll_Ct-1),AR383=0),O383,0)</f>
        <v>0</v>
      </c>
      <c r="BU383" s="190">
        <f>IF(AND(Input_Product=Elig!$C383,Elig_MatchAll_Ct&lt;22,$BC383=(Elig_MatchAll_Ct-1),AS383=0),P383,0)</f>
        <v>0</v>
      </c>
      <c r="BV383" s="191">
        <f>IF(AND(Input_Product=Elig!$C383,Elig_MatchAll_Ct&lt;22,$BC383=(Elig_MatchAll_Ct-1),AT383=0),Q383,0)</f>
        <v>0</v>
      </c>
      <c r="BW383" s="192">
        <f>IF(AND(Input_Product=Elig!$C383,Elig_MatchAll_Ct&lt;22,$BC383=(Elig_MatchAll_Ct-1),AU383=0),R383,0)</f>
        <v>0</v>
      </c>
      <c r="BX383" s="193">
        <f>IF(AND(Input_Product=Elig!$C383,Elig_MatchAll_Ct&lt;22,$BC383=(Elig_MatchAll_Ct-1),AU383=0),S383,0)</f>
        <v>0</v>
      </c>
      <c r="BY383" s="192">
        <f>IF(AND(Input_Product=Elig!$C383,Elig_MatchAll_Ct&lt;22,$BC383=(Elig_MatchAll_Ct-1),AV383=0),T383,0)</f>
        <v>0</v>
      </c>
      <c r="BZ383" s="193">
        <f>IF(AND(Input_Product=Elig!$C383,Elig_MatchAll_Ct&lt;22,$BC383=(Elig_MatchAll_Ct-1),AV383=0),U383,0)</f>
        <v>0</v>
      </c>
      <c r="CA383" s="192">
        <f>IF(AND(Input_Product=Elig!$C383,Elig_MatchAll_Ct&lt;22,$BC383=(Elig_MatchAll_Ct-1),AW383=0),V383,0)</f>
        <v>0</v>
      </c>
      <c r="CB383" s="193">
        <f>IF(AND(Input_Product=Elig!$C383,Elig_MatchAll_Ct&lt;22,$BC383=(Elig_MatchAll_Ct-1),AW383=0),W383,0)</f>
        <v>0</v>
      </c>
      <c r="CC383" s="192">
        <f>IF(AND(Input_Product=Elig!$C383,Elig_MatchAll_Ct&lt;22,$BC383=(Elig_MatchAll_Ct-1),AX383=0),X383,0)</f>
        <v>0</v>
      </c>
      <c r="CD383" s="193">
        <f>IF(AND(Input_Product=Elig!$C383,Elig_MatchAll_Ct&lt;22,$BC383=(Elig_MatchAll_Ct-1),AX383=0),Y383,0)</f>
        <v>0</v>
      </c>
      <c r="CE383" s="192">
        <f>IF(AND(Input_LTV&lt;=AE383,Input_Product=Elig!$C383,Elig_MatchAll_Ct&lt;22,$BC383=(Elig_MatchAll_Ct-1),AY383=0),Z383,0)</f>
        <v>0</v>
      </c>
      <c r="CF383" s="193">
        <f>IF(AND(Input_LTV&lt;=AE383,Input_Product=Elig!$C383,Elig_MatchAll_Ct&lt;22,$BC383=(Elig_MatchAll_Ct-1),AY383=0),AA383,0)</f>
        <v>0</v>
      </c>
      <c r="CG383" s="192">
        <f>IF(AND(Input_Product=Elig!$C383,Elig_MatchAll_Ct&lt;22,$BC383=(Elig_MatchAll_Ct-1),AZ383=0),AB383,0)</f>
        <v>0</v>
      </c>
      <c r="CH383" s="193">
        <f>IF(AND(Input_Product=Elig!$C383,Elig_MatchAll_Ct&lt;22,$BC383=(Elig_MatchAll_Ct-1),AZ383=0),AC383,0)</f>
        <v>0</v>
      </c>
      <c r="CI383" s="192">
        <f>IF(AND(Input_Product=Elig!$C383,Elig_MatchAll_Ct&lt;22,$BC383=(Elig_MatchAll_Ct-1),BA383=0),AD383,0)</f>
        <v>0</v>
      </c>
      <c r="CJ383" s="193">
        <f>IF(AND(Input_Product=Elig!$C383,Elig_MatchAll_Ct&lt;22,$BC383=(Elig_MatchAll_Ct-1),BA383=0),AE383,0)</f>
        <v>0</v>
      </c>
    </row>
    <row r="384" spans="1:88" ht="10.15" customHeight="1" x14ac:dyDescent="0.25">
      <c r="A384" s="252" t="s">
        <v>76</v>
      </c>
      <c r="B384" s="252" t="s">
        <v>1010</v>
      </c>
      <c r="C384" s="251" t="str">
        <f t="shared" si="140"/>
        <v>NonQM NOO</v>
      </c>
      <c r="D384" s="252" t="s">
        <v>1995</v>
      </c>
      <c r="E384" s="252" t="s">
        <v>166</v>
      </c>
      <c r="F384" s="252" t="s">
        <v>329</v>
      </c>
      <c r="G384" s="252" t="s">
        <v>465</v>
      </c>
      <c r="H384" s="252" t="s">
        <v>135</v>
      </c>
      <c r="I384" s="253" t="s">
        <v>273</v>
      </c>
      <c r="J384" s="253" t="s">
        <v>1130</v>
      </c>
      <c r="K384" s="253" t="s">
        <v>1398</v>
      </c>
      <c r="L384" s="252" t="s">
        <v>311</v>
      </c>
      <c r="M384" s="252" t="s">
        <v>2289</v>
      </c>
      <c r="N384" s="252" t="s">
        <v>1844</v>
      </c>
      <c r="O384" s="252" t="s">
        <v>309</v>
      </c>
      <c r="P384" s="252" t="s">
        <v>2434</v>
      </c>
      <c r="Q384" s="252" t="s">
        <v>293</v>
      </c>
      <c r="R384" s="252">
        <v>1500000.01</v>
      </c>
      <c r="S384" s="252">
        <v>2000000</v>
      </c>
      <c r="T384" s="252">
        <v>0</v>
      </c>
      <c r="U384" s="252">
        <v>0</v>
      </c>
      <c r="V384" s="252">
        <v>0</v>
      </c>
      <c r="W384" s="252">
        <v>50</v>
      </c>
      <c r="X384" s="252">
        <v>0</v>
      </c>
      <c r="Y384" s="252">
        <v>999</v>
      </c>
      <c r="Z384" s="254">
        <v>700</v>
      </c>
      <c r="AA384" s="254">
        <v>719</v>
      </c>
      <c r="AB384" s="1883">
        <v>0</v>
      </c>
      <c r="AC384" s="254">
        <v>999999</v>
      </c>
      <c r="AD384" s="252">
        <v>0</v>
      </c>
      <c r="AE384" s="255">
        <v>80</v>
      </c>
      <c r="AF384" s="144">
        <v>0</v>
      </c>
      <c r="AG384" s="145">
        <v>1</v>
      </c>
      <c r="AH384" s="145">
        <v>1</v>
      </c>
      <c r="AI384" s="145">
        <v>1</v>
      </c>
      <c r="AJ384" s="145">
        <v>0</v>
      </c>
      <c r="AK384" s="145">
        <v>1</v>
      </c>
      <c r="AL384" s="145">
        <v>1</v>
      </c>
      <c r="AM384" s="145">
        <v>1</v>
      </c>
      <c r="AN384" s="145">
        <v>1</v>
      </c>
      <c r="AO384" s="145">
        <v>1</v>
      </c>
      <c r="AP384" s="145">
        <v>1</v>
      </c>
      <c r="AQ384" s="145">
        <v>1</v>
      </c>
      <c r="AR384" s="145">
        <v>1</v>
      </c>
      <c r="AS384" s="145">
        <v>1</v>
      </c>
      <c r="AT384" s="145">
        <v>1</v>
      </c>
      <c r="AU384" s="145">
        <f t="shared" si="125"/>
        <v>0</v>
      </c>
      <c r="AV384" s="145">
        <f t="shared" si="126"/>
        <v>1</v>
      </c>
      <c r="AW384" s="145">
        <f t="shared" si="127"/>
        <v>1</v>
      </c>
      <c r="AX384" s="145">
        <f t="shared" si="133"/>
        <v>1</v>
      </c>
      <c r="AY384" s="145">
        <f t="shared" si="128"/>
        <v>0</v>
      </c>
      <c r="AZ384" s="145">
        <f t="shared" si="129"/>
        <v>1</v>
      </c>
      <c r="BA384" s="146">
        <f t="shared" si="130"/>
        <v>1</v>
      </c>
      <c r="BB384" s="149">
        <f t="shared" si="142"/>
        <v>18</v>
      </c>
      <c r="BC384" s="150">
        <f t="shared" si="143"/>
        <v>17</v>
      </c>
      <c r="BD384" s="150">
        <f t="shared" si="144"/>
        <v>18</v>
      </c>
      <c r="BE384" s="211" t="str">
        <f t="shared" si="145"/>
        <v/>
      </c>
      <c r="BH384" s="173">
        <f>IF(AND(Input_Product=Elig!$C384,Elig_MatchAll_Ct&lt;22,$BC384=(Elig_MatchAll_Ct-1),AF384=0),C384,0)</f>
        <v>0</v>
      </c>
      <c r="BI384" s="173">
        <f>IF(AND(Input_Product=Elig!$C384,Elig_MatchAll_Ct&lt;22,$BC384=(Elig_MatchAll_Ct-1),AG384=0),D384,0)</f>
        <v>0</v>
      </c>
      <c r="BJ384" s="173">
        <f>IF(AND(Input_Product=Elig!$C384,Elig_MatchAll_Ct&lt;22,$BC384=(Elig_MatchAll_Ct-1),AH384=0),E384,0)</f>
        <v>0</v>
      </c>
      <c r="BK384" s="173">
        <f>IF(AND(Input_Product=Elig!$C384,Elig_MatchAll_Ct&lt;22,$BC384=(Elig_MatchAll_Ct-1),AI384=0),F384,0)</f>
        <v>0</v>
      </c>
      <c r="BL384" s="173">
        <f>IF(AND(Input_Product=Elig!$C384,Elig_MatchAll_Ct&lt;22,$BC384=(Elig_MatchAll_Ct-1),AJ384=0),G384,0)</f>
        <v>0</v>
      </c>
      <c r="BM384" s="173">
        <f>IF(AND(Input_Product=Elig!$C384,Elig_MatchAll_Ct&lt;22,$BC384=(Elig_MatchAll_Ct-1),AK384=0),H384,0)</f>
        <v>0</v>
      </c>
      <c r="BN384" s="173">
        <f>IF(AND(Input_Product=Elig!$C384,Elig_MatchAll_Ct&lt;22,$BC384=(Elig_MatchAll_Ct-1),AL384=0),I384,0)</f>
        <v>0</v>
      </c>
      <c r="BO384" s="173">
        <f>IF(AND(Input_Product=Elig!$C384,Elig_MatchAll_Ct&lt;22,$BC384=(Elig_MatchAll_Ct-1),AM384=0),J384,0)</f>
        <v>0</v>
      </c>
      <c r="BP384" s="173">
        <f>IF(AND(Input_Product=Elig!$C384,Elig_MatchAll_Ct&lt;22,$BC384=(Elig_MatchAll_Ct-1),AN384=0),K384,0)</f>
        <v>0</v>
      </c>
      <c r="BQ384" s="173">
        <f>IF(AND(Input_Product=Elig!$C384,Elig_MatchAll_Ct&lt;22,$BC384=(Elig_MatchAll_Ct-1),AP384=0),L384,0)</f>
        <v>0</v>
      </c>
      <c r="BR384" s="173">
        <f>IF(AND(Input_Product=Elig!$C384,Elig_MatchAll_Ct&lt;22,$BC384=(Elig_MatchAll_Ct-1),AO384=0),M384,0)</f>
        <v>0</v>
      </c>
      <c r="BS384" s="173">
        <f>IF(AND(Input_Product=Elig!$C384,Elig_MatchAll_Ct&lt;22,$BC384=(Elig_MatchAll_Ct-1),AQ384=0),N384,0)</f>
        <v>0</v>
      </c>
      <c r="BT384" s="173">
        <f>IF(AND(Input_Product=Elig!$C384,Elig_MatchAll_Ct&lt;22,$BC384=(Elig_MatchAll_Ct-1),AR384=0),O384,0)</f>
        <v>0</v>
      </c>
      <c r="BU384" s="173">
        <f>IF(AND(Input_Product=Elig!$C384,Elig_MatchAll_Ct&lt;22,$BC384=(Elig_MatchAll_Ct-1),AS384=0),P384,0)</f>
        <v>0</v>
      </c>
      <c r="BV384" s="174">
        <f>IF(AND(Input_Product=Elig!$C384,Elig_MatchAll_Ct&lt;22,$BC384=(Elig_MatchAll_Ct-1),AT384=0),Q384,0)</f>
        <v>0</v>
      </c>
      <c r="BW384" s="175">
        <f>IF(AND(Input_Product=Elig!$C384,Elig_MatchAll_Ct&lt;22,$BC384=(Elig_MatchAll_Ct-1),AU384=0),R384,0)</f>
        <v>0</v>
      </c>
      <c r="BX384" s="176">
        <f>IF(AND(Input_Product=Elig!$C384,Elig_MatchAll_Ct&lt;22,$BC384=(Elig_MatchAll_Ct-1),AU384=0),S384,0)</f>
        <v>0</v>
      </c>
      <c r="BY384" s="175">
        <f>IF(AND(Input_Product=Elig!$C384,Elig_MatchAll_Ct&lt;22,$BC384=(Elig_MatchAll_Ct-1),AV384=0),T384,0)</f>
        <v>0</v>
      </c>
      <c r="BZ384" s="176">
        <f>IF(AND(Input_Product=Elig!$C384,Elig_MatchAll_Ct&lt;22,$BC384=(Elig_MatchAll_Ct-1),AV384=0),U384,0)</f>
        <v>0</v>
      </c>
      <c r="CA384" s="175">
        <f>IF(AND(Input_Product=Elig!$C384,Elig_MatchAll_Ct&lt;22,$BC384=(Elig_MatchAll_Ct-1),AW384=0),V384,0)</f>
        <v>0</v>
      </c>
      <c r="CB384" s="176">
        <f>IF(AND(Input_Product=Elig!$C384,Elig_MatchAll_Ct&lt;22,$BC384=(Elig_MatchAll_Ct-1),AW384=0),W384,0)</f>
        <v>0</v>
      </c>
      <c r="CC384" s="175">
        <f>IF(AND(Input_Product=Elig!$C384,Elig_MatchAll_Ct&lt;22,$BC384=(Elig_MatchAll_Ct-1),AX384=0),X384,0)</f>
        <v>0</v>
      </c>
      <c r="CD384" s="176">
        <f>IF(AND(Input_Product=Elig!$C384,Elig_MatchAll_Ct&lt;22,$BC384=(Elig_MatchAll_Ct-1),AX384=0),Y384,0)</f>
        <v>0</v>
      </c>
      <c r="CE384" s="175">
        <f>IF(AND(Input_LTV&lt;=AE384,Input_Product=Elig!$C384,Elig_MatchAll_Ct&lt;22,$BC384=(Elig_MatchAll_Ct-1),AY384=0),Z384,0)</f>
        <v>0</v>
      </c>
      <c r="CF384" s="176">
        <f>IF(AND(Input_LTV&lt;=AE384,Input_Product=Elig!$C384,Elig_MatchAll_Ct&lt;22,$BC384=(Elig_MatchAll_Ct-1),AY384=0),AA384,0)</f>
        <v>0</v>
      </c>
      <c r="CG384" s="175">
        <f>IF(AND(Input_Product=Elig!$C384,Elig_MatchAll_Ct&lt;22,$BC384=(Elig_MatchAll_Ct-1),AZ384=0),AB384,0)</f>
        <v>0</v>
      </c>
      <c r="CH384" s="176">
        <f>IF(AND(Input_Product=Elig!$C384,Elig_MatchAll_Ct&lt;22,$BC384=(Elig_MatchAll_Ct-1),AZ384=0),AC384,0)</f>
        <v>0</v>
      </c>
      <c r="CI384" s="175">
        <f>IF(AND(Input_Product=Elig!$C384,Elig_MatchAll_Ct&lt;22,$BC384=(Elig_MatchAll_Ct-1),BA384=0),AD384,0)</f>
        <v>0</v>
      </c>
      <c r="CJ384" s="176">
        <f>IF(AND(Input_Product=Elig!$C384,Elig_MatchAll_Ct&lt;22,$BC384=(Elig_MatchAll_Ct-1),BA384=0),AE384,0)</f>
        <v>0</v>
      </c>
    </row>
    <row r="385" spans="1:88" ht="10.15" customHeight="1" x14ac:dyDescent="0.25">
      <c r="A385" s="252" t="s">
        <v>76</v>
      </c>
      <c r="B385" s="252" t="s">
        <v>1011</v>
      </c>
      <c r="C385" s="251" t="str">
        <f t="shared" si="140"/>
        <v>NonQM NOO</v>
      </c>
      <c r="D385" s="252" t="s">
        <v>1995</v>
      </c>
      <c r="E385" s="252" t="s">
        <v>166</v>
      </c>
      <c r="F385" s="252" t="s">
        <v>329</v>
      </c>
      <c r="G385" s="252" t="s">
        <v>465</v>
      </c>
      <c r="H385" s="252" t="s">
        <v>135</v>
      </c>
      <c r="I385" s="253" t="s">
        <v>273</v>
      </c>
      <c r="J385" s="253" t="s">
        <v>1130</v>
      </c>
      <c r="K385" s="253" t="s">
        <v>1398</v>
      </c>
      <c r="L385" s="252" t="s">
        <v>311</v>
      </c>
      <c r="M385" s="252" t="s">
        <v>2289</v>
      </c>
      <c r="N385" s="252" t="s">
        <v>1844</v>
      </c>
      <c r="O385" s="252" t="s">
        <v>309</v>
      </c>
      <c r="P385" s="252" t="s">
        <v>2434</v>
      </c>
      <c r="Q385" s="252" t="s">
        <v>293</v>
      </c>
      <c r="R385" s="252">
        <v>1500000.01</v>
      </c>
      <c r="S385" s="252">
        <v>2000000</v>
      </c>
      <c r="T385" s="252">
        <v>0</v>
      </c>
      <c r="U385" s="252">
        <v>0</v>
      </c>
      <c r="V385" s="252">
        <v>0</v>
      </c>
      <c r="W385" s="252">
        <v>50</v>
      </c>
      <c r="X385" s="252">
        <v>0</v>
      </c>
      <c r="Y385" s="252">
        <v>999</v>
      </c>
      <c r="Z385" s="254">
        <v>680</v>
      </c>
      <c r="AA385" s="254">
        <v>699</v>
      </c>
      <c r="AB385" s="1883">
        <v>0</v>
      </c>
      <c r="AC385" s="254">
        <v>999999</v>
      </c>
      <c r="AD385" s="252">
        <v>0</v>
      </c>
      <c r="AE385" s="255">
        <v>75</v>
      </c>
      <c r="AF385" s="144">
        <v>0</v>
      </c>
      <c r="AG385" s="145">
        <v>1</v>
      </c>
      <c r="AH385" s="145">
        <v>1</v>
      </c>
      <c r="AI385" s="145">
        <v>1</v>
      </c>
      <c r="AJ385" s="145">
        <v>0</v>
      </c>
      <c r="AK385" s="145">
        <v>1</v>
      </c>
      <c r="AL385" s="145">
        <v>1</v>
      </c>
      <c r="AM385" s="145">
        <v>1</v>
      </c>
      <c r="AN385" s="145">
        <v>1</v>
      </c>
      <c r="AO385" s="145">
        <v>1</v>
      </c>
      <c r="AP385" s="145">
        <v>1</v>
      </c>
      <c r="AQ385" s="145">
        <v>1</v>
      </c>
      <c r="AR385" s="145">
        <v>1</v>
      </c>
      <c r="AS385" s="145">
        <v>1</v>
      </c>
      <c r="AT385" s="145">
        <v>1</v>
      </c>
      <c r="AU385" s="145">
        <f t="shared" si="125"/>
        <v>0</v>
      </c>
      <c r="AV385" s="145">
        <f t="shared" si="126"/>
        <v>1</v>
      </c>
      <c r="AW385" s="145">
        <f t="shared" si="127"/>
        <v>1</v>
      </c>
      <c r="AX385" s="145">
        <f t="shared" si="133"/>
        <v>1</v>
      </c>
      <c r="AY385" s="145">
        <f t="shared" si="128"/>
        <v>0</v>
      </c>
      <c r="AZ385" s="145">
        <f t="shared" si="129"/>
        <v>1</v>
      </c>
      <c r="BA385" s="146">
        <f t="shared" si="130"/>
        <v>1</v>
      </c>
      <c r="BB385" s="149">
        <f t="shared" si="142"/>
        <v>18</v>
      </c>
      <c r="BC385" s="150">
        <f t="shared" si="143"/>
        <v>17</v>
      </c>
      <c r="BD385" s="150">
        <f t="shared" si="144"/>
        <v>18</v>
      </c>
      <c r="BE385" s="211" t="str">
        <f t="shared" si="145"/>
        <v/>
      </c>
      <c r="BH385" s="173">
        <f>IF(AND(Input_Product=Elig!$C385,Elig_MatchAll_Ct&lt;22,$BC385=(Elig_MatchAll_Ct-1),AF385=0),C385,0)</f>
        <v>0</v>
      </c>
      <c r="BI385" s="173">
        <f>IF(AND(Input_Product=Elig!$C385,Elig_MatchAll_Ct&lt;22,$BC385=(Elig_MatchAll_Ct-1),AG385=0),D385,0)</f>
        <v>0</v>
      </c>
      <c r="BJ385" s="173">
        <f>IF(AND(Input_Product=Elig!$C385,Elig_MatchAll_Ct&lt;22,$BC385=(Elig_MatchAll_Ct-1),AH385=0),E385,0)</f>
        <v>0</v>
      </c>
      <c r="BK385" s="173">
        <f>IF(AND(Input_Product=Elig!$C385,Elig_MatchAll_Ct&lt;22,$BC385=(Elig_MatchAll_Ct-1),AI385=0),F385,0)</f>
        <v>0</v>
      </c>
      <c r="BL385" s="173">
        <f>IF(AND(Input_Product=Elig!$C385,Elig_MatchAll_Ct&lt;22,$BC385=(Elig_MatchAll_Ct-1),AJ385=0),G385,0)</f>
        <v>0</v>
      </c>
      <c r="BM385" s="173">
        <f>IF(AND(Input_Product=Elig!$C385,Elig_MatchAll_Ct&lt;22,$BC385=(Elig_MatchAll_Ct-1),AK385=0),H385,0)</f>
        <v>0</v>
      </c>
      <c r="BN385" s="173">
        <f>IF(AND(Input_Product=Elig!$C385,Elig_MatchAll_Ct&lt;22,$BC385=(Elig_MatchAll_Ct-1),AL385=0),I385,0)</f>
        <v>0</v>
      </c>
      <c r="BO385" s="173">
        <f>IF(AND(Input_Product=Elig!$C385,Elig_MatchAll_Ct&lt;22,$BC385=(Elig_MatchAll_Ct-1),AM385=0),J385,0)</f>
        <v>0</v>
      </c>
      <c r="BP385" s="173">
        <f>IF(AND(Input_Product=Elig!$C385,Elig_MatchAll_Ct&lt;22,$BC385=(Elig_MatchAll_Ct-1),AN385=0),K385,0)</f>
        <v>0</v>
      </c>
      <c r="BQ385" s="173">
        <f>IF(AND(Input_Product=Elig!$C385,Elig_MatchAll_Ct&lt;22,$BC385=(Elig_MatchAll_Ct-1),AP385=0),L385,0)</f>
        <v>0</v>
      </c>
      <c r="BR385" s="173">
        <f>IF(AND(Input_Product=Elig!$C385,Elig_MatchAll_Ct&lt;22,$BC385=(Elig_MatchAll_Ct-1),AO385=0),M385,0)</f>
        <v>0</v>
      </c>
      <c r="BS385" s="173">
        <f>IF(AND(Input_Product=Elig!$C385,Elig_MatchAll_Ct&lt;22,$BC385=(Elig_MatchAll_Ct-1),AQ385=0),N385,0)</f>
        <v>0</v>
      </c>
      <c r="BT385" s="173">
        <f>IF(AND(Input_Product=Elig!$C385,Elig_MatchAll_Ct&lt;22,$BC385=(Elig_MatchAll_Ct-1),AR385=0),O385,0)</f>
        <v>0</v>
      </c>
      <c r="BU385" s="173">
        <f>IF(AND(Input_Product=Elig!$C385,Elig_MatchAll_Ct&lt;22,$BC385=(Elig_MatchAll_Ct-1),AS385=0),P385,0)</f>
        <v>0</v>
      </c>
      <c r="BV385" s="174">
        <f>IF(AND(Input_Product=Elig!$C385,Elig_MatchAll_Ct&lt;22,$BC385=(Elig_MatchAll_Ct-1),AT385=0),Q385,0)</f>
        <v>0</v>
      </c>
      <c r="BW385" s="175">
        <f>IF(AND(Input_Product=Elig!$C385,Elig_MatchAll_Ct&lt;22,$BC385=(Elig_MatchAll_Ct-1),AU385=0),R385,0)</f>
        <v>0</v>
      </c>
      <c r="BX385" s="176">
        <f>IF(AND(Input_Product=Elig!$C385,Elig_MatchAll_Ct&lt;22,$BC385=(Elig_MatchAll_Ct-1),AU385=0),S385,0)</f>
        <v>0</v>
      </c>
      <c r="BY385" s="175">
        <f>IF(AND(Input_Product=Elig!$C385,Elig_MatchAll_Ct&lt;22,$BC385=(Elig_MatchAll_Ct-1),AV385=0),T385,0)</f>
        <v>0</v>
      </c>
      <c r="BZ385" s="176">
        <f>IF(AND(Input_Product=Elig!$C385,Elig_MatchAll_Ct&lt;22,$BC385=(Elig_MatchAll_Ct-1),AV385=0),U385,0)</f>
        <v>0</v>
      </c>
      <c r="CA385" s="175">
        <f>IF(AND(Input_Product=Elig!$C385,Elig_MatchAll_Ct&lt;22,$BC385=(Elig_MatchAll_Ct-1),AW385=0),V385,0)</f>
        <v>0</v>
      </c>
      <c r="CB385" s="176">
        <f>IF(AND(Input_Product=Elig!$C385,Elig_MatchAll_Ct&lt;22,$BC385=(Elig_MatchAll_Ct-1),AW385=0),W385,0)</f>
        <v>0</v>
      </c>
      <c r="CC385" s="175">
        <f>IF(AND(Input_Product=Elig!$C385,Elig_MatchAll_Ct&lt;22,$BC385=(Elig_MatchAll_Ct-1),AX385=0),X385,0)</f>
        <v>0</v>
      </c>
      <c r="CD385" s="176">
        <f>IF(AND(Input_Product=Elig!$C385,Elig_MatchAll_Ct&lt;22,$BC385=(Elig_MatchAll_Ct-1),AX385=0),Y385,0)</f>
        <v>0</v>
      </c>
      <c r="CE385" s="175">
        <f>IF(AND(Input_LTV&lt;=AE385,Input_Product=Elig!$C385,Elig_MatchAll_Ct&lt;22,$BC385=(Elig_MatchAll_Ct-1),AY385=0),Z385,0)</f>
        <v>0</v>
      </c>
      <c r="CF385" s="176">
        <f>IF(AND(Input_LTV&lt;=AE385,Input_Product=Elig!$C385,Elig_MatchAll_Ct&lt;22,$BC385=(Elig_MatchAll_Ct-1),AY385=0),AA385,0)</f>
        <v>0</v>
      </c>
      <c r="CG385" s="175">
        <f>IF(AND(Input_Product=Elig!$C385,Elig_MatchAll_Ct&lt;22,$BC385=(Elig_MatchAll_Ct-1),AZ385=0),AB385,0)</f>
        <v>0</v>
      </c>
      <c r="CH385" s="176">
        <f>IF(AND(Input_Product=Elig!$C385,Elig_MatchAll_Ct&lt;22,$BC385=(Elig_MatchAll_Ct-1),AZ385=0),AC385,0)</f>
        <v>0</v>
      </c>
      <c r="CI385" s="175">
        <f>IF(AND(Input_Product=Elig!$C385,Elig_MatchAll_Ct&lt;22,$BC385=(Elig_MatchAll_Ct-1),BA385=0),AD385,0)</f>
        <v>0</v>
      </c>
      <c r="CJ385" s="176">
        <f>IF(AND(Input_Product=Elig!$C385,Elig_MatchAll_Ct&lt;22,$BC385=(Elig_MatchAll_Ct-1),BA385=0),AE385,0)</f>
        <v>0</v>
      </c>
    </row>
    <row r="386" spans="1:88" ht="10.15" customHeight="1" x14ac:dyDescent="0.25">
      <c r="A386" s="252" t="s">
        <v>76</v>
      </c>
      <c r="B386" s="252" t="s">
        <v>1012</v>
      </c>
      <c r="C386" s="251" t="str">
        <f t="shared" si="140"/>
        <v>NonQM NOO</v>
      </c>
      <c r="D386" s="252" t="s">
        <v>1995</v>
      </c>
      <c r="E386" s="252" t="s">
        <v>166</v>
      </c>
      <c r="F386" s="252" t="s">
        <v>329</v>
      </c>
      <c r="G386" s="252" t="s">
        <v>465</v>
      </c>
      <c r="H386" s="252" t="s">
        <v>135</v>
      </c>
      <c r="I386" s="252" t="s">
        <v>273</v>
      </c>
      <c r="J386" s="252" t="s">
        <v>1130</v>
      </c>
      <c r="K386" s="252" t="s">
        <v>1398</v>
      </c>
      <c r="L386" s="252" t="s">
        <v>311</v>
      </c>
      <c r="M386" s="252" t="s">
        <v>2289</v>
      </c>
      <c r="N386" s="252" t="s">
        <v>1844</v>
      </c>
      <c r="O386" s="252" t="s">
        <v>309</v>
      </c>
      <c r="P386" s="252" t="s">
        <v>2434</v>
      </c>
      <c r="Q386" s="252" t="s">
        <v>293</v>
      </c>
      <c r="R386" s="252">
        <v>1500000.01</v>
      </c>
      <c r="S386" s="252">
        <v>2000000</v>
      </c>
      <c r="T386" s="252">
        <v>0</v>
      </c>
      <c r="U386" s="252">
        <v>0</v>
      </c>
      <c r="V386" s="252">
        <v>0</v>
      </c>
      <c r="W386" s="252">
        <v>50</v>
      </c>
      <c r="X386" s="252">
        <v>0</v>
      </c>
      <c r="Y386" s="252">
        <v>999</v>
      </c>
      <c r="Z386" s="254">
        <v>660</v>
      </c>
      <c r="AA386" s="254">
        <v>679</v>
      </c>
      <c r="AB386" s="1883">
        <v>0</v>
      </c>
      <c r="AC386" s="254">
        <v>999999</v>
      </c>
      <c r="AD386" s="252">
        <v>0</v>
      </c>
      <c r="AE386" s="255">
        <v>70</v>
      </c>
      <c r="AF386" s="144">
        <v>0</v>
      </c>
      <c r="AG386" s="145">
        <v>1</v>
      </c>
      <c r="AH386" s="145">
        <v>1</v>
      </c>
      <c r="AI386" s="145">
        <v>1</v>
      </c>
      <c r="AJ386" s="145">
        <v>0</v>
      </c>
      <c r="AK386" s="145">
        <v>1</v>
      </c>
      <c r="AL386" s="145">
        <v>1</v>
      </c>
      <c r="AM386" s="145">
        <v>1</v>
      </c>
      <c r="AN386" s="145">
        <v>1</v>
      </c>
      <c r="AO386" s="145">
        <v>1</v>
      </c>
      <c r="AP386" s="145">
        <v>1</v>
      </c>
      <c r="AQ386" s="145">
        <v>1</v>
      </c>
      <c r="AR386" s="145">
        <v>1</v>
      </c>
      <c r="AS386" s="145">
        <v>1</v>
      </c>
      <c r="AT386" s="145">
        <v>1</v>
      </c>
      <c r="AU386" s="145">
        <f t="shared" si="125"/>
        <v>0</v>
      </c>
      <c r="AV386" s="145">
        <f t="shared" si="126"/>
        <v>1</v>
      </c>
      <c r="AW386" s="145">
        <f t="shared" si="127"/>
        <v>1</v>
      </c>
      <c r="AX386" s="145">
        <f t="shared" si="133"/>
        <v>1</v>
      </c>
      <c r="AY386" s="145">
        <f t="shared" si="128"/>
        <v>0</v>
      </c>
      <c r="AZ386" s="145">
        <f t="shared" si="129"/>
        <v>1</v>
      </c>
      <c r="BA386" s="146">
        <f t="shared" si="130"/>
        <v>1</v>
      </c>
      <c r="BB386" s="149">
        <f t="shared" si="142"/>
        <v>18</v>
      </c>
      <c r="BC386" s="150">
        <f t="shared" si="143"/>
        <v>17</v>
      </c>
      <c r="BD386" s="150">
        <f t="shared" si="144"/>
        <v>18</v>
      </c>
      <c r="BE386" s="211" t="str">
        <f t="shared" si="145"/>
        <v/>
      </c>
      <c r="BH386" s="173">
        <f>IF(AND(Input_Product=Elig!$C386,Elig_MatchAll_Ct&lt;22,$BC386=(Elig_MatchAll_Ct-1),AF386=0),C386,0)</f>
        <v>0</v>
      </c>
      <c r="BI386" s="173">
        <f>IF(AND(Input_Product=Elig!$C386,Elig_MatchAll_Ct&lt;22,$BC386=(Elig_MatchAll_Ct-1),AG386=0),D386,0)</f>
        <v>0</v>
      </c>
      <c r="BJ386" s="173">
        <f>IF(AND(Input_Product=Elig!$C386,Elig_MatchAll_Ct&lt;22,$BC386=(Elig_MatchAll_Ct-1),AH386=0),E386,0)</f>
        <v>0</v>
      </c>
      <c r="BK386" s="173">
        <f>IF(AND(Input_Product=Elig!$C386,Elig_MatchAll_Ct&lt;22,$BC386=(Elig_MatchAll_Ct-1),AI386=0),F386,0)</f>
        <v>0</v>
      </c>
      <c r="BL386" s="173">
        <f>IF(AND(Input_Product=Elig!$C386,Elig_MatchAll_Ct&lt;22,$BC386=(Elig_MatchAll_Ct-1),AJ386=0),G386,0)</f>
        <v>0</v>
      </c>
      <c r="BM386" s="173">
        <f>IF(AND(Input_Product=Elig!$C386,Elig_MatchAll_Ct&lt;22,$BC386=(Elig_MatchAll_Ct-1),AK386=0),H386,0)</f>
        <v>0</v>
      </c>
      <c r="BN386" s="173">
        <f>IF(AND(Input_Product=Elig!$C386,Elig_MatchAll_Ct&lt;22,$BC386=(Elig_MatchAll_Ct-1),AL386=0),I386,0)</f>
        <v>0</v>
      </c>
      <c r="BO386" s="173">
        <f>IF(AND(Input_Product=Elig!$C386,Elig_MatchAll_Ct&lt;22,$BC386=(Elig_MatchAll_Ct-1),AM386=0),J386,0)</f>
        <v>0</v>
      </c>
      <c r="BP386" s="173">
        <f>IF(AND(Input_Product=Elig!$C386,Elig_MatchAll_Ct&lt;22,$BC386=(Elig_MatchAll_Ct-1),AN386=0),K386,0)</f>
        <v>0</v>
      </c>
      <c r="BQ386" s="173">
        <f>IF(AND(Input_Product=Elig!$C386,Elig_MatchAll_Ct&lt;22,$BC386=(Elig_MatchAll_Ct-1),AP386=0),L386,0)</f>
        <v>0</v>
      </c>
      <c r="BR386" s="173">
        <f>IF(AND(Input_Product=Elig!$C386,Elig_MatchAll_Ct&lt;22,$BC386=(Elig_MatchAll_Ct-1),AO386=0),M386,0)</f>
        <v>0</v>
      </c>
      <c r="BS386" s="173">
        <f>IF(AND(Input_Product=Elig!$C386,Elig_MatchAll_Ct&lt;22,$BC386=(Elig_MatchAll_Ct-1),AQ386=0),N386,0)</f>
        <v>0</v>
      </c>
      <c r="BT386" s="173">
        <f>IF(AND(Input_Product=Elig!$C386,Elig_MatchAll_Ct&lt;22,$BC386=(Elig_MatchAll_Ct-1),AR386=0),O386,0)</f>
        <v>0</v>
      </c>
      <c r="BU386" s="173">
        <f>IF(AND(Input_Product=Elig!$C386,Elig_MatchAll_Ct&lt;22,$BC386=(Elig_MatchAll_Ct-1),AS386=0),P386,0)</f>
        <v>0</v>
      </c>
      <c r="BV386" s="174">
        <f>IF(AND(Input_Product=Elig!$C386,Elig_MatchAll_Ct&lt;22,$BC386=(Elig_MatchAll_Ct-1),AT386=0),Q386,0)</f>
        <v>0</v>
      </c>
      <c r="BW386" s="175">
        <f>IF(AND(Input_Product=Elig!$C386,Elig_MatchAll_Ct&lt;22,$BC386=(Elig_MatchAll_Ct-1),AU386=0),R386,0)</f>
        <v>0</v>
      </c>
      <c r="BX386" s="176">
        <f>IF(AND(Input_Product=Elig!$C386,Elig_MatchAll_Ct&lt;22,$BC386=(Elig_MatchAll_Ct-1),AU386=0),S386,0)</f>
        <v>0</v>
      </c>
      <c r="BY386" s="175">
        <f>IF(AND(Input_Product=Elig!$C386,Elig_MatchAll_Ct&lt;22,$BC386=(Elig_MatchAll_Ct-1),AV386=0),T386,0)</f>
        <v>0</v>
      </c>
      <c r="BZ386" s="176">
        <f>IF(AND(Input_Product=Elig!$C386,Elig_MatchAll_Ct&lt;22,$BC386=(Elig_MatchAll_Ct-1),AV386=0),U386,0)</f>
        <v>0</v>
      </c>
      <c r="CA386" s="175">
        <f>IF(AND(Input_Product=Elig!$C386,Elig_MatchAll_Ct&lt;22,$BC386=(Elig_MatchAll_Ct-1),AW386=0),V386,0)</f>
        <v>0</v>
      </c>
      <c r="CB386" s="176">
        <f>IF(AND(Input_Product=Elig!$C386,Elig_MatchAll_Ct&lt;22,$BC386=(Elig_MatchAll_Ct-1),AW386=0),W386,0)</f>
        <v>0</v>
      </c>
      <c r="CC386" s="175">
        <f>IF(AND(Input_Product=Elig!$C386,Elig_MatchAll_Ct&lt;22,$BC386=(Elig_MatchAll_Ct-1),AX386=0),X386,0)</f>
        <v>0</v>
      </c>
      <c r="CD386" s="176">
        <f>IF(AND(Input_Product=Elig!$C386,Elig_MatchAll_Ct&lt;22,$BC386=(Elig_MatchAll_Ct-1),AX386=0),Y386,0)</f>
        <v>0</v>
      </c>
      <c r="CE386" s="175">
        <f>IF(AND(Input_LTV&lt;=AE386,Input_Product=Elig!$C386,Elig_MatchAll_Ct&lt;22,$BC386=(Elig_MatchAll_Ct-1),AY386=0),Z386,0)</f>
        <v>0</v>
      </c>
      <c r="CF386" s="176">
        <f>IF(AND(Input_LTV&lt;=AE386,Input_Product=Elig!$C386,Elig_MatchAll_Ct&lt;22,$BC386=(Elig_MatchAll_Ct-1),AY386=0),AA386,0)</f>
        <v>0</v>
      </c>
      <c r="CG386" s="175">
        <f>IF(AND(Input_Product=Elig!$C386,Elig_MatchAll_Ct&lt;22,$BC386=(Elig_MatchAll_Ct-1),AZ386=0),AB386,0)</f>
        <v>0</v>
      </c>
      <c r="CH386" s="176">
        <f>IF(AND(Input_Product=Elig!$C386,Elig_MatchAll_Ct&lt;22,$BC386=(Elig_MatchAll_Ct-1),AZ386=0),AC386,0)</f>
        <v>0</v>
      </c>
      <c r="CI386" s="175">
        <f>IF(AND(Input_Product=Elig!$C386,Elig_MatchAll_Ct&lt;22,$BC386=(Elig_MatchAll_Ct-1),BA386=0),AD386,0)</f>
        <v>0</v>
      </c>
      <c r="CJ386" s="176">
        <f>IF(AND(Input_Product=Elig!$C386,Elig_MatchAll_Ct&lt;22,$BC386=(Elig_MatchAll_Ct-1),BA386=0),AE386,0)</f>
        <v>0</v>
      </c>
    </row>
    <row r="387" spans="1:88" ht="10.15" customHeight="1" x14ac:dyDescent="0.25">
      <c r="A387" s="252" t="s">
        <v>76</v>
      </c>
      <c r="B387" s="252" t="s">
        <v>1013</v>
      </c>
      <c r="C387" s="246" t="str">
        <f t="shared" si="140"/>
        <v>NonQM NOO</v>
      </c>
      <c r="D387" s="247" t="s">
        <v>1995</v>
      </c>
      <c r="E387" s="248" t="s">
        <v>166</v>
      </c>
      <c r="F387" s="248" t="s">
        <v>329</v>
      </c>
      <c r="G387" s="248" t="s">
        <v>465</v>
      </c>
      <c r="H387" s="248" t="s">
        <v>135</v>
      </c>
      <c r="I387" s="247" t="s">
        <v>16</v>
      </c>
      <c r="J387" s="247" t="s">
        <v>1130</v>
      </c>
      <c r="K387" s="247" t="s">
        <v>1398</v>
      </c>
      <c r="L387" s="248" t="s">
        <v>311</v>
      </c>
      <c r="M387" s="248" t="s">
        <v>2289</v>
      </c>
      <c r="N387" s="248" t="s">
        <v>1844</v>
      </c>
      <c r="O387" s="248" t="s">
        <v>309</v>
      </c>
      <c r="P387" s="248" t="s">
        <v>2434</v>
      </c>
      <c r="Q387" s="248" t="s">
        <v>293</v>
      </c>
      <c r="R387" s="247">
        <v>1500000.01</v>
      </c>
      <c r="S387" s="247">
        <v>2000000</v>
      </c>
      <c r="T387" s="247">
        <v>0</v>
      </c>
      <c r="U387" s="247">
        <f t="shared" ref="U387:U390" si="146">S387</f>
        <v>2000000</v>
      </c>
      <c r="V387" s="247">
        <v>0</v>
      </c>
      <c r="W387" s="247">
        <v>50</v>
      </c>
      <c r="X387" s="247">
        <v>0</v>
      </c>
      <c r="Y387" s="247">
        <v>999</v>
      </c>
      <c r="Z387" s="249">
        <v>720</v>
      </c>
      <c r="AA387" s="249">
        <v>999</v>
      </c>
      <c r="AB387" s="1882">
        <v>0</v>
      </c>
      <c r="AC387" s="249">
        <v>999999</v>
      </c>
      <c r="AD387" s="247">
        <v>0</v>
      </c>
      <c r="AE387" s="250">
        <v>75</v>
      </c>
      <c r="AF387" s="144">
        <v>0</v>
      </c>
      <c r="AG387" s="145">
        <v>1</v>
      </c>
      <c r="AH387" s="145">
        <v>1</v>
      </c>
      <c r="AI387" s="145">
        <v>1</v>
      </c>
      <c r="AJ387" s="145">
        <v>0</v>
      </c>
      <c r="AK387" s="145">
        <v>1</v>
      </c>
      <c r="AL387" s="145">
        <v>0</v>
      </c>
      <c r="AM387" s="145">
        <v>1</v>
      </c>
      <c r="AN387" s="145">
        <v>1</v>
      </c>
      <c r="AO387" s="145">
        <v>1</v>
      </c>
      <c r="AP387" s="145">
        <v>1</v>
      </c>
      <c r="AQ387" s="145">
        <v>1</v>
      </c>
      <c r="AR387" s="145">
        <v>1</v>
      </c>
      <c r="AS387" s="145">
        <v>1</v>
      </c>
      <c r="AT387" s="145">
        <v>1</v>
      </c>
      <c r="AU387" s="145">
        <f t="shared" si="125"/>
        <v>0</v>
      </c>
      <c r="AV387" s="145">
        <f t="shared" si="126"/>
        <v>1</v>
      </c>
      <c r="AW387" s="145">
        <f t="shared" si="127"/>
        <v>1</v>
      </c>
      <c r="AX387" s="145">
        <f t="shared" si="133"/>
        <v>1</v>
      </c>
      <c r="AY387" s="145">
        <f t="shared" si="128"/>
        <v>1</v>
      </c>
      <c r="AZ387" s="145">
        <f t="shared" si="129"/>
        <v>1</v>
      </c>
      <c r="BA387" s="146">
        <f t="shared" si="130"/>
        <v>1</v>
      </c>
      <c r="BB387" s="149">
        <f t="shared" si="142"/>
        <v>18</v>
      </c>
      <c r="BC387" s="150">
        <f t="shared" si="143"/>
        <v>17</v>
      </c>
      <c r="BD387" s="150">
        <f t="shared" si="144"/>
        <v>18</v>
      </c>
      <c r="BE387" s="211" t="str">
        <f t="shared" si="145"/>
        <v/>
      </c>
      <c r="BH387" s="190">
        <f>IF(AND(Input_Product=Elig!$C387,Elig_MatchAll_Ct&lt;22,$BC387=(Elig_MatchAll_Ct-1),AF387=0),C387,0)</f>
        <v>0</v>
      </c>
      <c r="BI387" s="190">
        <f>IF(AND(Input_Product=Elig!$C387,Elig_MatchAll_Ct&lt;22,$BC387=(Elig_MatchAll_Ct-1),AG387=0),D387,0)</f>
        <v>0</v>
      </c>
      <c r="BJ387" s="190">
        <f>IF(AND(Input_Product=Elig!$C387,Elig_MatchAll_Ct&lt;22,$BC387=(Elig_MatchAll_Ct-1),AH387=0),E387,0)</f>
        <v>0</v>
      </c>
      <c r="BK387" s="190">
        <f>IF(AND(Input_Product=Elig!$C387,Elig_MatchAll_Ct&lt;22,$BC387=(Elig_MatchAll_Ct-1),AI387=0),F387,0)</f>
        <v>0</v>
      </c>
      <c r="BL387" s="190">
        <f>IF(AND(Input_Product=Elig!$C387,Elig_MatchAll_Ct&lt;22,$BC387=(Elig_MatchAll_Ct-1),AJ387=0),G387,0)</f>
        <v>0</v>
      </c>
      <c r="BM387" s="190">
        <f>IF(AND(Input_Product=Elig!$C387,Elig_MatchAll_Ct&lt;22,$BC387=(Elig_MatchAll_Ct-1),AK387=0),H387,0)</f>
        <v>0</v>
      </c>
      <c r="BN387" s="190">
        <f>IF(AND(Input_Product=Elig!$C387,Elig_MatchAll_Ct&lt;22,$BC387=(Elig_MatchAll_Ct-1),AL387=0),I387,0)</f>
        <v>0</v>
      </c>
      <c r="BO387" s="190">
        <f>IF(AND(Input_Product=Elig!$C387,Elig_MatchAll_Ct&lt;22,$BC387=(Elig_MatchAll_Ct-1),AM387=0),J387,0)</f>
        <v>0</v>
      </c>
      <c r="BP387" s="190">
        <f>IF(AND(Input_Product=Elig!$C387,Elig_MatchAll_Ct&lt;22,$BC387=(Elig_MatchAll_Ct-1),AN387=0),K387,0)</f>
        <v>0</v>
      </c>
      <c r="BQ387" s="190">
        <f>IF(AND(Input_Product=Elig!$C387,Elig_MatchAll_Ct&lt;22,$BC387=(Elig_MatchAll_Ct-1),AP387=0),L387,0)</f>
        <v>0</v>
      </c>
      <c r="BR387" s="190">
        <f>IF(AND(Input_Product=Elig!$C387,Elig_MatchAll_Ct&lt;22,$BC387=(Elig_MatchAll_Ct-1),AO387=0),M387,0)</f>
        <v>0</v>
      </c>
      <c r="BS387" s="190">
        <f>IF(AND(Input_Product=Elig!$C387,Elig_MatchAll_Ct&lt;22,$BC387=(Elig_MatchAll_Ct-1),AQ387=0),N387,0)</f>
        <v>0</v>
      </c>
      <c r="BT387" s="190">
        <f>IF(AND(Input_Product=Elig!$C387,Elig_MatchAll_Ct&lt;22,$BC387=(Elig_MatchAll_Ct-1),AR387=0),O387,0)</f>
        <v>0</v>
      </c>
      <c r="BU387" s="190">
        <f>IF(AND(Input_Product=Elig!$C387,Elig_MatchAll_Ct&lt;22,$BC387=(Elig_MatchAll_Ct-1),AS387=0),P387,0)</f>
        <v>0</v>
      </c>
      <c r="BV387" s="191">
        <f>IF(AND(Input_Product=Elig!$C387,Elig_MatchAll_Ct&lt;22,$BC387=(Elig_MatchAll_Ct-1),AT387=0),Q387,0)</f>
        <v>0</v>
      </c>
      <c r="BW387" s="192">
        <f>IF(AND(Input_Product=Elig!$C387,Elig_MatchAll_Ct&lt;22,$BC387=(Elig_MatchAll_Ct-1),AU387=0),R387,0)</f>
        <v>0</v>
      </c>
      <c r="BX387" s="193">
        <f>IF(AND(Input_Product=Elig!$C387,Elig_MatchAll_Ct&lt;22,$BC387=(Elig_MatchAll_Ct-1),AU387=0),S387,0)</f>
        <v>0</v>
      </c>
      <c r="BY387" s="192">
        <f>IF(AND(Input_Product=Elig!$C387,Elig_MatchAll_Ct&lt;22,$BC387=(Elig_MatchAll_Ct-1),AV387=0),T387,0)</f>
        <v>0</v>
      </c>
      <c r="BZ387" s="193">
        <f>IF(AND(Input_Product=Elig!$C387,Elig_MatchAll_Ct&lt;22,$BC387=(Elig_MatchAll_Ct-1),AV387=0),U387,0)</f>
        <v>0</v>
      </c>
      <c r="CA387" s="192">
        <f>IF(AND(Input_Product=Elig!$C387,Elig_MatchAll_Ct&lt;22,$BC387=(Elig_MatchAll_Ct-1),AW387=0),V387,0)</f>
        <v>0</v>
      </c>
      <c r="CB387" s="193">
        <f>IF(AND(Input_Product=Elig!$C387,Elig_MatchAll_Ct&lt;22,$BC387=(Elig_MatchAll_Ct-1),AW387=0),W387,0)</f>
        <v>0</v>
      </c>
      <c r="CC387" s="192">
        <f>IF(AND(Input_Product=Elig!$C387,Elig_MatchAll_Ct&lt;22,$BC387=(Elig_MatchAll_Ct-1),AX387=0),X387,0)</f>
        <v>0</v>
      </c>
      <c r="CD387" s="193">
        <f>IF(AND(Input_Product=Elig!$C387,Elig_MatchAll_Ct&lt;22,$BC387=(Elig_MatchAll_Ct-1),AX387=0),Y387,0)</f>
        <v>0</v>
      </c>
      <c r="CE387" s="192">
        <f>IF(AND(Input_LTV&lt;=AE387,Input_Product=Elig!$C387,Elig_MatchAll_Ct&lt;22,$BC387=(Elig_MatchAll_Ct-1),AY387=0),Z387,0)</f>
        <v>0</v>
      </c>
      <c r="CF387" s="193">
        <f>IF(AND(Input_LTV&lt;=AE387,Input_Product=Elig!$C387,Elig_MatchAll_Ct&lt;22,$BC387=(Elig_MatchAll_Ct-1),AY387=0),AA387,0)</f>
        <v>0</v>
      </c>
      <c r="CG387" s="192">
        <f>IF(AND(Input_Product=Elig!$C387,Elig_MatchAll_Ct&lt;22,$BC387=(Elig_MatchAll_Ct-1),AZ387=0),AB387,0)</f>
        <v>0</v>
      </c>
      <c r="CH387" s="193">
        <f>IF(AND(Input_Product=Elig!$C387,Elig_MatchAll_Ct&lt;22,$BC387=(Elig_MatchAll_Ct-1),AZ387=0),AC387,0)</f>
        <v>0</v>
      </c>
      <c r="CI387" s="192">
        <f>IF(AND(Input_Product=Elig!$C387,Elig_MatchAll_Ct&lt;22,$BC387=(Elig_MatchAll_Ct-1),BA387=0),AD387,0)</f>
        <v>0</v>
      </c>
      <c r="CJ387" s="193">
        <f>IF(AND(Input_Product=Elig!$C387,Elig_MatchAll_Ct&lt;22,$BC387=(Elig_MatchAll_Ct-1),BA387=0),AE387,0)</f>
        <v>0</v>
      </c>
    </row>
    <row r="388" spans="1:88" ht="10.15" customHeight="1" x14ac:dyDescent="0.25">
      <c r="A388" s="252" t="s">
        <v>76</v>
      </c>
      <c r="B388" s="252" t="s">
        <v>1014</v>
      </c>
      <c r="C388" s="251" t="str">
        <f t="shared" si="140"/>
        <v>NonQM NOO</v>
      </c>
      <c r="D388" s="252" t="s">
        <v>1995</v>
      </c>
      <c r="E388" s="252" t="s">
        <v>166</v>
      </c>
      <c r="F388" s="252" t="s">
        <v>329</v>
      </c>
      <c r="G388" s="252" t="s">
        <v>465</v>
      </c>
      <c r="H388" s="252" t="s">
        <v>135</v>
      </c>
      <c r="I388" s="253" t="s">
        <v>16</v>
      </c>
      <c r="J388" s="253" t="s">
        <v>1130</v>
      </c>
      <c r="K388" s="253" t="s">
        <v>1398</v>
      </c>
      <c r="L388" s="252" t="s">
        <v>311</v>
      </c>
      <c r="M388" s="252" t="s">
        <v>2289</v>
      </c>
      <c r="N388" s="252" t="s">
        <v>1844</v>
      </c>
      <c r="O388" s="252" t="s">
        <v>309</v>
      </c>
      <c r="P388" s="252" t="s">
        <v>2434</v>
      </c>
      <c r="Q388" s="252" t="s">
        <v>293</v>
      </c>
      <c r="R388" s="252">
        <v>1500000.01</v>
      </c>
      <c r="S388" s="252">
        <v>2000000</v>
      </c>
      <c r="T388" s="252">
        <v>0</v>
      </c>
      <c r="U388" s="252">
        <f t="shared" si="146"/>
        <v>2000000</v>
      </c>
      <c r="V388" s="252">
        <v>0</v>
      </c>
      <c r="W388" s="252">
        <v>50</v>
      </c>
      <c r="X388" s="252">
        <v>0</v>
      </c>
      <c r="Y388" s="252">
        <v>999</v>
      </c>
      <c r="Z388" s="254">
        <v>700</v>
      </c>
      <c r="AA388" s="254">
        <v>719</v>
      </c>
      <c r="AB388" s="1883">
        <v>0</v>
      </c>
      <c r="AC388" s="254">
        <v>999999</v>
      </c>
      <c r="AD388" s="252">
        <v>0</v>
      </c>
      <c r="AE388" s="255">
        <v>75</v>
      </c>
      <c r="AF388" s="144">
        <v>0</v>
      </c>
      <c r="AG388" s="145">
        <v>1</v>
      </c>
      <c r="AH388" s="145">
        <v>1</v>
      </c>
      <c r="AI388" s="145">
        <v>1</v>
      </c>
      <c r="AJ388" s="145">
        <v>0</v>
      </c>
      <c r="AK388" s="145">
        <v>1</v>
      </c>
      <c r="AL388" s="145">
        <v>0</v>
      </c>
      <c r="AM388" s="145">
        <v>1</v>
      </c>
      <c r="AN388" s="145">
        <v>1</v>
      </c>
      <c r="AO388" s="145">
        <v>1</v>
      </c>
      <c r="AP388" s="145">
        <v>1</v>
      </c>
      <c r="AQ388" s="145">
        <v>1</v>
      </c>
      <c r="AR388" s="145">
        <v>1</v>
      </c>
      <c r="AS388" s="145">
        <v>1</v>
      </c>
      <c r="AT388" s="145">
        <v>1</v>
      </c>
      <c r="AU388" s="145">
        <f t="shared" si="125"/>
        <v>0</v>
      </c>
      <c r="AV388" s="145">
        <f t="shared" si="126"/>
        <v>1</v>
      </c>
      <c r="AW388" s="145">
        <f t="shared" si="127"/>
        <v>1</v>
      </c>
      <c r="AX388" s="145">
        <f t="shared" si="133"/>
        <v>1</v>
      </c>
      <c r="AY388" s="145">
        <f t="shared" si="128"/>
        <v>0</v>
      </c>
      <c r="AZ388" s="145">
        <f t="shared" si="129"/>
        <v>1</v>
      </c>
      <c r="BA388" s="146">
        <f t="shared" si="130"/>
        <v>1</v>
      </c>
      <c r="BB388" s="149">
        <f t="shared" si="142"/>
        <v>17</v>
      </c>
      <c r="BC388" s="150">
        <f t="shared" si="143"/>
        <v>16</v>
      </c>
      <c r="BD388" s="150">
        <f t="shared" si="144"/>
        <v>17</v>
      </c>
      <c r="BE388" s="211" t="str">
        <f t="shared" si="145"/>
        <v/>
      </c>
      <c r="BH388" s="173">
        <f>IF(AND(Input_Product=Elig!$C388,Elig_MatchAll_Ct&lt;22,$BC388=(Elig_MatchAll_Ct-1),AF388=0),C388,0)</f>
        <v>0</v>
      </c>
      <c r="BI388" s="173">
        <f>IF(AND(Input_Product=Elig!$C388,Elig_MatchAll_Ct&lt;22,$BC388=(Elig_MatchAll_Ct-1),AG388=0),D388,0)</f>
        <v>0</v>
      </c>
      <c r="BJ388" s="173">
        <f>IF(AND(Input_Product=Elig!$C388,Elig_MatchAll_Ct&lt;22,$BC388=(Elig_MatchAll_Ct-1),AH388=0),E388,0)</f>
        <v>0</v>
      </c>
      <c r="BK388" s="173">
        <f>IF(AND(Input_Product=Elig!$C388,Elig_MatchAll_Ct&lt;22,$BC388=(Elig_MatchAll_Ct-1),AI388=0),F388,0)</f>
        <v>0</v>
      </c>
      <c r="BL388" s="173">
        <f>IF(AND(Input_Product=Elig!$C388,Elig_MatchAll_Ct&lt;22,$BC388=(Elig_MatchAll_Ct-1),AJ388=0),G388,0)</f>
        <v>0</v>
      </c>
      <c r="BM388" s="173">
        <f>IF(AND(Input_Product=Elig!$C388,Elig_MatchAll_Ct&lt;22,$BC388=(Elig_MatchAll_Ct-1),AK388=0),H388,0)</f>
        <v>0</v>
      </c>
      <c r="BN388" s="173">
        <f>IF(AND(Input_Product=Elig!$C388,Elig_MatchAll_Ct&lt;22,$BC388=(Elig_MatchAll_Ct-1),AL388=0),I388,0)</f>
        <v>0</v>
      </c>
      <c r="BO388" s="173">
        <f>IF(AND(Input_Product=Elig!$C388,Elig_MatchAll_Ct&lt;22,$BC388=(Elig_MatchAll_Ct-1),AM388=0),J388,0)</f>
        <v>0</v>
      </c>
      <c r="BP388" s="173">
        <f>IF(AND(Input_Product=Elig!$C388,Elig_MatchAll_Ct&lt;22,$BC388=(Elig_MatchAll_Ct-1),AN388=0),K388,0)</f>
        <v>0</v>
      </c>
      <c r="BQ388" s="173">
        <f>IF(AND(Input_Product=Elig!$C388,Elig_MatchAll_Ct&lt;22,$BC388=(Elig_MatchAll_Ct-1),AP388=0),L388,0)</f>
        <v>0</v>
      </c>
      <c r="BR388" s="173">
        <f>IF(AND(Input_Product=Elig!$C388,Elig_MatchAll_Ct&lt;22,$BC388=(Elig_MatchAll_Ct-1),AO388=0),M388,0)</f>
        <v>0</v>
      </c>
      <c r="BS388" s="173">
        <f>IF(AND(Input_Product=Elig!$C388,Elig_MatchAll_Ct&lt;22,$BC388=(Elig_MatchAll_Ct-1),AQ388=0),N388,0)</f>
        <v>0</v>
      </c>
      <c r="BT388" s="173">
        <f>IF(AND(Input_Product=Elig!$C388,Elig_MatchAll_Ct&lt;22,$BC388=(Elig_MatchAll_Ct-1),AR388=0),O388,0)</f>
        <v>0</v>
      </c>
      <c r="BU388" s="173">
        <f>IF(AND(Input_Product=Elig!$C388,Elig_MatchAll_Ct&lt;22,$BC388=(Elig_MatchAll_Ct-1),AS388=0),P388,0)</f>
        <v>0</v>
      </c>
      <c r="BV388" s="174">
        <f>IF(AND(Input_Product=Elig!$C388,Elig_MatchAll_Ct&lt;22,$BC388=(Elig_MatchAll_Ct-1),AT388=0),Q388,0)</f>
        <v>0</v>
      </c>
      <c r="BW388" s="175">
        <f>IF(AND(Input_Product=Elig!$C388,Elig_MatchAll_Ct&lt;22,$BC388=(Elig_MatchAll_Ct-1),AU388=0),R388,0)</f>
        <v>0</v>
      </c>
      <c r="BX388" s="176">
        <f>IF(AND(Input_Product=Elig!$C388,Elig_MatchAll_Ct&lt;22,$BC388=(Elig_MatchAll_Ct-1),AU388=0),S388,0)</f>
        <v>0</v>
      </c>
      <c r="BY388" s="175">
        <f>IF(AND(Input_Product=Elig!$C388,Elig_MatchAll_Ct&lt;22,$BC388=(Elig_MatchAll_Ct-1),AV388=0),T388,0)</f>
        <v>0</v>
      </c>
      <c r="BZ388" s="176">
        <f>IF(AND(Input_Product=Elig!$C388,Elig_MatchAll_Ct&lt;22,$BC388=(Elig_MatchAll_Ct-1),AV388=0),U388,0)</f>
        <v>0</v>
      </c>
      <c r="CA388" s="175">
        <f>IF(AND(Input_Product=Elig!$C388,Elig_MatchAll_Ct&lt;22,$BC388=(Elig_MatchAll_Ct-1),AW388=0),V388,0)</f>
        <v>0</v>
      </c>
      <c r="CB388" s="176">
        <f>IF(AND(Input_Product=Elig!$C388,Elig_MatchAll_Ct&lt;22,$BC388=(Elig_MatchAll_Ct-1),AW388=0),W388,0)</f>
        <v>0</v>
      </c>
      <c r="CC388" s="175">
        <f>IF(AND(Input_Product=Elig!$C388,Elig_MatchAll_Ct&lt;22,$BC388=(Elig_MatchAll_Ct-1),AX388=0),X388,0)</f>
        <v>0</v>
      </c>
      <c r="CD388" s="176">
        <f>IF(AND(Input_Product=Elig!$C388,Elig_MatchAll_Ct&lt;22,$BC388=(Elig_MatchAll_Ct-1),AX388=0),Y388,0)</f>
        <v>0</v>
      </c>
      <c r="CE388" s="175">
        <f>IF(AND(Input_LTV&lt;=AE388,Input_Product=Elig!$C388,Elig_MatchAll_Ct&lt;22,$BC388=(Elig_MatchAll_Ct-1),AY388=0),Z388,0)</f>
        <v>0</v>
      </c>
      <c r="CF388" s="176">
        <f>IF(AND(Input_LTV&lt;=AE388,Input_Product=Elig!$C388,Elig_MatchAll_Ct&lt;22,$BC388=(Elig_MatchAll_Ct-1),AY388=0),AA388,0)</f>
        <v>0</v>
      </c>
      <c r="CG388" s="175">
        <f>IF(AND(Input_Product=Elig!$C388,Elig_MatchAll_Ct&lt;22,$BC388=(Elig_MatchAll_Ct-1),AZ388=0),AB388,0)</f>
        <v>0</v>
      </c>
      <c r="CH388" s="176">
        <f>IF(AND(Input_Product=Elig!$C388,Elig_MatchAll_Ct&lt;22,$BC388=(Elig_MatchAll_Ct-1),AZ388=0),AC388,0)</f>
        <v>0</v>
      </c>
      <c r="CI388" s="175">
        <f>IF(AND(Input_Product=Elig!$C388,Elig_MatchAll_Ct&lt;22,$BC388=(Elig_MatchAll_Ct-1),BA388=0),AD388,0)</f>
        <v>0</v>
      </c>
      <c r="CJ388" s="176">
        <f>IF(AND(Input_Product=Elig!$C388,Elig_MatchAll_Ct&lt;22,$BC388=(Elig_MatchAll_Ct-1),BA388=0),AE388,0)</f>
        <v>0</v>
      </c>
    </row>
    <row r="389" spans="1:88" ht="10.15" customHeight="1" x14ac:dyDescent="0.25">
      <c r="A389" s="252" t="s">
        <v>76</v>
      </c>
      <c r="B389" s="252" t="s">
        <v>1015</v>
      </c>
      <c r="C389" s="251" t="str">
        <f t="shared" si="140"/>
        <v>NonQM NOO</v>
      </c>
      <c r="D389" s="252" t="s">
        <v>1995</v>
      </c>
      <c r="E389" s="252" t="s">
        <v>166</v>
      </c>
      <c r="F389" s="252" t="s">
        <v>329</v>
      </c>
      <c r="G389" s="252" t="s">
        <v>465</v>
      </c>
      <c r="H389" s="252" t="s">
        <v>135</v>
      </c>
      <c r="I389" s="253" t="s">
        <v>16</v>
      </c>
      <c r="J389" s="253" t="s">
        <v>1130</v>
      </c>
      <c r="K389" s="253" t="s">
        <v>1398</v>
      </c>
      <c r="L389" s="252" t="s">
        <v>311</v>
      </c>
      <c r="M389" s="252" t="s">
        <v>2289</v>
      </c>
      <c r="N389" s="252" t="s">
        <v>1844</v>
      </c>
      <c r="O389" s="252" t="s">
        <v>309</v>
      </c>
      <c r="P389" s="252" t="s">
        <v>2434</v>
      </c>
      <c r="Q389" s="252" t="s">
        <v>293</v>
      </c>
      <c r="R389" s="252">
        <v>1500000.01</v>
      </c>
      <c r="S389" s="252">
        <v>2000000</v>
      </c>
      <c r="T389" s="252">
        <v>0</v>
      </c>
      <c r="U389" s="252">
        <f t="shared" si="146"/>
        <v>2000000</v>
      </c>
      <c r="V389" s="252">
        <v>0</v>
      </c>
      <c r="W389" s="252">
        <v>50</v>
      </c>
      <c r="X389" s="252">
        <v>0</v>
      </c>
      <c r="Y389" s="252">
        <v>999</v>
      </c>
      <c r="Z389" s="254">
        <v>680</v>
      </c>
      <c r="AA389" s="254">
        <v>699</v>
      </c>
      <c r="AB389" s="1883">
        <v>0</v>
      </c>
      <c r="AC389" s="254">
        <v>999999</v>
      </c>
      <c r="AD389" s="252">
        <v>0</v>
      </c>
      <c r="AE389" s="255">
        <v>70</v>
      </c>
      <c r="AF389" s="144">
        <v>0</v>
      </c>
      <c r="AG389" s="145">
        <v>1</v>
      </c>
      <c r="AH389" s="145">
        <v>1</v>
      </c>
      <c r="AI389" s="145">
        <v>1</v>
      </c>
      <c r="AJ389" s="145">
        <v>0</v>
      </c>
      <c r="AK389" s="145">
        <v>1</v>
      </c>
      <c r="AL389" s="145">
        <v>0</v>
      </c>
      <c r="AM389" s="145">
        <v>1</v>
      </c>
      <c r="AN389" s="145">
        <v>1</v>
      </c>
      <c r="AO389" s="145">
        <v>1</v>
      </c>
      <c r="AP389" s="145">
        <v>1</v>
      </c>
      <c r="AQ389" s="145">
        <v>1</v>
      </c>
      <c r="AR389" s="145">
        <v>1</v>
      </c>
      <c r="AS389" s="145">
        <v>1</v>
      </c>
      <c r="AT389" s="145">
        <v>1</v>
      </c>
      <c r="AU389" s="145">
        <f t="shared" si="125"/>
        <v>0</v>
      </c>
      <c r="AV389" s="145">
        <f t="shared" si="126"/>
        <v>1</v>
      </c>
      <c r="AW389" s="145">
        <f t="shared" si="127"/>
        <v>1</v>
      </c>
      <c r="AX389" s="145">
        <f t="shared" si="133"/>
        <v>1</v>
      </c>
      <c r="AY389" s="145">
        <f t="shared" si="128"/>
        <v>0</v>
      </c>
      <c r="AZ389" s="145">
        <f t="shared" si="129"/>
        <v>1</v>
      </c>
      <c r="BA389" s="146">
        <f t="shared" si="130"/>
        <v>1</v>
      </c>
      <c r="BB389" s="149">
        <f t="shared" si="142"/>
        <v>17</v>
      </c>
      <c r="BC389" s="150">
        <f t="shared" si="143"/>
        <v>16</v>
      </c>
      <c r="BD389" s="150">
        <f t="shared" si="144"/>
        <v>17</v>
      </c>
      <c r="BE389" s="211" t="str">
        <f t="shared" si="145"/>
        <v/>
      </c>
      <c r="BH389" s="173">
        <f>IF(AND(Input_Product=Elig!$C389,Elig_MatchAll_Ct&lt;22,$BC389=(Elig_MatchAll_Ct-1),AF389=0),C389,0)</f>
        <v>0</v>
      </c>
      <c r="BI389" s="173">
        <f>IF(AND(Input_Product=Elig!$C389,Elig_MatchAll_Ct&lt;22,$BC389=(Elig_MatchAll_Ct-1),AG389=0),D389,0)</f>
        <v>0</v>
      </c>
      <c r="BJ389" s="173">
        <f>IF(AND(Input_Product=Elig!$C389,Elig_MatchAll_Ct&lt;22,$BC389=(Elig_MatchAll_Ct-1),AH389=0),E389,0)</f>
        <v>0</v>
      </c>
      <c r="BK389" s="173">
        <f>IF(AND(Input_Product=Elig!$C389,Elig_MatchAll_Ct&lt;22,$BC389=(Elig_MatchAll_Ct-1),AI389=0),F389,0)</f>
        <v>0</v>
      </c>
      <c r="BL389" s="173">
        <f>IF(AND(Input_Product=Elig!$C389,Elig_MatchAll_Ct&lt;22,$BC389=(Elig_MatchAll_Ct-1),AJ389=0),G389,0)</f>
        <v>0</v>
      </c>
      <c r="BM389" s="173">
        <f>IF(AND(Input_Product=Elig!$C389,Elig_MatchAll_Ct&lt;22,$BC389=(Elig_MatchAll_Ct-1),AK389=0),H389,0)</f>
        <v>0</v>
      </c>
      <c r="BN389" s="173">
        <f>IF(AND(Input_Product=Elig!$C389,Elig_MatchAll_Ct&lt;22,$BC389=(Elig_MatchAll_Ct-1),AL389=0),I389,0)</f>
        <v>0</v>
      </c>
      <c r="BO389" s="173">
        <f>IF(AND(Input_Product=Elig!$C389,Elig_MatchAll_Ct&lt;22,$BC389=(Elig_MatchAll_Ct-1),AM389=0),J389,0)</f>
        <v>0</v>
      </c>
      <c r="BP389" s="173">
        <f>IF(AND(Input_Product=Elig!$C389,Elig_MatchAll_Ct&lt;22,$BC389=(Elig_MatchAll_Ct-1),AN389=0),K389,0)</f>
        <v>0</v>
      </c>
      <c r="BQ389" s="173">
        <f>IF(AND(Input_Product=Elig!$C389,Elig_MatchAll_Ct&lt;22,$BC389=(Elig_MatchAll_Ct-1),AP389=0),L389,0)</f>
        <v>0</v>
      </c>
      <c r="BR389" s="173">
        <f>IF(AND(Input_Product=Elig!$C389,Elig_MatchAll_Ct&lt;22,$BC389=(Elig_MatchAll_Ct-1),AO389=0),M389,0)</f>
        <v>0</v>
      </c>
      <c r="BS389" s="173">
        <f>IF(AND(Input_Product=Elig!$C389,Elig_MatchAll_Ct&lt;22,$BC389=(Elig_MatchAll_Ct-1),AQ389=0),N389,0)</f>
        <v>0</v>
      </c>
      <c r="BT389" s="173">
        <f>IF(AND(Input_Product=Elig!$C389,Elig_MatchAll_Ct&lt;22,$BC389=(Elig_MatchAll_Ct-1),AR389=0),O389,0)</f>
        <v>0</v>
      </c>
      <c r="BU389" s="173">
        <f>IF(AND(Input_Product=Elig!$C389,Elig_MatchAll_Ct&lt;22,$BC389=(Elig_MatchAll_Ct-1),AS389=0),P389,0)</f>
        <v>0</v>
      </c>
      <c r="BV389" s="174">
        <f>IF(AND(Input_Product=Elig!$C389,Elig_MatchAll_Ct&lt;22,$BC389=(Elig_MatchAll_Ct-1),AT389=0),Q389,0)</f>
        <v>0</v>
      </c>
      <c r="BW389" s="175">
        <f>IF(AND(Input_Product=Elig!$C389,Elig_MatchAll_Ct&lt;22,$BC389=(Elig_MatchAll_Ct-1),AU389=0),R389,0)</f>
        <v>0</v>
      </c>
      <c r="BX389" s="176">
        <f>IF(AND(Input_Product=Elig!$C389,Elig_MatchAll_Ct&lt;22,$BC389=(Elig_MatchAll_Ct-1),AU389=0),S389,0)</f>
        <v>0</v>
      </c>
      <c r="BY389" s="175">
        <f>IF(AND(Input_Product=Elig!$C389,Elig_MatchAll_Ct&lt;22,$BC389=(Elig_MatchAll_Ct-1),AV389=0),T389,0)</f>
        <v>0</v>
      </c>
      <c r="BZ389" s="176">
        <f>IF(AND(Input_Product=Elig!$C389,Elig_MatchAll_Ct&lt;22,$BC389=(Elig_MatchAll_Ct-1),AV389=0),U389,0)</f>
        <v>0</v>
      </c>
      <c r="CA389" s="175">
        <f>IF(AND(Input_Product=Elig!$C389,Elig_MatchAll_Ct&lt;22,$BC389=(Elig_MatchAll_Ct-1),AW389=0),V389,0)</f>
        <v>0</v>
      </c>
      <c r="CB389" s="176">
        <f>IF(AND(Input_Product=Elig!$C389,Elig_MatchAll_Ct&lt;22,$BC389=(Elig_MatchAll_Ct-1),AW389=0),W389,0)</f>
        <v>0</v>
      </c>
      <c r="CC389" s="175">
        <f>IF(AND(Input_Product=Elig!$C389,Elig_MatchAll_Ct&lt;22,$BC389=(Elig_MatchAll_Ct-1),AX389=0),X389,0)</f>
        <v>0</v>
      </c>
      <c r="CD389" s="176">
        <f>IF(AND(Input_Product=Elig!$C389,Elig_MatchAll_Ct&lt;22,$BC389=(Elig_MatchAll_Ct-1),AX389=0),Y389,0)</f>
        <v>0</v>
      </c>
      <c r="CE389" s="175">
        <f>IF(AND(Input_LTV&lt;=AE389,Input_Product=Elig!$C389,Elig_MatchAll_Ct&lt;22,$BC389=(Elig_MatchAll_Ct-1),AY389=0),Z389,0)</f>
        <v>0</v>
      </c>
      <c r="CF389" s="176">
        <f>IF(AND(Input_LTV&lt;=AE389,Input_Product=Elig!$C389,Elig_MatchAll_Ct&lt;22,$BC389=(Elig_MatchAll_Ct-1),AY389=0),AA389,0)</f>
        <v>0</v>
      </c>
      <c r="CG389" s="175">
        <f>IF(AND(Input_Product=Elig!$C389,Elig_MatchAll_Ct&lt;22,$BC389=(Elig_MatchAll_Ct-1),AZ389=0),AB389,0)</f>
        <v>0</v>
      </c>
      <c r="CH389" s="176">
        <f>IF(AND(Input_Product=Elig!$C389,Elig_MatchAll_Ct&lt;22,$BC389=(Elig_MatchAll_Ct-1),AZ389=0),AC389,0)</f>
        <v>0</v>
      </c>
      <c r="CI389" s="175">
        <f>IF(AND(Input_Product=Elig!$C389,Elig_MatchAll_Ct&lt;22,$BC389=(Elig_MatchAll_Ct-1),BA389=0),AD389,0)</f>
        <v>0</v>
      </c>
      <c r="CJ389" s="176">
        <f>IF(AND(Input_Product=Elig!$C389,Elig_MatchAll_Ct&lt;22,$BC389=(Elig_MatchAll_Ct-1),BA389=0),AE389,0)</f>
        <v>0</v>
      </c>
    </row>
    <row r="390" spans="1:88" ht="10.15" customHeight="1" x14ac:dyDescent="0.25">
      <c r="A390" s="252" t="s">
        <v>76</v>
      </c>
      <c r="B390" s="252" t="s">
        <v>1016</v>
      </c>
      <c r="C390" s="251" t="str">
        <f t="shared" si="140"/>
        <v>NonQM NOO</v>
      </c>
      <c r="D390" s="252" t="s">
        <v>1995</v>
      </c>
      <c r="E390" s="252" t="s">
        <v>166</v>
      </c>
      <c r="F390" s="252" t="s">
        <v>329</v>
      </c>
      <c r="G390" s="252" t="s">
        <v>465</v>
      </c>
      <c r="H390" s="252" t="s">
        <v>135</v>
      </c>
      <c r="I390" s="252" t="s">
        <v>16</v>
      </c>
      <c r="J390" s="252" t="s">
        <v>1130</v>
      </c>
      <c r="K390" s="252" t="s">
        <v>1398</v>
      </c>
      <c r="L390" s="252" t="s">
        <v>311</v>
      </c>
      <c r="M390" s="252" t="s">
        <v>2289</v>
      </c>
      <c r="N390" s="252" t="s">
        <v>1844</v>
      </c>
      <c r="O390" s="252" t="s">
        <v>309</v>
      </c>
      <c r="P390" s="252" t="s">
        <v>2434</v>
      </c>
      <c r="Q390" s="252" t="s">
        <v>293</v>
      </c>
      <c r="R390" s="252">
        <v>1500000.01</v>
      </c>
      <c r="S390" s="252">
        <v>2000000</v>
      </c>
      <c r="T390" s="252">
        <v>0</v>
      </c>
      <c r="U390" s="252">
        <f t="shared" si="146"/>
        <v>2000000</v>
      </c>
      <c r="V390" s="252">
        <v>0</v>
      </c>
      <c r="W390" s="252">
        <v>50</v>
      </c>
      <c r="X390" s="252">
        <v>0</v>
      </c>
      <c r="Y390" s="252">
        <v>999</v>
      </c>
      <c r="Z390" s="254">
        <v>660</v>
      </c>
      <c r="AA390" s="254">
        <v>679</v>
      </c>
      <c r="AB390" s="1883">
        <v>0</v>
      </c>
      <c r="AC390" s="254">
        <v>999999</v>
      </c>
      <c r="AD390" s="252">
        <v>0</v>
      </c>
      <c r="AE390" s="255">
        <v>65</v>
      </c>
      <c r="AF390" s="144">
        <v>0</v>
      </c>
      <c r="AG390" s="145">
        <v>1</v>
      </c>
      <c r="AH390" s="145">
        <v>1</v>
      </c>
      <c r="AI390" s="145">
        <v>1</v>
      </c>
      <c r="AJ390" s="145">
        <v>0</v>
      </c>
      <c r="AK390" s="145">
        <v>1</v>
      </c>
      <c r="AL390" s="145">
        <v>0</v>
      </c>
      <c r="AM390" s="145">
        <v>1</v>
      </c>
      <c r="AN390" s="145">
        <v>1</v>
      </c>
      <c r="AO390" s="145">
        <v>1</v>
      </c>
      <c r="AP390" s="145">
        <v>1</v>
      </c>
      <c r="AQ390" s="145">
        <v>1</v>
      </c>
      <c r="AR390" s="145">
        <v>1</v>
      </c>
      <c r="AS390" s="145">
        <v>1</v>
      </c>
      <c r="AT390" s="145">
        <v>1</v>
      </c>
      <c r="AU390" s="145">
        <f t="shared" si="125"/>
        <v>0</v>
      </c>
      <c r="AV390" s="145">
        <f t="shared" si="126"/>
        <v>1</v>
      </c>
      <c r="AW390" s="145">
        <f t="shared" si="127"/>
        <v>1</v>
      </c>
      <c r="AX390" s="145">
        <f t="shared" si="133"/>
        <v>1</v>
      </c>
      <c r="AY390" s="145">
        <f t="shared" si="128"/>
        <v>0</v>
      </c>
      <c r="AZ390" s="145">
        <f t="shared" si="129"/>
        <v>1</v>
      </c>
      <c r="BA390" s="146">
        <f t="shared" si="130"/>
        <v>0</v>
      </c>
      <c r="BB390" s="149">
        <f t="shared" si="142"/>
        <v>16</v>
      </c>
      <c r="BC390" s="150">
        <f t="shared" si="143"/>
        <v>16</v>
      </c>
      <c r="BD390" s="150">
        <f t="shared" si="144"/>
        <v>16</v>
      </c>
      <c r="BE390" s="211" t="str">
        <f t="shared" si="145"/>
        <v/>
      </c>
      <c r="BH390" s="173">
        <f>IF(AND(Input_Product=Elig!$C390,Elig_MatchAll_Ct&lt;22,$BC390=(Elig_MatchAll_Ct-1),AF390=0),C390,0)</f>
        <v>0</v>
      </c>
      <c r="BI390" s="173">
        <f>IF(AND(Input_Product=Elig!$C390,Elig_MatchAll_Ct&lt;22,$BC390=(Elig_MatchAll_Ct-1),AG390=0),D390,0)</f>
        <v>0</v>
      </c>
      <c r="BJ390" s="173">
        <f>IF(AND(Input_Product=Elig!$C390,Elig_MatchAll_Ct&lt;22,$BC390=(Elig_MatchAll_Ct-1),AH390=0),E390,0)</f>
        <v>0</v>
      </c>
      <c r="BK390" s="173">
        <f>IF(AND(Input_Product=Elig!$C390,Elig_MatchAll_Ct&lt;22,$BC390=(Elig_MatchAll_Ct-1),AI390=0),F390,0)</f>
        <v>0</v>
      </c>
      <c r="BL390" s="173">
        <f>IF(AND(Input_Product=Elig!$C390,Elig_MatchAll_Ct&lt;22,$BC390=(Elig_MatchAll_Ct-1),AJ390=0),G390,0)</f>
        <v>0</v>
      </c>
      <c r="BM390" s="173">
        <f>IF(AND(Input_Product=Elig!$C390,Elig_MatchAll_Ct&lt;22,$BC390=(Elig_MatchAll_Ct-1),AK390=0),H390,0)</f>
        <v>0</v>
      </c>
      <c r="BN390" s="173">
        <f>IF(AND(Input_Product=Elig!$C390,Elig_MatchAll_Ct&lt;22,$BC390=(Elig_MatchAll_Ct-1),AL390=0),I390,0)</f>
        <v>0</v>
      </c>
      <c r="BO390" s="173">
        <f>IF(AND(Input_Product=Elig!$C390,Elig_MatchAll_Ct&lt;22,$BC390=(Elig_MatchAll_Ct-1),AM390=0),J390,0)</f>
        <v>0</v>
      </c>
      <c r="BP390" s="173">
        <f>IF(AND(Input_Product=Elig!$C390,Elig_MatchAll_Ct&lt;22,$BC390=(Elig_MatchAll_Ct-1),AN390=0),K390,0)</f>
        <v>0</v>
      </c>
      <c r="BQ390" s="173">
        <f>IF(AND(Input_Product=Elig!$C390,Elig_MatchAll_Ct&lt;22,$BC390=(Elig_MatchAll_Ct-1),AP390=0),L390,0)</f>
        <v>0</v>
      </c>
      <c r="BR390" s="173">
        <f>IF(AND(Input_Product=Elig!$C390,Elig_MatchAll_Ct&lt;22,$BC390=(Elig_MatchAll_Ct-1),AO390=0),M390,0)</f>
        <v>0</v>
      </c>
      <c r="BS390" s="173">
        <f>IF(AND(Input_Product=Elig!$C390,Elig_MatchAll_Ct&lt;22,$BC390=(Elig_MatchAll_Ct-1),AQ390=0),N390,0)</f>
        <v>0</v>
      </c>
      <c r="BT390" s="173">
        <f>IF(AND(Input_Product=Elig!$C390,Elig_MatchAll_Ct&lt;22,$BC390=(Elig_MatchAll_Ct-1),AR390=0),O390,0)</f>
        <v>0</v>
      </c>
      <c r="BU390" s="173">
        <f>IF(AND(Input_Product=Elig!$C390,Elig_MatchAll_Ct&lt;22,$BC390=(Elig_MatchAll_Ct-1),AS390=0),P390,0)</f>
        <v>0</v>
      </c>
      <c r="BV390" s="174">
        <f>IF(AND(Input_Product=Elig!$C390,Elig_MatchAll_Ct&lt;22,$BC390=(Elig_MatchAll_Ct-1),AT390=0),Q390,0)</f>
        <v>0</v>
      </c>
      <c r="BW390" s="175">
        <f>IF(AND(Input_Product=Elig!$C390,Elig_MatchAll_Ct&lt;22,$BC390=(Elig_MatchAll_Ct-1),AU390=0),R390,0)</f>
        <v>0</v>
      </c>
      <c r="BX390" s="176">
        <f>IF(AND(Input_Product=Elig!$C390,Elig_MatchAll_Ct&lt;22,$BC390=(Elig_MatchAll_Ct-1),AU390=0),S390,0)</f>
        <v>0</v>
      </c>
      <c r="BY390" s="175">
        <f>IF(AND(Input_Product=Elig!$C390,Elig_MatchAll_Ct&lt;22,$BC390=(Elig_MatchAll_Ct-1),AV390=0),T390,0)</f>
        <v>0</v>
      </c>
      <c r="BZ390" s="176">
        <f>IF(AND(Input_Product=Elig!$C390,Elig_MatchAll_Ct&lt;22,$BC390=(Elig_MatchAll_Ct-1),AV390=0),U390,0)</f>
        <v>0</v>
      </c>
      <c r="CA390" s="175">
        <f>IF(AND(Input_Product=Elig!$C390,Elig_MatchAll_Ct&lt;22,$BC390=(Elig_MatchAll_Ct-1),AW390=0),V390,0)</f>
        <v>0</v>
      </c>
      <c r="CB390" s="176">
        <f>IF(AND(Input_Product=Elig!$C390,Elig_MatchAll_Ct&lt;22,$BC390=(Elig_MatchAll_Ct-1),AW390=0),W390,0)</f>
        <v>0</v>
      </c>
      <c r="CC390" s="175">
        <f>IF(AND(Input_Product=Elig!$C390,Elig_MatchAll_Ct&lt;22,$BC390=(Elig_MatchAll_Ct-1),AX390=0),X390,0)</f>
        <v>0</v>
      </c>
      <c r="CD390" s="176">
        <f>IF(AND(Input_Product=Elig!$C390,Elig_MatchAll_Ct&lt;22,$BC390=(Elig_MatchAll_Ct-1),AX390=0),Y390,0)</f>
        <v>0</v>
      </c>
      <c r="CE390" s="175">
        <f>IF(AND(Input_LTV&lt;=AE390,Input_Product=Elig!$C390,Elig_MatchAll_Ct&lt;22,$BC390=(Elig_MatchAll_Ct-1),AY390=0),Z390,0)</f>
        <v>0</v>
      </c>
      <c r="CF390" s="176">
        <f>IF(AND(Input_LTV&lt;=AE390,Input_Product=Elig!$C390,Elig_MatchAll_Ct&lt;22,$BC390=(Elig_MatchAll_Ct-1),AY390=0),AA390,0)</f>
        <v>0</v>
      </c>
      <c r="CG390" s="175">
        <f>IF(AND(Input_Product=Elig!$C390,Elig_MatchAll_Ct&lt;22,$BC390=(Elig_MatchAll_Ct-1),AZ390=0),AB390,0)</f>
        <v>0</v>
      </c>
      <c r="CH390" s="176">
        <f>IF(AND(Input_Product=Elig!$C390,Elig_MatchAll_Ct&lt;22,$BC390=(Elig_MatchAll_Ct-1),AZ390=0),AC390,0)</f>
        <v>0</v>
      </c>
      <c r="CI390" s="175">
        <f>IF(AND(Input_Product=Elig!$C390,Elig_MatchAll_Ct&lt;22,$BC390=(Elig_MatchAll_Ct-1),BA390=0),AD390,0)</f>
        <v>0</v>
      </c>
      <c r="CJ390" s="176">
        <f>IF(AND(Input_Product=Elig!$C390,Elig_MatchAll_Ct&lt;22,$BC390=(Elig_MatchAll_Ct-1),BA390=0),AE390,0)</f>
        <v>0</v>
      </c>
    </row>
    <row r="391" spans="1:88" ht="10.15" customHeight="1" x14ac:dyDescent="0.25">
      <c r="A391" s="252" t="s">
        <v>76</v>
      </c>
      <c r="B391" s="252" t="s">
        <v>1017</v>
      </c>
      <c r="C391" s="246" t="str">
        <f t="shared" si="140"/>
        <v>NonQM NOO</v>
      </c>
      <c r="D391" s="247" t="s">
        <v>1995</v>
      </c>
      <c r="E391" s="248" t="s">
        <v>166</v>
      </c>
      <c r="F391" s="248" t="s">
        <v>329</v>
      </c>
      <c r="G391" s="248" t="s">
        <v>178</v>
      </c>
      <c r="H391" s="248" t="s">
        <v>135</v>
      </c>
      <c r="I391" s="247" t="s">
        <v>273</v>
      </c>
      <c r="J391" s="247" t="s">
        <v>1130</v>
      </c>
      <c r="K391" s="247" t="s">
        <v>1398</v>
      </c>
      <c r="L391" s="248" t="s">
        <v>311</v>
      </c>
      <c r="M391" s="248" t="s">
        <v>2289</v>
      </c>
      <c r="N391" s="248" t="s">
        <v>1844</v>
      </c>
      <c r="O391" s="248" t="s">
        <v>309</v>
      </c>
      <c r="P391" s="248" t="s">
        <v>2434</v>
      </c>
      <c r="Q391" s="248" t="s">
        <v>293</v>
      </c>
      <c r="R391" s="247">
        <v>1500000.01</v>
      </c>
      <c r="S391" s="247">
        <v>2000000</v>
      </c>
      <c r="T391" s="247">
        <v>0</v>
      </c>
      <c r="U391" s="247">
        <v>0</v>
      </c>
      <c r="V391" s="247">
        <v>0</v>
      </c>
      <c r="W391" s="247">
        <v>50</v>
      </c>
      <c r="X391" s="247">
        <v>0</v>
      </c>
      <c r="Y391" s="247">
        <v>999</v>
      </c>
      <c r="Z391" s="249">
        <v>720</v>
      </c>
      <c r="AA391" s="249">
        <v>999</v>
      </c>
      <c r="AB391" s="1882">
        <v>0</v>
      </c>
      <c r="AC391" s="249">
        <v>999999</v>
      </c>
      <c r="AD391" s="247">
        <v>0</v>
      </c>
      <c r="AE391" s="250">
        <v>70</v>
      </c>
      <c r="AF391" s="144">
        <v>0</v>
      </c>
      <c r="AG391" s="145">
        <v>1</v>
      </c>
      <c r="AH391" s="145">
        <v>1</v>
      </c>
      <c r="AI391" s="145">
        <v>1</v>
      </c>
      <c r="AJ391" s="145">
        <v>0</v>
      </c>
      <c r="AK391" s="145">
        <v>1</v>
      </c>
      <c r="AL391" s="145">
        <v>1</v>
      </c>
      <c r="AM391" s="145">
        <v>1</v>
      </c>
      <c r="AN391" s="145">
        <v>1</v>
      </c>
      <c r="AO391" s="145">
        <v>1</v>
      </c>
      <c r="AP391" s="145">
        <v>1</v>
      </c>
      <c r="AQ391" s="145">
        <v>1</v>
      </c>
      <c r="AR391" s="145">
        <v>1</v>
      </c>
      <c r="AS391" s="145">
        <v>1</v>
      </c>
      <c r="AT391" s="145">
        <v>1</v>
      </c>
      <c r="AU391" s="145">
        <f t="shared" si="125"/>
        <v>0</v>
      </c>
      <c r="AV391" s="145">
        <f t="shared" si="126"/>
        <v>1</v>
      </c>
      <c r="AW391" s="145">
        <f t="shared" si="127"/>
        <v>1</v>
      </c>
      <c r="AX391" s="145">
        <f t="shared" si="133"/>
        <v>1</v>
      </c>
      <c r="AY391" s="145">
        <f t="shared" si="128"/>
        <v>1</v>
      </c>
      <c r="AZ391" s="145">
        <f t="shared" si="129"/>
        <v>1</v>
      </c>
      <c r="BA391" s="146">
        <f t="shared" si="130"/>
        <v>1</v>
      </c>
      <c r="BB391" s="149">
        <f t="shared" si="142"/>
        <v>19</v>
      </c>
      <c r="BC391" s="150">
        <f t="shared" si="143"/>
        <v>18</v>
      </c>
      <c r="BD391" s="150">
        <f t="shared" si="144"/>
        <v>19</v>
      </c>
      <c r="BE391" s="211" t="str">
        <f t="shared" si="145"/>
        <v/>
      </c>
      <c r="BH391" s="190">
        <f>IF(AND(Input_Product=Elig!$C391,Elig_MatchAll_Ct&lt;22,$BC391=(Elig_MatchAll_Ct-1),AF391=0),C391,0)</f>
        <v>0</v>
      </c>
      <c r="BI391" s="190">
        <f>IF(AND(Input_Product=Elig!$C391,Elig_MatchAll_Ct&lt;22,$BC391=(Elig_MatchAll_Ct-1),AG391=0),D391,0)</f>
        <v>0</v>
      </c>
      <c r="BJ391" s="190">
        <f>IF(AND(Input_Product=Elig!$C391,Elig_MatchAll_Ct&lt;22,$BC391=(Elig_MatchAll_Ct-1),AH391=0),E391,0)</f>
        <v>0</v>
      </c>
      <c r="BK391" s="190">
        <f>IF(AND(Input_Product=Elig!$C391,Elig_MatchAll_Ct&lt;22,$BC391=(Elig_MatchAll_Ct-1),AI391=0),F391,0)</f>
        <v>0</v>
      </c>
      <c r="BL391" s="190">
        <f>IF(AND(Input_Product=Elig!$C391,Elig_MatchAll_Ct&lt;22,$BC391=(Elig_MatchAll_Ct-1),AJ391=0),G391,0)</f>
        <v>0</v>
      </c>
      <c r="BM391" s="190">
        <f>IF(AND(Input_Product=Elig!$C391,Elig_MatchAll_Ct&lt;22,$BC391=(Elig_MatchAll_Ct-1),AK391=0),H391,0)</f>
        <v>0</v>
      </c>
      <c r="BN391" s="190">
        <f>IF(AND(Input_Product=Elig!$C391,Elig_MatchAll_Ct&lt;22,$BC391=(Elig_MatchAll_Ct-1),AL391=0),I391,0)</f>
        <v>0</v>
      </c>
      <c r="BO391" s="190">
        <f>IF(AND(Input_Product=Elig!$C391,Elig_MatchAll_Ct&lt;22,$BC391=(Elig_MatchAll_Ct-1),AM391=0),J391,0)</f>
        <v>0</v>
      </c>
      <c r="BP391" s="190">
        <f>IF(AND(Input_Product=Elig!$C391,Elig_MatchAll_Ct&lt;22,$BC391=(Elig_MatchAll_Ct-1),AN391=0),K391,0)</f>
        <v>0</v>
      </c>
      <c r="BQ391" s="190">
        <f>IF(AND(Input_Product=Elig!$C391,Elig_MatchAll_Ct&lt;22,$BC391=(Elig_MatchAll_Ct-1),AP391=0),L391,0)</f>
        <v>0</v>
      </c>
      <c r="BR391" s="190">
        <f>IF(AND(Input_Product=Elig!$C391,Elig_MatchAll_Ct&lt;22,$BC391=(Elig_MatchAll_Ct-1),AO391=0),M391,0)</f>
        <v>0</v>
      </c>
      <c r="BS391" s="190">
        <f>IF(AND(Input_Product=Elig!$C391,Elig_MatchAll_Ct&lt;22,$BC391=(Elig_MatchAll_Ct-1),AQ391=0),N391,0)</f>
        <v>0</v>
      </c>
      <c r="BT391" s="190">
        <f>IF(AND(Input_Product=Elig!$C391,Elig_MatchAll_Ct&lt;22,$BC391=(Elig_MatchAll_Ct-1),AR391=0),O391,0)</f>
        <v>0</v>
      </c>
      <c r="BU391" s="190">
        <f>IF(AND(Input_Product=Elig!$C391,Elig_MatchAll_Ct&lt;22,$BC391=(Elig_MatchAll_Ct-1),AS391=0),P391,0)</f>
        <v>0</v>
      </c>
      <c r="BV391" s="191">
        <f>IF(AND(Input_Product=Elig!$C391,Elig_MatchAll_Ct&lt;22,$BC391=(Elig_MatchAll_Ct-1),AT391=0),Q391,0)</f>
        <v>0</v>
      </c>
      <c r="BW391" s="192">
        <f>IF(AND(Input_Product=Elig!$C391,Elig_MatchAll_Ct&lt;22,$BC391=(Elig_MatchAll_Ct-1),AU391=0),R391,0)</f>
        <v>0</v>
      </c>
      <c r="BX391" s="193">
        <f>IF(AND(Input_Product=Elig!$C391,Elig_MatchAll_Ct&lt;22,$BC391=(Elig_MatchAll_Ct-1),AU391=0),S391,0)</f>
        <v>0</v>
      </c>
      <c r="BY391" s="192">
        <f>IF(AND(Input_Product=Elig!$C391,Elig_MatchAll_Ct&lt;22,$BC391=(Elig_MatchAll_Ct-1),AV391=0),T391,0)</f>
        <v>0</v>
      </c>
      <c r="BZ391" s="193">
        <f>IF(AND(Input_Product=Elig!$C391,Elig_MatchAll_Ct&lt;22,$BC391=(Elig_MatchAll_Ct-1),AV391=0),U391,0)</f>
        <v>0</v>
      </c>
      <c r="CA391" s="192">
        <f>IF(AND(Input_Product=Elig!$C391,Elig_MatchAll_Ct&lt;22,$BC391=(Elig_MatchAll_Ct-1),AW391=0),V391,0)</f>
        <v>0</v>
      </c>
      <c r="CB391" s="193">
        <f>IF(AND(Input_Product=Elig!$C391,Elig_MatchAll_Ct&lt;22,$BC391=(Elig_MatchAll_Ct-1),AW391=0),W391,0)</f>
        <v>0</v>
      </c>
      <c r="CC391" s="192">
        <f>IF(AND(Input_Product=Elig!$C391,Elig_MatchAll_Ct&lt;22,$BC391=(Elig_MatchAll_Ct-1),AX391=0),X391,0)</f>
        <v>0</v>
      </c>
      <c r="CD391" s="193">
        <f>IF(AND(Input_Product=Elig!$C391,Elig_MatchAll_Ct&lt;22,$BC391=(Elig_MatchAll_Ct-1),AX391=0),Y391,0)</f>
        <v>0</v>
      </c>
      <c r="CE391" s="192">
        <f>IF(AND(Input_LTV&lt;=AE391,Input_Product=Elig!$C391,Elig_MatchAll_Ct&lt;22,$BC391=(Elig_MatchAll_Ct-1),AY391=0),Z391,0)</f>
        <v>0</v>
      </c>
      <c r="CF391" s="193">
        <f>IF(AND(Input_LTV&lt;=AE391,Input_Product=Elig!$C391,Elig_MatchAll_Ct&lt;22,$BC391=(Elig_MatchAll_Ct-1),AY391=0),AA391,0)</f>
        <v>0</v>
      </c>
      <c r="CG391" s="192">
        <f>IF(AND(Input_Product=Elig!$C391,Elig_MatchAll_Ct&lt;22,$BC391=(Elig_MatchAll_Ct-1),AZ391=0),AB391,0)</f>
        <v>0</v>
      </c>
      <c r="CH391" s="193">
        <f>IF(AND(Input_Product=Elig!$C391,Elig_MatchAll_Ct&lt;22,$BC391=(Elig_MatchAll_Ct-1),AZ391=0),AC391,0)</f>
        <v>0</v>
      </c>
      <c r="CI391" s="192">
        <f>IF(AND(Input_Product=Elig!$C391,Elig_MatchAll_Ct&lt;22,$BC391=(Elig_MatchAll_Ct-1),BA391=0),AD391,0)</f>
        <v>0</v>
      </c>
      <c r="CJ391" s="193">
        <f>IF(AND(Input_Product=Elig!$C391,Elig_MatchAll_Ct&lt;22,$BC391=(Elig_MatchAll_Ct-1),BA391=0),AE391,0)</f>
        <v>0</v>
      </c>
    </row>
    <row r="392" spans="1:88" ht="10.15" customHeight="1" x14ac:dyDescent="0.25">
      <c r="A392" s="252" t="s">
        <v>76</v>
      </c>
      <c r="B392" s="252" t="s">
        <v>1018</v>
      </c>
      <c r="C392" s="251" t="str">
        <f t="shared" si="140"/>
        <v>NonQM NOO</v>
      </c>
      <c r="D392" s="252" t="s">
        <v>1995</v>
      </c>
      <c r="E392" s="252" t="s">
        <v>166</v>
      </c>
      <c r="F392" s="252" t="s">
        <v>329</v>
      </c>
      <c r="G392" s="252" t="s">
        <v>178</v>
      </c>
      <c r="H392" s="252" t="s">
        <v>135</v>
      </c>
      <c r="I392" s="253" t="s">
        <v>273</v>
      </c>
      <c r="J392" s="253" t="s">
        <v>1130</v>
      </c>
      <c r="K392" s="253" t="s">
        <v>1398</v>
      </c>
      <c r="L392" s="252" t="s">
        <v>311</v>
      </c>
      <c r="M392" s="252" t="s">
        <v>2289</v>
      </c>
      <c r="N392" s="252" t="s">
        <v>1844</v>
      </c>
      <c r="O392" s="252" t="s">
        <v>309</v>
      </c>
      <c r="P392" s="252" t="s">
        <v>2434</v>
      </c>
      <c r="Q392" s="252" t="s">
        <v>293</v>
      </c>
      <c r="R392" s="252">
        <v>1500000.01</v>
      </c>
      <c r="S392" s="252">
        <v>2000000</v>
      </c>
      <c r="T392" s="252">
        <v>0</v>
      </c>
      <c r="U392" s="252">
        <v>0</v>
      </c>
      <c r="V392" s="252">
        <v>0</v>
      </c>
      <c r="W392" s="252">
        <v>50</v>
      </c>
      <c r="X392" s="252">
        <v>0</v>
      </c>
      <c r="Y392" s="252">
        <v>999</v>
      </c>
      <c r="Z392" s="254">
        <v>700</v>
      </c>
      <c r="AA392" s="254">
        <v>719</v>
      </c>
      <c r="AB392" s="1883">
        <v>0</v>
      </c>
      <c r="AC392" s="254">
        <v>999999</v>
      </c>
      <c r="AD392" s="252">
        <v>0</v>
      </c>
      <c r="AE392" s="255">
        <v>65</v>
      </c>
      <c r="AF392" s="144">
        <v>0</v>
      </c>
      <c r="AG392" s="145">
        <v>1</v>
      </c>
      <c r="AH392" s="145">
        <v>1</v>
      </c>
      <c r="AI392" s="145">
        <v>1</v>
      </c>
      <c r="AJ392" s="145">
        <v>0</v>
      </c>
      <c r="AK392" s="145">
        <v>1</v>
      </c>
      <c r="AL392" s="145">
        <v>1</v>
      </c>
      <c r="AM392" s="145">
        <v>1</v>
      </c>
      <c r="AN392" s="145">
        <v>1</v>
      </c>
      <c r="AO392" s="145">
        <v>1</v>
      </c>
      <c r="AP392" s="145">
        <v>1</v>
      </c>
      <c r="AQ392" s="145">
        <v>1</v>
      </c>
      <c r="AR392" s="145">
        <v>1</v>
      </c>
      <c r="AS392" s="145">
        <v>1</v>
      </c>
      <c r="AT392" s="145">
        <v>1</v>
      </c>
      <c r="AU392" s="145">
        <f t="shared" si="125"/>
        <v>0</v>
      </c>
      <c r="AV392" s="145">
        <f t="shared" si="126"/>
        <v>1</v>
      </c>
      <c r="AW392" s="145">
        <f t="shared" si="127"/>
        <v>1</v>
      </c>
      <c r="AX392" s="145">
        <f t="shared" si="133"/>
        <v>1</v>
      </c>
      <c r="AY392" s="145">
        <f t="shared" si="128"/>
        <v>0</v>
      </c>
      <c r="AZ392" s="145">
        <f t="shared" si="129"/>
        <v>1</v>
      </c>
      <c r="BA392" s="146">
        <f t="shared" si="130"/>
        <v>0</v>
      </c>
      <c r="BB392" s="149">
        <f t="shared" si="142"/>
        <v>17</v>
      </c>
      <c r="BC392" s="150">
        <f t="shared" si="143"/>
        <v>17</v>
      </c>
      <c r="BD392" s="150">
        <f t="shared" si="144"/>
        <v>17</v>
      </c>
      <c r="BE392" s="211" t="str">
        <f t="shared" si="145"/>
        <v/>
      </c>
      <c r="BH392" s="173">
        <f>IF(AND(Input_Product=Elig!$C392,Elig_MatchAll_Ct&lt;22,$BC392=(Elig_MatchAll_Ct-1),AF392=0),C392,0)</f>
        <v>0</v>
      </c>
      <c r="BI392" s="173">
        <f>IF(AND(Input_Product=Elig!$C392,Elig_MatchAll_Ct&lt;22,$BC392=(Elig_MatchAll_Ct-1),AG392=0),D392,0)</f>
        <v>0</v>
      </c>
      <c r="BJ392" s="173">
        <f>IF(AND(Input_Product=Elig!$C392,Elig_MatchAll_Ct&lt;22,$BC392=(Elig_MatchAll_Ct-1),AH392=0),E392,0)</f>
        <v>0</v>
      </c>
      <c r="BK392" s="173">
        <f>IF(AND(Input_Product=Elig!$C392,Elig_MatchAll_Ct&lt;22,$BC392=(Elig_MatchAll_Ct-1),AI392=0),F392,0)</f>
        <v>0</v>
      </c>
      <c r="BL392" s="173">
        <f>IF(AND(Input_Product=Elig!$C392,Elig_MatchAll_Ct&lt;22,$BC392=(Elig_MatchAll_Ct-1),AJ392=0),G392,0)</f>
        <v>0</v>
      </c>
      <c r="BM392" s="173">
        <f>IF(AND(Input_Product=Elig!$C392,Elig_MatchAll_Ct&lt;22,$BC392=(Elig_MatchAll_Ct-1),AK392=0),H392,0)</f>
        <v>0</v>
      </c>
      <c r="BN392" s="173">
        <f>IF(AND(Input_Product=Elig!$C392,Elig_MatchAll_Ct&lt;22,$BC392=(Elig_MatchAll_Ct-1),AL392=0),I392,0)</f>
        <v>0</v>
      </c>
      <c r="BO392" s="173">
        <f>IF(AND(Input_Product=Elig!$C392,Elig_MatchAll_Ct&lt;22,$BC392=(Elig_MatchAll_Ct-1),AM392=0),J392,0)</f>
        <v>0</v>
      </c>
      <c r="BP392" s="173">
        <f>IF(AND(Input_Product=Elig!$C392,Elig_MatchAll_Ct&lt;22,$BC392=(Elig_MatchAll_Ct-1),AN392=0),K392,0)</f>
        <v>0</v>
      </c>
      <c r="BQ392" s="173">
        <f>IF(AND(Input_Product=Elig!$C392,Elig_MatchAll_Ct&lt;22,$BC392=(Elig_MatchAll_Ct-1),AP392=0),L392,0)</f>
        <v>0</v>
      </c>
      <c r="BR392" s="173">
        <f>IF(AND(Input_Product=Elig!$C392,Elig_MatchAll_Ct&lt;22,$BC392=(Elig_MatchAll_Ct-1),AO392=0),M392,0)</f>
        <v>0</v>
      </c>
      <c r="BS392" s="173">
        <f>IF(AND(Input_Product=Elig!$C392,Elig_MatchAll_Ct&lt;22,$BC392=(Elig_MatchAll_Ct-1),AQ392=0),N392,0)</f>
        <v>0</v>
      </c>
      <c r="BT392" s="173">
        <f>IF(AND(Input_Product=Elig!$C392,Elig_MatchAll_Ct&lt;22,$BC392=(Elig_MatchAll_Ct-1),AR392=0),O392,0)</f>
        <v>0</v>
      </c>
      <c r="BU392" s="173">
        <f>IF(AND(Input_Product=Elig!$C392,Elig_MatchAll_Ct&lt;22,$BC392=(Elig_MatchAll_Ct-1),AS392=0),P392,0)</f>
        <v>0</v>
      </c>
      <c r="BV392" s="174">
        <f>IF(AND(Input_Product=Elig!$C392,Elig_MatchAll_Ct&lt;22,$BC392=(Elig_MatchAll_Ct-1),AT392=0),Q392,0)</f>
        <v>0</v>
      </c>
      <c r="BW392" s="175">
        <f>IF(AND(Input_Product=Elig!$C392,Elig_MatchAll_Ct&lt;22,$BC392=(Elig_MatchAll_Ct-1),AU392=0),R392,0)</f>
        <v>0</v>
      </c>
      <c r="BX392" s="176">
        <f>IF(AND(Input_Product=Elig!$C392,Elig_MatchAll_Ct&lt;22,$BC392=(Elig_MatchAll_Ct-1),AU392=0),S392,0)</f>
        <v>0</v>
      </c>
      <c r="BY392" s="175">
        <f>IF(AND(Input_Product=Elig!$C392,Elig_MatchAll_Ct&lt;22,$BC392=(Elig_MatchAll_Ct-1),AV392=0),T392,0)</f>
        <v>0</v>
      </c>
      <c r="BZ392" s="176">
        <f>IF(AND(Input_Product=Elig!$C392,Elig_MatchAll_Ct&lt;22,$BC392=(Elig_MatchAll_Ct-1),AV392=0),U392,0)</f>
        <v>0</v>
      </c>
      <c r="CA392" s="175">
        <f>IF(AND(Input_Product=Elig!$C392,Elig_MatchAll_Ct&lt;22,$BC392=(Elig_MatchAll_Ct-1),AW392=0),V392,0)</f>
        <v>0</v>
      </c>
      <c r="CB392" s="176">
        <f>IF(AND(Input_Product=Elig!$C392,Elig_MatchAll_Ct&lt;22,$BC392=(Elig_MatchAll_Ct-1),AW392=0),W392,0)</f>
        <v>0</v>
      </c>
      <c r="CC392" s="175">
        <f>IF(AND(Input_Product=Elig!$C392,Elig_MatchAll_Ct&lt;22,$BC392=(Elig_MatchAll_Ct-1),AX392=0),X392,0)</f>
        <v>0</v>
      </c>
      <c r="CD392" s="176">
        <f>IF(AND(Input_Product=Elig!$C392,Elig_MatchAll_Ct&lt;22,$BC392=(Elig_MatchAll_Ct-1),AX392=0),Y392,0)</f>
        <v>0</v>
      </c>
      <c r="CE392" s="175">
        <f>IF(AND(Input_LTV&lt;=AE392,Input_Product=Elig!$C392,Elig_MatchAll_Ct&lt;22,$BC392=(Elig_MatchAll_Ct-1),AY392=0),Z392,0)</f>
        <v>0</v>
      </c>
      <c r="CF392" s="176">
        <f>IF(AND(Input_LTV&lt;=AE392,Input_Product=Elig!$C392,Elig_MatchAll_Ct&lt;22,$BC392=(Elig_MatchAll_Ct-1),AY392=0),AA392,0)</f>
        <v>0</v>
      </c>
      <c r="CG392" s="175">
        <f>IF(AND(Input_Product=Elig!$C392,Elig_MatchAll_Ct&lt;22,$BC392=(Elig_MatchAll_Ct-1),AZ392=0),AB392,0)</f>
        <v>0</v>
      </c>
      <c r="CH392" s="176">
        <f>IF(AND(Input_Product=Elig!$C392,Elig_MatchAll_Ct&lt;22,$BC392=(Elig_MatchAll_Ct-1),AZ392=0),AC392,0)</f>
        <v>0</v>
      </c>
      <c r="CI392" s="175">
        <f>IF(AND(Input_Product=Elig!$C392,Elig_MatchAll_Ct&lt;22,$BC392=(Elig_MatchAll_Ct-1),BA392=0),AD392,0)</f>
        <v>0</v>
      </c>
      <c r="CJ392" s="176">
        <f>IF(AND(Input_Product=Elig!$C392,Elig_MatchAll_Ct&lt;22,$BC392=(Elig_MatchAll_Ct-1),BA392=0),AE392,0)</f>
        <v>0</v>
      </c>
    </row>
    <row r="393" spans="1:88" ht="10.15" customHeight="1" x14ac:dyDescent="0.25">
      <c r="A393" s="252" t="s">
        <v>76</v>
      </c>
      <c r="B393" s="252" t="s">
        <v>1019</v>
      </c>
      <c r="C393" s="251" t="str">
        <f t="shared" si="140"/>
        <v>NonQM NOO</v>
      </c>
      <c r="D393" s="252" t="s">
        <v>1995</v>
      </c>
      <c r="E393" s="252" t="s">
        <v>166</v>
      </c>
      <c r="F393" s="252" t="s">
        <v>329</v>
      </c>
      <c r="G393" s="252" t="s">
        <v>178</v>
      </c>
      <c r="H393" s="252" t="s">
        <v>135</v>
      </c>
      <c r="I393" s="253" t="s">
        <v>273</v>
      </c>
      <c r="J393" s="253" t="s">
        <v>1130</v>
      </c>
      <c r="K393" s="253" t="s">
        <v>1398</v>
      </c>
      <c r="L393" s="252" t="s">
        <v>311</v>
      </c>
      <c r="M393" s="252" t="s">
        <v>2289</v>
      </c>
      <c r="N393" s="252" t="s">
        <v>1844</v>
      </c>
      <c r="O393" s="252" t="s">
        <v>309</v>
      </c>
      <c r="P393" s="252" t="s">
        <v>2434</v>
      </c>
      <c r="Q393" s="252" t="s">
        <v>293</v>
      </c>
      <c r="R393" s="252">
        <v>1500000.01</v>
      </c>
      <c r="S393" s="252">
        <v>2000000</v>
      </c>
      <c r="T393" s="252">
        <v>0</v>
      </c>
      <c r="U393" s="252">
        <v>0</v>
      </c>
      <c r="V393" s="252">
        <v>0</v>
      </c>
      <c r="W393" s="252">
        <v>50</v>
      </c>
      <c r="X393" s="252">
        <v>0</v>
      </c>
      <c r="Y393" s="252">
        <v>999</v>
      </c>
      <c r="Z393" s="254">
        <v>680</v>
      </c>
      <c r="AA393" s="254">
        <v>699</v>
      </c>
      <c r="AB393" s="1883">
        <v>0</v>
      </c>
      <c r="AC393" s="254">
        <v>999999</v>
      </c>
      <c r="AD393" s="252">
        <v>0</v>
      </c>
      <c r="AE393" s="255">
        <v>65</v>
      </c>
      <c r="AF393" s="144">
        <v>0</v>
      </c>
      <c r="AG393" s="145">
        <v>1</v>
      </c>
      <c r="AH393" s="145">
        <v>1</v>
      </c>
      <c r="AI393" s="145">
        <v>1</v>
      </c>
      <c r="AJ393" s="145">
        <v>0</v>
      </c>
      <c r="AK393" s="145">
        <v>1</v>
      </c>
      <c r="AL393" s="145">
        <v>1</v>
      </c>
      <c r="AM393" s="145">
        <v>1</v>
      </c>
      <c r="AN393" s="145">
        <v>1</v>
      </c>
      <c r="AO393" s="145">
        <v>1</v>
      </c>
      <c r="AP393" s="145">
        <v>1</v>
      </c>
      <c r="AQ393" s="145">
        <v>1</v>
      </c>
      <c r="AR393" s="145">
        <v>1</v>
      </c>
      <c r="AS393" s="145">
        <v>1</v>
      </c>
      <c r="AT393" s="145">
        <v>1</v>
      </c>
      <c r="AU393" s="145">
        <f t="shared" si="125"/>
        <v>0</v>
      </c>
      <c r="AV393" s="145">
        <f t="shared" si="126"/>
        <v>1</v>
      </c>
      <c r="AW393" s="145">
        <f t="shared" si="127"/>
        <v>1</v>
      </c>
      <c r="AX393" s="145">
        <f t="shared" si="133"/>
        <v>1</v>
      </c>
      <c r="AY393" s="145">
        <f t="shared" si="128"/>
        <v>0</v>
      </c>
      <c r="AZ393" s="145">
        <f t="shared" si="129"/>
        <v>1</v>
      </c>
      <c r="BA393" s="146">
        <f t="shared" si="130"/>
        <v>0</v>
      </c>
      <c r="BB393" s="149">
        <f t="shared" si="142"/>
        <v>17</v>
      </c>
      <c r="BC393" s="150">
        <f t="shared" si="143"/>
        <v>17</v>
      </c>
      <c r="BD393" s="150">
        <f t="shared" si="144"/>
        <v>17</v>
      </c>
      <c r="BE393" s="211" t="str">
        <f t="shared" si="145"/>
        <v/>
      </c>
      <c r="BH393" s="173">
        <f>IF(AND(Input_Product=Elig!$C393,Elig_MatchAll_Ct&lt;22,$BC393=(Elig_MatchAll_Ct-1),AF393=0),C393,0)</f>
        <v>0</v>
      </c>
      <c r="BI393" s="173">
        <f>IF(AND(Input_Product=Elig!$C393,Elig_MatchAll_Ct&lt;22,$BC393=(Elig_MatchAll_Ct-1),AG393=0),D393,0)</f>
        <v>0</v>
      </c>
      <c r="BJ393" s="173">
        <f>IF(AND(Input_Product=Elig!$C393,Elig_MatchAll_Ct&lt;22,$BC393=(Elig_MatchAll_Ct-1),AH393=0),E393,0)</f>
        <v>0</v>
      </c>
      <c r="BK393" s="173">
        <f>IF(AND(Input_Product=Elig!$C393,Elig_MatchAll_Ct&lt;22,$BC393=(Elig_MatchAll_Ct-1),AI393=0),F393,0)</f>
        <v>0</v>
      </c>
      <c r="BL393" s="173">
        <f>IF(AND(Input_Product=Elig!$C393,Elig_MatchAll_Ct&lt;22,$BC393=(Elig_MatchAll_Ct-1),AJ393=0),G393,0)</f>
        <v>0</v>
      </c>
      <c r="BM393" s="173">
        <f>IF(AND(Input_Product=Elig!$C393,Elig_MatchAll_Ct&lt;22,$BC393=(Elig_MatchAll_Ct-1),AK393=0),H393,0)</f>
        <v>0</v>
      </c>
      <c r="BN393" s="173">
        <f>IF(AND(Input_Product=Elig!$C393,Elig_MatchAll_Ct&lt;22,$BC393=(Elig_MatchAll_Ct-1),AL393=0),I393,0)</f>
        <v>0</v>
      </c>
      <c r="BO393" s="173">
        <f>IF(AND(Input_Product=Elig!$C393,Elig_MatchAll_Ct&lt;22,$BC393=(Elig_MatchAll_Ct-1),AM393=0),J393,0)</f>
        <v>0</v>
      </c>
      <c r="BP393" s="173">
        <f>IF(AND(Input_Product=Elig!$C393,Elig_MatchAll_Ct&lt;22,$BC393=(Elig_MatchAll_Ct-1),AN393=0),K393,0)</f>
        <v>0</v>
      </c>
      <c r="BQ393" s="173">
        <f>IF(AND(Input_Product=Elig!$C393,Elig_MatchAll_Ct&lt;22,$BC393=(Elig_MatchAll_Ct-1),AP393=0),L393,0)</f>
        <v>0</v>
      </c>
      <c r="BR393" s="173">
        <f>IF(AND(Input_Product=Elig!$C393,Elig_MatchAll_Ct&lt;22,$BC393=(Elig_MatchAll_Ct-1),AO393=0),M393,0)</f>
        <v>0</v>
      </c>
      <c r="BS393" s="173">
        <f>IF(AND(Input_Product=Elig!$C393,Elig_MatchAll_Ct&lt;22,$BC393=(Elig_MatchAll_Ct-1),AQ393=0),N393,0)</f>
        <v>0</v>
      </c>
      <c r="BT393" s="173">
        <f>IF(AND(Input_Product=Elig!$C393,Elig_MatchAll_Ct&lt;22,$BC393=(Elig_MatchAll_Ct-1),AR393=0),O393,0)</f>
        <v>0</v>
      </c>
      <c r="BU393" s="173">
        <f>IF(AND(Input_Product=Elig!$C393,Elig_MatchAll_Ct&lt;22,$BC393=(Elig_MatchAll_Ct-1),AS393=0),P393,0)</f>
        <v>0</v>
      </c>
      <c r="BV393" s="174">
        <f>IF(AND(Input_Product=Elig!$C393,Elig_MatchAll_Ct&lt;22,$BC393=(Elig_MatchAll_Ct-1),AT393=0),Q393,0)</f>
        <v>0</v>
      </c>
      <c r="BW393" s="175">
        <f>IF(AND(Input_Product=Elig!$C393,Elig_MatchAll_Ct&lt;22,$BC393=(Elig_MatchAll_Ct-1),AU393=0),R393,0)</f>
        <v>0</v>
      </c>
      <c r="BX393" s="176">
        <f>IF(AND(Input_Product=Elig!$C393,Elig_MatchAll_Ct&lt;22,$BC393=(Elig_MatchAll_Ct-1),AU393=0),S393,0)</f>
        <v>0</v>
      </c>
      <c r="BY393" s="175">
        <f>IF(AND(Input_Product=Elig!$C393,Elig_MatchAll_Ct&lt;22,$BC393=(Elig_MatchAll_Ct-1),AV393=0),T393,0)</f>
        <v>0</v>
      </c>
      <c r="BZ393" s="176">
        <f>IF(AND(Input_Product=Elig!$C393,Elig_MatchAll_Ct&lt;22,$BC393=(Elig_MatchAll_Ct-1),AV393=0),U393,0)</f>
        <v>0</v>
      </c>
      <c r="CA393" s="175">
        <f>IF(AND(Input_Product=Elig!$C393,Elig_MatchAll_Ct&lt;22,$BC393=(Elig_MatchAll_Ct-1),AW393=0),V393,0)</f>
        <v>0</v>
      </c>
      <c r="CB393" s="176">
        <f>IF(AND(Input_Product=Elig!$C393,Elig_MatchAll_Ct&lt;22,$BC393=(Elig_MatchAll_Ct-1),AW393=0),W393,0)</f>
        <v>0</v>
      </c>
      <c r="CC393" s="175">
        <f>IF(AND(Input_Product=Elig!$C393,Elig_MatchAll_Ct&lt;22,$BC393=(Elig_MatchAll_Ct-1),AX393=0),X393,0)</f>
        <v>0</v>
      </c>
      <c r="CD393" s="176">
        <f>IF(AND(Input_Product=Elig!$C393,Elig_MatchAll_Ct&lt;22,$BC393=(Elig_MatchAll_Ct-1),AX393=0),Y393,0)</f>
        <v>0</v>
      </c>
      <c r="CE393" s="175">
        <f>IF(AND(Input_LTV&lt;=AE393,Input_Product=Elig!$C393,Elig_MatchAll_Ct&lt;22,$BC393=(Elig_MatchAll_Ct-1),AY393=0),Z393,0)</f>
        <v>0</v>
      </c>
      <c r="CF393" s="176">
        <f>IF(AND(Input_LTV&lt;=AE393,Input_Product=Elig!$C393,Elig_MatchAll_Ct&lt;22,$BC393=(Elig_MatchAll_Ct-1),AY393=0),AA393,0)</f>
        <v>0</v>
      </c>
      <c r="CG393" s="175">
        <f>IF(AND(Input_Product=Elig!$C393,Elig_MatchAll_Ct&lt;22,$BC393=(Elig_MatchAll_Ct-1),AZ393=0),AB393,0)</f>
        <v>0</v>
      </c>
      <c r="CH393" s="176">
        <f>IF(AND(Input_Product=Elig!$C393,Elig_MatchAll_Ct&lt;22,$BC393=(Elig_MatchAll_Ct-1),AZ393=0),AC393,0)</f>
        <v>0</v>
      </c>
      <c r="CI393" s="175">
        <f>IF(AND(Input_Product=Elig!$C393,Elig_MatchAll_Ct&lt;22,$BC393=(Elig_MatchAll_Ct-1),BA393=0),AD393,0)</f>
        <v>0</v>
      </c>
      <c r="CJ393" s="176">
        <f>IF(AND(Input_Product=Elig!$C393,Elig_MatchAll_Ct&lt;22,$BC393=(Elig_MatchAll_Ct-1),BA393=0),AE393,0)</f>
        <v>0</v>
      </c>
    </row>
    <row r="394" spans="1:88" ht="10.15" customHeight="1" x14ac:dyDescent="0.25">
      <c r="A394" s="252" t="s">
        <v>76</v>
      </c>
      <c r="B394" s="252" t="s">
        <v>1020</v>
      </c>
      <c r="C394" s="251" t="str">
        <f t="shared" si="140"/>
        <v>NonQM NOO</v>
      </c>
      <c r="D394" s="252" t="s">
        <v>1995</v>
      </c>
      <c r="E394" s="252" t="s">
        <v>166</v>
      </c>
      <c r="F394" s="252" t="s">
        <v>329</v>
      </c>
      <c r="G394" s="252" t="s">
        <v>178</v>
      </c>
      <c r="H394" s="252" t="s">
        <v>135</v>
      </c>
      <c r="I394" s="253" t="s">
        <v>273</v>
      </c>
      <c r="J394" s="253" t="s">
        <v>1130</v>
      </c>
      <c r="K394" s="253" t="s">
        <v>1398</v>
      </c>
      <c r="L394" s="252" t="s">
        <v>311</v>
      </c>
      <c r="M394" s="252" t="s">
        <v>2289</v>
      </c>
      <c r="N394" s="252" t="s">
        <v>1844</v>
      </c>
      <c r="O394" s="252" t="s">
        <v>309</v>
      </c>
      <c r="P394" s="252" t="s">
        <v>2434</v>
      </c>
      <c r="Q394" s="252" t="s">
        <v>293</v>
      </c>
      <c r="R394" s="252">
        <v>1500000.01</v>
      </c>
      <c r="S394" s="252">
        <v>2000000</v>
      </c>
      <c r="T394" s="252">
        <v>0</v>
      </c>
      <c r="U394" s="252">
        <v>0</v>
      </c>
      <c r="V394" s="252">
        <v>0</v>
      </c>
      <c r="W394" s="252">
        <v>50</v>
      </c>
      <c r="X394" s="252">
        <v>0</v>
      </c>
      <c r="Y394" s="252">
        <v>999</v>
      </c>
      <c r="Z394" s="254">
        <v>660</v>
      </c>
      <c r="AA394" s="254">
        <v>679</v>
      </c>
      <c r="AB394" s="1883">
        <v>0</v>
      </c>
      <c r="AC394" s="254">
        <v>999999</v>
      </c>
      <c r="AD394" s="252">
        <v>0</v>
      </c>
      <c r="AE394" s="255">
        <v>65</v>
      </c>
      <c r="AF394" s="144">
        <v>0</v>
      </c>
      <c r="AG394" s="145">
        <v>1</v>
      </c>
      <c r="AH394" s="145">
        <v>1</v>
      </c>
      <c r="AI394" s="145">
        <v>1</v>
      </c>
      <c r="AJ394" s="145">
        <v>0</v>
      </c>
      <c r="AK394" s="145">
        <v>1</v>
      </c>
      <c r="AL394" s="145">
        <v>1</v>
      </c>
      <c r="AM394" s="145">
        <v>1</v>
      </c>
      <c r="AN394" s="145">
        <v>1</v>
      </c>
      <c r="AO394" s="145">
        <v>1</v>
      </c>
      <c r="AP394" s="145">
        <v>1</v>
      </c>
      <c r="AQ394" s="145">
        <v>1</v>
      </c>
      <c r="AR394" s="145">
        <v>1</v>
      </c>
      <c r="AS394" s="145">
        <v>1</v>
      </c>
      <c r="AT394" s="145">
        <v>1</v>
      </c>
      <c r="AU394" s="145">
        <f t="shared" si="125"/>
        <v>0</v>
      </c>
      <c r="AV394" s="145">
        <f t="shared" si="126"/>
        <v>1</v>
      </c>
      <c r="AW394" s="145">
        <f t="shared" si="127"/>
        <v>1</v>
      </c>
      <c r="AX394" s="145">
        <f t="shared" si="133"/>
        <v>1</v>
      </c>
      <c r="AY394" s="145">
        <f t="shared" si="128"/>
        <v>0</v>
      </c>
      <c r="AZ394" s="145">
        <f t="shared" si="129"/>
        <v>1</v>
      </c>
      <c r="BA394" s="146">
        <f t="shared" si="130"/>
        <v>0</v>
      </c>
      <c r="BB394" s="149">
        <f t="shared" si="142"/>
        <v>17</v>
      </c>
      <c r="BC394" s="150">
        <f t="shared" si="143"/>
        <v>17</v>
      </c>
      <c r="BD394" s="150">
        <f t="shared" si="144"/>
        <v>17</v>
      </c>
      <c r="BE394" s="211" t="str">
        <f t="shared" si="145"/>
        <v/>
      </c>
      <c r="BH394" s="173">
        <f>IF(AND(Input_Product=Elig!$C394,Elig_MatchAll_Ct&lt;22,$BC394=(Elig_MatchAll_Ct-1),AF394=0),C394,0)</f>
        <v>0</v>
      </c>
      <c r="BI394" s="173">
        <f>IF(AND(Input_Product=Elig!$C394,Elig_MatchAll_Ct&lt;22,$BC394=(Elig_MatchAll_Ct-1),AG394=0),D394,0)</f>
        <v>0</v>
      </c>
      <c r="BJ394" s="173">
        <f>IF(AND(Input_Product=Elig!$C394,Elig_MatchAll_Ct&lt;22,$BC394=(Elig_MatchAll_Ct-1),AH394=0),E394,0)</f>
        <v>0</v>
      </c>
      <c r="BK394" s="173">
        <f>IF(AND(Input_Product=Elig!$C394,Elig_MatchAll_Ct&lt;22,$BC394=(Elig_MatchAll_Ct-1),AI394=0),F394,0)</f>
        <v>0</v>
      </c>
      <c r="BL394" s="173">
        <f>IF(AND(Input_Product=Elig!$C394,Elig_MatchAll_Ct&lt;22,$BC394=(Elig_MatchAll_Ct-1),AJ394=0),G394,0)</f>
        <v>0</v>
      </c>
      <c r="BM394" s="173">
        <f>IF(AND(Input_Product=Elig!$C394,Elig_MatchAll_Ct&lt;22,$BC394=(Elig_MatchAll_Ct-1),AK394=0),H394,0)</f>
        <v>0</v>
      </c>
      <c r="BN394" s="173">
        <f>IF(AND(Input_Product=Elig!$C394,Elig_MatchAll_Ct&lt;22,$BC394=(Elig_MatchAll_Ct-1),AL394=0),I394,0)</f>
        <v>0</v>
      </c>
      <c r="BO394" s="173">
        <f>IF(AND(Input_Product=Elig!$C394,Elig_MatchAll_Ct&lt;22,$BC394=(Elig_MatchAll_Ct-1),AM394=0),J394,0)</f>
        <v>0</v>
      </c>
      <c r="BP394" s="173">
        <f>IF(AND(Input_Product=Elig!$C394,Elig_MatchAll_Ct&lt;22,$BC394=(Elig_MatchAll_Ct-1),AN394=0),K394,0)</f>
        <v>0</v>
      </c>
      <c r="BQ394" s="173">
        <f>IF(AND(Input_Product=Elig!$C394,Elig_MatchAll_Ct&lt;22,$BC394=(Elig_MatchAll_Ct-1),AP394=0),L394,0)</f>
        <v>0</v>
      </c>
      <c r="BR394" s="173">
        <f>IF(AND(Input_Product=Elig!$C394,Elig_MatchAll_Ct&lt;22,$BC394=(Elig_MatchAll_Ct-1),AO394=0),M394,0)</f>
        <v>0</v>
      </c>
      <c r="BS394" s="173">
        <f>IF(AND(Input_Product=Elig!$C394,Elig_MatchAll_Ct&lt;22,$BC394=(Elig_MatchAll_Ct-1),AQ394=0),N394,0)</f>
        <v>0</v>
      </c>
      <c r="BT394" s="173">
        <f>IF(AND(Input_Product=Elig!$C394,Elig_MatchAll_Ct&lt;22,$BC394=(Elig_MatchAll_Ct-1),AR394=0),O394,0)</f>
        <v>0</v>
      </c>
      <c r="BU394" s="173">
        <f>IF(AND(Input_Product=Elig!$C394,Elig_MatchAll_Ct&lt;22,$BC394=(Elig_MatchAll_Ct-1),AS394=0),P394,0)</f>
        <v>0</v>
      </c>
      <c r="BV394" s="174">
        <f>IF(AND(Input_Product=Elig!$C394,Elig_MatchAll_Ct&lt;22,$BC394=(Elig_MatchAll_Ct-1),AT394=0),Q394,0)</f>
        <v>0</v>
      </c>
      <c r="BW394" s="175">
        <f>IF(AND(Input_Product=Elig!$C394,Elig_MatchAll_Ct&lt;22,$BC394=(Elig_MatchAll_Ct-1),AU394=0),R394,0)</f>
        <v>0</v>
      </c>
      <c r="BX394" s="176">
        <f>IF(AND(Input_Product=Elig!$C394,Elig_MatchAll_Ct&lt;22,$BC394=(Elig_MatchAll_Ct-1),AU394=0),S394,0)</f>
        <v>0</v>
      </c>
      <c r="BY394" s="175">
        <f>IF(AND(Input_Product=Elig!$C394,Elig_MatchAll_Ct&lt;22,$BC394=(Elig_MatchAll_Ct-1),AV394=0),T394,0)</f>
        <v>0</v>
      </c>
      <c r="BZ394" s="176">
        <f>IF(AND(Input_Product=Elig!$C394,Elig_MatchAll_Ct&lt;22,$BC394=(Elig_MatchAll_Ct-1),AV394=0),U394,0)</f>
        <v>0</v>
      </c>
      <c r="CA394" s="175">
        <f>IF(AND(Input_Product=Elig!$C394,Elig_MatchAll_Ct&lt;22,$BC394=(Elig_MatchAll_Ct-1),AW394=0),V394,0)</f>
        <v>0</v>
      </c>
      <c r="CB394" s="176">
        <f>IF(AND(Input_Product=Elig!$C394,Elig_MatchAll_Ct&lt;22,$BC394=(Elig_MatchAll_Ct-1),AW394=0),W394,0)</f>
        <v>0</v>
      </c>
      <c r="CC394" s="175">
        <f>IF(AND(Input_Product=Elig!$C394,Elig_MatchAll_Ct&lt;22,$BC394=(Elig_MatchAll_Ct-1),AX394=0),X394,0)</f>
        <v>0</v>
      </c>
      <c r="CD394" s="176">
        <f>IF(AND(Input_Product=Elig!$C394,Elig_MatchAll_Ct&lt;22,$BC394=(Elig_MatchAll_Ct-1),AX394=0),Y394,0)</f>
        <v>0</v>
      </c>
      <c r="CE394" s="175">
        <f>IF(AND(Input_LTV&lt;=AE394,Input_Product=Elig!$C394,Elig_MatchAll_Ct&lt;22,$BC394=(Elig_MatchAll_Ct-1),AY394=0),Z394,0)</f>
        <v>0</v>
      </c>
      <c r="CF394" s="176">
        <f>IF(AND(Input_LTV&lt;=AE394,Input_Product=Elig!$C394,Elig_MatchAll_Ct&lt;22,$BC394=(Elig_MatchAll_Ct-1),AY394=0),AA394,0)</f>
        <v>0</v>
      </c>
      <c r="CG394" s="175">
        <f>IF(AND(Input_Product=Elig!$C394,Elig_MatchAll_Ct&lt;22,$BC394=(Elig_MatchAll_Ct-1),AZ394=0),AB394,0)</f>
        <v>0</v>
      </c>
      <c r="CH394" s="176">
        <f>IF(AND(Input_Product=Elig!$C394,Elig_MatchAll_Ct&lt;22,$BC394=(Elig_MatchAll_Ct-1),AZ394=0),AC394,0)</f>
        <v>0</v>
      </c>
      <c r="CI394" s="175">
        <f>IF(AND(Input_Product=Elig!$C394,Elig_MatchAll_Ct&lt;22,$BC394=(Elig_MatchAll_Ct-1),BA394=0),AD394,0)</f>
        <v>0</v>
      </c>
      <c r="CJ394" s="176">
        <f>IF(AND(Input_Product=Elig!$C394,Elig_MatchAll_Ct&lt;22,$BC394=(Elig_MatchAll_Ct-1),BA394=0),AE394,0)</f>
        <v>0</v>
      </c>
    </row>
    <row r="395" spans="1:88" ht="10.15" customHeight="1" x14ac:dyDescent="0.25">
      <c r="A395" s="252" t="s">
        <v>76</v>
      </c>
      <c r="B395" s="252" t="s">
        <v>1021</v>
      </c>
      <c r="C395" s="246" t="str">
        <f t="shared" si="140"/>
        <v>NonQM NOO</v>
      </c>
      <c r="D395" s="247" t="s">
        <v>1995</v>
      </c>
      <c r="E395" s="248" t="s">
        <v>166</v>
      </c>
      <c r="F395" s="248" t="s">
        <v>329</v>
      </c>
      <c r="G395" s="248" t="s">
        <v>178</v>
      </c>
      <c r="H395" s="248" t="s">
        <v>135</v>
      </c>
      <c r="I395" s="247" t="s">
        <v>16</v>
      </c>
      <c r="J395" s="247" t="s">
        <v>1130</v>
      </c>
      <c r="K395" s="247" t="s">
        <v>1398</v>
      </c>
      <c r="L395" s="248" t="s">
        <v>311</v>
      </c>
      <c r="M395" s="248" t="s">
        <v>2289</v>
      </c>
      <c r="N395" s="248" t="s">
        <v>1844</v>
      </c>
      <c r="O395" s="248" t="s">
        <v>309</v>
      </c>
      <c r="P395" s="248" t="s">
        <v>2434</v>
      </c>
      <c r="Q395" s="248" t="s">
        <v>293</v>
      </c>
      <c r="R395" s="247">
        <v>1500000.01</v>
      </c>
      <c r="S395" s="247">
        <v>2000000</v>
      </c>
      <c r="T395" s="247">
        <v>0</v>
      </c>
      <c r="U395" s="247">
        <f t="shared" ref="U395:U398" si="147">S395</f>
        <v>2000000</v>
      </c>
      <c r="V395" s="247">
        <v>0</v>
      </c>
      <c r="W395" s="247">
        <v>50</v>
      </c>
      <c r="X395" s="247">
        <v>0</v>
      </c>
      <c r="Y395" s="247">
        <v>999</v>
      </c>
      <c r="Z395" s="249">
        <v>720</v>
      </c>
      <c r="AA395" s="249">
        <v>999</v>
      </c>
      <c r="AB395" s="1882">
        <v>0</v>
      </c>
      <c r="AC395" s="249">
        <v>999999</v>
      </c>
      <c r="AD395" s="247">
        <v>0</v>
      </c>
      <c r="AE395" s="250">
        <v>60</v>
      </c>
      <c r="AF395" s="144">
        <v>0</v>
      </c>
      <c r="AG395" s="145">
        <v>1</v>
      </c>
      <c r="AH395" s="145">
        <v>1</v>
      </c>
      <c r="AI395" s="145">
        <v>1</v>
      </c>
      <c r="AJ395" s="145">
        <v>0</v>
      </c>
      <c r="AK395" s="145">
        <v>1</v>
      </c>
      <c r="AL395" s="145">
        <v>0</v>
      </c>
      <c r="AM395" s="145">
        <v>1</v>
      </c>
      <c r="AN395" s="145">
        <v>1</v>
      </c>
      <c r="AO395" s="145">
        <v>1</v>
      </c>
      <c r="AP395" s="145">
        <v>1</v>
      </c>
      <c r="AQ395" s="145">
        <v>1</v>
      </c>
      <c r="AR395" s="145">
        <v>1</v>
      </c>
      <c r="AS395" s="145">
        <v>1</v>
      </c>
      <c r="AT395" s="145">
        <v>1</v>
      </c>
      <c r="AU395" s="145">
        <f t="shared" si="125"/>
        <v>0</v>
      </c>
      <c r="AV395" s="145">
        <f t="shared" si="126"/>
        <v>1</v>
      </c>
      <c r="AW395" s="145">
        <f t="shared" si="127"/>
        <v>1</v>
      </c>
      <c r="AX395" s="145">
        <f t="shared" si="133"/>
        <v>1</v>
      </c>
      <c r="AY395" s="145">
        <f t="shared" si="128"/>
        <v>1</v>
      </c>
      <c r="AZ395" s="145">
        <f t="shared" si="129"/>
        <v>1</v>
      </c>
      <c r="BA395" s="146">
        <f t="shared" si="130"/>
        <v>0</v>
      </c>
      <c r="BB395" s="149">
        <f t="shared" si="142"/>
        <v>17</v>
      </c>
      <c r="BC395" s="150">
        <f t="shared" si="143"/>
        <v>17</v>
      </c>
      <c r="BD395" s="150">
        <f t="shared" si="144"/>
        <v>17</v>
      </c>
      <c r="BE395" s="211" t="str">
        <f t="shared" si="145"/>
        <v/>
      </c>
      <c r="BH395" s="190">
        <f>IF(AND(Input_Product=Elig!$C395,Elig_MatchAll_Ct&lt;22,$BC395=(Elig_MatchAll_Ct-1),AF395=0),C395,0)</f>
        <v>0</v>
      </c>
      <c r="BI395" s="190">
        <f>IF(AND(Input_Product=Elig!$C395,Elig_MatchAll_Ct&lt;22,$BC395=(Elig_MatchAll_Ct-1),AG395=0),D395,0)</f>
        <v>0</v>
      </c>
      <c r="BJ395" s="190">
        <f>IF(AND(Input_Product=Elig!$C395,Elig_MatchAll_Ct&lt;22,$BC395=(Elig_MatchAll_Ct-1),AH395=0),E395,0)</f>
        <v>0</v>
      </c>
      <c r="BK395" s="190">
        <f>IF(AND(Input_Product=Elig!$C395,Elig_MatchAll_Ct&lt;22,$BC395=(Elig_MatchAll_Ct-1),AI395=0),F395,0)</f>
        <v>0</v>
      </c>
      <c r="BL395" s="190">
        <f>IF(AND(Input_Product=Elig!$C395,Elig_MatchAll_Ct&lt;22,$BC395=(Elig_MatchAll_Ct-1),AJ395=0),G395,0)</f>
        <v>0</v>
      </c>
      <c r="BM395" s="190">
        <f>IF(AND(Input_Product=Elig!$C395,Elig_MatchAll_Ct&lt;22,$BC395=(Elig_MatchAll_Ct-1),AK395=0),H395,0)</f>
        <v>0</v>
      </c>
      <c r="BN395" s="190">
        <f>IF(AND(Input_Product=Elig!$C395,Elig_MatchAll_Ct&lt;22,$BC395=(Elig_MatchAll_Ct-1),AL395=0),I395,0)</f>
        <v>0</v>
      </c>
      <c r="BO395" s="190">
        <f>IF(AND(Input_Product=Elig!$C395,Elig_MatchAll_Ct&lt;22,$BC395=(Elig_MatchAll_Ct-1),AM395=0),J395,0)</f>
        <v>0</v>
      </c>
      <c r="BP395" s="190">
        <f>IF(AND(Input_Product=Elig!$C395,Elig_MatchAll_Ct&lt;22,$BC395=(Elig_MatchAll_Ct-1),AN395=0),K395,0)</f>
        <v>0</v>
      </c>
      <c r="BQ395" s="190">
        <f>IF(AND(Input_Product=Elig!$C395,Elig_MatchAll_Ct&lt;22,$BC395=(Elig_MatchAll_Ct-1),AP395=0),L395,0)</f>
        <v>0</v>
      </c>
      <c r="BR395" s="190">
        <f>IF(AND(Input_Product=Elig!$C395,Elig_MatchAll_Ct&lt;22,$BC395=(Elig_MatchAll_Ct-1),AO395=0),M395,0)</f>
        <v>0</v>
      </c>
      <c r="BS395" s="190">
        <f>IF(AND(Input_Product=Elig!$C395,Elig_MatchAll_Ct&lt;22,$BC395=(Elig_MatchAll_Ct-1),AQ395=0),N395,0)</f>
        <v>0</v>
      </c>
      <c r="BT395" s="190">
        <f>IF(AND(Input_Product=Elig!$C395,Elig_MatchAll_Ct&lt;22,$BC395=(Elig_MatchAll_Ct-1),AR395=0),O395,0)</f>
        <v>0</v>
      </c>
      <c r="BU395" s="190">
        <f>IF(AND(Input_Product=Elig!$C395,Elig_MatchAll_Ct&lt;22,$BC395=(Elig_MatchAll_Ct-1),AS395=0),P395,0)</f>
        <v>0</v>
      </c>
      <c r="BV395" s="191">
        <f>IF(AND(Input_Product=Elig!$C395,Elig_MatchAll_Ct&lt;22,$BC395=(Elig_MatchAll_Ct-1),AT395=0),Q395,0)</f>
        <v>0</v>
      </c>
      <c r="BW395" s="192">
        <f>IF(AND(Input_Product=Elig!$C395,Elig_MatchAll_Ct&lt;22,$BC395=(Elig_MatchAll_Ct-1),AU395=0),R395,0)</f>
        <v>0</v>
      </c>
      <c r="BX395" s="193">
        <f>IF(AND(Input_Product=Elig!$C395,Elig_MatchAll_Ct&lt;22,$BC395=(Elig_MatchAll_Ct-1),AU395=0),S395,0)</f>
        <v>0</v>
      </c>
      <c r="BY395" s="192">
        <f>IF(AND(Input_Product=Elig!$C395,Elig_MatchAll_Ct&lt;22,$BC395=(Elig_MatchAll_Ct-1),AV395=0),T395,0)</f>
        <v>0</v>
      </c>
      <c r="BZ395" s="193">
        <f>IF(AND(Input_Product=Elig!$C395,Elig_MatchAll_Ct&lt;22,$BC395=(Elig_MatchAll_Ct-1),AV395=0),U395,0)</f>
        <v>0</v>
      </c>
      <c r="CA395" s="192">
        <f>IF(AND(Input_Product=Elig!$C395,Elig_MatchAll_Ct&lt;22,$BC395=(Elig_MatchAll_Ct-1),AW395=0),V395,0)</f>
        <v>0</v>
      </c>
      <c r="CB395" s="193">
        <f>IF(AND(Input_Product=Elig!$C395,Elig_MatchAll_Ct&lt;22,$BC395=(Elig_MatchAll_Ct-1),AW395=0),W395,0)</f>
        <v>0</v>
      </c>
      <c r="CC395" s="192">
        <f>IF(AND(Input_Product=Elig!$C395,Elig_MatchAll_Ct&lt;22,$BC395=(Elig_MatchAll_Ct-1),AX395=0),X395,0)</f>
        <v>0</v>
      </c>
      <c r="CD395" s="193">
        <f>IF(AND(Input_Product=Elig!$C395,Elig_MatchAll_Ct&lt;22,$BC395=(Elig_MatchAll_Ct-1),AX395=0),Y395,0)</f>
        <v>0</v>
      </c>
      <c r="CE395" s="192">
        <f>IF(AND(Input_LTV&lt;=AE395,Input_Product=Elig!$C395,Elig_MatchAll_Ct&lt;22,$BC395=(Elig_MatchAll_Ct-1),AY395=0),Z395,0)</f>
        <v>0</v>
      </c>
      <c r="CF395" s="193">
        <f>IF(AND(Input_LTV&lt;=AE395,Input_Product=Elig!$C395,Elig_MatchAll_Ct&lt;22,$BC395=(Elig_MatchAll_Ct-1),AY395=0),AA395,0)</f>
        <v>0</v>
      </c>
      <c r="CG395" s="192">
        <f>IF(AND(Input_Product=Elig!$C395,Elig_MatchAll_Ct&lt;22,$BC395=(Elig_MatchAll_Ct-1),AZ395=0),AB395,0)</f>
        <v>0</v>
      </c>
      <c r="CH395" s="193">
        <f>IF(AND(Input_Product=Elig!$C395,Elig_MatchAll_Ct&lt;22,$BC395=(Elig_MatchAll_Ct-1),AZ395=0),AC395,0)</f>
        <v>0</v>
      </c>
      <c r="CI395" s="192">
        <f>IF(AND(Input_Product=Elig!$C395,Elig_MatchAll_Ct&lt;22,$BC395=(Elig_MatchAll_Ct-1),BA395=0),AD395,0)</f>
        <v>0</v>
      </c>
      <c r="CJ395" s="193">
        <f>IF(AND(Input_Product=Elig!$C395,Elig_MatchAll_Ct&lt;22,$BC395=(Elig_MatchAll_Ct-1),BA395=0),AE395,0)</f>
        <v>0</v>
      </c>
    </row>
    <row r="396" spans="1:88" ht="10.15" customHeight="1" x14ac:dyDescent="0.25">
      <c r="A396" s="252" t="s">
        <v>76</v>
      </c>
      <c r="B396" s="252" t="s">
        <v>1022</v>
      </c>
      <c r="C396" s="251" t="str">
        <f t="shared" si="140"/>
        <v>NonQM NOO</v>
      </c>
      <c r="D396" s="252" t="s">
        <v>1995</v>
      </c>
      <c r="E396" s="252" t="s">
        <v>166</v>
      </c>
      <c r="F396" s="252" t="s">
        <v>329</v>
      </c>
      <c r="G396" s="252" t="s">
        <v>178</v>
      </c>
      <c r="H396" s="252" t="s">
        <v>135</v>
      </c>
      <c r="I396" s="253" t="s">
        <v>16</v>
      </c>
      <c r="J396" s="253" t="s">
        <v>1130</v>
      </c>
      <c r="K396" s="253" t="s">
        <v>1398</v>
      </c>
      <c r="L396" s="252" t="s">
        <v>311</v>
      </c>
      <c r="M396" s="252" t="s">
        <v>2289</v>
      </c>
      <c r="N396" s="252" t="s">
        <v>1844</v>
      </c>
      <c r="O396" s="252" t="s">
        <v>309</v>
      </c>
      <c r="P396" s="252" t="s">
        <v>2434</v>
      </c>
      <c r="Q396" s="252" t="s">
        <v>293</v>
      </c>
      <c r="R396" s="252">
        <v>1500000.01</v>
      </c>
      <c r="S396" s="252">
        <v>2000000</v>
      </c>
      <c r="T396" s="252">
        <v>0</v>
      </c>
      <c r="U396" s="252">
        <f t="shared" si="147"/>
        <v>2000000</v>
      </c>
      <c r="V396" s="252">
        <v>0</v>
      </c>
      <c r="W396" s="252">
        <v>50</v>
      </c>
      <c r="X396" s="252">
        <v>0</v>
      </c>
      <c r="Y396" s="252">
        <v>999</v>
      </c>
      <c r="Z396" s="254">
        <v>700</v>
      </c>
      <c r="AA396" s="254">
        <v>719</v>
      </c>
      <c r="AB396" s="1883">
        <v>0</v>
      </c>
      <c r="AC396" s="254">
        <v>999999</v>
      </c>
      <c r="AD396" s="252">
        <v>0</v>
      </c>
      <c r="AE396" s="255">
        <v>60</v>
      </c>
      <c r="AF396" s="144">
        <v>0</v>
      </c>
      <c r="AG396" s="145">
        <v>1</v>
      </c>
      <c r="AH396" s="145">
        <v>1</v>
      </c>
      <c r="AI396" s="145">
        <v>1</v>
      </c>
      <c r="AJ396" s="145">
        <v>0</v>
      </c>
      <c r="AK396" s="145">
        <v>1</v>
      </c>
      <c r="AL396" s="145">
        <v>0</v>
      </c>
      <c r="AM396" s="145">
        <v>1</v>
      </c>
      <c r="AN396" s="145">
        <v>1</v>
      </c>
      <c r="AO396" s="145">
        <v>1</v>
      </c>
      <c r="AP396" s="145">
        <v>1</v>
      </c>
      <c r="AQ396" s="145">
        <v>1</v>
      </c>
      <c r="AR396" s="145">
        <v>1</v>
      </c>
      <c r="AS396" s="145">
        <v>1</v>
      </c>
      <c r="AT396" s="145">
        <v>1</v>
      </c>
      <c r="AU396" s="145">
        <f t="shared" si="125"/>
        <v>0</v>
      </c>
      <c r="AV396" s="145">
        <f t="shared" si="126"/>
        <v>1</v>
      </c>
      <c r="AW396" s="145">
        <f t="shared" si="127"/>
        <v>1</v>
      </c>
      <c r="AX396" s="145">
        <f t="shared" si="133"/>
        <v>1</v>
      </c>
      <c r="AY396" s="145">
        <f t="shared" si="128"/>
        <v>0</v>
      </c>
      <c r="AZ396" s="145">
        <f t="shared" si="129"/>
        <v>1</v>
      </c>
      <c r="BA396" s="146">
        <f t="shared" si="130"/>
        <v>0</v>
      </c>
      <c r="BB396" s="149">
        <f t="shared" si="142"/>
        <v>16</v>
      </c>
      <c r="BC396" s="150">
        <f t="shared" si="143"/>
        <v>16</v>
      </c>
      <c r="BD396" s="150">
        <f t="shared" si="144"/>
        <v>16</v>
      </c>
      <c r="BE396" s="211" t="str">
        <f t="shared" si="145"/>
        <v/>
      </c>
      <c r="BH396" s="173">
        <f>IF(AND(Input_Product=Elig!$C396,Elig_MatchAll_Ct&lt;22,$BC396=(Elig_MatchAll_Ct-1),AF396=0),C396,0)</f>
        <v>0</v>
      </c>
      <c r="BI396" s="173">
        <f>IF(AND(Input_Product=Elig!$C396,Elig_MatchAll_Ct&lt;22,$BC396=(Elig_MatchAll_Ct-1),AG396=0),D396,0)</f>
        <v>0</v>
      </c>
      <c r="BJ396" s="173">
        <f>IF(AND(Input_Product=Elig!$C396,Elig_MatchAll_Ct&lt;22,$BC396=(Elig_MatchAll_Ct-1),AH396=0),E396,0)</f>
        <v>0</v>
      </c>
      <c r="BK396" s="173">
        <f>IF(AND(Input_Product=Elig!$C396,Elig_MatchAll_Ct&lt;22,$BC396=(Elig_MatchAll_Ct-1),AI396=0),F396,0)</f>
        <v>0</v>
      </c>
      <c r="BL396" s="173">
        <f>IF(AND(Input_Product=Elig!$C396,Elig_MatchAll_Ct&lt;22,$BC396=(Elig_MatchAll_Ct-1),AJ396=0),G396,0)</f>
        <v>0</v>
      </c>
      <c r="BM396" s="173">
        <f>IF(AND(Input_Product=Elig!$C396,Elig_MatchAll_Ct&lt;22,$BC396=(Elig_MatchAll_Ct-1),AK396=0),H396,0)</f>
        <v>0</v>
      </c>
      <c r="BN396" s="173">
        <f>IF(AND(Input_Product=Elig!$C396,Elig_MatchAll_Ct&lt;22,$BC396=(Elig_MatchAll_Ct-1),AL396=0),I396,0)</f>
        <v>0</v>
      </c>
      <c r="BO396" s="173">
        <f>IF(AND(Input_Product=Elig!$C396,Elig_MatchAll_Ct&lt;22,$BC396=(Elig_MatchAll_Ct-1),AM396=0),J396,0)</f>
        <v>0</v>
      </c>
      <c r="BP396" s="173">
        <f>IF(AND(Input_Product=Elig!$C396,Elig_MatchAll_Ct&lt;22,$BC396=(Elig_MatchAll_Ct-1),AN396=0),K396,0)</f>
        <v>0</v>
      </c>
      <c r="BQ396" s="173">
        <f>IF(AND(Input_Product=Elig!$C396,Elig_MatchAll_Ct&lt;22,$BC396=(Elig_MatchAll_Ct-1),AP396=0),L396,0)</f>
        <v>0</v>
      </c>
      <c r="BR396" s="173">
        <f>IF(AND(Input_Product=Elig!$C396,Elig_MatchAll_Ct&lt;22,$BC396=(Elig_MatchAll_Ct-1),AO396=0),M396,0)</f>
        <v>0</v>
      </c>
      <c r="BS396" s="173">
        <f>IF(AND(Input_Product=Elig!$C396,Elig_MatchAll_Ct&lt;22,$BC396=(Elig_MatchAll_Ct-1),AQ396=0),N396,0)</f>
        <v>0</v>
      </c>
      <c r="BT396" s="173">
        <f>IF(AND(Input_Product=Elig!$C396,Elig_MatchAll_Ct&lt;22,$BC396=(Elig_MatchAll_Ct-1),AR396=0),O396,0)</f>
        <v>0</v>
      </c>
      <c r="BU396" s="173">
        <f>IF(AND(Input_Product=Elig!$C396,Elig_MatchAll_Ct&lt;22,$BC396=(Elig_MatchAll_Ct-1),AS396=0),P396,0)</f>
        <v>0</v>
      </c>
      <c r="BV396" s="174">
        <f>IF(AND(Input_Product=Elig!$C396,Elig_MatchAll_Ct&lt;22,$BC396=(Elig_MatchAll_Ct-1),AT396=0),Q396,0)</f>
        <v>0</v>
      </c>
      <c r="BW396" s="175">
        <f>IF(AND(Input_Product=Elig!$C396,Elig_MatchAll_Ct&lt;22,$BC396=(Elig_MatchAll_Ct-1),AU396=0),R396,0)</f>
        <v>0</v>
      </c>
      <c r="BX396" s="176">
        <f>IF(AND(Input_Product=Elig!$C396,Elig_MatchAll_Ct&lt;22,$BC396=(Elig_MatchAll_Ct-1),AU396=0),S396,0)</f>
        <v>0</v>
      </c>
      <c r="BY396" s="175">
        <f>IF(AND(Input_Product=Elig!$C396,Elig_MatchAll_Ct&lt;22,$BC396=(Elig_MatchAll_Ct-1),AV396=0),T396,0)</f>
        <v>0</v>
      </c>
      <c r="BZ396" s="176">
        <f>IF(AND(Input_Product=Elig!$C396,Elig_MatchAll_Ct&lt;22,$BC396=(Elig_MatchAll_Ct-1),AV396=0),U396,0)</f>
        <v>0</v>
      </c>
      <c r="CA396" s="175">
        <f>IF(AND(Input_Product=Elig!$C396,Elig_MatchAll_Ct&lt;22,$BC396=(Elig_MatchAll_Ct-1),AW396=0),V396,0)</f>
        <v>0</v>
      </c>
      <c r="CB396" s="176">
        <f>IF(AND(Input_Product=Elig!$C396,Elig_MatchAll_Ct&lt;22,$BC396=(Elig_MatchAll_Ct-1),AW396=0),W396,0)</f>
        <v>0</v>
      </c>
      <c r="CC396" s="175">
        <f>IF(AND(Input_Product=Elig!$C396,Elig_MatchAll_Ct&lt;22,$BC396=(Elig_MatchAll_Ct-1),AX396=0),X396,0)</f>
        <v>0</v>
      </c>
      <c r="CD396" s="176">
        <f>IF(AND(Input_Product=Elig!$C396,Elig_MatchAll_Ct&lt;22,$BC396=(Elig_MatchAll_Ct-1),AX396=0),Y396,0)</f>
        <v>0</v>
      </c>
      <c r="CE396" s="175">
        <f>IF(AND(Input_LTV&lt;=AE396,Input_Product=Elig!$C396,Elig_MatchAll_Ct&lt;22,$BC396=(Elig_MatchAll_Ct-1),AY396=0),Z396,0)</f>
        <v>0</v>
      </c>
      <c r="CF396" s="176">
        <f>IF(AND(Input_LTV&lt;=AE396,Input_Product=Elig!$C396,Elig_MatchAll_Ct&lt;22,$BC396=(Elig_MatchAll_Ct-1),AY396=0),AA396,0)</f>
        <v>0</v>
      </c>
      <c r="CG396" s="175">
        <f>IF(AND(Input_Product=Elig!$C396,Elig_MatchAll_Ct&lt;22,$BC396=(Elig_MatchAll_Ct-1),AZ396=0),AB396,0)</f>
        <v>0</v>
      </c>
      <c r="CH396" s="176">
        <f>IF(AND(Input_Product=Elig!$C396,Elig_MatchAll_Ct&lt;22,$BC396=(Elig_MatchAll_Ct-1),AZ396=0),AC396,0)</f>
        <v>0</v>
      </c>
      <c r="CI396" s="175">
        <f>IF(AND(Input_Product=Elig!$C396,Elig_MatchAll_Ct&lt;22,$BC396=(Elig_MatchAll_Ct-1),BA396=0),AD396,0)</f>
        <v>0</v>
      </c>
      <c r="CJ396" s="176">
        <f>IF(AND(Input_Product=Elig!$C396,Elig_MatchAll_Ct&lt;22,$BC396=(Elig_MatchAll_Ct-1),BA396=0),AE396,0)</f>
        <v>0</v>
      </c>
    </row>
    <row r="397" spans="1:88" ht="10.15" customHeight="1" x14ac:dyDescent="0.25">
      <c r="A397" s="252" t="s">
        <v>76</v>
      </c>
      <c r="B397" s="252" t="s">
        <v>1023</v>
      </c>
      <c r="C397" s="251" t="str">
        <f t="shared" si="140"/>
        <v>NonQM NOO</v>
      </c>
      <c r="D397" s="252" t="s">
        <v>1995</v>
      </c>
      <c r="E397" s="252" t="s">
        <v>166</v>
      </c>
      <c r="F397" s="252" t="s">
        <v>329</v>
      </c>
      <c r="G397" s="252" t="s">
        <v>178</v>
      </c>
      <c r="H397" s="252" t="s">
        <v>135</v>
      </c>
      <c r="I397" s="253" t="s">
        <v>16</v>
      </c>
      <c r="J397" s="253" t="s">
        <v>1130</v>
      </c>
      <c r="K397" s="253" t="s">
        <v>1398</v>
      </c>
      <c r="L397" s="252" t="s">
        <v>311</v>
      </c>
      <c r="M397" s="252" t="s">
        <v>2289</v>
      </c>
      <c r="N397" s="252" t="s">
        <v>1844</v>
      </c>
      <c r="O397" s="252" t="s">
        <v>309</v>
      </c>
      <c r="P397" s="252" t="s">
        <v>2434</v>
      </c>
      <c r="Q397" s="252" t="s">
        <v>293</v>
      </c>
      <c r="R397" s="252">
        <v>1500000.01</v>
      </c>
      <c r="S397" s="252">
        <v>2000000</v>
      </c>
      <c r="T397" s="252">
        <v>0</v>
      </c>
      <c r="U397" s="252">
        <f t="shared" si="147"/>
        <v>2000000</v>
      </c>
      <c r="V397" s="252">
        <v>0</v>
      </c>
      <c r="W397" s="252">
        <v>50</v>
      </c>
      <c r="X397" s="252">
        <v>0</v>
      </c>
      <c r="Y397" s="252">
        <v>999</v>
      </c>
      <c r="Z397" s="254">
        <v>680</v>
      </c>
      <c r="AA397" s="254">
        <v>699</v>
      </c>
      <c r="AB397" s="1883">
        <v>0</v>
      </c>
      <c r="AC397" s="254">
        <v>999999</v>
      </c>
      <c r="AD397" s="252">
        <v>0</v>
      </c>
      <c r="AE397" s="255">
        <v>60</v>
      </c>
      <c r="AF397" s="144">
        <v>0</v>
      </c>
      <c r="AG397" s="145">
        <v>1</v>
      </c>
      <c r="AH397" s="145">
        <v>1</v>
      </c>
      <c r="AI397" s="145">
        <v>1</v>
      </c>
      <c r="AJ397" s="145">
        <v>0</v>
      </c>
      <c r="AK397" s="145">
        <v>1</v>
      </c>
      <c r="AL397" s="145">
        <v>0</v>
      </c>
      <c r="AM397" s="145">
        <v>1</v>
      </c>
      <c r="AN397" s="145">
        <v>1</v>
      </c>
      <c r="AO397" s="145">
        <v>1</v>
      </c>
      <c r="AP397" s="145">
        <v>1</v>
      </c>
      <c r="AQ397" s="145">
        <v>1</v>
      </c>
      <c r="AR397" s="145">
        <v>1</v>
      </c>
      <c r="AS397" s="145">
        <v>1</v>
      </c>
      <c r="AT397" s="145">
        <v>1</v>
      </c>
      <c r="AU397" s="145">
        <f t="shared" si="125"/>
        <v>0</v>
      </c>
      <c r="AV397" s="145">
        <f t="shared" si="126"/>
        <v>1</v>
      </c>
      <c r="AW397" s="145">
        <f t="shared" si="127"/>
        <v>1</v>
      </c>
      <c r="AX397" s="145">
        <f t="shared" si="133"/>
        <v>1</v>
      </c>
      <c r="AY397" s="145">
        <f t="shared" si="128"/>
        <v>0</v>
      </c>
      <c r="AZ397" s="145">
        <f t="shared" si="129"/>
        <v>1</v>
      </c>
      <c r="BA397" s="146">
        <f t="shared" si="130"/>
        <v>0</v>
      </c>
      <c r="BB397" s="149">
        <f t="shared" si="142"/>
        <v>16</v>
      </c>
      <c r="BC397" s="150">
        <f t="shared" si="143"/>
        <v>16</v>
      </c>
      <c r="BD397" s="150">
        <f t="shared" si="144"/>
        <v>16</v>
      </c>
      <c r="BE397" s="211" t="str">
        <f t="shared" si="145"/>
        <v/>
      </c>
      <c r="BH397" s="173">
        <f>IF(AND(Input_Product=Elig!$C397,Elig_MatchAll_Ct&lt;22,$BC397=(Elig_MatchAll_Ct-1),AF397=0),C397,0)</f>
        <v>0</v>
      </c>
      <c r="BI397" s="173">
        <f>IF(AND(Input_Product=Elig!$C397,Elig_MatchAll_Ct&lt;22,$BC397=(Elig_MatchAll_Ct-1),AG397=0),D397,0)</f>
        <v>0</v>
      </c>
      <c r="BJ397" s="173">
        <f>IF(AND(Input_Product=Elig!$C397,Elig_MatchAll_Ct&lt;22,$BC397=(Elig_MatchAll_Ct-1),AH397=0),E397,0)</f>
        <v>0</v>
      </c>
      <c r="BK397" s="173">
        <f>IF(AND(Input_Product=Elig!$C397,Elig_MatchAll_Ct&lt;22,$BC397=(Elig_MatchAll_Ct-1),AI397=0),F397,0)</f>
        <v>0</v>
      </c>
      <c r="BL397" s="173">
        <f>IF(AND(Input_Product=Elig!$C397,Elig_MatchAll_Ct&lt;22,$BC397=(Elig_MatchAll_Ct-1),AJ397=0),G397,0)</f>
        <v>0</v>
      </c>
      <c r="BM397" s="173">
        <f>IF(AND(Input_Product=Elig!$C397,Elig_MatchAll_Ct&lt;22,$BC397=(Elig_MatchAll_Ct-1),AK397=0),H397,0)</f>
        <v>0</v>
      </c>
      <c r="BN397" s="173">
        <f>IF(AND(Input_Product=Elig!$C397,Elig_MatchAll_Ct&lt;22,$BC397=(Elig_MatchAll_Ct-1),AL397=0),I397,0)</f>
        <v>0</v>
      </c>
      <c r="BO397" s="173">
        <f>IF(AND(Input_Product=Elig!$C397,Elig_MatchAll_Ct&lt;22,$BC397=(Elig_MatchAll_Ct-1),AM397=0),J397,0)</f>
        <v>0</v>
      </c>
      <c r="BP397" s="173">
        <f>IF(AND(Input_Product=Elig!$C397,Elig_MatchAll_Ct&lt;22,$BC397=(Elig_MatchAll_Ct-1),AN397=0),K397,0)</f>
        <v>0</v>
      </c>
      <c r="BQ397" s="173">
        <f>IF(AND(Input_Product=Elig!$C397,Elig_MatchAll_Ct&lt;22,$BC397=(Elig_MatchAll_Ct-1),AP397=0),L397,0)</f>
        <v>0</v>
      </c>
      <c r="BR397" s="173">
        <f>IF(AND(Input_Product=Elig!$C397,Elig_MatchAll_Ct&lt;22,$BC397=(Elig_MatchAll_Ct-1),AO397=0),M397,0)</f>
        <v>0</v>
      </c>
      <c r="BS397" s="173">
        <f>IF(AND(Input_Product=Elig!$C397,Elig_MatchAll_Ct&lt;22,$BC397=(Elig_MatchAll_Ct-1),AQ397=0),N397,0)</f>
        <v>0</v>
      </c>
      <c r="BT397" s="173">
        <f>IF(AND(Input_Product=Elig!$C397,Elig_MatchAll_Ct&lt;22,$BC397=(Elig_MatchAll_Ct-1),AR397=0),O397,0)</f>
        <v>0</v>
      </c>
      <c r="BU397" s="173">
        <f>IF(AND(Input_Product=Elig!$C397,Elig_MatchAll_Ct&lt;22,$BC397=(Elig_MatchAll_Ct-1),AS397=0),P397,0)</f>
        <v>0</v>
      </c>
      <c r="BV397" s="174">
        <f>IF(AND(Input_Product=Elig!$C397,Elig_MatchAll_Ct&lt;22,$BC397=(Elig_MatchAll_Ct-1),AT397=0),Q397,0)</f>
        <v>0</v>
      </c>
      <c r="BW397" s="175">
        <f>IF(AND(Input_Product=Elig!$C397,Elig_MatchAll_Ct&lt;22,$BC397=(Elig_MatchAll_Ct-1),AU397=0),R397,0)</f>
        <v>0</v>
      </c>
      <c r="BX397" s="176">
        <f>IF(AND(Input_Product=Elig!$C397,Elig_MatchAll_Ct&lt;22,$BC397=(Elig_MatchAll_Ct-1),AU397=0),S397,0)</f>
        <v>0</v>
      </c>
      <c r="BY397" s="175">
        <f>IF(AND(Input_Product=Elig!$C397,Elig_MatchAll_Ct&lt;22,$BC397=(Elig_MatchAll_Ct-1),AV397=0),T397,0)</f>
        <v>0</v>
      </c>
      <c r="BZ397" s="176">
        <f>IF(AND(Input_Product=Elig!$C397,Elig_MatchAll_Ct&lt;22,$BC397=(Elig_MatchAll_Ct-1),AV397=0),U397,0)</f>
        <v>0</v>
      </c>
      <c r="CA397" s="175">
        <f>IF(AND(Input_Product=Elig!$C397,Elig_MatchAll_Ct&lt;22,$BC397=(Elig_MatchAll_Ct-1),AW397=0),V397,0)</f>
        <v>0</v>
      </c>
      <c r="CB397" s="176">
        <f>IF(AND(Input_Product=Elig!$C397,Elig_MatchAll_Ct&lt;22,$BC397=(Elig_MatchAll_Ct-1),AW397=0),W397,0)</f>
        <v>0</v>
      </c>
      <c r="CC397" s="175">
        <f>IF(AND(Input_Product=Elig!$C397,Elig_MatchAll_Ct&lt;22,$BC397=(Elig_MatchAll_Ct-1),AX397=0),X397,0)</f>
        <v>0</v>
      </c>
      <c r="CD397" s="176">
        <f>IF(AND(Input_Product=Elig!$C397,Elig_MatchAll_Ct&lt;22,$BC397=(Elig_MatchAll_Ct-1),AX397=0),Y397,0)</f>
        <v>0</v>
      </c>
      <c r="CE397" s="175">
        <f>IF(AND(Input_LTV&lt;=AE397,Input_Product=Elig!$C397,Elig_MatchAll_Ct&lt;22,$BC397=(Elig_MatchAll_Ct-1),AY397=0),Z397,0)</f>
        <v>0</v>
      </c>
      <c r="CF397" s="176">
        <f>IF(AND(Input_LTV&lt;=AE397,Input_Product=Elig!$C397,Elig_MatchAll_Ct&lt;22,$BC397=(Elig_MatchAll_Ct-1),AY397=0),AA397,0)</f>
        <v>0</v>
      </c>
      <c r="CG397" s="175">
        <f>IF(AND(Input_Product=Elig!$C397,Elig_MatchAll_Ct&lt;22,$BC397=(Elig_MatchAll_Ct-1),AZ397=0),AB397,0)</f>
        <v>0</v>
      </c>
      <c r="CH397" s="176">
        <f>IF(AND(Input_Product=Elig!$C397,Elig_MatchAll_Ct&lt;22,$BC397=(Elig_MatchAll_Ct-1),AZ397=0),AC397,0)</f>
        <v>0</v>
      </c>
      <c r="CI397" s="175">
        <f>IF(AND(Input_Product=Elig!$C397,Elig_MatchAll_Ct&lt;22,$BC397=(Elig_MatchAll_Ct-1),BA397=0),AD397,0)</f>
        <v>0</v>
      </c>
      <c r="CJ397" s="176">
        <f>IF(AND(Input_Product=Elig!$C397,Elig_MatchAll_Ct&lt;22,$BC397=(Elig_MatchAll_Ct-1),BA397=0),AE397,0)</f>
        <v>0</v>
      </c>
    </row>
    <row r="398" spans="1:88" ht="10.15" customHeight="1" x14ac:dyDescent="0.25">
      <c r="A398" s="252" t="s">
        <v>76</v>
      </c>
      <c r="B398" s="252" t="s">
        <v>1024</v>
      </c>
      <c r="C398" s="251" t="str">
        <f t="shared" si="140"/>
        <v>NonQM NOO</v>
      </c>
      <c r="D398" s="252" t="s">
        <v>1995</v>
      </c>
      <c r="E398" s="252" t="s">
        <v>166</v>
      </c>
      <c r="F398" s="252" t="s">
        <v>329</v>
      </c>
      <c r="G398" s="252" t="s">
        <v>178</v>
      </c>
      <c r="H398" s="252" t="s">
        <v>135</v>
      </c>
      <c r="I398" s="253" t="s">
        <v>16</v>
      </c>
      <c r="J398" s="253" t="s">
        <v>1130</v>
      </c>
      <c r="K398" s="253" t="s">
        <v>1398</v>
      </c>
      <c r="L398" s="252" t="s">
        <v>311</v>
      </c>
      <c r="M398" s="252" t="s">
        <v>2289</v>
      </c>
      <c r="N398" s="252" t="s">
        <v>1844</v>
      </c>
      <c r="O398" s="252" t="s">
        <v>309</v>
      </c>
      <c r="P398" s="252" t="s">
        <v>2434</v>
      </c>
      <c r="Q398" s="252" t="s">
        <v>293</v>
      </c>
      <c r="R398" s="252">
        <v>1500000.01</v>
      </c>
      <c r="S398" s="252">
        <v>2000000</v>
      </c>
      <c r="T398" s="252">
        <v>0</v>
      </c>
      <c r="U398" s="252">
        <f t="shared" si="147"/>
        <v>2000000</v>
      </c>
      <c r="V398" s="252">
        <v>0</v>
      </c>
      <c r="W398" s="252">
        <v>50</v>
      </c>
      <c r="X398" s="252">
        <v>0</v>
      </c>
      <c r="Y398" s="252">
        <v>999</v>
      </c>
      <c r="Z398" s="254">
        <v>660</v>
      </c>
      <c r="AA398" s="254">
        <v>679</v>
      </c>
      <c r="AB398" s="1883">
        <v>0</v>
      </c>
      <c r="AC398" s="254">
        <v>999999</v>
      </c>
      <c r="AD398" s="252">
        <v>0</v>
      </c>
      <c r="AE398" s="255">
        <v>60</v>
      </c>
      <c r="AF398" s="144">
        <v>0</v>
      </c>
      <c r="AG398" s="145">
        <v>1</v>
      </c>
      <c r="AH398" s="145">
        <v>1</v>
      </c>
      <c r="AI398" s="145">
        <v>1</v>
      </c>
      <c r="AJ398" s="145">
        <v>0</v>
      </c>
      <c r="AK398" s="145">
        <v>1</v>
      </c>
      <c r="AL398" s="145">
        <v>0</v>
      </c>
      <c r="AM398" s="145">
        <v>1</v>
      </c>
      <c r="AN398" s="145">
        <v>1</v>
      </c>
      <c r="AO398" s="145">
        <v>1</v>
      </c>
      <c r="AP398" s="145">
        <v>1</v>
      </c>
      <c r="AQ398" s="145">
        <v>1</v>
      </c>
      <c r="AR398" s="145">
        <v>1</v>
      </c>
      <c r="AS398" s="145">
        <v>1</v>
      </c>
      <c r="AT398" s="145">
        <v>1</v>
      </c>
      <c r="AU398" s="145">
        <f t="shared" si="125"/>
        <v>0</v>
      </c>
      <c r="AV398" s="145">
        <f t="shared" si="126"/>
        <v>1</v>
      </c>
      <c r="AW398" s="145">
        <f t="shared" si="127"/>
        <v>1</v>
      </c>
      <c r="AX398" s="145">
        <f t="shared" si="133"/>
        <v>1</v>
      </c>
      <c r="AY398" s="145">
        <f t="shared" si="128"/>
        <v>0</v>
      </c>
      <c r="AZ398" s="145">
        <f t="shared" si="129"/>
        <v>1</v>
      </c>
      <c r="BA398" s="146">
        <f t="shared" si="130"/>
        <v>0</v>
      </c>
      <c r="BB398" s="149">
        <f t="shared" si="142"/>
        <v>16</v>
      </c>
      <c r="BC398" s="150">
        <f t="shared" si="143"/>
        <v>16</v>
      </c>
      <c r="BD398" s="150">
        <f t="shared" si="144"/>
        <v>16</v>
      </c>
      <c r="BE398" s="211" t="str">
        <f t="shared" si="145"/>
        <v/>
      </c>
      <c r="BH398" s="173">
        <f>IF(AND(Input_Product=Elig!$C398,Elig_MatchAll_Ct&lt;22,$BC398=(Elig_MatchAll_Ct-1),AF398=0),C398,0)</f>
        <v>0</v>
      </c>
      <c r="BI398" s="173">
        <f>IF(AND(Input_Product=Elig!$C398,Elig_MatchAll_Ct&lt;22,$BC398=(Elig_MatchAll_Ct-1),AG398=0),D398,0)</f>
        <v>0</v>
      </c>
      <c r="BJ398" s="173">
        <f>IF(AND(Input_Product=Elig!$C398,Elig_MatchAll_Ct&lt;22,$BC398=(Elig_MatchAll_Ct-1),AH398=0),E398,0)</f>
        <v>0</v>
      </c>
      <c r="BK398" s="173">
        <f>IF(AND(Input_Product=Elig!$C398,Elig_MatchAll_Ct&lt;22,$BC398=(Elig_MatchAll_Ct-1),AI398=0),F398,0)</f>
        <v>0</v>
      </c>
      <c r="BL398" s="173">
        <f>IF(AND(Input_Product=Elig!$C398,Elig_MatchAll_Ct&lt;22,$BC398=(Elig_MatchAll_Ct-1),AJ398=0),G398,0)</f>
        <v>0</v>
      </c>
      <c r="BM398" s="173">
        <f>IF(AND(Input_Product=Elig!$C398,Elig_MatchAll_Ct&lt;22,$BC398=(Elig_MatchAll_Ct-1),AK398=0),H398,0)</f>
        <v>0</v>
      </c>
      <c r="BN398" s="173">
        <f>IF(AND(Input_Product=Elig!$C398,Elig_MatchAll_Ct&lt;22,$BC398=(Elig_MatchAll_Ct-1),AL398=0),I398,0)</f>
        <v>0</v>
      </c>
      <c r="BO398" s="173">
        <f>IF(AND(Input_Product=Elig!$C398,Elig_MatchAll_Ct&lt;22,$BC398=(Elig_MatchAll_Ct-1),AM398=0),J398,0)</f>
        <v>0</v>
      </c>
      <c r="BP398" s="173">
        <f>IF(AND(Input_Product=Elig!$C398,Elig_MatchAll_Ct&lt;22,$BC398=(Elig_MatchAll_Ct-1),AN398=0),K398,0)</f>
        <v>0</v>
      </c>
      <c r="BQ398" s="173">
        <f>IF(AND(Input_Product=Elig!$C398,Elig_MatchAll_Ct&lt;22,$BC398=(Elig_MatchAll_Ct-1),AP398=0),L398,0)</f>
        <v>0</v>
      </c>
      <c r="BR398" s="173">
        <f>IF(AND(Input_Product=Elig!$C398,Elig_MatchAll_Ct&lt;22,$BC398=(Elig_MatchAll_Ct-1),AO398=0),M398,0)</f>
        <v>0</v>
      </c>
      <c r="BS398" s="173">
        <f>IF(AND(Input_Product=Elig!$C398,Elig_MatchAll_Ct&lt;22,$BC398=(Elig_MatchAll_Ct-1),AQ398=0),N398,0)</f>
        <v>0</v>
      </c>
      <c r="BT398" s="173">
        <f>IF(AND(Input_Product=Elig!$C398,Elig_MatchAll_Ct&lt;22,$BC398=(Elig_MatchAll_Ct-1),AR398=0),O398,0)</f>
        <v>0</v>
      </c>
      <c r="BU398" s="173">
        <f>IF(AND(Input_Product=Elig!$C398,Elig_MatchAll_Ct&lt;22,$BC398=(Elig_MatchAll_Ct-1),AS398=0),P398,0)</f>
        <v>0</v>
      </c>
      <c r="BV398" s="174">
        <f>IF(AND(Input_Product=Elig!$C398,Elig_MatchAll_Ct&lt;22,$BC398=(Elig_MatchAll_Ct-1),AT398=0),Q398,0)</f>
        <v>0</v>
      </c>
      <c r="BW398" s="175">
        <f>IF(AND(Input_Product=Elig!$C398,Elig_MatchAll_Ct&lt;22,$BC398=(Elig_MatchAll_Ct-1),AU398=0),R398,0)</f>
        <v>0</v>
      </c>
      <c r="BX398" s="176">
        <f>IF(AND(Input_Product=Elig!$C398,Elig_MatchAll_Ct&lt;22,$BC398=(Elig_MatchAll_Ct-1),AU398=0),S398,0)</f>
        <v>0</v>
      </c>
      <c r="BY398" s="175">
        <f>IF(AND(Input_Product=Elig!$C398,Elig_MatchAll_Ct&lt;22,$BC398=(Elig_MatchAll_Ct-1),AV398=0),T398,0)</f>
        <v>0</v>
      </c>
      <c r="BZ398" s="176">
        <f>IF(AND(Input_Product=Elig!$C398,Elig_MatchAll_Ct&lt;22,$BC398=(Elig_MatchAll_Ct-1),AV398=0),U398,0)</f>
        <v>0</v>
      </c>
      <c r="CA398" s="175">
        <f>IF(AND(Input_Product=Elig!$C398,Elig_MatchAll_Ct&lt;22,$BC398=(Elig_MatchAll_Ct-1),AW398=0),V398,0)</f>
        <v>0</v>
      </c>
      <c r="CB398" s="176">
        <f>IF(AND(Input_Product=Elig!$C398,Elig_MatchAll_Ct&lt;22,$BC398=(Elig_MatchAll_Ct-1),AW398=0),W398,0)</f>
        <v>0</v>
      </c>
      <c r="CC398" s="175">
        <f>IF(AND(Input_Product=Elig!$C398,Elig_MatchAll_Ct&lt;22,$BC398=(Elig_MatchAll_Ct-1),AX398=0),X398,0)</f>
        <v>0</v>
      </c>
      <c r="CD398" s="176">
        <f>IF(AND(Input_Product=Elig!$C398,Elig_MatchAll_Ct&lt;22,$BC398=(Elig_MatchAll_Ct-1),AX398=0),Y398,0)</f>
        <v>0</v>
      </c>
      <c r="CE398" s="175">
        <f>IF(AND(Input_LTV&lt;=AE398,Input_Product=Elig!$C398,Elig_MatchAll_Ct&lt;22,$BC398=(Elig_MatchAll_Ct-1),AY398=0),Z398,0)</f>
        <v>0</v>
      </c>
      <c r="CF398" s="176">
        <f>IF(AND(Input_LTV&lt;=AE398,Input_Product=Elig!$C398,Elig_MatchAll_Ct&lt;22,$BC398=(Elig_MatchAll_Ct-1),AY398=0),AA398,0)</f>
        <v>0</v>
      </c>
      <c r="CG398" s="175">
        <f>IF(AND(Input_Product=Elig!$C398,Elig_MatchAll_Ct&lt;22,$BC398=(Elig_MatchAll_Ct-1),AZ398=0),AB398,0)</f>
        <v>0</v>
      </c>
      <c r="CH398" s="176">
        <f>IF(AND(Input_Product=Elig!$C398,Elig_MatchAll_Ct&lt;22,$BC398=(Elig_MatchAll_Ct-1),AZ398=0),AC398,0)</f>
        <v>0</v>
      </c>
      <c r="CI398" s="175">
        <f>IF(AND(Input_Product=Elig!$C398,Elig_MatchAll_Ct&lt;22,$BC398=(Elig_MatchAll_Ct-1),BA398=0),AD398,0)</f>
        <v>0</v>
      </c>
      <c r="CJ398" s="176">
        <f>IF(AND(Input_Product=Elig!$C398,Elig_MatchAll_Ct&lt;22,$BC398=(Elig_MatchAll_Ct-1),BA398=0),AE398,0)</f>
        <v>0</v>
      </c>
    </row>
    <row r="399" spans="1:88" ht="10.15" customHeight="1" x14ac:dyDescent="0.25">
      <c r="A399" s="252" t="s">
        <v>76</v>
      </c>
      <c r="B399" s="252" t="s">
        <v>1038</v>
      </c>
      <c r="C399" s="246" t="str">
        <f t="shared" si="140"/>
        <v>NonQM NOO</v>
      </c>
      <c r="D399" s="247" t="s">
        <v>1995</v>
      </c>
      <c r="E399" s="248" t="s">
        <v>166</v>
      </c>
      <c r="F399" s="248" t="s">
        <v>329</v>
      </c>
      <c r="G399" s="248" t="s">
        <v>304</v>
      </c>
      <c r="H399" s="248" t="s">
        <v>135</v>
      </c>
      <c r="I399" s="247" t="s">
        <v>273</v>
      </c>
      <c r="J399" s="247" t="s">
        <v>1130</v>
      </c>
      <c r="K399" s="247" t="s">
        <v>1398</v>
      </c>
      <c r="L399" s="248" t="s">
        <v>311</v>
      </c>
      <c r="M399" s="248" t="s">
        <v>2289</v>
      </c>
      <c r="N399" s="248" t="s">
        <v>1844</v>
      </c>
      <c r="O399" s="248" t="s">
        <v>309</v>
      </c>
      <c r="P399" s="248" t="s">
        <v>2434</v>
      </c>
      <c r="Q399" s="248" t="s">
        <v>293</v>
      </c>
      <c r="R399" s="247">
        <v>1500000.01</v>
      </c>
      <c r="S399" s="247">
        <v>2000000</v>
      </c>
      <c r="T399" s="247">
        <v>0</v>
      </c>
      <c r="U399" s="247">
        <v>0</v>
      </c>
      <c r="V399" s="247">
        <v>0</v>
      </c>
      <c r="W399" s="247">
        <v>50</v>
      </c>
      <c r="X399" s="247">
        <v>0</v>
      </c>
      <c r="Y399" s="247">
        <v>999</v>
      </c>
      <c r="Z399" s="249">
        <v>720</v>
      </c>
      <c r="AA399" s="249">
        <v>999</v>
      </c>
      <c r="AB399" s="1882">
        <v>0</v>
      </c>
      <c r="AC399" s="249">
        <v>999999</v>
      </c>
      <c r="AD399" s="247">
        <v>0</v>
      </c>
      <c r="AE399" s="250">
        <v>70</v>
      </c>
      <c r="AF399" s="144">
        <v>0</v>
      </c>
      <c r="AG399" s="145">
        <v>1</v>
      </c>
      <c r="AH399" s="145">
        <v>1</v>
      </c>
      <c r="AI399" s="145">
        <v>1</v>
      </c>
      <c r="AJ399" s="145">
        <v>0</v>
      </c>
      <c r="AK399" s="145">
        <v>1</v>
      </c>
      <c r="AL399" s="145">
        <v>1</v>
      </c>
      <c r="AM399" s="145">
        <v>1</v>
      </c>
      <c r="AN399" s="145">
        <v>1</v>
      </c>
      <c r="AO399" s="145">
        <v>1</v>
      </c>
      <c r="AP399" s="145">
        <v>1</v>
      </c>
      <c r="AQ399" s="145">
        <v>1</v>
      </c>
      <c r="AR399" s="145">
        <v>1</v>
      </c>
      <c r="AS399" s="145">
        <v>1</v>
      </c>
      <c r="AT399" s="145">
        <v>1</v>
      </c>
      <c r="AU399" s="145">
        <f t="shared" si="125"/>
        <v>0</v>
      </c>
      <c r="AV399" s="145">
        <f t="shared" si="126"/>
        <v>1</v>
      </c>
      <c r="AW399" s="145">
        <f t="shared" si="127"/>
        <v>1</v>
      </c>
      <c r="AX399" s="145">
        <f t="shared" si="133"/>
        <v>1</v>
      </c>
      <c r="AY399" s="145">
        <f t="shared" si="128"/>
        <v>1</v>
      </c>
      <c r="AZ399" s="145">
        <f t="shared" si="129"/>
        <v>1</v>
      </c>
      <c r="BA399" s="146">
        <f t="shared" si="130"/>
        <v>1</v>
      </c>
      <c r="BB399" s="149">
        <f t="shared" si="142"/>
        <v>19</v>
      </c>
      <c r="BC399" s="150">
        <f t="shared" si="143"/>
        <v>18</v>
      </c>
      <c r="BD399" s="150">
        <f t="shared" si="144"/>
        <v>19</v>
      </c>
      <c r="BE399" s="211" t="str">
        <f t="shared" si="145"/>
        <v/>
      </c>
      <c r="BH399" s="190">
        <f>IF(AND(Input_Product=Elig!$C399,Elig_MatchAll_Ct&lt;22,$BC399=(Elig_MatchAll_Ct-1),AF399=0),C399,0)</f>
        <v>0</v>
      </c>
      <c r="BI399" s="190">
        <f>IF(AND(Input_Product=Elig!$C399,Elig_MatchAll_Ct&lt;22,$BC399=(Elig_MatchAll_Ct-1),AG399=0),D399,0)</f>
        <v>0</v>
      </c>
      <c r="BJ399" s="190">
        <f>IF(AND(Input_Product=Elig!$C399,Elig_MatchAll_Ct&lt;22,$BC399=(Elig_MatchAll_Ct-1),AH399=0),E399,0)</f>
        <v>0</v>
      </c>
      <c r="BK399" s="190">
        <f>IF(AND(Input_Product=Elig!$C399,Elig_MatchAll_Ct&lt;22,$BC399=(Elig_MatchAll_Ct-1),AI399=0),F399,0)</f>
        <v>0</v>
      </c>
      <c r="BL399" s="190">
        <f>IF(AND(Input_Product=Elig!$C399,Elig_MatchAll_Ct&lt;22,$BC399=(Elig_MatchAll_Ct-1),AJ399=0),G399,0)</f>
        <v>0</v>
      </c>
      <c r="BM399" s="190">
        <f>IF(AND(Input_Product=Elig!$C399,Elig_MatchAll_Ct&lt;22,$BC399=(Elig_MatchAll_Ct-1),AK399=0),H399,0)</f>
        <v>0</v>
      </c>
      <c r="BN399" s="190">
        <f>IF(AND(Input_Product=Elig!$C399,Elig_MatchAll_Ct&lt;22,$BC399=(Elig_MatchAll_Ct-1),AL399=0),I399,0)</f>
        <v>0</v>
      </c>
      <c r="BO399" s="190">
        <f>IF(AND(Input_Product=Elig!$C399,Elig_MatchAll_Ct&lt;22,$BC399=(Elig_MatchAll_Ct-1),AM399=0),J399,0)</f>
        <v>0</v>
      </c>
      <c r="BP399" s="190">
        <f>IF(AND(Input_Product=Elig!$C399,Elig_MatchAll_Ct&lt;22,$BC399=(Elig_MatchAll_Ct-1),AN399=0),K399,0)</f>
        <v>0</v>
      </c>
      <c r="BQ399" s="190">
        <f>IF(AND(Input_Product=Elig!$C399,Elig_MatchAll_Ct&lt;22,$BC399=(Elig_MatchAll_Ct-1),AP399=0),L399,0)</f>
        <v>0</v>
      </c>
      <c r="BR399" s="190">
        <f>IF(AND(Input_Product=Elig!$C399,Elig_MatchAll_Ct&lt;22,$BC399=(Elig_MatchAll_Ct-1),AO399=0),M399,0)</f>
        <v>0</v>
      </c>
      <c r="BS399" s="190">
        <f>IF(AND(Input_Product=Elig!$C399,Elig_MatchAll_Ct&lt;22,$BC399=(Elig_MatchAll_Ct-1),AQ399=0),N399,0)</f>
        <v>0</v>
      </c>
      <c r="BT399" s="190">
        <f>IF(AND(Input_Product=Elig!$C399,Elig_MatchAll_Ct&lt;22,$BC399=(Elig_MatchAll_Ct-1),AR399=0),O399,0)</f>
        <v>0</v>
      </c>
      <c r="BU399" s="190">
        <f>IF(AND(Input_Product=Elig!$C399,Elig_MatchAll_Ct&lt;22,$BC399=(Elig_MatchAll_Ct-1),AS399=0),P399,0)</f>
        <v>0</v>
      </c>
      <c r="BV399" s="191">
        <f>IF(AND(Input_Product=Elig!$C399,Elig_MatchAll_Ct&lt;22,$BC399=(Elig_MatchAll_Ct-1),AT399=0),Q399,0)</f>
        <v>0</v>
      </c>
      <c r="BW399" s="192">
        <f>IF(AND(Input_Product=Elig!$C399,Elig_MatchAll_Ct&lt;22,$BC399=(Elig_MatchAll_Ct-1),AU399=0),R399,0)</f>
        <v>0</v>
      </c>
      <c r="BX399" s="193">
        <f>IF(AND(Input_Product=Elig!$C399,Elig_MatchAll_Ct&lt;22,$BC399=(Elig_MatchAll_Ct-1),AU399=0),S399,0)</f>
        <v>0</v>
      </c>
      <c r="BY399" s="192">
        <f>IF(AND(Input_Product=Elig!$C399,Elig_MatchAll_Ct&lt;22,$BC399=(Elig_MatchAll_Ct-1),AV399=0),T399,0)</f>
        <v>0</v>
      </c>
      <c r="BZ399" s="193">
        <f>IF(AND(Input_Product=Elig!$C399,Elig_MatchAll_Ct&lt;22,$BC399=(Elig_MatchAll_Ct-1),AV399=0),U399,0)</f>
        <v>0</v>
      </c>
      <c r="CA399" s="192">
        <f>IF(AND(Input_Product=Elig!$C399,Elig_MatchAll_Ct&lt;22,$BC399=(Elig_MatchAll_Ct-1),AW399=0),V399,0)</f>
        <v>0</v>
      </c>
      <c r="CB399" s="193">
        <f>IF(AND(Input_Product=Elig!$C399,Elig_MatchAll_Ct&lt;22,$BC399=(Elig_MatchAll_Ct-1),AW399=0),W399,0)</f>
        <v>0</v>
      </c>
      <c r="CC399" s="192">
        <f>IF(AND(Input_Product=Elig!$C399,Elig_MatchAll_Ct&lt;22,$BC399=(Elig_MatchAll_Ct-1),AX399=0),X399,0)</f>
        <v>0</v>
      </c>
      <c r="CD399" s="193">
        <f>IF(AND(Input_Product=Elig!$C399,Elig_MatchAll_Ct&lt;22,$BC399=(Elig_MatchAll_Ct-1),AX399=0),Y399,0)</f>
        <v>0</v>
      </c>
      <c r="CE399" s="192">
        <f>IF(AND(Input_LTV&lt;=AE399,Input_Product=Elig!$C399,Elig_MatchAll_Ct&lt;22,$BC399=(Elig_MatchAll_Ct-1),AY399=0),Z399,0)</f>
        <v>0</v>
      </c>
      <c r="CF399" s="193">
        <f>IF(AND(Input_LTV&lt;=AE399,Input_Product=Elig!$C399,Elig_MatchAll_Ct&lt;22,$BC399=(Elig_MatchAll_Ct-1),AY399=0),AA399,0)</f>
        <v>0</v>
      </c>
      <c r="CG399" s="192">
        <f>IF(AND(Input_Product=Elig!$C399,Elig_MatchAll_Ct&lt;22,$BC399=(Elig_MatchAll_Ct-1),AZ399=0),AB399,0)</f>
        <v>0</v>
      </c>
      <c r="CH399" s="193">
        <f>IF(AND(Input_Product=Elig!$C399,Elig_MatchAll_Ct&lt;22,$BC399=(Elig_MatchAll_Ct-1),AZ399=0),AC399,0)</f>
        <v>0</v>
      </c>
      <c r="CI399" s="192">
        <f>IF(AND(Input_Product=Elig!$C399,Elig_MatchAll_Ct&lt;22,$BC399=(Elig_MatchAll_Ct-1),BA399=0),AD399,0)</f>
        <v>0</v>
      </c>
      <c r="CJ399" s="193">
        <f>IF(AND(Input_Product=Elig!$C399,Elig_MatchAll_Ct&lt;22,$BC399=(Elig_MatchAll_Ct-1),BA399=0),AE399,0)</f>
        <v>0</v>
      </c>
    </row>
    <row r="400" spans="1:88" ht="10.15" customHeight="1" x14ac:dyDescent="0.25">
      <c r="A400" s="252" t="s">
        <v>76</v>
      </c>
      <c r="B400" s="252" t="s">
        <v>1039</v>
      </c>
      <c r="C400" s="251" t="str">
        <f t="shared" si="140"/>
        <v>NonQM NOO</v>
      </c>
      <c r="D400" s="252" t="s">
        <v>1995</v>
      </c>
      <c r="E400" s="252" t="s">
        <v>166</v>
      </c>
      <c r="F400" s="252" t="s">
        <v>329</v>
      </c>
      <c r="G400" s="252" t="s">
        <v>304</v>
      </c>
      <c r="H400" s="252" t="s">
        <v>135</v>
      </c>
      <c r="I400" s="253" t="s">
        <v>273</v>
      </c>
      <c r="J400" s="253" t="s">
        <v>1130</v>
      </c>
      <c r="K400" s="253" t="s">
        <v>1398</v>
      </c>
      <c r="L400" s="252" t="s">
        <v>311</v>
      </c>
      <c r="M400" s="252" t="s">
        <v>2289</v>
      </c>
      <c r="N400" s="252" t="s">
        <v>1844</v>
      </c>
      <c r="O400" s="252" t="s">
        <v>309</v>
      </c>
      <c r="P400" s="252" t="s">
        <v>2434</v>
      </c>
      <c r="Q400" s="252" t="s">
        <v>293</v>
      </c>
      <c r="R400" s="252">
        <v>1500000.01</v>
      </c>
      <c r="S400" s="252">
        <v>2000000</v>
      </c>
      <c r="T400" s="252">
        <v>0</v>
      </c>
      <c r="U400" s="252">
        <v>0</v>
      </c>
      <c r="V400" s="252">
        <v>0</v>
      </c>
      <c r="W400" s="252">
        <v>50</v>
      </c>
      <c r="X400" s="252">
        <v>0</v>
      </c>
      <c r="Y400" s="252">
        <v>999</v>
      </c>
      <c r="Z400" s="254">
        <v>700</v>
      </c>
      <c r="AA400" s="254">
        <v>719</v>
      </c>
      <c r="AB400" s="1883">
        <v>0</v>
      </c>
      <c r="AC400" s="254">
        <v>999999</v>
      </c>
      <c r="AD400" s="252">
        <v>0</v>
      </c>
      <c r="AE400" s="255">
        <v>65</v>
      </c>
      <c r="AF400" s="144">
        <v>0</v>
      </c>
      <c r="AG400" s="145">
        <v>1</v>
      </c>
      <c r="AH400" s="145">
        <v>1</v>
      </c>
      <c r="AI400" s="145">
        <v>1</v>
      </c>
      <c r="AJ400" s="145">
        <v>0</v>
      </c>
      <c r="AK400" s="145">
        <v>1</v>
      </c>
      <c r="AL400" s="145">
        <v>1</v>
      </c>
      <c r="AM400" s="145">
        <v>1</v>
      </c>
      <c r="AN400" s="145">
        <v>1</v>
      </c>
      <c r="AO400" s="145">
        <v>1</v>
      </c>
      <c r="AP400" s="145">
        <v>1</v>
      </c>
      <c r="AQ400" s="145">
        <v>1</v>
      </c>
      <c r="AR400" s="145">
        <v>1</v>
      </c>
      <c r="AS400" s="145">
        <v>1</v>
      </c>
      <c r="AT400" s="145">
        <v>1</v>
      </c>
      <c r="AU400" s="145">
        <f t="shared" si="125"/>
        <v>0</v>
      </c>
      <c r="AV400" s="145">
        <f t="shared" si="126"/>
        <v>1</v>
      </c>
      <c r="AW400" s="145">
        <f t="shared" si="127"/>
        <v>1</v>
      </c>
      <c r="AX400" s="145">
        <f t="shared" si="133"/>
        <v>1</v>
      </c>
      <c r="AY400" s="145">
        <f t="shared" si="128"/>
        <v>0</v>
      </c>
      <c r="AZ400" s="145">
        <f t="shared" si="129"/>
        <v>1</v>
      </c>
      <c r="BA400" s="146">
        <f t="shared" si="130"/>
        <v>0</v>
      </c>
      <c r="BB400" s="149">
        <f t="shared" si="142"/>
        <v>17</v>
      </c>
      <c r="BC400" s="150">
        <f t="shared" si="143"/>
        <v>17</v>
      </c>
      <c r="BD400" s="150">
        <f t="shared" si="144"/>
        <v>17</v>
      </c>
      <c r="BE400" s="211" t="str">
        <f t="shared" si="145"/>
        <v/>
      </c>
      <c r="BH400" s="173">
        <f>IF(AND(Input_Product=Elig!$C400,Elig_MatchAll_Ct&lt;22,$BC400=(Elig_MatchAll_Ct-1),AF400=0),C400,0)</f>
        <v>0</v>
      </c>
      <c r="BI400" s="173">
        <f>IF(AND(Input_Product=Elig!$C400,Elig_MatchAll_Ct&lt;22,$BC400=(Elig_MatchAll_Ct-1),AG400=0),D400,0)</f>
        <v>0</v>
      </c>
      <c r="BJ400" s="173">
        <f>IF(AND(Input_Product=Elig!$C400,Elig_MatchAll_Ct&lt;22,$BC400=(Elig_MatchAll_Ct-1),AH400=0),E400,0)</f>
        <v>0</v>
      </c>
      <c r="BK400" s="173">
        <f>IF(AND(Input_Product=Elig!$C400,Elig_MatchAll_Ct&lt;22,$BC400=(Elig_MatchAll_Ct-1),AI400=0),F400,0)</f>
        <v>0</v>
      </c>
      <c r="BL400" s="173">
        <f>IF(AND(Input_Product=Elig!$C400,Elig_MatchAll_Ct&lt;22,$BC400=(Elig_MatchAll_Ct-1),AJ400=0),G400,0)</f>
        <v>0</v>
      </c>
      <c r="BM400" s="173">
        <f>IF(AND(Input_Product=Elig!$C400,Elig_MatchAll_Ct&lt;22,$BC400=(Elig_MatchAll_Ct-1),AK400=0),H400,0)</f>
        <v>0</v>
      </c>
      <c r="BN400" s="173">
        <f>IF(AND(Input_Product=Elig!$C400,Elig_MatchAll_Ct&lt;22,$BC400=(Elig_MatchAll_Ct-1),AL400=0),I400,0)</f>
        <v>0</v>
      </c>
      <c r="BO400" s="173">
        <f>IF(AND(Input_Product=Elig!$C400,Elig_MatchAll_Ct&lt;22,$BC400=(Elig_MatchAll_Ct-1),AM400=0),J400,0)</f>
        <v>0</v>
      </c>
      <c r="BP400" s="173">
        <f>IF(AND(Input_Product=Elig!$C400,Elig_MatchAll_Ct&lt;22,$BC400=(Elig_MatchAll_Ct-1),AN400=0),K400,0)</f>
        <v>0</v>
      </c>
      <c r="BQ400" s="173">
        <f>IF(AND(Input_Product=Elig!$C400,Elig_MatchAll_Ct&lt;22,$BC400=(Elig_MatchAll_Ct-1),AP400=0),L400,0)</f>
        <v>0</v>
      </c>
      <c r="BR400" s="173">
        <f>IF(AND(Input_Product=Elig!$C400,Elig_MatchAll_Ct&lt;22,$BC400=(Elig_MatchAll_Ct-1),AO400=0),M400,0)</f>
        <v>0</v>
      </c>
      <c r="BS400" s="173">
        <f>IF(AND(Input_Product=Elig!$C400,Elig_MatchAll_Ct&lt;22,$BC400=(Elig_MatchAll_Ct-1),AQ400=0),N400,0)</f>
        <v>0</v>
      </c>
      <c r="BT400" s="173">
        <f>IF(AND(Input_Product=Elig!$C400,Elig_MatchAll_Ct&lt;22,$BC400=(Elig_MatchAll_Ct-1),AR400=0),O400,0)</f>
        <v>0</v>
      </c>
      <c r="BU400" s="173">
        <f>IF(AND(Input_Product=Elig!$C400,Elig_MatchAll_Ct&lt;22,$BC400=(Elig_MatchAll_Ct-1),AS400=0),P400,0)</f>
        <v>0</v>
      </c>
      <c r="BV400" s="174">
        <f>IF(AND(Input_Product=Elig!$C400,Elig_MatchAll_Ct&lt;22,$BC400=(Elig_MatchAll_Ct-1),AT400=0),Q400,0)</f>
        <v>0</v>
      </c>
      <c r="BW400" s="175">
        <f>IF(AND(Input_Product=Elig!$C400,Elig_MatchAll_Ct&lt;22,$BC400=(Elig_MatchAll_Ct-1),AU400=0),R400,0)</f>
        <v>0</v>
      </c>
      <c r="BX400" s="176">
        <f>IF(AND(Input_Product=Elig!$C400,Elig_MatchAll_Ct&lt;22,$BC400=(Elig_MatchAll_Ct-1),AU400=0),S400,0)</f>
        <v>0</v>
      </c>
      <c r="BY400" s="175">
        <f>IF(AND(Input_Product=Elig!$C400,Elig_MatchAll_Ct&lt;22,$BC400=(Elig_MatchAll_Ct-1),AV400=0),T400,0)</f>
        <v>0</v>
      </c>
      <c r="BZ400" s="176">
        <f>IF(AND(Input_Product=Elig!$C400,Elig_MatchAll_Ct&lt;22,$BC400=(Elig_MatchAll_Ct-1),AV400=0),U400,0)</f>
        <v>0</v>
      </c>
      <c r="CA400" s="175">
        <f>IF(AND(Input_Product=Elig!$C400,Elig_MatchAll_Ct&lt;22,$BC400=(Elig_MatchAll_Ct-1),AW400=0),V400,0)</f>
        <v>0</v>
      </c>
      <c r="CB400" s="176">
        <f>IF(AND(Input_Product=Elig!$C400,Elig_MatchAll_Ct&lt;22,$BC400=(Elig_MatchAll_Ct-1),AW400=0),W400,0)</f>
        <v>0</v>
      </c>
      <c r="CC400" s="175">
        <f>IF(AND(Input_Product=Elig!$C400,Elig_MatchAll_Ct&lt;22,$BC400=(Elig_MatchAll_Ct-1),AX400=0),X400,0)</f>
        <v>0</v>
      </c>
      <c r="CD400" s="176">
        <f>IF(AND(Input_Product=Elig!$C400,Elig_MatchAll_Ct&lt;22,$BC400=(Elig_MatchAll_Ct-1),AX400=0),Y400,0)</f>
        <v>0</v>
      </c>
      <c r="CE400" s="175">
        <f>IF(AND(Input_LTV&lt;=AE400,Input_Product=Elig!$C400,Elig_MatchAll_Ct&lt;22,$BC400=(Elig_MatchAll_Ct-1),AY400=0),Z400,0)</f>
        <v>0</v>
      </c>
      <c r="CF400" s="176">
        <f>IF(AND(Input_LTV&lt;=AE400,Input_Product=Elig!$C400,Elig_MatchAll_Ct&lt;22,$BC400=(Elig_MatchAll_Ct-1),AY400=0),AA400,0)</f>
        <v>0</v>
      </c>
      <c r="CG400" s="175">
        <f>IF(AND(Input_Product=Elig!$C400,Elig_MatchAll_Ct&lt;22,$BC400=(Elig_MatchAll_Ct-1),AZ400=0),AB400,0)</f>
        <v>0</v>
      </c>
      <c r="CH400" s="176">
        <f>IF(AND(Input_Product=Elig!$C400,Elig_MatchAll_Ct&lt;22,$BC400=(Elig_MatchAll_Ct-1),AZ400=0),AC400,0)</f>
        <v>0</v>
      </c>
      <c r="CI400" s="175">
        <f>IF(AND(Input_Product=Elig!$C400,Elig_MatchAll_Ct&lt;22,$BC400=(Elig_MatchAll_Ct-1),BA400=0),AD400,0)</f>
        <v>0</v>
      </c>
      <c r="CJ400" s="176">
        <f>IF(AND(Input_Product=Elig!$C400,Elig_MatchAll_Ct&lt;22,$BC400=(Elig_MatchAll_Ct-1),BA400=0),AE400,0)</f>
        <v>0</v>
      </c>
    </row>
    <row r="401" spans="1:88" ht="10.15" customHeight="1" x14ac:dyDescent="0.25">
      <c r="A401" s="252" t="s">
        <v>76</v>
      </c>
      <c r="B401" s="252" t="s">
        <v>1046</v>
      </c>
      <c r="C401" s="251" t="str">
        <f t="shared" si="140"/>
        <v>NonQM NOO</v>
      </c>
      <c r="D401" s="252" t="s">
        <v>1995</v>
      </c>
      <c r="E401" s="252" t="s">
        <v>166</v>
      </c>
      <c r="F401" s="252" t="s">
        <v>329</v>
      </c>
      <c r="G401" s="252" t="s">
        <v>304</v>
      </c>
      <c r="H401" s="252" t="s">
        <v>135</v>
      </c>
      <c r="I401" s="253" t="s">
        <v>273</v>
      </c>
      <c r="J401" s="253" t="s">
        <v>1130</v>
      </c>
      <c r="K401" s="253" t="s">
        <v>1398</v>
      </c>
      <c r="L401" s="252" t="s">
        <v>311</v>
      </c>
      <c r="M401" s="252" t="s">
        <v>2289</v>
      </c>
      <c r="N401" s="252" t="s">
        <v>1844</v>
      </c>
      <c r="O401" s="252" t="s">
        <v>309</v>
      </c>
      <c r="P401" s="252" t="s">
        <v>2434</v>
      </c>
      <c r="Q401" s="252" t="s">
        <v>293</v>
      </c>
      <c r="R401" s="252">
        <v>1500000.01</v>
      </c>
      <c r="S401" s="252">
        <v>2000000</v>
      </c>
      <c r="T401" s="252">
        <v>0</v>
      </c>
      <c r="U401" s="252">
        <v>0</v>
      </c>
      <c r="V401" s="252">
        <v>0</v>
      </c>
      <c r="W401" s="252">
        <v>50</v>
      </c>
      <c r="X401" s="252">
        <v>0</v>
      </c>
      <c r="Y401" s="252">
        <v>999</v>
      </c>
      <c r="Z401" s="254">
        <v>680</v>
      </c>
      <c r="AA401" s="254">
        <v>699</v>
      </c>
      <c r="AB401" s="1883">
        <v>0</v>
      </c>
      <c r="AC401" s="254">
        <v>999999</v>
      </c>
      <c r="AD401" s="252">
        <v>0</v>
      </c>
      <c r="AE401" s="255">
        <v>65</v>
      </c>
      <c r="AF401" s="144">
        <v>0</v>
      </c>
      <c r="AG401" s="145">
        <v>1</v>
      </c>
      <c r="AH401" s="145">
        <v>1</v>
      </c>
      <c r="AI401" s="145">
        <v>1</v>
      </c>
      <c r="AJ401" s="145">
        <v>0</v>
      </c>
      <c r="AK401" s="145">
        <v>1</v>
      </c>
      <c r="AL401" s="145">
        <v>1</v>
      </c>
      <c r="AM401" s="145">
        <v>1</v>
      </c>
      <c r="AN401" s="145">
        <v>1</v>
      </c>
      <c r="AO401" s="145">
        <v>1</v>
      </c>
      <c r="AP401" s="145">
        <v>1</v>
      </c>
      <c r="AQ401" s="145">
        <v>1</v>
      </c>
      <c r="AR401" s="145">
        <v>1</v>
      </c>
      <c r="AS401" s="145">
        <v>1</v>
      </c>
      <c r="AT401" s="145">
        <v>1</v>
      </c>
      <c r="AU401" s="145">
        <f t="shared" ref="AU401:AU530" si="148">IF(AND(Input_LoanAmt&gt;=Elig_LoanAmt_Min,Input_LoanAmt&lt;=Elig_LoanAmt_Max),1,0)</f>
        <v>0</v>
      </c>
      <c r="AV401" s="145">
        <f t="shared" ref="AV401:AV530" si="149">IF(AND(Input_CashoutAmt&gt;=Elig_CashoutAmt_Min,Input_CashoutAmt&lt;=Elig_CashoutAmt_Max),1,0)</f>
        <v>1</v>
      </c>
      <c r="AW401" s="145">
        <f t="shared" ref="AW401:AW530" si="150">IF(AND(Input_DTI&gt;=Elig_DTI_Min,Input_DTI&lt;=Elig_DTI_Max),1,0)</f>
        <v>1</v>
      </c>
      <c r="AX401" s="145">
        <f t="shared" si="133"/>
        <v>1</v>
      </c>
      <c r="AY401" s="145">
        <f t="shared" ref="AY401:AY530" si="151">IF(AND(Input_CreditScore&gt;=Elig_CreditScore_Min,Input_CreditScore&lt;=Elig_CreditScore_Max),1,0)</f>
        <v>0</v>
      </c>
      <c r="AZ401" s="145">
        <f t="shared" ref="AZ401:AZ530" si="152">IF(AND(Input_ReservesMonths&gt;=Elig_Reserves_Min,Input_ReservesMonths&lt;=Elig_Reserves_Max),1,0)</f>
        <v>1</v>
      </c>
      <c r="BA401" s="146">
        <f t="shared" ref="BA401:BA530" si="153">IF(AND(Input_LTV&gt;=Elig_LTV_Min,Input_LTV&lt;=Elig_LTV_Max),1,0)</f>
        <v>0</v>
      </c>
      <c r="BB401" s="149">
        <f t="shared" si="142"/>
        <v>17</v>
      </c>
      <c r="BC401" s="150">
        <f t="shared" si="143"/>
        <v>17</v>
      </c>
      <c r="BD401" s="150">
        <f t="shared" si="144"/>
        <v>17</v>
      </c>
      <c r="BE401" s="211" t="str">
        <f t="shared" si="145"/>
        <v/>
      </c>
      <c r="BH401" s="173">
        <f>IF(AND(Input_Product=Elig!$C401,Elig_MatchAll_Ct&lt;22,$BC401=(Elig_MatchAll_Ct-1),AF401=0),C401,0)</f>
        <v>0</v>
      </c>
      <c r="BI401" s="173">
        <f>IF(AND(Input_Product=Elig!$C401,Elig_MatchAll_Ct&lt;22,$BC401=(Elig_MatchAll_Ct-1),AG401=0),D401,0)</f>
        <v>0</v>
      </c>
      <c r="BJ401" s="173">
        <f>IF(AND(Input_Product=Elig!$C401,Elig_MatchAll_Ct&lt;22,$BC401=(Elig_MatchAll_Ct-1),AH401=0),E401,0)</f>
        <v>0</v>
      </c>
      <c r="BK401" s="173">
        <f>IF(AND(Input_Product=Elig!$C401,Elig_MatchAll_Ct&lt;22,$BC401=(Elig_MatchAll_Ct-1),AI401=0),F401,0)</f>
        <v>0</v>
      </c>
      <c r="BL401" s="173">
        <f>IF(AND(Input_Product=Elig!$C401,Elig_MatchAll_Ct&lt;22,$BC401=(Elig_MatchAll_Ct-1),AJ401=0),G401,0)</f>
        <v>0</v>
      </c>
      <c r="BM401" s="173">
        <f>IF(AND(Input_Product=Elig!$C401,Elig_MatchAll_Ct&lt;22,$BC401=(Elig_MatchAll_Ct-1),AK401=0),H401,0)</f>
        <v>0</v>
      </c>
      <c r="BN401" s="173">
        <f>IF(AND(Input_Product=Elig!$C401,Elig_MatchAll_Ct&lt;22,$BC401=(Elig_MatchAll_Ct-1),AL401=0),I401,0)</f>
        <v>0</v>
      </c>
      <c r="BO401" s="173">
        <f>IF(AND(Input_Product=Elig!$C401,Elig_MatchAll_Ct&lt;22,$BC401=(Elig_MatchAll_Ct-1),AM401=0),J401,0)</f>
        <v>0</v>
      </c>
      <c r="BP401" s="173">
        <f>IF(AND(Input_Product=Elig!$C401,Elig_MatchAll_Ct&lt;22,$BC401=(Elig_MatchAll_Ct-1),AN401=0),K401,0)</f>
        <v>0</v>
      </c>
      <c r="BQ401" s="173">
        <f>IF(AND(Input_Product=Elig!$C401,Elig_MatchAll_Ct&lt;22,$BC401=(Elig_MatchAll_Ct-1),AP401=0),L401,0)</f>
        <v>0</v>
      </c>
      <c r="BR401" s="173">
        <f>IF(AND(Input_Product=Elig!$C401,Elig_MatchAll_Ct&lt;22,$BC401=(Elig_MatchAll_Ct-1),AO401=0),M401,0)</f>
        <v>0</v>
      </c>
      <c r="BS401" s="173">
        <f>IF(AND(Input_Product=Elig!$C401,Elig_MatchAll_Ct&lt;22,$BC401=(Elig_MatchAll_Ct-1),AQ401=0),N401,0)</f>
        <v>0</v>
      </c>
      <c r="BT401" s="173">
        <f>IF(AND(Input_Product=Elig!$C401,Elig_MatchAll_Ct&lt;22,$BC401=(Elig_MatchAll_Ct-1),AR401=0),O401,0)</f>
        <v>0</v>
      </c>
      <c r="BU401" s="173">
        <f>IF(AND(Input_Product=Elig!$C401,Elig_MatchAll_Ct&lt;22,$BC401=(Elig_MatchAll_Ct-1),AS401=0),P401,0)</f>
        <v>0</v>
      </c>
      <c r="BV401" s="174">
        <f>IF(AND(Input_Product=Elig!$C401,Elig_MatchAll_Ct&lt;22,$BC401=(Elig_MatchAll_Ct-1),AT401=0),Q401,0)</f>
        <v>0</v>
      </c>
      <c r="BW401" s="175">
        <f>IF(AND(Input_Product=Elig!$C401,Elig_MatchAll_Ct&lt;22,$BC401=(Elig_MatchAll_Ct-1),AU401=0),R401,0)</f>
        <v>0</v>
      </c>
      <c r="BX401" s="176">
        <f>IF(AND(Input_Product=Elig!$C401,Elig_MatchAll_Ct&lt;22,$BC401=(Elig_MatchAll_Ct-1),AU401=0),S401,0)</f>
        <v>0</v>
      </c>
      <c r="BY401" s="175">
        <f>IF(AND(Input_Product=Elig!$C401,Elig_MatchAll_Ct&lt;22,$BC401=(Elig_MatchAll_Ct-1),AV401=0),T401,0)</f>
        <v>0</v>
      </c>
      <c r="BZ401" s="176">
        <f>IF(AND(Input_Product=Elig!$C401,Elig_MatchAll_Ct&lt;22,$BC401=(Elig_MatchAll_Ct-1),AV401=0),U401,0)</f>
        <v>0</v>
      </c>
      <c r="CA401" s="175">
        <f>IF(AND(Input_Product=Elig!$C401,Elig_MatchAll_Ct&lt;22,$BC401=(Elig_MatchAll_Ct-1),AW401=0),V401,0)</f>
        <v>0</v>
      </c>
      <c r="CB401" s="176">
        <f>IF(AND(Input_Product=Elig!$C401,Elig_MatchAll_Ct&lt;22,$BC401=(Elig_MatchAll_Ct-1),AW401=0),W401,0)</f>
        <v>0</v>
      </c>
      <c r="CC401" s="175">
        <f>IF(AND(Input_Product=Elig!$C401,Elig_MatchAll_Ct&lt;22,$BC401=(Elig_MatchAll_Ct-1),AX401=0),X401,0)</f>
        <v>0</v>
      </c>
      <c r="CD401" s="176">
        <f>IF(AND(Input_Product=Elig!$C401,Elig_MatchAll_Ct&lt;22,$BC401=(Elig_MatchAll_Ct-1),AX401=0),Y401,0)</f>
        <v>0</v>
      </c>
      <c r="CE401" s="175">
        <f>IF(AND(Input_LTV&lt;=AE401,Input_Product=Elig!$C401,Elig_MatchAll_Ct&lt;22,$BC401=(Elig_MatchAll_Ct-1),AY401=0),Z401,0)</f>
        <v>0</v>
      </c>
      <c r="CF401" s="176">
        <f>IF(AND(Input_LTV&lt;=AE401,Input_Product=Elig!$C401,Elig_MatchAll_Ct&lt;22,$BC401=(Elig_MatchAll_Ct-1),AY401=0),AA401,0)</f>
        <v>0</v>
      </c>
      <c r="CG401" s="175">
        <f>IF(AND(Input_Product=Elig!$C401,Elig_MatchAll_Ct&lt;22,$BC401=(Elig_MatchAll_Ct-1),AZ401=0),AB401,0)</f>
        <v>0</v>
      </c>
      <c r="CH401" s="176">
        <f>IF(AND(Input_Product=Elig!$C401,Elig_MatchAll_Ct&lt;22,$BC401=(Elig_MatchAll_Ct-1),AZ401=0),AC401,0)</f>
        <v>0</v>
      </c>
      <c r="CI401" s="175">
        <f>IF(AND(Input_Product=Elig!$C401,Elig_MatchAll_Ct&lt;22,$BC401=(Elig_MatchAll_Ct-1),BA401=0),AD401,0)</f>
        <v>0</v>
      </c>
      <c r="CJ401" s="176">
        <f>IF(AND(Input_Product=Elig!$C401,Elig_MatchAll_Ct&lt;22,$BC401=(Elig_MatchAll_Ct-1),BA401=0),AE401,0)</f>
        <v>0</v>
      </c>
    </row>
    <row r="402" spans="1:88" ht="10.15" customHeight="1" x14ac:dyDescent="0.25">
      <c r="A402" s="252" t="s">
        <v>76</v>
      </c>
      <c r="B402" s="252" t="s">
        <v>1047</v>
      </c>
      <c r="C402" s="251" t="str">
        <f t="shared" si="140"/>
        <v>NonQM NOO</v>
      </c>
      <c r="D402" s="252" t="s">
        <v>1995</v>
      </c>
      <c r="E402" s="252" t="s">
        <v>166</v>
      </c>
      <c r="F402" s="252" t="s">
        <v>329</v>
      </c>
      <c r="G402" s="252" t="s">
        <v>304</v>
      </c>
      <c r="H402" s="252" t="s">
        <v>135</v>
      </c>
      <c r="I402" s="253" t="s">
        <v>273</v>
      </c>
      <c r="J402" s="253" t="s">
        <v>1130</v>
      </c>
      <c r="K402" s="253" t="s">
        <v>1398</v>
      </c>
      <c r="L402" s="252" t="s">
        <v>311</v>
      </c>
      <c r="M402" s="252" t="s">
        <v>2289</v>
      </c>
      <c r="N402" s="252" t="s">
        <v>1844</v>
      </c>
      <c r="O402" s="252" t="s">
        <v>309</v>
      </c>
      <c r="P402" s="252" t="s">
        <v>2434</v>
      </c>
      <c r="Q402" s="252" t="s">
        <v>293</v>
      </c>
      <c r="R402" s="252">
        <v>1500000.01</v>
      </c>
      <c r="S402" s="252">
        <v>2000000</v>
      </c>
      <c r="T402" s="252">
        <v>0</v>
      </c>
      <c r="U402" s="252">
        <v>0</v>
      </c>
      <c r="V402" s="252">
        <v>0</v>
      </c>
      <c r="W402" s="252">
        <v>50</v>
      </c>
      <c r="X402" s="252">
        <v>0</v>
      </c>
      <c r="Y402" s="252">
        <v>999</v>
      </c>
      <c r="Z402" s="254">
        <v>660</v>
      </c>
      <c r="AA402" s="254">
        <v>679</v>
      </c>
      <c r="AB402" s="1883">
        <v>0</v>
      </c>
      <c r="AC402" s="254">
        <v>999999</v>
      </c>
      <c r="AD402" s="252">
        <v>0</v>
      </c>
      <c r="AE402" s="255">
        <v>65</v>
      </c>
      <c r="AF402" s="144">
        <v>0</v>
      </c>
      <c r="AG402" s="145">
        <v>1</v>
      </c>
      <c r="AH402" s="145">
        <v>1</v>
      </c>
      <c r="AI402" s="145">
        <v>1</v>
      </c>
      <c r="AJ402" s="145">
        <v>0</v>
      </c>
      <c r="AK402" s="145">
        <v>1</v>
      </c>
      <c r="AL402" s="145">
        <v>1</v>
      </c>
      <c r="AM402" s="145">
        <v>1</v>
      </c>
      <c r="AN402" s="145">
        <v>1</v>
      </c>
      <c r="AO402" s="145">
        <v>1</v>
      </c>
      <c r="AP402" s="145">
        <v>1</v>
      </c>
      <c r="AQ402" s="145">
        <v>1</v>
      </c>
      <c r="AR402" s="145">
        <v>1</v>
      </c>
      <c r="AS402" s="145">
        <v>1</v>
      </c>
      <c r="AT402" s="145">
        <v>1</v>
      </c>
      <c r="AU402" s="145">
        <f t="shared" si="148"/>
        <v>0</v>
      </c>
      <c r="AV402" s="145">
        <f t="shared" si="149"/>
        <v>1</v>
      </c>
      <c r="AW402" s="145">
        <f t="shared" si="150"/>
        <v>1</v>
      </c>
      <c r="AX402" s="145">
        <f t="shared" si="133"/>
        <v>1</v>
      </c>
      <c r="AY402" s="145">
        <f t="shared" si="151"/>
        <v>0</v>
      </c>
      <c r="AZ402" s="145">
        <f t="shared" si="152"/>
        <v>1</v>
      </c>
      <c r="BA402" s="146">
        <f t="shared" si="153"/>
        <v>0</v>
      </c>
      <c r="BB402" s="149">
        <f t="shared" si="142"/>
        <v>17</v>
      </c>
      <c r="BC402" s="150">
        <f t="shared" si="143"/>
        <v>17</v>
      </c>
      <c r="BD402" s="150">
        <f t="shared" si="144"/>
        <v>17</v>
      </c>
      <c r="BE402" s="211" t="str">
        <f t="shared" si="145"/>
        <v/>
      </c>
      <c r="BH402" s="173">
        <f>IF(AND(Input_Product=Elig!$C402,Elig_MatchAll_Ct&lt;22,$BC402=(Elig_MatchAll_Ct-1),AF402=0),C402,0)</f>
        <v>0</v>
      </c>
      <c r="BI402" s="173">
        <f>IF(AND(Input_Product=Elig!$C402,Elig_MatchAll_Ct&lt;22,$BC402=(Elig_MatchAll_Ct-1),AG402=0),D402,0)</f>
        <v>0</v>
      </c>
      <c r="BJ402" s="173">
        <f>IF(AND(Input_Product=Elig!$C402,Elig_MatchAll_Ct&lt;22,$BC402=(Elig_MatchAll_Ct-1),AH402=0),E402,0)</f>
        <v>0</v>
      </c>
      <c r="BK402" s="173">
        <f>IF(AND(Input_Product=Elig!$C402,Elig_MatchAll_Ct&lt;22,$BC402=(Elig_MatchAll_Ct-1),AI402=0),F402,0)</f>
        <v>0</v>
      </c>
      <c r="BL402" s="173">
        <f>IF(AND(Input_Product=Elig!$C402,Elig_MatchAll_Ct&lt;22,$BC402=(Elig_MatchAll_Ct-1),AJ402=0),G402,0)</f>
        <v>0</v>
      </c>
      <c r="BM402" s="173">
        <f>IF(AND(Input_Product=Elig!$C402,Elig_MatchAll_Ct&lt;22,$BC402=(Elig_MatchAll_Ct-1),AK402=0),H402,0)</f>
        <v>0</v>
      </c>
      <c r="BN402" s="173">
        <f>IF(AND(Input_Product=Elig!$C402,Elig_MatchAll_Ct&lt;22,$BC402=(Elig_MatchAll_Ct-1),AL402=0),I402,0)</f>
        <v>0</v>
      </c>
      <c r="BO402" s="173">
        <f>IF(AND(Input_Product=Elig!$C402,Elig_MatchAll_Ct&lt;22,$BC402=(Elig_MatchAll_Ct-1),AM402=0),J402,0)</f>
        <v>0</v>
      </c>
      <c r="BP402" s="173">
        <f>IF(AND(Input_Product=Elig!$C402,Elig_MatchAll_Ct&lt;22,$BC402=(Elig_MatchAll_Ct-1),AN402=0),K402,0)</f>
        <v>0</v>
      </c>
      <c r="BQ402" s="173">
        <f>IF(AND(Input_Product=Elig!$C402,Elig_MatchAll_Ct&lt;22,$BC402=(Elig_MatchAll_Ct-1),AP402=0),L402,0)</f>
        <v>0</v>
      </c>
      <c r="BR402" s="173">
        <f>IF(AND(Input_Product=Elig!$C402,Elig_MatchAll_Ct&lt;22,$BC402=(Elig_MatchAll_Ct-1),AO402=0),M402,0)</f>
        <v>0</v>
      </c>
      <c r="BS402" s="173">
        <f>IF(AND(Input_Product=Elig!$C402,Elig_MatchAll_Ct&lt;22,$BC402=(Elig_MatchAll_Ct-1),AQ402=0),N402,0)</f>
        <v>0</v>
      </c>
      <c r="BT402" s="173">
        <f>IF(AND(Input_Product=Elig!$C402,Elig_MatchAll_Ct&lt;22,$BC402=(Elig_MatchAll_Ct-1),AR402=0),O402,0)</f>
        <v>0</v>
      </c>
      <c r="BU402" s="173">
        <f>IF(AND(Input_Product=Elig!$C402,Elig_MatchAll_Ct&lt;22,$BC402=(Elig_MatchAll_Ct-1),AS402=0),P402,0)</f>
        <v>0</v>
      </c>
      <c r="BV402" s="174">
        <f>IF(AND(Input_Product=Elig!$C402,Elig_MatchAll_Ct&lt;22,$BC402=(Elig_MatchAll_Ct-1),AT402=0),Q402,0)</f>
        <v>0</v>
      </c>
      <c r="BW402" s="175">
        <f>IF(AND(Input_Product=Elig!$C402,Elig_MatchAll_Ct&lt;22,$BC402=(Elig_MatchAll_Ct-1),AU402=0),R402,0)</f>
        <v>0</v>
      </c>
      <c r="BX402" s="176">
        <f>IF(AND(Input_Product=Elig!$C402,Elig_MatchAll_Ct&lt;22,$BC402=(Elig_MatchAll_Ct-1),AU402=0),S402,0)</f>
        <v>0</v>
      </c>
      <c r="BY402" s="175">
        <f>IF(AND(Input_Product=Elig!$C402,Elig_MatchAll_Ct&lt;22,$BC402=(Elig_MatchAll_Ct-1),AV402=0),T402,0)</f>
        <v>0</v>
      </c>
      <c r="BZ402" s="176">
        <f>IF(AND(Input_Product=Elig!$C402,Elig_MatchAll_Ct&lt;22,$BC402=(Elig_MatchAll_Ct-1),AV402=0),U402,0)</f>
        <v>0</v>
      </c>
      <c r="CA402" s="175">
        <f>IF(AND(Input_Product=Elig!$C402,Elig_MatchAll_Ct&lt;22,$BC402=(Elig_MatchAll_Ct-1),AW402=0),V402,0)</f>
        <v>0</v>
      </c>
      <c r="CB402" s="176">
        <f>IF(AND(Input_Product=Elig!$C402,Elig_MatchAll_Ct&lt;22,$BC402=(Elig_MatchAll_Ct-1),AW402=0),W402,0)</f>
        <v>0</v>
      </c>
      <c r="CC402" s="175">
        <f>IF(AND(Input_Product=Elig!$C402,Elig_MatchAll_Ct&lt;22,$BC402=(Elig_MatchAll_Ct-1),AX402=0),X402,0)</f>
        <v>0</v>
      </c>
      <c r="CD402" s="176">
        <f>IF(AND(Input_Product=Elig!$C402,Elig_MatchAll_Ct&lt;22,$BC402=(Elig_MatchAll_Ct-1),AX402=0),Y402,0)</f>
        <v>0</v>
      </c>
      <c r="CE402" s="175">
        <f>IF(AND(Input_LTV&lt;=AE402,Input_Product=Elig!$C402,Elig_MatchAll_Ct&lt;22,$BC402=(Elig_MatchAll_Ct-1),AY402=0),Z402,0)</f>
        <v>0</v>
      </c>
      <c r="CF402" s="176">
        <f>IF(AND(Input_LTV&lt;=AE402,Input_Product=Elig!$C402,Elig_MatchAll_Ct&lt;22,$BC402=(Elig_MatchAll_Ct-1),AY402=0),AA402,0)</f>
        <v>0</v>
      </c>
      <c r="CG402" s="175">
        <f>IF(AND(Input_Product=Elig!$C402,Elig_MatchAll_Ct&lt;22,$BC402=(Elig_MatchAll_Ct-1),AZ402=0),AB402,0)</f>
        <v>0</v>
      </c>
      <c r="CH402" s="176">
        <f>IF(AND(Input_Product=Elig!$C402,Elig_MatchAll_Ct&lt;22,$BC402=(Elig_MatchAll_Ct-1),AZ402=0),AC402,0)</f>
        <v>0</v>
      </c>
      <c r="CI402" s="175">
        <f>IF(AND(Input_Product=Elig!$C402,Elig_MatchAll_Ct&lt;22,$BC402=(Elig_MatchAll_Ct-1),BA402=0),AD402,0)</f>
        <v>0</v>
      </c>
      <c r="CJ402" s="176">
        <f>IF(AND(Input_Product=Elig!$C402,Elig_MatchAll_Ct&lt;22,$BC402=(Elig_MatchAll_Ct-1),BA402=0),AE402,0)</f>
        <v>0</v>
      </c>
    </row>
    <row r="403" spans="1:88" ht="10.15" customHeight="1" x14ac:dyDescent="0.25">
      <c r="A403" s="252" t="s">
        <v>76</v>
      </c>
      <c r="B403" s="252" t="s">
        <v>1048</v>
      </c>
      <c r="C403" s="246" t="str">
        <f t="shared" si="140"/>
        <v>NonQM NOO</v>
      </c>
      <c r="D403" s="247" t="s">
        <v>1995</v>
      </c>
      <c r="E403" s="248" t="s">
        <v>166</v>
      </c>
      <c r="F403" s="248" t="s">
        <v>329</v>
      </c>
      <c r="G403" s="248" t="s">
        <v>304</v>
      </c>
      <c r="H403" s="248" t="s">
        <v>135</v>
      </c>
      <c r="I403" s="247" t="s">
        <v>16</v>
      </c>
      <c r="J403" s="247" t="s">
        <v>1130</v>
      </c>
      <c r="K403" s="247" t="s">
        <v>1398</v>
      </c>
      <c r="L403" s="248" t="s">
        <v>311</v>
      </c>
      <c r="M403" s="248" t="s">
        <v>2289</v>
      </c>
      <c r="N403" s="248" t="s">
        <v>1844</v>
      </c>
      <c r="O403" s="248" t="s">
        <v>309</v>
      </c>
      <c r="P403" s="248" t="s">
        <v>2434</v>
      </c>
      <c r="Q403" s="248" t="s">
        <v>293</v>
      </c>
      <c r="R403" s="247">
        <v>1500000.01</v>
      </c>
      <c r="S403" s="247">
        <v>2000000</v>
      </c>
      <c r="T403" s="247">
        <v>0</v>
      </c>
      <c r="U403" s="247">
        <f t="shared" ref="U403:U406" si="154">S403</f>
        <v>2000000</v>
      </c>
      <c r="V403" s="247">
        <v>0</v>
      </c>
      <c r="W403" s="247">
        <v>50</v>
      </c>
      <c r="X403" s="247">
        <v>0</v>
      </c>
      <c r="Y403" s="247">
        <v>999</v>
      </c>
      <c r="Z403" s="249">
        <v>720</v>
      </c>
      <c r="AA403" s="249">
        <v>999</v>
      </c>
      <c r="AB403" s="1882">
        <v>0</v>
      </c>
      <c r="AC403" s="249">
        <v>999999</v>
      </c>
      <c r="AD403" s="247">
        <v>0</v>
      </c>
      <c r="AE403" s="250">
        <v>60</v>
      </c>
      <c r="AF403" s="144">
        <v>0</v>
      </c>
      <c r="AG403" s="145">
        <v>1</v>
      </c>
      <c r="AH403" s="145">
        <v>1</v>
      </c>
      <c r="AI403" s="145">
        <v>1</v>
      </c>
      <c r="AJ403" s="145">
        <v>0</v>
      </c>
      <c r="AK403" s="145">
        <v>1</v>
      </c>
      <c r="AL403" s="145">
        <v>0</v>
      </c>
      <c r="AM403" s="145">
        <v>1</v>
      </c>
      <c r="AN403" s="145">
        <v>1</v>
      </c>
      <c r="AO403" s="145">
        <v>1</v>
      </c>
      <c r="AP403" s="145">
        <v>1</v>
      </c>
      <c r="AQ403" s="145">
        <v>1</v>
      </c>
      <c r="AR403" s="145">
        <v>1</v>
      </c>
      <c r="AS403" s="145">
        <v>1</v>
      </c>
      <c r="AT403" s="145">
        <v>1</v>
      </c>
      <c r="AU403" s="145">
        <f t="shared" si="148"/>
        <v>0</v>
      </c>
      <c r="AV403" s="145">
        <f t="shared" si="149"/>
        <v>1</v>
      </c>
      <c r="AW403" s="145">
        <f t="shared" si="150"/>
        <v>1</v>
      </c>
      <c r="AX403" s="145">
        <f t="shared" si="133"/>
        <v>1</v>
      </c>
      <c r="AY403" s="145">
        <f t="shared" si="151"/>
        <v>1</v>
      </c>
      <c r="AZ403" s="145">
        <f t="shared" si="152"/>
        <v>1</v>
      </c>
      <c r="BA403" s="146">
        <f t="shared" si="153"/>
        <v>0</v>
      </c>
      <c r="BB403" s="149">
        <f t="shared" si="142"/>
        <v>17</v>
      </c>
      <c r="BC403" s="150">
        <f t="shared" si="143"/>
        <v>17</v>
      </c>
      <c r="BD403" s="150">
        <f t="shared" si="144"/>
        <v>17</v>
      </c>
      <c r="BE403" s="211" t="str">
        <f t="shared" si="145"/>
        <v/>
      </c>
      <c r="BH403" s="190">
        <f>IF(AND(Input_Product=Elig!$C403,Elig_MatchAll_Ct&lt;22,$BC403=(Elig_MatchAll_Ct-1),AF403=0),C403,0)</f>
        <v>0</v>
      </c>
      <c r="BI403" s="190">
        <f>IF(AND(Input_Product=Elig!$C403,Elig_MatchAll_Ct&lt;22,$BC403=(Elig_MatchAll_Ct-1),AG403=0),D403,0)</f>
        <v>0</v>
      </c>
      <c r="BJ403" s="190">
        <f>IF(AND(Input_Product=Elig!$C403,Elig_MatchAll_Ct&lt;22,$BC403=(Elig_MatchAll_Ct-1),AH403=0),E403,0)</f>
        <v>0</v>
      </c>
      <c r="BK403" s="190">
        <f>IF(AND(Input_Product=Elig!$C403,Elig_MatchAll_Ct&lt;22,$BC403=(Elig_MatchAll_Ct-1),AI403=0),F403,0)</f>
        <v>0</v>
      </c>
      <c r="BL403" s="190">
        <f>IF(AND(Input_Product=Elig!$C403,Elig_MatchAll_Ct&lt;22,$BC403=(Elig_MatchAll_Ct-1),AJ403=0),G403,0)</f>
        <v>0</v>
      </c>
      <c r="BM403" s="190">
        <f>IF(AND(Input_Product=Elig!$C403,Elig_MatchAll_Ct&lt;22,$BC403=(Elig_MatchAll_Ct-1),AK403=0),H403,0)</f>
        <v>0</v>
      </c>
      <c r="BN403" s="190">
        <f>IF(AND(Input_Product=Elig!$C403,Elig_MatchAll_Ct&lt;22,$BC403=(Elig_MatchAll_Ct-1),AL403=0),I403,0)</f>
        <v>0</v>
      </c>
      <c r="BO403" s="190">
        <f>IF(AND(Input_Product=Elig!$C403,Elig_MatchAll_Ct&lt;22,$BC403=(Elig_MatchAll_Ct-1),AM403=0),J403,0)</f>
        <v>0</v>
      </c>
      <c r="BP403" s="190">
        <f>IF(AND(Input_Product=Elig!$C403,Elig_MatchAll_Ct&lt;22,$BC403=(Elig_MatchAll_Ct-1),AN403=0),K403,0)</f>
        <v>0</v>
      </c>
      <c r="BQ403" s="190">
        <f>IF(AND(Input_Product=Elig!$C403,Elig_MatchAll_Ct&lt;22,$BC403=(Elig_MatchAll_Ct-1),AP403=0),L403,0)</f>
        <v>0</v>
      </c>
      <c r="BR403" s="190">
        <f>IF(AND(Input_Product=Elig!$C403,Elig_MatchAll_Ct&lt;22,$BC403=(Elig_MatchAll_Ct-1),AO403=0),M403,0)</f>
        <v>0</v>
      </c>
      <c r="BS403" s="190">
        <f>IF(AND(Input_Product=Elig!$C403,Elig_MatchAll_Ct&lt;22,$BC403=(Elig_MatchAll_Ct-1),AQ403=0),N403,0)</f>
        <v>0</v>
      </c>
      <c r="BT403" s="190">
        <f>IF(AND(Input_Product=Elig!$C403,Elig_MatchAll_Ct&lt;22,$BC403=(Elig_MatchAll_Ct-1),AR403=0),O403,0)</f>
        <v>0</v>
      </c>
      <c r="BU403" s="190">
        <f>IF(AND(Input_Product=Elig!$C403,Elig_MatchAll_Ct&lt;22,$BC403=(Elig_MatchAll_Ct-1),AS403=0),P403,0)</f>
        <v>0</v>
      </c>
      <c r="BV403" s="191">
        <f>IF(AND(Input_Product=Elig!$C403,Elig_MatchAll_Ct&lt;22,$BC403=(Elig_MatchAll_Ct-1),AT403=0),Q403,0)</f>
        <v>0</v>
      </c>
      <c r="BW403" s="192">
        <f>IF(AND(Input_Product=Elig!$C403,Elig_MatchAll_Ct&lt;22,$BC403=(Elig_MatchAll_Ct-1),AU403=0),R403,0)</f>
        <v>0</v>
      </c>
      <c r="BX403" s="193">
        <f>IF(AND(Input_Product=Elig!$C403,Elig_MatchAll_Ct&lt;22,$BC403=(Elig_MatchAll_Ct-1),AU403=0),S403,0)</f>
        <v>0</v>
      </c>
      <c r="BY403" s="192">
        <f>IF(AND(Input_Product=Elig!$C403,Elig_MatchAll_Ct&lt;22,$BC403=(Elig_MatchAll_Ct-1),AV403=0),T403,0)</f>
        <v>0</v>
      </c>
      <c r="BZ403" s="193">
        <f>IF(AND(Input_Product=Elig!$C403,Elig_MatchAll_Ct&lt;22,$BC403=(Elig_MatchAll_Ct-1),AV403=0),U403,0)</f>
        <v>0</v>
      </c>
      <c r="CA403" s="192">
        <f>IF(AND(Input_Product=Elig!$C403,Elig_MatchAll_Ct&lt;22,$BC403=(Elig_MatchAll_Ct-1),AW403=0),V403,0)</f>
        <v>0</v>
      </c>
      <c r="CB403" s="193">
        <f>IF(AND(Input_Product=Elig!$C403,Elig_MatchAll_Ct&lt;22,$BC403=(Elig_MatchAll_Ct-1),AW403=0),W403,0)</f>
        <v>0</v>
      </c>
      <c r="CC403" s="192">
        <f>IF(AND(Input_Product=Elig!$C403,Elig_MatchAll_Ct&lt;22,$BC403=(Elig_MatchAll_Ct-1),AX403=0),X403,0)</f>
        <v>0</v>
      </c>
      <c r="CD403" s="193">
        <f>IF(AND(Input_Product=Elig!$C403,Elig_MatchAll_Ct&lt;22,$BC403=(Elig_MatchAll_Ct-1),AX403=0),Y403,0)</f>
        <v>0</v>
      </c>
      <c r="CE403" s="192">
        <f>IF(AND(Input_LTV&lt;=AE403,Input_Product=Elig!$C403,Elig_MatchAll_Ct&lt;22,$BC403=(Elig_MatchAll_Ct-1),AY403=0),Z403,0)</f>
        <v>0</v>
      </c>
      <c r="CF403" s="193">
        <f>IF(AND(Input_LTV&lt;=AE403,Input_Product=Elig!$C403,Elig_MatchAll_Ct&lt;22,$BC403=(Elig_MatchAll_Ct-1),AY403=0),AA403,0)</f>
        <v>0</v>
      </c>
      <c r="CG403" s="192">
        <f>IF(AND(Input_Product=Elig!$C403,Elig_MatchAll_Ct&lt;22,$BC403=(Elig_MatchAll_Ct-1),AZ403=0),AB403,0)</f>
        <v>0</v>
      </c>
      <c r="CH403" s="193">
        <f>IF(AND(Input_Product=Elig!$C403,Elig_MatchAll_Ct&lt;22,$BC403=(Elig_MatchAll_Ct-1),AZ403=0),AC403,0)</f>
        <v>0</v>
      </c>
      <c r="CI403" s="192">
        <f>IF(AND(Input_Product=Elig!$C403,Elig_MatchAll_Ct&lt;22,$BC403=(Elig_MatchAll_Ct-1),BA403=0),AD403,0)</f>
        <v>0</v>
      </c>
      <c r="CJ403" s="193">
        <f>IF(AND(Input_Product=Elig!$C403,Elig_MatchAll_Ct&lt;22,$BC403=(Elig_MatchAll_Ct-1),BA403=0),AE403,0)</f>
        <v>0</v>
      </c>
    </row>
    <row r="404" spans="1:88" ht="10.15" customHeight="1" x14ac:dyDescent="0.25">
      <c r="A404" s="252" t="s">
        <v>76</v>
      </c>
      <c r="B404" s="252" t="s">
        <v>1049</v>
      </c>
      <c r="C404" s="251" t="str">
        <f t="shared" si="140"/>
        <v>NonQM NOO</v>
      </c>
      <c r="D404" s="252" t="s">
        <v>1995</v>
      </c>
      <c r="E404" s="252" t="s">
        <v>166</v>
      </c>
      <c r="F404" s="252" t="s">
        <v>329</v>
      </c>
      <c r="G404" s="252" t="s">
        <v>304</v>
      </c>
      <c r="H404" s="252" t="s">
        <v>135</v>
      </c>
      <c r="I404" s="253" t="s">
        <v>16</v>
      </c>
      <c r="J404" s="253" t="s">
        <v>1130</v>
      </c>
      <c r="K404" s="253" t="s">
        <v>1398</v>
      </c>
      <c r="L404" s="252" t="s">
        <v>311</v>
      </c>
      <c r="M404" s="252" t="s">
        <v>2289</v>
      </c>
      <c r="N404" s="252" t="s">
        <v>1844</v>
      </c>
      <c r="O404" s="252" t="s">
        <v>309</v>
      </c>
      <c r="P404" s="252" t="s">
        <v>2434</v>
      </c>
      <c r="Q404" s="252" t="s">
        <v>293</v>
      </c>
      <c r="R404" s="252">
        <v>1500000.01</v>
      </c>
      <c r="S404" s="252">
        <v>2000000</v>
      </c>
      <c r="T404" s="252">
        <v>0</v>
      </c>
      <c r="U404" s="252">
        <f t="shared" si="154"/>
        <v>2000000</v>
      </c>
      <c r="V404" s="252">
        <v>0</v>
      </c>
      <c r="W404" s="252">
        <v>50</v>
      </c>
      <c r="X404" s="252">
        <v>0</v>
      </c>
      <c r="Y404" s="252">
        <v>999</v>
      </c>
      <c r="Z404" s="254">
        <v>700</v>
      </c>
      <c r="AA404" s="254">
        <v>719</v>
      </c>
      <c r="AB404" s="1883">
        <v>0</v>
      </c>
      <c r="AC404" s="254">
        <v>999999</v>
      </c>
      <c r="AD404" s="252">
        <v>0</v>
      </c>
      <c r="AE404" s="255">
        <v>60</v>
      </c>
      <c r="AF404" s="144">
        <v>0</v>
      </c>
      <c r="AG404" s="145">
        <v>1</v>
      </c>
      <c r="AH404" s="145">
        <v>1</v>
      </c>
      <c r="AI404" s="145">
        <v>1</v>
      </c>
      <c r="AJ404" s="145">
        <v>0</v>
      </c>
      <c r="AK404" s="145">
        <v>1</v>
      </c>
      <c r="AL404" s="145">
        <v>0</v>
      </c>
      <c r="AM404" s="145">
        <v>1</v>
      </c>
      <c r="AN404" s="145">
        <v>1</v>
      </c>
      <c r="AO404" s="145">
        <v>1</v>
      </c>
      <c r="AP404" s="145">
        <v>1</v>
      </c>
      <c r="AQ404" s="145">
        <v>1</v>
      </c>
      <c r="AR404" s="145">
        <v>1</v>
      </c>
      <c r="AS404" s="145">
        <v>1</v>
      </c>
      <c r="AT404" s="145">
        <v>1</v>
      </c>
      <c r="AU404" s="145">
        <f t="shared" si="148"/>
        <v>0</v>
      </c>
      <c r="AV404" s="145">
        <f t="shared" si="149"/>
        <v>1</v>
      </c>
      <c r="AW404" s="145">
        <f t="shared" si="150"/>
        <v>1</v>
      </c>
      <c r="AX404" s="145">
        <f t="shared" si="133"/>
        <v>1</v>
      </c>
      <c r="AY404" s="145">
        <f t="shared" si="151"/>
        <v>0</v>
      </c>
      <c r="AZ404" s="145">
        <f t="shared" si="152"/>
        <v>1</v>
      </c>
      <c r="BA404" s="146">
        <f t="shared" si="153"/>
        <v>0</v>
      </c>
      <c r="BB404" s="149">
        <f t="shared" si="142"/>
        <v>16</v>
      </c>
      <c r="BC404" s="150">
        <f t="shared" si="143"/>
        <v>16</v>
      </c>
      <c r="BD404" s="150">
        <f t="shared" si="144"/>
        <v>16</v>
      </c>
      <c r="BE404" s="211" t="str">
        <f t="shared" si="145"/>
        <v/>
      </c>
      <c r="BH404" s="173">
        <f>IF(AND(Input_Product=Elig!$C404,Elig_MatchAll_Ct&lt;22,$BC404=(Elig_MatchAll_Ct-1),AF404=0),C404,0)</f>
        <v>0</v>
      </c>
      <c r="BI404" s="173">
        <f>IF(AND(Input_Product=Elig!$C404,Elig_MatchAll_Ct&lt;22,$BC404=(Elig_MatchAll_Ct-1),AG404=0),D404,0)</f>
        <v>0</v>
      </c>
      <c r="BJ404" s="173">
        <f>IF(AND(Input_Product=Elig!$C404,Elig_MatchAll_Ct&lt;22,$BC404=(Elig_MatchAll_Ct-1),AH404=0),E404,0)</f>
        <v>0</v>
      </c>
      <c r="BK404" s="173">
        <f>IF(AND(Input_Product=Elig!$C404,Elig_MatchAll_Ct&lt;22,$BC404=(Elig_MatchAll_Ct-1),AI404=0),F404,0)</f>
        <v>0</v>
      </c>
      <c r="BL404" s="173">
        <f>IF(AND(Input_Product=Elig!$C404,Elig_MatchAll_Ct&lt;22,$BC404=(Elig_MatchAll_Ct-1),AJ404=0),G404,0)</f>
        <v>0</v>
      </c>
      <c r="BM404" s="173">
        <f>IF(AND(Input_Product=Elig!$C404,Elig_MatchAll_Ct&lt;22,$BC404=(Elig_MatchAll_Ct-1),AK404=0),H404,0)</f>
        <v>0</v>
      </c>
      <c r="BN404" s="173">
        <f>IF(AND(Input_Product=Elig!$C404,Elig_MatchAll_Ct&lt;22,$BC404=(Elig_MatchAll_Ct-1),AL404=0),I404,0)</f>
        <v>0</v>
      </c>
      <c r="BO404" s="173">
        <f>IF(AND(Input_Product=Elig!$C404,Elig_MatchAll_Ct&lt;22,$BC404=(Elig_MatchAll_Ct-1),AM404=0),J404,0)</f>
        <v>0</v>
      </c>
      <c r="BP404" s="173">
        <f>IF(AND(Input_Product=Elig!$C404,Elig_MatchAll_Ct&lt;22,$BC404=(Elig_MatchAll_Ct-1),AN404=0),K404,0)</f>
        <v>0</v>
      </c>
      <c r="BQ404" s="173">
        <f>IF(AND(Input_Product=Elig!$C404,Elig_MatchAll_Ct&lt;22,$BC404=(Elig_MatchAll_Ct-1),AP404=0),L404,0)</f>
        <v>0</v>
      </c>
      <c r="BR404" s="173">
        <f>IF(AND(Input_Product=Elig!$C404,Elig_MatchAll_Ct&lt;22,$BC404=(Elig_MatchAll_Ct-1),AO404=0),M404,0)</f>
        <v>0</v>
      </c>
      <c r="BS404" s="173">
        <f>IF(AND(Input_Product=Elig!$C404,Elig_MatchAll_Ct&lt;22,$BC404=(Elig_MatchAll_Ct-1),AQ404=0),N404,0)</f>
        <v>0</v>
      </c>
      <c r="BT404" s="173">
        <f>IF(AND(Input_Product=Elig!$C404,Elig_MatchAll_Ct&lt;22,$BC404=(Elig_MatchAll_Ct-1),AR404=0),O404,0)</f>
        <v>0</v>
      </c>
      <c r="BU404" s="173">
        <f>IF(AND(Input_Product=Elig!$C404,Elig_MatchAll_Ct&lt;22,$BC404=(Elig_MatchAll_Ct-1),AS404=0),P404,0)</f>
        <v>0</v>
      </c>
      <c r="BV404" s="174">
        <f>IF(AND(Input_Product=Elig!$C404,Elig_MatchAll_Ct&lt;22,$BC404=(Elig_MatchAll_Ct-1),AT404=0),Q404,0)</f>
        <v>0</v>
      </c>
      <c r="BW404" s="175">
        <f>IF(AND(Input_Product=Elig!$C404,Elig_MatchAll_Ct&lt;22,$BC404=(Elig_MatchAll_Ct-1),AU404=0),R404,0)</f>
        <v>0</v>
      </c>
      <c r="BX404" s="176">
        <f>IF(AND(Input_Product=Elig!$C404,Elig_MatchAll_Ct&lt;22,$BC404=(Elig_MatchAll_Ct-1),AU404=0),S404,0)</f>
        <v>0</v>
      </c>
      <c r="BY404" s="175">
        <f>IF(AND(Input_Product=Elig!$C404,Elig_MatchAll_Ct&lt;22,$BC404=(Elig_MatchAll_Ct-1),AV404=0),T404,0)</f>
        <v>0</v>
      </c>
      <c r="BZ404" s="176">
        <f>IF(AND(Input_Product=Elig!$C404,Elig_MatchAll_Ct&lt;22,$BC404=(Elig_MatchAll_Ct-1),AV404=0),U404,0)</f>
        <v>0</v>
      </c>
      <c r="CA404" s="175">
        <f>IF(AND(Input_Product=Elig!$C404,Elig_MatchAll_Ct&lt;22,$BC404=(Elig_MatchAll_Ct-1),AW404=0),V404,0)</f>
        <v>0</v>
      </c>
      <c r="CB404" s="176">
        <f>IF(AND(Input_Product=Elig!$C404,Elig_MatchAll_Ct&lt;22,$BC404=(Elig_MatchAll_Ct-1),AW404=0),W404,0)</f>
        <v>0</v>
      </c>
      <c r="CC404" s="175">
        <f>IF(AND(Input_Product=Elig!$C404,Elig_MatchAll_Ct&lt;22,$BC404=(Elig_MatchAll_Ct-1),AX404=0),X404,0)</f>
        <v>0</v>
      </c>
      <c r="CD404" s="176">
        <f>IF(AND(Input_Product=Elig!$C404,Elig_MatchAll_Ct&lt;22,$BC404=(Elig_MatchAll_Ct-1),AX404=0),Y404,0)</f>
        <v>0</v>
      </c>
      <c r="CE404" s="175">
        <f>IF(AND(Input_LTV&lt;=AE404,Input_Product=Elig!$C404,Elig_MatchAll_Ct&lt;22,$BC404=(Elig_MatchAll_Ct-1),AY404=0),Z404,0)</f>
        <v>0</v>
      </c>
      <c r="CF404" s="176">
        <f>IF(AND(Input_LTV&lt;=AE404,Input_Product=Elig!$C404,Elig_MatchAll_Ct&lt;22,$BC404=(Elig_MatchAll_Ct-1),AY404=0),AA404,0)</f>
        <v>0</v>
      </c>
      <c r="CG404" s="175">
        <f>IF(AND(Input_Product=Elig!$C404,Elig_MatchAll_Ct&lt;22,$BC404=(Elig_MatchAll_Ct-1),AZ404=0),AB404,0)</f>
        <v>0</v>
      </c>
      <c r="CH404" s="176">
        <f>IF(AND(Input_Product=Elig!$C404,Elig_MatchAll_Ct&lt;22,$BC404=(Elig_MatchAll_Ct-1),AZ404=0),AC404,0)</f>
        <v>0</v>
      </c>
      <c r="CI404" s="175">
        <f>IF(AND(Input_Product=Elig!$C404,Elig_MatchAll_Ct&lt;22,$BC404=(Elig_MatchAll_Ct-1),BA404=0),AD404,0)</f>
        <v>0</v>
      </c>
      <c r="CJ404" s="176">
        <f>IF(AND(Input_Product=Elig!$C404,Elig_MatchAll_Ct&lt;22,$BC404=(Elig_MatchAll_Ct-1),BA404=0),AE404,0)</f>
        <v>0</v>
      </c>
    </row>
    <row r="405" spans="1:88" ht="10.15" customHeight="1" x14ac:dyDescent="0.25">
      <c r="A405" s="252" t="s">
        <v>76</v>
      </c>
      <c r="B405" s="252" t="s">
        <v>1050</v>
      </c>
      <c r="C405" s="251" t="str">
        <f t="shared" si="140"/>
        <v>NonQM NOO</v>
      </c>
      <c r="D405" s="252" t="s">
        <v>1995</v>
      </c>
      <c r="E405" s="252" t="s">
        <v>166</v>
      </c>
      <c r="F405" s="252" t="s">
        <v>329</v>
      </c>
      <c r="G405" s="252" t="s">
        <v>304</v>
      </c>
      <c r="H405" s="252" t="s">
        <v>135</v>
      </c>
      <c r="I405" s="253" t="s">
        <v>16</v>
      </c>
      <c r="J405" s="253" t="s">
        <v>1130</v>
      </c>
      <c r="K405" s="253" t="s">
        <v>1398</v>
      </c>
      <c r="L405" s="252" t="s">
        <v>311</v>
      </c>
      <c r="M405" s="252" t="s">
        <v>2289</v>
      </c>
      <c r="N405" s="252" t="s">
        <v>1844</v>
      </c>
      <c r="O405" s="252" t="s">
        <v>309</v>
      </c>
      <c r="P405" s="252" t="s">
        <v>2434</v>
      </c>
      <c r="Q405" s="252" t="s">
        <v>293</v>
      </c>
      <c r="R405" s="252">
        <v>1500000.01</v>
      </c>
      <c r="S405" s="252">
        <v>2000000</v>
      </c>
      <c r="T405" s="252">
        <v>0</v>
      </c>
      <c r="U405" s="252">
        <f t="shared" si="154"/>
        <v>2000000</v>
      </c>
      <c r="V405" s="252">
        <v>0</v>
      </c>
      <c r="W405" s="252">
        <v>50</v>
      </c>
      <c r="X405" s="252">
        <v>0</v>
      </c>
      <c r="Y405" s="252">
        <v>999</v>
      </c>
      <c r="Z405" s="254">
        <v>680</v>
      </c>
      <c r="AA405" s="254">
        <v>699</v>
      </c>
      <c r="AB405" s="1883">
        <v>0</v>
      </c>
      <c r="AC405" s="254">
        <v>999999</v>
      </c>
      <c r="AD405" s="252">
        <v>0</v>
      </c>
      <c r="AE405" s="255">
        <v>60</v>
      </c>
      <c r="AF405" s="144">
        <v>0</v>
      </c>
      <c r="AG405" s="145">
        <v>1</v>
      </c>
      <c r="AH405" s="145">
        <v>1</v>
      </c>
      <c r="AI405" s="145">
        <v>1</v>
      </c>
      <c r="AJ405" s="145">
        <v>0</v>
      </c>
      <c r="AK405" s="145">
        <v>1</v>
      </c>
      <c r="AL405" s="145">
        <v>0</v>
      </c>
      <c r="AM405" s="145">
        <v>1</v>
      </c>
      <c r="AN405" s="145">
        <v>1</v>
      </c>
      <c r="AO405" s="145">
        <v>1</v>
      </c>
      <c r="AP405" s="145">
        <v>1</v>
      </c>
      <c r="AQ405" s="145">
        <v>1</v>
      </c>
      <c r="AR405" s="145">
        <v>1</v>
      </c>
      <c r="AS405" s="145">
        <v>1</v>
      </c>
      <c r="AT405" s="145">
        <v>1</v>
      </c>
      <c r="AU405" s="145">
        <f t="shared" si="148"/>
        <v>0</v>
      </c>
      <c r="AV405" s="145">
        <f t="shared" si="149"/>
        <v>1</v>
      </c>
      <c r="AW405" s="145">
        <f t="shared" si="150"/>
        <v>1</v>
      </c>
      <c r="AX405" s="145">
        <f t="shared" si="133"/>
        <v>1</v>
      </c>
      <c r="AY405" s="145">
        <f t="shared" si="151"/>
        <v>0</v>
      </c>
      <c r="AZ405" s="145">
        <f t="shared" si="152"/>
        <v>1</v>
      </c>
      <c r="BA405" s="146">
        <f t="shared" si="153"/>
        <v>0</v>
      </c>
      <c r="BB405" s="149">
        <f t="shared" si="142"/>
        <v>16</v>
      </c>
      <c r="BC405" s="150">
        <f t="shared" si="143"/>
        <v>16</v>
      </c>
      <c r="BD405" s="150">
        <f t="shared" si="144"/>
        <v>16</v>
      </c>
      <c r="BE405" s="211" t="str">
        <f t="shared" si="145"/>
        <v/>
      </c>
      <c r="BH405" s="173">
        <f>IF(AND(Input_Product=Elig!$C405,Elig_MatchAll_Ct&lt;22,$BC405=(Elig_MatchAll_Ct-1),AF405=0),C405,0)</f>
        <v>0</v>
      </c>
      <c r="BI405" s="173">
        <f>IF(AND(Input_Product=Elig!$C405,Elig_MatchAll_Ct&lt;22,$BC405=(Elig_MatchAll_Ct-1),AG405=0),D405,0)</f>
        <v>0</v>
      </c>
      <c r="BJ405" s="173">
        <f>IF(AND(Input_Product=Elig!$C405,Elig_MatchAll_Ct&lt;22,$BC405=(Elig_MatchAll_Ct-1),AH405=0),E405,0)</f>
        <v>0</v>
      </c>
      <c r="BK405" s="173">
        <f>IF(AND(Input_Product=Elig!$C405,Elig_MatchAll_Ct&lt;22,$BC405=(Elig_MatchAll_Ct-1),AI405=0),F405,0)</f>
        <v>0</v>
      </c>
      <c r="BL405" s="173">
        <f>IF(AND(Input_Product=Elig!$C405,Elig_MatchAll_Ct&lt;22,$BC405=(Elig_MatchAll_Ct-1),AJ405=0),G405,0)</f>
        <v>0</v>
      </c>
      <c r="BM405" s="173">
        <f>IF(AND(Input_Product=Elig!$C405,Elig_MatchAll_Ct&lt;22,$BC405=(Elig_MatchAll_Ct-1),AK405=0),H405,0)</f>
        <v>0</v>
      </c>
      <c r="BN405" s="173">
        <f>IF(AND(Input_Product=Elig!$C405,Elig_MatchAll_Ct&lt;22,$BC405=(Elig_MatchAll_Ct-1),AL405=0),I405,0)</f>
        <v>0</v>
      </c>
      <c r="BO405" s="173">
        <f>IF(AND(Input_Product=Elig!$C405,Elig_MatchAll_Ct&lt;22,$BC405=(Elig_MatchAll_Ct-1),AM405=0),J405,0)</f>
        <v>0</v>
      </c>
      <c r="BP405" s="173">
        <f>IF(AND(Input_Product=Elig!$C405,Elig_MatchAll_Ct&lt;22,$BC405=(Elig_MatchAll_Ct-1),AN405=0),K405,0)</f>
        <v>0</v>
      </c>
      <c r="BQ405" s="173">
        <f>IF(AND(Input_Product=Elig!$C405,Elig_MatchAll_Ct&lt;22,$BC405=(Elig_MatchAll_Ct-1),AP405=0),L405,0)</f>
        <v>0</v>
      </c>
      <c r="BR405" s="173">
        <f>IF(AND(Input_Product=Elig!$C405,Elig_MatchAll_Ct&lt;22,$BC405=(Elig_MatchAll_Ct-1),AO405=0),M405,0)</f>
        <v>0</v>
      </c>
      <c r="BS405" s="173">
        <f>IF(AND(Input_Product=Elig!$C405,Elig_MatchAll_Ct&lt;22,$BC405=(Elig_MatchAll_Ct-1),AQ405=0),N405,0)</f>
        <v>0</v>
      </c>
      <c r="BT405" s="173">
        <f>IF(AND(Input_Product=Elig!$C405,Elig_MatchAll_Ct&lt;22,$BC405=(Elig_MatchAll_Ct-1),AR405=0),O405,0)</f>
        <v>0</v>
      </c>
      <c r="BU405" s="173">
        <f>IF(AND(Input_Product=Elig!$C405,Elig_MatchAll_Ct&lt;22,$BC405=(Elig_MatchAll_Ct-1),AS405=0),P405,0)</f>
        <v>0</v>
      </c>
      <c r="BV405" s="174">
        <f>IF(AND(Input_Product=Elig!$C405,Elig_MatchAll_Ct&lt;22,$BC405=(Elig_MatchAll_Ct-1),AT405=0),Q405,0)</f>
        <v>0</v>
      </c>
      <c r="BW405" s="175">
        <f>IF(AND(Input_Product=Elig!$C405,Elig_MatchAll_Ct&lt;22,$BC405=(Elig_MatchAll_Ct-1),AU405=0),R405,0)</f>
        <v>0</v>
      </c>
      <c r="BX405" s="176">
        <f>IF(AND(Input_Product=Elig!$C405,Elig_MatchAll_Ct&lt;22,$BC405=(Elig_MatchAll_Ct-1),AU405=0),S405,0)</f>
        <v>0</v>
      </c>
      <c r="BY405" s="175">
        <f>IF(AND(Input_Product=Elig!$C405,Elig_MatchAll_Ct&lt;22,$BC405=(Elig_MatchAll_Ct-1),AV405=0),T405,0)</f>
        <v>0</v>
      </c>
      <c r="BZ405" s="176">
        <f>IF(AND(Input_Product=Elig!$C405,Elig_MatchAll_Ct&lt;22,$BC405=(Elig_MatchAll_Ct-1),AV405=0),U405,0)</f>
        <v>0</v>
      </c>
      <c r="CA405" s="175">
        <f>IF(AND(Input_Product=Elig!$C405,Elig_MatchAll_Ct&lt;22,$BC405=(Elig_MatchAll_Ct-1),AW405=0),V405,0)</f>
        <v>0</v>
      </c>
      <c r="CB405" s="176">
        <f>IF(AND(Input_Product=Elig!$C405,Elig_MatchAll_Ct&lt;22,$BC405=(Elig_MatchAll_Ct-1),AW405=0),W405,0)</f>
        <v>0</v>
      </c>
      <c r="CC405" s="175">
        <f>IF(AND(Input_Product=Elig!$C405,Elig_MatchAll_Ct&lt;22,$BC405=(Elig_MatchAll_Ct-1),AX405=0),X405,0)</f>
        <v>0</v>
      </c>
      <c r="CD405" s="176">
        <f>IF(AND(Input_Product=Elig!$C405,Elig_MatchAll_Ct&lt;22,$BC405=(Elig_MatchAll_Ct-1),AX405=0),Y405,0)</f>
        <v>0</v>
      </c>
      <c r="CE405" s="175">
        <f>IF(AND(Input_LTV&lt;=AE405,Input_Product=Elig!$C405,Elig_MatchAll_Ct&lt;22,$BC405=(Elig_MatchAll_Ct-1),AY405=0),Z405,0)</f>
        <v>0</v>
      </c>
      <c r="CF405" s="176">
        <f>IF(AND(Input_LTV&lt;=AE405,Input_Product=Elig!$C405,Elig_MatchAll_Ct&lt;22,$BC405=(Elig_MatchAll_Ct-1),AY405=0),AA405,0)</f>
        <v>0</v>
      </c>
      <c r="CG405" s="175">
        <f>IF(AND(Input_Product=Elig!$C405,Elig_MatchAll_Ct&lt;22,$BC405=(Elig_MatchAll_Ct-1),AZ405=0),AB405,0)</f>
        <v>0</v>
      </c>
      <c r="CH405" s="176">
        <f>IF(AND(Input_Product=Elig!$C405,Elig_MatchAll_Ct&lt;22,$BC405=(Elig_MatchAll_Ct-1),AZ405=0),AC405,0)</f>
        <v>0</v>
      </c>
      <c r="CI405" s="175">
        <f>IF(AND(Input_Product=Elig!$C405,Elig_MatchAll_Ct&lt;22,$BC405=(Elig_MatchAll_Ct-1),BA405=0),AD405,0)</f>
        <v>0</v>
      </c>
      <c r="CJ405" s="176">
        <f>IF(AND(Input_Product=Elig!$C405,Elig_MatchAll_Ct&lt;22,$BC405=(Elig_MatchAll_Ct-1),BA405=0),AE405,0)</f>
        <v>0</v>
      </c>
    </row>
    <row r="406" spans="1:88" ht="10.15" customHeight="1" x14ac:dyDescent="0.25">
      <c r="A406" s="252" t="s">
        <v>76</v>
      </c>
      <c r="B406" s="252" t="s">
        <v>1051</v>
      </c>
      <c r="C406" s="251" t="str">
        <f t="shared" si="140"/>
        <v>NonQM NOO</v>
      </c>
      <c r="D406" s="252" t="s">
        <v>1995</v>
      </c>
      <c r="E406" s="252" t="s">
        <v>166</v>
      </c>
      <c r="F406" s="252" t="s">
        <v>329</v>
      </c>
      <c r="G406" s="252" t="s">
        <v>304</v>
      </c>
      <c r="H406" s="252" t="s">
        <v>135</v>
      </c>
      <c r="I406" s="252" t="s">
        <v>16</v>
      </c>
      <c r="J406" s="252" t="s">
        <v>1130</v>
      </c>
      <c r="K406" s="252" t="s">
        <v>1398</v>
      </c>
      <c r="L406" s="252" t="s">
        <v>311</v>
      </c>
      <c r="M406" s="252" t="s">
        <v>2289</v>
      </c>
      <c r="N406" s="252" t="s">
        <v>1844</v>
      </c>
      <c r="O406" s="252" t="s">
        <v>309</v>
      </c>
      <c r="P406" s="252" t="s">
        <v>2434</v>
      </c>
      <c r="Q406" s="252" t="s">
        <v>293</v>
      </c>
      <c r="R406" s="252">
        <v>1500000.01</v>
      </c>
      <c r="S406" s="252">
        <v>2000000</v>
      </c>
      <c r="T406" s="252">
        <v>0</v>
      </c>
      <c r="U406" s="252">
        <f t="shared" si="154"/>
        <v>2000000</v>
      </c>
      <c r="V406" s="252">
        <v>0</v>
      </c>
      <c r="W406" s="252">
        <v>50</v>
      </c>
      <c r="X406" s="252">
        <v>0</v>
      </c>
      <c r="Y406" s="252">
        <v>999</v>
      </c>
      <c r="Z406" s="254">
        <v>660</v>
      </c>
      <c r="AA406" s="254">
        <v>679</v>
      </c>
      <c r="AB406" s="1883">
        <v>0</v>
      </c>
      <c r="AC406" s="254">
        <v>999999</v>
      </c>
      <c r="AD406" s="252">
        <v>0</v>
      </c>
      <c r="AE406" s="255">
        <v>60</v>
      </c>
      <c r="AF406" s="144">
        <v>0</v>
      </c>
      <c r="AG406" s="145">
        <v>1</v>
      </c>
      <c r="AH406" s="145">
        <v>1</v>
      </c>
      <c r="AI406" s="145">
        <v>1</v>
      </c>
      <c r="AJ406" s="145">
        <v>0</v>
      </c>
      <c r="AK406" s="145">
        <v>1</v>
      </c>
      <c r="AL406" s="145">
        <v>0</v>
      </c>
      <c r="AM406" s="145">
        <v>1</v>
      </c>
      <c r="AN406" s="145">
        <v>1</v>
      </c>
      <c r="AO406" s="145">
        <v>1</v>
      </c>
      <c r="AP406" s="145">
        <v>1</v>
      </c>
      <c r="AQ406" s="145">
        <v>1</v>
      </c>
      <c r="AR406" s="145">
        <v>1</v>
      </c>
      <c r="AS406" s="145">
        <v>1</v>
      </c>
      <c r="AT406" s="145">
        <v>1</v>
      </c>
      <c r="AU406" s="145">
        <f t="shared" si="148"/>
        <v>0</v>
      </c>
      <c r="AV406" s="145">
        <f t="shared" si="149"/>
        <v>1</v>
      </c>
      <c r="AW406" s="145">
        <f t="shared" si="150"/>
        <v>1</v>
      </c>
      <c r="AX406" s="145">
        <f t="shared" si="133"/>
        <v>1</v>
      </c>
      <c r="AY406" s="145">
        <f t="shared" si="151"/>
        <v>0</v>
      </c>
      <c r="AZ406" s="145">
        <f t="shared" si="152"/>
        <v>1</v>
      </c>
      <c r="BA406" s="146">
        <f t="shared" si="153"/>
        <v>0</v>
      </c>
      <c r="BB406" s="149">
        <f t="shared" si="142"/>
        <v>16</v>
      </c>
      <c r="BC406" s="150">
        <f t="shared" si="143"/>
        <v>16</v>
      </c>
      <c r="BD406" s="150">
        <f t="shared" si="144"/>
        <v>16</v>
      </c>
      <c r="BE406" s="211" t="str">
        <f t="shared" si="145"/>
        <v/>
      </c>
      <c r="BH406" s="173">
        <f>IF(AND(Input_Product=Elig!$C406,Elig_MatchAll_Ct&lt;22,$BC406=(Elig_MatchAll_Ct-1),AF406=0),C406,0)</f>
        <v>0</v>
      </c>
      <c r="BI406" s="173">
        <f>IF(AND(Input_Product=Elig!$C406,Elig_MatchAll_Ct&lt;22,$BC406=(Elig_MatchAll_Ct-1),AG406=0),D406,0)</f>
        <v>0</v>
      </c>
      <c r="BJ406" s="173">
        <f>IF(AND(Input_Product=Elig!$C406,Elig_MatchAll_Ct&lt;22,$BC406=(Elig_MatchAll_Ct-1),AH406=0),E406,0)</f>
        <v>0</v>
      </c>
      <c r="BK406" s="173">
        <f>IF(AND(Input_Product=Elig!$C406,Elig_MatchAll_Ct&lt;22,$BC406=(Elig_MatchAll_Ct-1),AI406=0),F406,0)</f>
        <v>0</v>
      </c>
      <c r="BL406" s="173">
        <f>IF(AND(Input_Product=Elig!$C406,Elig_MatchAll_Ct&lt;22,$BC406=(Elig_MatchAll_Ct-1),AJ406=0),G406,0)</f>
        <v>0</v>
      </c>
      <c r="BM406" s="173">
        <f>IF(AND(Input_Product=Elig!$C406,Elig_MatchAll_Ct&lt;22,$BC406=(Elig_MatchAll_Ct-1),AK406=0),H406,0)</f>
        <v>0</v>
      </c>
      <c r="BN406" s="173">
        <f>IF(AND(Input_Product=Elig!$C406,Elig_MatchAll_Ct&lt;22,$BC406=(Elig_MatchAll_Ct-1),AL406=0),I406,0)</f>
        <v>0</v>
      </c>
      <c r="BO406" s="173">
        <f>IF(AND(Input_Product=Elig!$C406,Elig_MatchAll_Ct&lt;22,$BC406=(Elig_MatchAll_Ct-1),AM406=0),J406,0)</f>
        <v>0</v>
      </c>
      <c r="BP406" s="173">
        <f>IF(AND(Input_Product=Elig!$C406,Elig_MatchAll_Ct&lt;22,$BC406=(Elig_MatchAll_Ct-1),AN406=0),K406,0)</f>
        <v>0</v>
      </c>
      <c r="BQ406" s="173">
        <f>IF(AND(Input_Product=Elig!$C406,Elig_MatchAll_Ct&lt;22,$BC406=(Elig_MatchAll_Ct-1),AP406=0),L406,0)</f>
        <v>0</v>
      </c>
      <c r="BR406" s="173">
        <f>IF(AND(Input_Product=Elig!$C406,Elig_MatchAll_Ct&lt;22,$BC406=(Elig_MatchAll_Ct-1),AO406=0),M406,0)</f>
        <v>0</v>
      </c>
      <c r="BS406" s="173">
        <f>IF(AND(Input_Product=Elig!$C406,Elig_MatchAll_Ct&lt;22,$BC406=(Elig_MatchAll_Ct-1),AQ406=0),N406,0)</f>
        <v>0</v>
      </c>
      <c r="BT406" s="173">
        <f>IF(AND(Input_Product=Elig!$C406,Elig_MatchAll_Ct&lt;22,$BC406=(Elig_MatchAll_Ct-1),AR406=0),O406,0)</f>
        <v>0</v>
      </c>
      <c r="BU406" s="173">
        <f>IF(AND(Input_Product=Elig!$C406,Elig_MatchAll_Ct&lt;22,$BC406=(Elig_MatchAll_Ct-1),AS406=0),P406,0)</f>
        <v>0</v>
      </c>
      <c r="BV406" s="174">
        <f>IF(AND(Input_Product=Elig!$C406,Elig_MatchAll_Ct&lt;22,$BC406=(Elig_MatchAll_Ct-1),AT406=0),Q406,0)</f>
        <v>0</v>
      </c>
      <c r="BW406" s="175">
        <f>IF(AND(Input_Product=Elig!$C406,Elig_MatchAll_Ct&lt;22,$BC406=(Elig_MatchAll_Ct-1),AU406=0),R406,0)</f>
        <v>0</v>
      </c>
      <c r="BX406" s="176">
        <f>IF(AND(Input_Product=Elig!$C406,Elig_MatchAll_Ct&lt;22,$BC406=(Elig_MatchAll_Ct-1),AU406=0),S406,0)</f>
        <v>0</v>
      </c>
      <c r="BY406" s="175">
        <f>IF(AND(Input_Product=Elig!$C406,Elig_MatchAll_Ct&lt;22,$BC406=(Elig_MatchAll_Ct-1),AV406=0),T406,0)</f>
        <v>0</v>
      </c>
      <c r="BZ406" s="176">
        <f>IF(AND(Input_Product=Elig!$C406,Elig_MatchAll_Ct&lt;22,$BC406=(Elig_MatchAll_Ct-1),AV406=0),U406,0)</f>
        <v>0</v>
      </c>
      <c r="CA406" s="175">
        <f>IF(AND(Input_Product=Elig!$C406,Elig_MatchAll_Ct&lt;22,$BC406=(Elig_MatchAll_Ct-1),AW406=0),V406,0)</f>
        <v>0</v>
      </c>
      <c r="CB406" s="176">
        <f>IF(AND(Input_Product=Elig!$C406,Elig_MatchAll_Ct&lt;22,$BC406=(Elig_MatchAll_Ct-1),AW406=0),W406,0)</f>
        <v>0</v>
      </c>
      <c r="CC406" s="175">
        <f>IF(AND(Input_Product=Elig!$C406,Elig_MatchAll_Ct&lt;22,$BC406=(Elig_MatchAll_Ct-1),AX406=0),X406,0)</f>
        <v>0</v>
      </c>
      <c r="CD406" s="176">
        <f>IF(AND(Input_Product=Elig!$C406,Elig_MatchAll_Ct&lt;22,$BC406=(Elig_MatchAll_Ct-1),AX406=0),Y406,0)</f>
        <v>0</v>
      </c>
      <c r="CE406" s="175">
        <f>IF(AND(Input_LTV&lt;=AE406,Input_Product=Elig!$C406,Elig_MatchAll_Ct&lt;22,$BC406=(Elig_MatchAll_Ct-1),AY406=0),Z406,0)</f>
        <v>0</v>
      </c>
      <c r="CF406" s="176">
        <f>IF(AND(Input_LTV&lt;=AE406,Input_Product=Elig!$C406,Elig_MatchAll_Ct&lt;22,$BC406=(Elig_MatchAll_Ct-1),AY406=0),AA406,0)</f>
        <v>0</v>
      </c>
      <c r="CG406" s="175">
        <f>IF(AND(Input_Product=Elig!$C406,Elig_MatchAll_Ct&lt;22,$BC406=(Elig_MatchAll_Ct-1),AZ406=0),AB406,0)</f>
        <v>0</v>
      </c>
      <c r="CH406" s="176">
        <f>IF(AND(Input_Product=Elig!$C406,Elig_MatchAll_Ct&lt;22,$BC406=(Elig_MatchAll_Ct-1),AZ406=0),AC406,0)</f>
        <v>0</v>
      </c>
      <c r="CI406" s="175">
        <f>IF(AND(Input_Product=Elig!$C406,Elig_MatchAll_Ct&lt;22,$BC406=(Elig_MatchAll_Ct-1),BA406=0),AD406,0)</f>
        <v>0</v>
      </c>
      <c r="CJ406" s="176">
        <f>IF(AND(Input_Product=Elig!$C406,Elig_MatchAll_Ct&lt;22,$BC406=(Elig_MatchAll_Ct-1),BA406=0),AE406,0)</f>
        <v>0</v>
      </c>
    </row>
    <row r="407" spans="1:88" ht="10.15" customHeight="1" x14ac:dyDescent="0.25">
      <c r="A407" s="252" t="s">
        <v>76</v>
      </c>
      <c r="B407" s="252" t="s">
        <v>1052</v>
      </c>
      <c r="C407" s="246" t="str">
        <f t="shared" si="140"/>
        <v>NonQM NOO</v>
      </c>
      <c r="D407" s="247" t="s">
        <v>1995</v>
      </c>
      <c r="E407" s="248" t="s">
        <v>166</v>
      </c>
      <c r="F407" s="248" t="s">
        <v>329</v>
      </c>
      <c r="G407" s="248" t="s">
        <v>180</v>
      </c>
      <c r="H407" s="248" t="s">
        <v>135</v>
      </c>
      <c r="I407" s="247" t="s">
        <v>273</v>
      </c>
      <c r="J407" s="247" t="s">
        <v>1130</v>
      </c>
      <c r="K407" s="247" t="s">
        <v>1398</v>
      </c>
      <c r="L407" s="248" t="s">
        <v>311</v>
      </c>
      <c r="M407" s="248" t="s">
        <v>2289</v>
      </c>
      <c r="N407" s="248" t="s">
        <v>1844</v>
      </c>
      <c r="O407" s="248" t="s">
        <v>309</v>
      </c>
      <c r="P407" s="248" t="s">
        <v>2434</v>
      </c>
      <c r="Q407" s="248" t="s">
        <v>293</v>
      </c>
      <c r="R407" s="247">
        <v>1500000.01</v>
      </c>
      <c r="S407" s="247">
        <v>2000000</v>
      </c>
      <c r="T407" s="247">
        <v>0</v>
      </c>
      <c r="U407" s="247">
        <v>0</v>
      </c>
      <c r="V407" s="247">
        <v>0</v>
      </c>
      <c r="W407" s="247">
        <v>50</v>
      </c>
      <c r="X407" s="247">
        <v>0.75</v>
      </c>
      <c r="Y407" s="247">
        <v>999</v>
      </c>
      <c r="Z407" s="249">
        <v>720</v>
      </c>
      <c r="AA407" s="249">
        <v>999</v>
      </c>
      <c r="AB407" s="1882">
        <v>0</v>
      </c>
      <c r="AC407" s="249">
        <v>999999</v>
      </c>
      <c r="AD407" s="247">
        <v>0</v>
      </c>
      <c r="AE407" s="250">
        <v>75</v>
      </c>
      <c r="AF407" s="144">
        <v>0</v>
      </c>
      <c r="AG407" s="145">
        <v>1</v>
      </c>
      <c r="AH407" s="145">
        <v>1</v>
      </c>
      <c r="AI407" s="145">
        <v>1</v>
      </c>
      <c r="AJ407" s="145">
        <v>1</v>
      </c>
      <c r="AK407" s="145">
        <v>1</v>
      </c>
      <c r="AL407" s="145">
        <v>1</v>
      </c>
      <c r="AM407" s="145">
        <v>1</v>
      </c>
      <c r="AN407" s="145">
        <v>1</v>
      </c>
      <c r="AO407" s="145">
        <v>1</v>
      </c>
      <c r="AP407" s="145">
        <v>1</v>
      </c>
      <c r="AQ407" s="145">
        <v>1</v>
      </c>
      <c r="AR407" s="145">
        <v>1</v>
      </c>
      <c r="AS407" s="145">
        <v>1</v>
      </c>
      <c r="AT407" s="145">
        <v>1</v>
      </c>
      <c r="AU407" s="145">
        <f t="shared" si="148"/>
        <v>0</v>
      </c>
      <c r="AV407" s="145">
        <f t="shared" si="149"/>
        <v>1</v>
      </c>
      <c r="AW407" s="145">
        <f t="shared" si="150"/>
        <v>1</v>
      </c>
      <c r="AX407" s="145">
        <f t="shared" si="133"/>
        <v>1</v>
      </c>
      <c r="AY407" s="145">
        <f t="shared" si="151"/>
        <v>1</v>
      </c>
      <c r="AZ407" s="145">
        <f t="shared" si="152"/>
        <v>1</v>
      </c>
      <c r="BA407" s="146">
        <f t="shared" si="153"/>
        <v>1</v>
      </c>
      <c r="BB407" s="149">
        <f t="shared" si="142"/>
        <v>20</v>
      </c>
      <c r="BC407" s="150">
        <f t="shared" si="143"/>
        <v>19</v>
      </c>
      <c r="BD407" s="150">
        <f t="shared" si="144"/>
        <v>20</v>
      </c>
      <c r="BE407" s="211" t="str">
        <f t="shared" si="145"/>
        <v/>
      </c>
      <c r="BH407" s="184">
        <f>IF(AND(Input_Product=Elig!$C407,Elig_MatchAll_Ct&lt;22,$BC407=(Elig_MatchAll_Ct-1),AF407=0),C407,0)</f>
        <v>0</v>
      </c>
      <c r="BI407" s="184">
        <f>IF(AND(Input_Product=Elig!$C407,Elig_MatchAll_Ct&lt;22,$BC407=(Elig_MatchAll_Ct-1),AG407=0),D407,0)</f>
        <v>0</v>
      </c>
      <c r="BJ407" s="184">
        <f>IF(AND(Input_Product=Elig!$C407,Elig_MatchAll_Ct&lt;22,$BC407=(Elig_MatchAll_Ct-1),AH407=0),E407,0)</f>
        <v>0</v>
      </c>
      <c r="BK407" s="184">
        <f>IF(AND(Input_Product=Elig!$C407,Elig_MatchAll_Ct&lt;22,$BC407=(Elig_MatchAll_Ct-1),AI407=0),F407,0)</f>
        <v>0</v>
      </c>
      <c r="BL407" s="184">
        <f>IF(AND(Input_Product=Elig!$C407,Elig_MatchAll_Ct&lt;22,$BC407=(Elig_MatchAll_Ct-1),AJ407=0),G407,0)</f>
        <v>0</v>
      </c>
      <c r="BM407" s="184">
        <f>IF(AND(Input_Product=Elig!$C407,Elig_MatchAll_Ct&lt;22,$BC407=(Elig_MatchAll_Ct-1),AK407=0),H407,0)</f>
        <v>0</v>
      </c>
      <c r="BN407" s="184">
        <f>IF(AND(Input_Product=Elig!$C407,Elig_MatchAll_Ct&lt;22,$BC407=(Elig_MatchAll_Ct-1),AL407=0),I407,0)</f>
        <v>0</v>
      </c>
      <c r="BO407" s="184">
        <f>IF(AND(Input_Product=Elig!$C407,Elig_MatchAll_Ct&lt;22,$BC407=(Elig_MatchAll_Ct-1),AM407=0),J407,0)</f>
        <v>0</v>
      </c>
      <c r="BP407" s="184">
        <f>IF(AND(Input_Product=Elig!$C407,Elig_MatchAll_Ct&lt;22,$BC407=(Elig_MatchAll_Ct-1),AN407=0),K407,0)</f>
        <v>0</v>
      </c>
      <c r="BQ407" s="184">
        <f>IF(AND(Input_Product=Elig!$C407,Elig_MatchAll_Ct&lt;22,$BC407=(Elig_MatchAll_Ct-1),AP407=0),L407,0)</f>
        <v>0</v>
      </c>
      <c r="BR407" s="184">
        <f>IF(AND(Input_Product=Elig!$C407,Elig_MatchAll_Ct&lt;22,$BC407=(Elig_MatchAll_Ct-1),AO407=0),M407,0)</f>
        <v>0</v>
      </c>
      <c r="BS407" s="184">
        <f>IF(AND(Input_Product=Elig!$C407,Elig_MatchAll_Ct&lt;22,$BC407=(Elig_MatchAll_Ct-1),AQ407=0),N407,0)</f>
        <v>0</v>
      </c>
      <c r="BT407" s="184">
        <f>IF(AND(Input_Product=Elig!$C407,Elig_MatchAll_Ct&lt;22,$BC407=(Elig_MatchAll_Ct-1),AR407=0),O407,0)</f>
        <v>0</v>
      </c>
      <c r="BU407" s="184">
        <f>IF(AND(Input_Product=Elig!$C407,Elig_MatchAll_Ct&lt;22,$BC407=(Elig_MatchAll_Ct-1),AS407=0),P407,0)</f>
        <v>0</v>
      </c>
      <c r="BV407" s="185">
        <f>IF(AND(Input_Product=Elig!$C407,Elig_MatchAll_Ct&lt;22,$BC407=(Elig_MatchAll_Ct-1),AT407=0),Q407,0)</f>
        <v>0</v>
      </c>
      <c r="BW407" s="186">
        <f>IF(AND(Input_Product=Elig!$C407,Elig_MatchAll_Ct&lt;22,$BC407=(Elig_MatchAll_Ct-1),AU407=0),R407,0)</f>
        <v>0</v>
      </c>
      <c r="BX407" s="187">
        <f>IF(AND(Input_Product=Elig!$C407,Elig_MatchAll_Ct&lt;22,$BC407=(Elig_MatchAll_Ct-1),AU407=0),S407,0)</f>
        <v>0</v>
      </c>
      <c r="BY407" s="186">
        <f>IF(AND(Input_Product=Elig!$C407,Elig_MatchAll_Ct&lt;22,$BC407=(Elig_MatchAll_Ct-1),AV407=0),T407,0)</f>
        <v>0</v>
      </c>
      <c r="BZ407" s="187">
        <f>IF(AND(Input_Product=Elig!$C407,Elig_MatchAll_Ct&lt;22,$BC407=(Elig_MatchAll_Ct-1),AV407=0),U407,0)</f>
        <v>0</v>
      </c>
      <c r="CA407" s="186">
        <f>IF(AND(Input_Product=Elig!$C407,Elig_MatchAll_Ct&lt;22,$BC407=(Elig_MatchAll_Ct-1),AW407=0),V407,0)</f>
        <v>0</v>
      </c>
      <c r="CB407" s="187">
        <f>IF(AND(Input_Product=Elig!$C407,Elig_MatchAll_Ct&lt;22,$BC407=(Elig_MatchAll_Ct-1),AW407=0),W407,0)</f>
        <v>0</v>
      </c>
      <c r="CC407" s="186">
        <f>IF(AND(Input_Product=Elig!$C407,Elig_MatchAll_Ct&lt;22,$BC407=(Elig_MatchAll_Ct-1),AX407=0),X407,0)</f>
        <v>0</v>
      </c>
      <c r="CD407" s="187">
        <f>IF(AND(Input_Product=Elig!$C407,Elig_MatchAll_Ct&lt;22,$BC407=(Elig_MatchAll_Ct-1),AX407=0),Y407,0)</f>
        <v>0</v>
      </c>
      <c r="CE407" s="186">
        <f>IF(AND(Input_LTV&lt;=AE407,Input_Product=Elig!$C407,Elig_MatchAll_Ct&lt;22,$BC407=(Elig_MatchAll_Ct-1),AY407=0),Z407,0)</f>
        <v>0</v>
      </c>
      <c r="CF407" s="187">
        <f>IF(AND(Input_LTV&lt;=AE407,Input_Product=Elig!$C407,Elig_MatchAll_Ct&lt;22,$BC407=(Elig_MatchAll_Ct-1),AY407=0),AA407,0)</f>
        <v>0</v>
      </c>
      <c r="CG407" s="186">
        <f>IF(AND(Input_Product=Elig!$C407,Elig_MatchAll_Ct&lt;22,$BC407=(Elig_MatchAll_Ct-1),AZ407=0),AB407,0)</f>
        <v>0</v>
      </c>
      <c r="CH407" s="187">
        <f>IF(AND(Input_Product=Elig!$C407,Elig_MatchAll_Ct&lt;22,$BC407=(Elig_MatchAll_Ct-1),AZ407=0),AC407,0)</f>
        <v>0</v>
      </c>
      <c r="CI407" s="186">
        <f>IF(AND(Input_Product=Elig!$C407,Elig_MatchAll_Ct&lt;22,$BC407=(Elig_MatchAll_Ct-1),BA407=0),AD407,0)</f>
        <v>0</v>
      </c>
      <c r="CJ407" s="187">
        <f>IF(AND(Input_Product=Elig!$C407,Elig_MatchAll_Ct&lt;22,$BC407=(Elig_MatchAll_Ct-1),BA407=0),AE407,0)</f>
        <v>0</v>
      </c>
    </row>
    <row r="408" spans="1:88" ht="10.15" customHeight="1" x14ac:dyDescent="0.25">
      <c r="A408" s="252" t="s">
        <v>76</v>
      </c>
      <c r="B408" s="252" t="s">
        <v>1053</v>
      </c>
      <c r="C408" s="251" t="str">
        <f t="shared" si="140"/>
        <v>NonQM NOO</v>
      </c>
      <c r="D408" s="252" t="s">
        <v>1995</v>
      </c>
      <c r="E408" s="252" t="s">
        <v>166</v>
      </c>
      <c r="F408" s="252" t="s">
        <v>329</v>
      </c>
      <c r="G408" s="252" t="s">
        <v>180</v>
      </c>
      <c r="H408" s="252" t="s">
        <v>135</v>
      </c>
      <c r="I408" s="253" t="s">
        <v>273</v>
      </c>
      <c r="J408" s="253" t="s">
        <v>1130</v>
      </c>
      <c r="K408" s="253" t="s">
        <v>1398</v>
      </c>
      <c r="L408" s="252" t="s">
        <v>311</v>
      </c>
      <c r="M408" s="252" t="s">
        <v>2289</v>
      </c>
      <c r="N408" s="252" t="s">
        <v>1844</v>
      </c>
      <c r="O408" s="252" t="s">
        <v>309</v>
      </c>
      <c r="P408" s="252" t="s">
        <v>2434</v>
      </c>
      <c r="Q408" s="252" t="s">
        <v>293</v>
      </c>
      <c r="R408" s="252">
        <v>1500000.01</v>
      </c>
      <c r="S408" s="252">
        <v>2000000</v>
      </c>
      <c r="T408" s="252">
        <v>0</v>
      </c>
      <c r="U408" s="252">
        <v>0</v>
      </c>
      <c r="V408" s="252">
        <v>0</v>
      </c>
      <c r="W408" s="252">
        <v>50</v>
      </c>
      <c r="X408" s="252">
        <v>0.75</v>
      </c>
      <c r="Y408" s="252">
        <v>999</v>
      </c>
      <c r="Z408" s="254">
        <v>700</v>
      </c>
      <c r="AA408" s="254">
        <v>719</v>
      </c>
      <c r="AB408" s="1883">
        <v>0</v>
      </c>
      <c r="AC408" s="254">
        <v>999999</v>
      </c>
      <c r="AD408" s="252">
        <v>0</v>
      </c>
      <c r="AE408" s="255">
        <v>75</v>
      </c>
      <c r="AF408" s="144">
        <v>0</v>
      </c>
      <c r="AG408" s="145">
        <v>1</v>
      </c>
      <c r="AH408" s="145">
        <v>1</v>
      </c>
      <c r="AI408" s="145">
        <v>1</v>
      </c>
      <c r="AJ408" s="145">
        <v>1</v>
      </c>
      <c r="AK408" s="145">
        <v>1</v>
      </c>
      <c r="AL408" s="145">
        <v>1</v>
      </c>
      <c r="AM408" s="145">
        <v>1</v>
      </c>
      <c r="AN408" s="145">
        <v>1</v>
      </c>
      <c r="AO408" s="145">
        <v>1</v>
      </c>
      <c r="AP408" s="145">
        <v>1</v>
      </c>
      <c r="AQ408" s="145">
        <v>1</v>
      </c>
      <c r="AR408" s="145">
        <v>1</v>
      </c>
      <c r="AS408" s="145">
        <v>1</v>
      </c>
      <c r="AT408" s="145">
        <v>1</v>
      </c>
      <c r="AU408" s="145">
        <f t="shared" si="148"/>
        <v>0</v>
      </c>
      <c r="AV408" s="145">
        <f t="shared" si="149"/>
        <v>1</v>
      </c>
      <c r="AW408" s="145">
        <f t="shared" si="150"/>
        <v>1</v>
      </c>
      <c r="AX408" s="145">
        <f t="shared" si="133"/>
        <v>1</v>
      </c>
      <c r="AY408" s="145">
        <f t="shared" si="151"/>
        <v>0</v>
      </c>
      <c r="AZ408" s="145">
        <f t="shared" si="152"/>
        <v>1</v>
      </c>
      <c r="BA408" s="146">
        <f t="shared" si="153"/>
        <v>1</v>
      </c>
      <c r="BB408" s="149">
        <f t="shared" si="142"/>
        <v>19</v>
      </c>
      <c r="BC408" s="150">
        <f t="shared" si="143"/>
        <v>18</v>
      </c>
      <c r="BD408" s="150">
        <f t="shared" si="144"/>
        <v>19</v>
      </c>
      <c r="BE408" s="211" t="str">
        <f t="shared" si="145"/>
        <v/>
      </c>
      <c r="BH408" s="173">
        <f>IF(AND(Input_Product=Elig!$C408,Elig_MatchAll_Ct&lt;22,$BC408=(Elig_MatchAll_Ct-1),AF408=0),C408,0)</f>
        <v>0</v>
      </c>
      <c r="BI408" s="173">
        <f>IF(AND(Input_Product=Elig!$C408,Elig_MatchAll_Ct&lt;22,$BC408=(Elig_MatchAll_Ct-1),AG408=0),D408,0)</f>
        <v>0</v>
      </c>
      <c r="BJ408" s="173">
        <f>IF(AND(Input_Product=Elig!$C408,Elig_MatchAll_Ct&lt;22,$BC408=(Elig_MatchAll_Ct-1),AH408=0),E408,0)</f>
        <v>0</v>
      </c>
      <c r="BK408" s="173">
        <f>IF(AND(Input_Product=Elig!$C408,Elig_MatchAll_Ct&lt;22,$BC408=(Elig_MatchAll_Ct-1),AI408=0),F408,0)</f>
        <v>0</v>
      </c>
      <c r="BL408" s="173">
        <f>IF(AND(Input_Product=Elig!$C408,Elig_MatchAll_Ct&lt;22,$BC408=(Elig_MatchAll_Ct-1),AJ408=0),G408,0)</f>
        <v>0</v>
      </c>
      <c r="BM408" s="173">
        <f>IF(AND(Input_Product=Elig!$C408,Elig_MatchAll_Ct&lt;22,$BC408=(Elig_MatchAll_Ct-1),AK408=0),H408,0)</f>
        <v>0</v>
      </c>
      <c r="BN408" s="173">
        <f>IF(AND(Input_Product=Elig!$C408,Elig_MatchAll_Ct&lt;22,$BC408=(Elig_MatchAll_Ct-1),AL408=0),I408,0)</f>
        <v>0</v>
      </c>
      <c r="BO408" s="173">
        <f>IF(AND(Input_Product=Elig!$C408,Elig_MatchAll_Ct&lt;22,$BC408=(Elig_MatchAll_Ct-1),AM408=0),J408,0)</f>
        <v>0</v>
      </c>
      <c r="BP408" s="173">
        <f>IF(AND(Input_Product=Elig!$C408,Elig_MatchAll_Ct&lt;22,$BC408=(Elig_MatchAll_Ct-1),AN408=0),K408,0)</f>
        <v>0</v>
      </c>
      <c r="BQ408" s="173">
        <f>IF(AND(Input_Product=Elig!$C408,Elig_MatchAll_Ct&lt;22,$BC408=(Elig_MatchAll_Ct-1),AP408=0),L408,0)</f>
        <v>0</v>
      </c>
      <c r="BR408" s="173">
        <f>IF(AND(Input_Product=Elig!$C408,Elig_MatchAll_Ct&lt;22,$BC408=(Elig_MatchAll_Ct-1),AO408=0),M408,0)</f>
        <v>0</v>
      </c>
      <c r="BS408" s="173">
        <f>IF(AND(Input_Product=Elig!$C408,Elig_MatchAll_Ct&lt;22,$BC408=(Elig_MatchAll_Ct-1),AQ408=0),N408,0)</f>
        <v>0</v>
      </c>
      <c r="BT408" s="173">
        <f>IF(AND(Input_Product=Elig!$C408,Elig_MatchAll_Ct&lt;22,$BC408=(Elig_MatchAll_Ct-1),AR408=0),O408,0)</f>
        <v>0</v>
      </c>
      <c r="BU408" s="173">
        <f>IF(AND(Input_Product=Elig!$C408,Elig_MatchAll_Ct&lt;22,$BC408=(Elig_MatchAll_Ct-1),AS408=0),P408,0)</f>
        <v>0</v>
      </c>
      <c r="BV408" s="174">
        <f>IF(AND(Input_Product=Elig!$C408,Elig_MatchAll_Ct&lt;22,$BC408=(Elig_MatchAll_Ct-1),AT408=0),Q408,0)</f>
        <v>0</v>
      </c>
      <c r="BW408" s="175">
        <f>IF(AND(Input_Product=Elig!$C408,Elig_MatchAll_Ct&lt;22,$BC408=(Elig_MatchAll_Ct-1),AU408=0),R408,0)</f>
        <v>0</v>
      </c>
      <c r="BX408" s="176">
        <f>IF(AND(Input_Product=Elig!$C408,Elig_MatchAll_Ct&lt;22,$BC408=(Elig_MatchAll_Ct-1),AU408=0),S408,0)</f>
        <v>0</v>
      </c>
      <c r="BY408" s="175">
        <f>IF(AND(Input_Product=Elig!$C408,Elig_MatchAll_Ct&lt;22,$BC408=(Elig_MatchAll_Ct-1),AV408=0),T408,0)</f>
        <v>0</v>
      </c>
      <c r="BZ408" s="176">
        <f>IF(AND(Input_Product=Elig!$C408,Elig_MatchAll_Ct&lt;22,$BC408=(Elig_MatchAll_Ct-1),AV408=0),U408,0)</f>
        <v>0</v>
      </c>
      <c r="CA408" s="175">
        <f>IF(AND(Input_Product=Elig!$C408,Elig_MatchAll_Ct&lt;22,$BC408=(Elig_MatchAll_Ct-1),AW408=0),V408,0)</f>
        <v>0</v>
      </c>
      <c r="CB408" s="176">
        <f>IF(AND(Input_Product=Elig!$C408,Elig_MatchAll_Ct&lt;22,$BC408=(Elig_MatchAll_Ct-1),AW408=0),W408,0)</f>
        <v>0</v>
      </c>
      <c r="CC408" s="175">
        <f>IF(AND(Input_Product=Elig!$C408,Elig_MatchAll_Ct&lt;22,$BC408=(Elig_MatchAll_Ct-1),AX408=0),X408,0)</f>
        <v>0</v>
      </c>
      <c r="CD408" s="176">
        <f>IF(AND(Input_Product=Elig!$C408,Elig_MatchAll_Ct&lt;22,$BC408=(Elig_MatchAll_Ct-1),AX408=0),Y408,0)</f>
        <v>0</v>
      </c>
      <c r="CE408" s="175">
        <f>IF(AND(Input_LTV&lt;=AE408,Input_Product=Elig!$C408,Elig_MatchAll_Ct&lt;22,$BC408=(Elig_MatchAll_Ct-1),AY408=0),Z408,0)</f>
        <v>0</v>
      </c>
      <c r="CF408" s="176">
        <f>IF(AND(Input_LTV&lt;=AE408,Input_Product=Elig!$C408,Elig_MatchAll_Ct&lt;22,$BC408=(Elig_MatchAll_Ct-1),AY408=0),AA408,0)</f>
        <v>0</v>
      </c>
      <c r="CG408" s="175">
        <f>IF(AND(Input_Product=Elig!$C408,Elig_MatchAll_Ct&lt;22,$BC408=(Elig_MatchAll_Ct-1),AZ408=0),AB408,0)</f>
        <v>0</v>
      </c>
      <c r="CH408" s="176">
        <f>IF(AND(Input_Product=Elig!$C408,Elig_MatchAll_Ct&lt;22,$BC408=(Elig_MatchAll_Ct-1),AZ408=0),AC408,0)</f>
        <v>0</v>
      </c>
      <c r="CI408" s="175">
        <f>IF(AND(Input_Product=Elig!$C408,Elig_MatchAll_Ct&lt;22,$BC408=(Elig_MatchAll_Ct-1),BA408=0),AD408,0)</f>
        <v>0</v>
      </c>
      <c r="CJ408" s="176">
        <f>IF(AND(Input_Product=Elig!$C408,Elig_MatchAll_Ct&lt;22,$BC408=(Elig_MatchAll_Ct-1),BA408=0),AE408,0)</f>
        <v>0</v>
      </c>
    </row>
    <row r="409" spans="1:88" ht="10.15" customHeight="1" x14ac:dyDescent="0.25">
      <c r="A409" s="252" t="s">
        <v>76</v>
      </c>
      <c r="B409" s="252" t="s">
        <v>1865</v>
      </c>
      <c r="C409" s="251" t="str">
        <f t="shared" si="140"/>
        <v>NonQM NOO</v>
      </c>
      <c r="D409" s="252" t="s">
        <v>1995</v>
      </c>
      <c r="E409" s="252" t="s">
        <v>166</v>
      </c>
      <c r="F409" s="252" t="s">
        <v>329</v>
      </c>
      <c r="G409" s="252" t="s">
        <v>180</v>
      </c>
      <c r="H409" s="252" t="s">
        <v>135</v>
      </c>
      <c r="I409" s="253" t="s">
        <v>273</v>
      </c>
      <c r="J409" s="253" t="s">
        <v>1130</v>
      </c>
      <c r="K409" s="253" t="s">
        <v>1398</v>
      </c>
      <c r="L409" s="252" t="s">
        <v>311</v>
      </c>
      <c r="M409" s="252" t="s">
        <v>2289</v>
      </c>
      <c r="N409" s="252" t="s">
        <v>1844</v>
      </c>
      <c r="O409" s="252" t="s">
        <v>309</v>
      </c>
      <c r="P409" s="252" t="s">
        <v>2434</v>
      </c>
      <c r="Q409" s="252" t="s">
        <v>293</v>
      </c>
      <c r="R409" s="252">
        <v>1500000.01</v>
      </c>
      <c r="S409" s="252">
        <v>2000000</v>
      </c>
      <c r="T409" s="252">
        <v>0</v>
      </c>
      <c r="U409" s="252">
        <v>0</v>
      </c>
      <c r="V409" s="252">
        <v>0</v>
      </c>
      <c r="W409" s="252">
        <v>50</v>
      </c>
      <c r="X409" s="252">
        <v>0.75</v>
      </c>
      <c r="Y409" s="252">
        <v>999</v>
      </c>
      <c r="Z409" s="254">
        <v>680</v>
      </c>
      <c r="AA409" s="254">
        <v>699</v>
      </c>
      <c r="AB409" s="1883">
        <v>0</v>
      </c>
      <c r="AC409" s="254">
        <v>999999</v>
      </c>
      <c r="AD409" s="252">
        <v>0</v>
      </c>
      <c r="AE409" s="255">
        <v>70</v>
      </c>
      <c r="AF409" s="144">
        <v>0</v>
      </c>
      <c r="AG409" s="145">
        <v>1</v>
      </c>
      <c r="AH409" s="145">
        <v>1</v>
      </c>
      <c r="AI409" s="145">
        <v>1</v>
      </c>
      <c r="AJ409" s="145">
        <v>1</v>
      </c>
      <c r="AK409" s="145">
        <v>1</v>
      </c>
      <c r="AL409" s="145">
        <v>1</v>
      </c>
      <c r="AM409" s="145">
        <v>1</v>
      </c>
      <c r="AN409" s="145">
        <v>1</v>
      </c>
      <c r="AO409" s="145">
        <v>1</v>
      </c>
      <c r="AP409" s="145">
        <v>1</v>
      </c>
      <c r="AQ409" s="145">
        <v>1</v>
      </c>
      <c r="AR409" s="145">
        <v>1</v>
      </c>
      <c r="AS409" s="145">
        <v>1</v>
      </c>
      <c r="AT409" s="145">
        <v>1</v>
      </c>
      <c r="AU409" s="145">
        <f t="shared" si="148"/>
        <v>0</v>
      </c>
      <c r="AV409" s="145">
        <f t="shared" si="149"/>
        <v>1</v>
      </c>
      <c r="AW409" s="145">
        <f t="shared" si="150"/>
        <v>1</v>
      </c>
      <c r="AX409" s="145">
        <f t="shared" si="133"/>
        <v>1</v>
      </c>
      <c r="AY409" s="145">
        <f t="shared" si="151"/>
        <v>0</v>
      </c>
      <c r="AZ409" s="145">
        <f t="shared" si="152"/>
        <v>1</v>
      </c>
      <c r="BA409" s="146">
        <f t="shared" si="153"/>
        <v>1</v>
      </c>
      <c r="BB409" s="149">
        <f t="shared" si="142"/>
        <v>19</v>
      </c>
      <c r="BC409" s="150">
        <f t="shared" si="143"/>
        <v>18</v>
      </c>
      <c r="BD409" s="150">
        <f t="shared" si="144"/>
        <v>19</v>
      </c>
      <c r="BE409" s="211" t="str">
        <f t="shared" si="145"/>
        <v/>
      </c>
      <c r="BH409" s="173">
        <f>IF(AND(Input_Product=Elig!$C409,Elig_MatchAll_Ct&lt;22,$BC409=(Elig_MatchAll_Ct-1),AF409=0),C409,0)</f>
        <v>0</v>
      </c>
      <c r="BI409" s="173">
        <f>IF(AND(Input_Product=Elig!$C409,Elig_MatchAll_Ct&lt;22,$BC409=(Elig_MatchAll_Ct-1),AG409=0),D409,0)</f>
        <v>0</v>
      </c>
      <c r="BJ409" s="173">
        <f>IF(AND(Input_Product=Elig!$C409,Elig_MatchAll_Ct&lt;22,$BC409=(Elig_MatchAll_Ct-1),AH409=0),E409,0)</f>
        <v>0</v>
      </c>
      <c r="BK409" s="173">
        <f>IF(AND(Input_Product=Elig!$C409,Elig_MatchAll_Ct&lt;22,$BC409=(Elig_MatchAll_Ct-1),AI409=0),F409,0)</f>
        <v>0</v>
      </c>
      <c r="BL409" s="173">
        <f>IF(AND(Input_Product=Elig!$C409,Elig_MatchAll_Ct&lt;22,$BC409=(Elig_MatchAll_Ct-1),AJ409=0),G409,0)</f>
        <v>0</v>
      </c>
      <c r="BM409" s="173">
        <f>IF(AND(Input_Product=Elig!$C409,Elig_MatchAll_Ct&lt;22,$BC409=(Elig_MatchAll_Ct-1),AK409=0),H409,0)</f>
        <v>0</v>
      </c>
      <c r="BN409" s="173">
        <f>IF(AND(Input_Product=Elig!$C409,Elig_MatchAll_Ct&lt;22,$BC409=(Elig_MatchAll_Ct-1),AL409=0),I409,0)</f>
        <v>0</v>
      </c>
      <c r="BO409" s="173">
        <f>IF(AND(Input_Product=Elig!$C409,Elig_MatchAll_Ct&lt;22,$BC409=(Elig_MatchAll_Ct-1),AM409=0),J409,0)</f>
        <v>0</v>
      </c>
      <c r="BP409" s="173">
        <f>IF(AND(Input_Product=Elig!$C409,Elig_MatchAll_Ct&lt;22,$BC409=(Elig_MatchAll_Ct-1),AN409=0),K409,0)</f>
        <v>0</v>
      </c>
      <c r="BQ409" s="173">
        <f>IF(AND(Input_Product=Elig!$C409,Elig_MatchAll_Ct&lt;22,$BC409=(Elig_MatchAll_Ct-1),AP409=0),L409,0)</f>
        <v>0</v>
      </c>
      <c r="BR409" s="173">
        <f>IF(AND(Input_Product=Elig!$C409,Elig_MatchAll_Ct&lt;22,$BC409=(Elig_MatchAll_Ct-1),AO409=0),M409,0)</f>
        <v>0</v>
      </c>
      <c r="BS409" s="173">
        <f>IF(AND(Input_Product=Elig!$C409,Elig_MatchAll_Ct&lt;22,$BC409=(Elig_MatchAll_Ct-1),AQ409=0),N409,0)</f>
        <v>0</v>
      </c>
      <c r="BT409" s="173">
        <f>IF(AND(Input_Product=Elig!$C409,Elig_MatchAll_Ct&lt;22,$BC409=(Elig_MatchAll_Ct-1),AR409=0),O409,0)</f>
        <v>0</v>
      </c>
      <c r="BU409" s="173">
        <f>IF(AND(Input_Product=Elig!$C409,Elig_MatchAll_Ct&lt;22,$BC409=(Elig_MatchAll_Ct-1),AS409=0),P409,0)</f>
        <v>0</v>
      </c>
      <c r="BV409" s="174">
        <f>IF(AND(Input_Product=Elig!$C409,Elig_MatchAll_Ct&lt;22,$BC409=(Elig_MatchAll_Ct-1),AT409=0),Q409,0)</f>
        <v>0</v>
      </c>
      <c r="BW409" s="175">
        <f>IF(AND(Input_Product=Elig!$C409,Elig_MatchAll_Ct&lt;22,$BC409=(Elig_MatchAll_Ct-1),AU409=0),R409,0)</f>
        <v>0</v>
      </c>
      <c r="BX409" s="176">
        <f>IF(AND(Input_Product=Elig!$C409,Elig_MatchAll_Ct&lt;22,$BC409=(Elig_MatchAll_Ct-1),AU409=0),S409,0)</f>
        <v>0</v>
      </c>
      <c r="BY409" s="175">
        <f>IF(AND(Input_Product=Elig!$C409,Elig_MatchAll_Ct&lt;22,$BC409=(Elig_MatchAll_Ct-1),AV409=0),T409,0)</f>
        <v>0</v>
      </c>
      <c r="BZ409" s="176">
        <f>IF(AND(Input_Product=Elig!$C409,Elig_MatchAll_Ct&lt;22,$BC409=(Elig_MatchAll_Ct-1),AV409=0),U409,0)</f>
        <v>0</v>
      </c>
      <c r="CA409" s="175">
        <f>IF(AND(Input_Product=Elig!$C409,Elig_MatchAll_Ct&lt;22,$BC409=(Elig_MatchAll_Ct-1),AW409=0),V409,0)</f>
        <v>0</v>
      </c>
      <c r="CB409" s="176">
        <f>IF(AND(Input_Product=Elig!$C409,Elig_MatchAll_Ct&lt;22,$BC409=(Elig_MatchAll_Ct-1),AW409=0),W409,0)</f>
        <v>0</v>
      </c>
      <c r="CC409" s="175">
        <f>IF(AND(Input_Product=Elig!$C409,Elig_MatchAll_Ct&lt;22,$BC409=(Elig_MatchAll_Ct-1),AX409=0),X409,0)</f>
        <v>0</v>
      </c>
      <c r="CD409" s="176">
        <f>IF(AND(Input_Product=Elig!$C409,Elig_MatchAll_Ct&lt;22,$BC409=(Elig_MatchAll_Ct-1),AX409=0),Y409,0)</f>
        <v>0</v>
      </c>
      <c r="CE409" s="175">
        <f>IF(AND(Input_LTV&lt;=AE409,Input_Product=Elig!$C409,Elig_MatchAll_Ct&lt;22,$BC409=(Elig_MatchAll_Ct-1),AY409=0),Z409,0)</f>
        <v>0</v>
      </c>
      <c r="CF409" s="176">
        <f>IF(AND(Input_LTV&lt;=AE409,Input_Product=Elig!$C409,Elig_MatchAll_Ct&lt;22,$BC409=(Elig_MatchAll_Ct-1),AY409=0),AA409,0)</f>
        <v>0</v>
      </c>
      <c r="CG409" s="175">
        <f>IF(AND(Input_Product=Elig!$C409,Elig_MatchAll_Ct&lt;22,$BC409=(Elig_MatchAll_Ct-1),AZ409=0),AB409,0)</f>
        <v>0</v>
      </c>
      <c r="CH409" s="176">
        <f>IF(AND(Input_Product=Elig!$C409,Elig_MatchAll_Ct&lt;22,$BC409=(Elig_MatchAll_Ct-1),AZ409=0),AC409,0)</f>
        <v>0</v>
      </c>
      <c r="CI409" s="175">
        <f>IF(AND(Input_Product=Elig!$C409,Elig_MatchAll_Ct&lt;22,$BC409=(Elig_MatchAll_Ct-1),BA409=0),AD409,0)</f>
        <v>0</v>
      </c>
      <c r="CJ409" s="176">
        <f>IF(AND(Input_Product=Elig!$C409,Elig_MatchAll_Ct&lt;22,$BC409=(Elig_MatchAll_Ct-1),BA409=0),AE409,0)</f>
        <v>0</v>
      </c>
    </row>
    <row r="410" spans="1:88" ht="10.15" customHeight="1" x14ac:dyDescent="0.25">
      <c r="A410" s="252" t="s">
        <v>76</v>
      </c>
      <c r="B410" s="252" t="s">
        <v>1866</v>
      </c>
      <c r="C410" s="251" t="str">
        <f t="shared" si="140"/>
        <v>NonQM NOO</v>
      </c>
      <c r="D410" s="252" t="s">
        <v>1995</v>
      </c>
      <c r="E410" s="252" t="s">
        <v>166</v>
      </c>
      <c r="F410" s="252" t="s">
        <v>329</v>
      </c>
      <c r="G410" s="252" t="s">
        <v>180</v>
      </c>
      <c r="H410" s="252" t="s">
        <v>135</v>
      </c>
      <c r="I410" s="252" t="s">
        <v>273</v>
      </c>
      <c r="J410" s="252" t="s">
        <v>1130</v>
      </c>
      <c r="K410" s="252" t="s">
        <v>1398</v>
      </c>
      <c r="L410" s="252" t="s">
        <v>311</v>
      </c>
      <c r="M410" s="252" t="s">
        <v>2289</v>
      </c>
      <c r="N410" s="252" t="s">
        <v>1844</v>
      </c>
      <c r="O410" s="252" t="s">
        <v>309</v>
      </c>
      <c r="P410" s="252" t="s">
        <v>2434</v>
      </c>
      <c r="Q410" s="252" t="s">
        <v>293</v>
      </c>
      <c r="R410" s="252">
        <v>1500000.01</v>
      </c>
      <c r="S410" s="252">
        <v>2000000</v>
      </c>
      <c r="T410" s="252">
        <v>0</v>
      </c>
      <c r="U410" s="252">
        <v>0</v>
      </c>
      <c r="V410" s="252">
        <v>0</v>
      </c>
      <c r="W410" s="252">
        <v>50</v>
      </c>
      <c r="X410" s="261">
        <v>1</v>
      </c>
      <c r="Y410" s="252">
        <v>999</v>
      </c>
      <c r="Z410" s="254">
        <v>660</v>
      </c>
      <c r="AA410" s="254">
        <v>679</v>
      </c>
      <c r="AB410" s="1883">
        <v>0</v>
      </c>
      <c r="AC410" s="254">
        <v>999999</v>
      </c>
      <c r="AD410" s="252">
        <v>0</v>
      </c>
      <c r="AE410" s="255">
        <v>70</v>
      </c>
      <c r="AF410" s="144">
        <v>0</v>
      </c>
      <c r="AG410" s="145">
        <v>1</v>
      </c>
      <c r="AH410" s="145">
        <v>1</v>
      </c>
      <c r="AI410" s="145">
        <v>1</v>
      </c>
      <c r="AJ410" s="145">
        <v>1</v>
      </c>
      <c r="AK410" s="145">
        <v>1</v>
      </c>
      <c r="AL410" s="145">
        <v>1</v>
      </c>
      <c r="AM410" s="145">
        <v>1</v>
      </c>
      <c r="AN410" s="145">
        <v>1</v>
      </c>
      <c r="AO410" s="145">
        <v>1</v>
      </c>
      <c r="AP410" s="145">
        <v>1</v>
      </c>
      <c r="AQ410" s="145">
        <v>1</v>
      </c>
      <c r="AR410" s="145">
        <v>1</v>
      </c>
      <c r="AS410" s="145">
        <v>1</v>
      </c>
      <c r="AT410" s="145">
        <v>1</v>
      </c>
      <c r="AU410" s="145">
        <f t="shared" si="148"/>
        <v>0</v>
      </c>
      <c r="AV410" s="145">
        <f t="shared" si="149"/>
        <v>1</v>
      </c>
      <c r="AW410" s="145">
        <f t="shared" si="150"/>
        <v>1</v>
      </c>
      <c r="AX410" s="145">
        <f t="shared" si="133"/>
        <v>1</v>
      </c>
      <c r="AY410" s="145">
        <f t="shared" si="151"/>
        <v>0</v>
      </c>
      <c r="AZ410" s="145">
        <f t="shared" si="152"/>
        <v>1</v>
      </c>
      <c r="BA410" s="146">
        <f t="shared" si="153"/>
        <v>1</v>
      </c>
      <c r="BB410" s="149">
        <f t="shared" si="142"/>
        <v>19</v>
      </c>
      <c r="BC410" s="150">
        <f t="shared" si="143"/>
        <v>18</v>
      </c>
      <c r="BD410" s="150">
        <f t="shared" si="144"/>
        <v>19</v>
      </c>
      <c r="BE410" s="211" t="str">
        <f t="shared" si="145"/>
        <v/>
      </c>
      <c r="BH410" s="173">
        <f>IF(AND(Input_Product=Elig!$C410,Elig_MatchAll_Ct&lt;22,$BC410=(Elig_MatchAll_Ct-1),AF410=0),C410,0)</f>
        <v>0</v>
      </c>
      <c r="BI410" s="173">
        <f>IF(AND(Input_Product=Elig!$C410,Elig_MatchAll_Ct&lt;22,$BC410=(Elig_MatchAll_Ct-1),AG410=0),D410,0)</f>
        <v>0</v>
      </c>
      <c r="BJ410" s="173">
        <f>IF(AND(Input_Product=Elig!$C410,Elig_MatchAll_Ct&lt;22,$BC410=(Elig_MatchAll_Ct-1),AH410=0),E410,0)</f>
        <v>0</v>
      </c>
      <c r="BK410" s="173">
        <f>IF(AND(Input_Product=Elig!$C410,Elig_MatchAll_Ct&lt;22,$BC410=(Elig_MatchAll_Ct-1),AI410=0),F410,0)</f>
        <v>0</v>
      </c>
      <c r="BL410" s="173">
        <f>IF(AND(Input_Product=Elig!$C410,Elig_MatchAll_Ct&lt;22,$BC410=(Elig_MatchAll_Ct-1),AJ410=0),G410,0)</f>
        <v>0</v>
      </c>
      <c r="BM410" s="173">
        <f>IF(AND(Input_Product=Elig!$C410,Elig_MatchAll_Ct&lt;22,$BC410=(Elig_MatchAll_Ct-1),AK410=0),H410,0)</f>
        <v>0</v>
      </c>
      <c r="BN410" s="173">
        <f>IF(AND(Input_Product=Elig!$C410,Elig_MatchAll_Ct&lt;22,$BC410=(Elig_MatchAll_Ct-1),AL410=0),I410,0)</f>
        <v>0</v>
      </c>
      <c r="BO410" s="173">
        <f>IF(AND(Input_Product=Elig!$C410,Elig_MatchAll_Ct&lt;22,$BC410=(Elig_MatchAll_Ct-1),AM410=0),J410,0)</f>
        <v>0</v>
      </c>
      <c r="BP410" s="173">
        <f>IF(AND(Input_Product=Elig!$C410,Elig_MatchAll_Ct&lt;22,$BC410=(Elig_MatchAll_Ct-1),AN410=0),K410,0)</f>
        <v>0</v>
      </c>
      <c r="BQ410" s="173">
        <f>IF(AND(Input_Product=Elig!$C410,Elig_MatchAll_Ct&lt;22,$BC410=(Elig_MatchAll_Ct-1),AP410=0),L410,0)</f>
        <v>0</v>
      </c>
      <c r="BR410" s="173">
        <f>IF(AND(Input_Product=Elig!$C410,Elig_MatchAll_Ct&lt;22,$BC410=(Elig_MatchAll_Ct-1),AO410=0),M410,0)</f>
        <v>0</v>
      </c>
      <c r="BS410" s="173">
        <f>IF(AND(Input_Product=Elig!$C410,Elig_MatchAll_Ct&lt;22,$BC410=(Elig_MatchAll_Ct-1),AQ410=0),N410,0)</f>
        <v>0</v>
      </c>
      <c r="BT410" s="173">
        <f>IF(AND(Input_Product=Elig!$C410,Elig_MatchAll_Ct&lt;22,$BC410=(Elig_MatchAll_Ct-1),AR410=0),O410,0)</f>
        <v>0</v>
      </c>
      <c r="BU410" s="173">
        <f>IF(AND(Input_Product=Elig!$C410,Elig_MatchAll_Ct&lt;22,$BC410=(Elig_MatchAll_Ct-1),AS410=0),P410,0)</f>
        <v>0</v>
      </c>
      <c r="BV410" s="174">
        <f>IF(AND(Input_Product=Elig!$C410,Elig_MatchAll_Ct&lt;22,$BC410=(Elig_MatchAll_Ct-1),AT410=0),Q410,0)</f>
        <v>0</v>
      </c>
      <c r="BW410" s="175">
        <f>IF(AND(Input_Product=Elig!$C410,Elig_MatchAll_Ct&lt;22,$BC410=(Elig_MatchAll_Ct-1),AU410=0),R410,0)</f>
        <v>0</v>
      </c>
      <c r="BX410" s="176">
        <f>IF(AND(Input_Product=Elig!$C410,Elig_MatchAll_Ct&lt;22,$BC410=(Elig_MatchAll_Ct-1),AU410=0),S410,0)</f>
        <v>0</v>
      </c>
      <c r="BY410" s="175">
        <f>IF(AND(Input_Product=Elig!$C410,Elig_MatchAll_Ct&lt;22,$BC410=(Elig_MatchAll_Ct-1),AV410=0),T410,0)</f>
        <v>0</v>
      </c>
      <c r="BZ410" s="176">
        <f>IF(AND(Input_Product=Elig!$C410,Elig_MatchAll_Ct&lt;22,$BC410=(Elig_MatchAll_Ct-1),AV410=0),U410,0)</f>
        <v>0</v>
      </c>
      <c r="CA410" s="175">
        <f>IF(AND(Input_Product=Elig!$C410,Elig_MatchAll_Ct&lt;22,$BC410=(Elig_MatchAll_Ct-1),AW410=0),V410,0)</f>
        <v>0</v>
      </c>
      <c r="CB410" s="176">
        <f>IF(AND(Input_Product=Elig!$C410,Elig_MatchAll_Ct&lt;22,$BC410=(Elig_MatchAll_Ct-1),AW410=0),W410,0)</f>
        <v>0</v>
      </c>
      <c r="CC410" s="175">
        <f>IF(AND(Input_Product=Elig!$C410,Elig_MatchAll_Ct&lt;22,$BC410=(Elig_MatchAll_Ct-1),AX410=0),X410,0)</f>
        <v>0</v>
      </c>
      <c r="CD410" s="176">
        <f>IF(AND(Input_Product=Elig!$C410,Elig_MatchAll_Ct&lt;22,$BC410=(Elig_MatchAll_Ct-1),AX410=0),Y410,0)</f>
        <v>0</v>
      </c>
      <c r="CE410" s="175">
        <f>IF(AND(Input_LTV&lt;=AE410,Input_Product=Elig!$C410,Elig_MatchAll_Ct&lt;22,$BC410=(Elig_MatchAll_Ct-1),AY410=0),Z410,0)</f>
        <v>0</v>
      </c>
      <c r="CF410" s="176">
        <f>IF(AND(Input_LTV&lt;=AE410,Input_Product=Elig!$C410,Elig_MatchAll_Ct&lt;22,$BC410=(Elig_MatchAll_Ct-1),AY410=0),AA410,0)</f>
        <v>0</v>
      </c>
      <c r="CG410" s="175">
        <f>IF(AND(Input_Product=Elig!$C410,Elig_MatchAll_Ct&lt;22,$BC410=(Elig_MatchAll_Ct-1),AZ410=0),AB410,0)</f>
        <v>0</v>
      </c>
      <c r="CH410" s="176">
        <f>IF(AND(Input_Product=Elig!$C410,Elig_MatchAll_Ct&lt;22,$BC410=(Elig_MatchAll_Ct-1),AZ410=0),AC410,0)</f>
        <v>0</v>
      </c>
      <c r="CI410" s="175">
        <f>IF(AND(Input_Product=Elig!$C410,Elig_MatchAll_Ct&lt;22,$BC410=(Elig_MatchAll_Ct-1),BA410=0),AD410,0)</f>
        <v>0</v>
      </c>
      <c r="CJ410" s="176">
        <f>IF(AND(Input_Product=Elig!$C410,Elig_MatchAll_Ct&lt;22,$BC410=(Elig_MatchAll_Ct-1),BA410=0),AE410,0)</f>
        <v>0</v>
      </c>
    </row>
    <row r="411" spans="1:88" ht="10.15" customHeight="1" x14ac:dyDescent="0.25">
      <c r="A411" s="252" t="s">
        <v>76</v>
      </c>
      <c r="B411" s="252" t="s">
        <v>1867</v>
      </c>
      <c r="C411" s="251" t="str">
        <f t="shared" si="140"/>
        <v>NonQM NOO</v>
      </c>
      <c r="D411" s="252" t="s">
        <v>1995</v>
      </c>
      <c r="E411" s="252" t="s">
        <v>166</v>
      </c>
      <c r="F411" s="252" t="s">
        <v>329</v>
      </c>
      <c r="G411" s="252" t="s">
        <v>180</v>
      </c>
      <c r="H411" s="252" t="s">
        <v>135</v>
      </c>
      <c r="I411" s="252" t="s">
        <v>273</v>
      </c>
      <c r="J411" s="252" t="s">
        <v>1130</v>
      </c>
      <c r="K411" s="252" t="s">
        <v>1398</v>
      </c>
      <c r="L411" s="252" t="s">
        <v>311</v>
      </c>
      <c r="M411" s="252" t="s">
        <v>2289</v>
      </c>
      <c r="N411" s="252" t="s">
        <v>1844</v>
      </c>
      <c r="O411" s="252" t="s">
        <v>309</v>
      </c>
      <c r="P411" s="252" t="s">
        <v>2434</v>
      </c>
      <c r="Q411" s="252" t="s">
        <v>293</v>
      </c>
      <c r="R411" s="252">
        <v>1500000.01</v>
      </c>
      <c r="S411" s="252">
        <v>2000000</v>
      </c>
      <c r="T411" s="252">
        <v>0</v>
      </c>
      <c r="U411" s="252">
        <v>0</v>
      </c>
      <c r="V411" s="252">
        <v>0</v>
      </c>
      <c r="W411" s="252">
        <v>50</v>
      </c>
      <c r="X411" s="261">
        <v>1</v>
      </c>
      <c r="Y411" s="252">
        <v>999</v>
      </c>
      <c r="Z411" s="254">
        <v>640</v>
      </c>
      <c r="AA411" s="254">
        <v>659</v>
      </c>
      <c r="AB411" s="1883">
        <v>0</v>
      </c>
      <c r="AC411" s="254">
        <v>999999</v>
      </c>
      <c r="AD411" s="252">
        <v>0</v>
      </c>
      <c r="AE411" s="255">
        <v>65</v>
      </c>
      <c r="AF411" s="144">
        <v>0</v>
      </c>
      <c r="AG411" s="145">
        <v>1</v>
      </c>
      <c r="AH411" s="145">
        <v>1</v>
      </c>
      <c r="AI411" s="145">
        <v>1</v>
      </c>
      <c r="AJ411" s="145">
        <v>1</v>
      </c>
      <c r="AK411" s="145">
        <v>1</v>
      </c>
      <c r="AL411" s="145">
        <v>1</v>
      </c>
      <c r="AM411" s="145">
        <v>1</v>
      </c>
      <c r="AN411" s="145">
        <v>1</v>
      </c>
      <c r="AO411" s="145">
        <v>1</v>
      </c>
      <c r="AP411" s="145">
        <v>1</v>
      </c>
      <c r="AQ411" s="145">
        <v>1</v>
      </c>
      <c r="AR411" s="145">
        <v>1</v>
      </c>
      <c r="AS411" s="145">
        <v>1</v>
      </c>
      <c r="AT411" s="145">
        <v>1</v>
      </c>
      <c r="AU411" s="145">
        <f t="shared" si="148"/>
        <v>0</v>
      </c>
      <c r="AV411" s="145">
        <f t="shared" si="149"/>
        <v>1</v>
      </c>
      <c r="AW411" s="145">
        <f t="shared" si="150"/>
        <v>1</v>
      </c>
      <c r="AX411" s="145">
        <f t="shared" si="133"/>
        <v>1</v>
      </c>
      <c r="AY411" s="145">
        <f t="shared" si="151"/>
        <v>0</v>
      </c>
      <c r="AZ411" s="145">
        <f t="shared" si="152"/>
        <v>1</v>
      </c>
      <c r="BA411" s="146">
        <f t="shared" si="153"/>
        <v>0</v>
      </c>
      <c r="BB411" s="149">
        <f t="shared" si="142"/>
        <v>18</v>
      </c>
      <c r="BC411" s="150">
        <f t="shared" si="143"/>
        <v>18</v>
      </c>
      <c r="BD411" s="150">
        <f t="shared" si="144"/>
        <v>18</v>
      </c>
      <c r="BE411" s="211" t="str">
        <f t="shared" si="145"/>
        <v/>
      </c>
      <c r="BH411" s="173">
        <f>IF(AND(Input_Product=Elig!$C411,Elig_MatchAll_Ct&lt;22,$BC411=(Elig_MatchAll_Ct-1),AF411=0),C411,0)</f>
        <v>0</v>
      </c>
      <c r="BI411" s="173">
        <f>IF(AND(Input_Product=Elig!$C411,Elig_MatchAll_Ct&lt;22,$BC411=(Elig_MatchAll_Ct-1),AG411=0),D411,0)</f>
        <v>0</v>
      </c>
      <c r="BJ411" s="173">
        <f>IF(AND(Input_Product=Elig!$C411,Elig_MatchAll_Ct&lt;22,$BC411=(Elig_MatchAll_Ct-1),AH411=0),E411,0)</f>
        <v>0</v>
      </c>
      <c r="BK411" s="173">
        <f>IF(AND(Input_Product=Elig!$C411,Elig_MatchAll_Ct&lt;22,$BC411=(Elig_MatchAll_Ct-1),AI411=0),F411,0)</f>
        <v>0</v>
      </c>
      <c r="BL411" s="173">
        <f>IF(AND(Input_Product=Elig!$C411,Elig_MatchAll_Ct&lt;22,$BC411=(Elig_MatchAll_Ct-1),AJ411=0),G411,0)</f>
        <v>0</v>
      </c>
      <c r="BM411" s="173">
        <f>IF(AND(Input_Product=Elig!$C411,Elig_MatchAll_Ct&lt;22,$BC411=(Elig_MatchAll_Ct-1),AK411=0),H411,0)</f>
        <v>0</v>
      </c>
      <c r="BN411" s="173">
        <f>IF(AND(Input_Product=Elig!$C411,Elig_MatchAll_Ct&lt;22,$BC411=(Elig_MatchAll_Ct-1),AL411=0),I411,0)</f>
        <v>0</v>
      </c>
      <c r="BO411" s="173">
        <f>IF(AND(Input_Product=Elig!$C411,Elig_MatchAll_Ct&lt;22,$BC411=(Elig_MatchAll_Ct-1),AM411=0),J411,0)</f>
        <v>0</v>
      </c>
      <c r="BP411" s="173">
        <f>IF(AND(Input_Product=Elig!$C411,Elig_MatchAll_Ct&lt;22,$BC411=(Elig_MatchAll_Ct-1),AN411=0),K411,0)</f>
        <v>0</v>
      </c>
      <c r="BQ411" s="173">
        <f>IF(AND(Input_Product=Elig!$C411,Elig_MatchAll_Ct&lt;22,$BC411=(Elig_MatchAll_Ct-1),AP411=0),L411,0)</f>
        <v>0</v>
      </c>
      <c r="BR411" s="173">
        <f>IF(AND(Input_Product=Elig!$C411,Elig_MatchAll_Ct&lt;22,$BC411=(Elig_MatchAll_Ct-1),AO411=0),M411,0)</f>
        <v>0</v>
      </c>
      <c r="BS411" s="173">
        <f>IF(AND(Input_Product=Elig!$C411,Elig_MatchAll_Ct&lt;22,$BC411=(Elig_MatchAll_Ct-1),AQ411=0),N411,0)</f>
        <v>0</v>
      </c>
      <c r="BT411" s="173">
        <f>IF(AND(Input_Product=Elig!$C411,Elig_MatchAll_Ct&lt;22,$BC411=(Elig_MatchAll_Ct-1),AR411=0),O411,0)</f>
        <v>0</v>
      </c>
      <c r="BU411" s="173">
        <f>IF(AND(Input_Product=Elig!$C411,Elig_MatchAll_Ct&lt;22,$BC411=(Elig_MatchAll_Ct-1),AS411=0),P411,0)</f>
        <v>0</v>
      </c>
      <c r="BV411" s="174">
        <f>IF(AND(Input_Product=Elig!$C411,Elig_MatchAll_Ct&lt;22,$BC411=(Elig_MatchAll_Ct-1),AT411=0),Q411,0)</f>
        <v>0</v>
      </c>
      <c r="BW411" s="175">
        <f>IF(AND(Input_Product=Elig!$C411,Elig_MatchAll_Ct&lt;22,$BC411=(Elig_MatchAll_Ct-1),AU411=0),R411,0)</f>
        <v>0</v>
      </c>
      <c r="BX411" s="176">
        <f>IF(AND(Input_Product=Elig!$C411,Elig_MatchAll_Ct&lt;22,$BC411=(Elig_MatchAll_Ct-1),AU411=0),S411,0)</f>
        <v>0</v>
      </c>
      <c r="BY411" s="175">
        <f>IF(AND(Input_Product=Elig!$C411,Elig_MatchAll_Ct&lt;22,$BC411=(Elig_MatchAll_Ct-1),AV411=0),T411,0)</f>
        <v>0</v>
      </c>
      <c r="BZ411" s="176">
        <f>IF(AND(Input_Product=Elig!$C411,Elig_MatchAll_Ct&lt;22,$BC411=(Elig_MatchAll_Ct-1),AV411=0),U411,0)</f>
        <v>0</v>
      </c>
      <c r="CA411" s="175">
        <f>IF(AND(Input_Product=Elig!$C411,Elig_MatchAll_Ct&lt;22,$BC411=(Elig_MatchAll_Ct-1),AW411=0),V411,0)</f>
        <v>0</v>
      </c>
      <c r="CB411" s="176">
        <f>IF(AND(Input_Product=Elig!$C411,Elig_MatchAll_Ct&lt;22,$BC411=(Elig_MatchAll_Ct-1),AW411=0),W411,0)</f>
        <v>0</v>
      </c>
      <c r="CC411" s="175">
        <f>IF(AND(Input_Product=Elig!$C411,Elig_MatchAll_Ct&lt;22,$BC411=(Elig_MatchAll_Ct-1),AX411=0),X411,0)</f>
        <v>0</v>
      </c>
      <c r="CD411" s="176">
        <f>IF(AND(Input_Product=Elig!$C411,Elig_MatchAll_Ct&lt;22,$BC411=(Elig_MatchAll_Ct-1),AX411=0),Y411,0)</f>
        <v>0</v>
      </c>
      <c r="CE411" s="175">
        <f>IF(AND(Input_LTV&lt;=AE411,Input_Product=Elig!$C411,Elig_MatchAll_Ct&lt;22,$BC411=(Elig_MatchAll_Ct-1),AY411=0),Z411,0)</f>
        <v>0</v>
      </c>
      <c r="CF411" s="176">
        <f>IF(AND(Input_LTV&lt;=AE411,Input_Product=Elig!$C411,Elig_MatchAll_Ct&lt;22,$BC411=(Elig_MatchAll_Ct-1),AY411=0),AA411,0)</f>
        <v>0</v>
      </c>
      <c r="CG411" s="175">
        <f>IF(AND(Input_Product=Elig!$C411,Elig_MatchAll_Ct&lt;22,$BC411=(Elig_MatchAll_Ct-1),AZ411=0),AB411,0)</f>
        <v>0</v>
      </c>
      <c r="CH411" s="176">
        <f>IF(AND(Input_Product=Elig!$C411,Elig_MatchAll_Ct&lt;22,$BC411=(Elig_MatchAll_Ct-1),AZ411=0),AC411,0)</f>
        <v>0</v>
      </c>
      <c r="CI411" s="175">
        <f>IF(AND(Input_Product=Elig!$C411,Elig_MatchAll_Ct&lt;22,$BC411=(Elig_MatchAll_Ct-1),BA411=0),AD411,0)</f>
        <v>0</v>
      </c>
      <c r="CJ411" s="176">
        <f>IF(AND(Input_Product=Elig!$C411,Elig_MatchAll_Ct&lt;22,$BC411=(Elig_MatchAll_Ct-1),BA411=0),AE411,0)</f>
        <v>0</v>
      </c>
    </row>
    <row r="412" spans="1:88" ht="10.15" customHeight="1" x14ac:dyDescent="0.25">
      <c r="A412" s="252" t="s">
        <v>76</v>
      </c>
      <c r="B412" s="252" t="s">
        <v>2081</v>
      </c>
      <c r="C412" s="246" t="str">
        <f t="shared" si="140"/>
        <v>NonQM NOO</v>
      </c>
      <c r="D412" s="247" t="s">
        <v>1995</v>
      </c>
      <c r="E412" s="248" t="s">
        <v>166</v>
      </c>
      <c r="F412" s="248" t="s">
        <v>329</v>
      </c>
      <c r="G412" s="248" t="s">
        <v>180</v>
      </c>
      <c r="H412" s="248" t="s">
        <v>135</v>
      </c>
      <c r="I412" s="247" t="s">
        <v>16</v>
      </c>
      <c r="J412" s="247" t="s">
        <v>1130</v>
      </c>
      <c r="K412" s="247" t="s">
        <v>1398</v>
      </c>
      <c r="L412" s="248" t="s">
        <v>311</v>
      </c>
      <c r="M412" s="248" t="s">
        <v>2289</v>
      </c>
      <c r="N412" s="248" t="s">
        <v>1844</v>
      </c>
      <c r="O412" s="248" t="s">
        <v>309</v>
      </c>
      <c r="P412" s="248" t="s">
        <v>2434</v>
      </c>
      <c r="Q412" s="248" t="s">
        <v>293</v>
      </c>
      <c r="R412" s="247">
        <v>1500000.01</v>
      </c>
      <c r="S412" s="247">
        <v>2000000</v>
      </c>
      <c r="T412" s="247">
        <v>0</v>
      </c>
      <c r="U412" s="247">
        <f t="shared" ref="U412:U415" si="155">S412</f>
        <v>2000000</v>
      </c>
      <c r="V412" s="247">
        <v>0</v>
      </c>
      <c r="W412" s="247">
        <v>50</v>
      </c>
      <c r="X412" s="276">
        <v>0.75</v>
      </c>
      <c r="Y412" s="247">
        <v>999</v>
      </c>
      <c r="Z412" s="249">
        <v>720</v>
      </c>
      <c r="AA412" s="249">
        <v>999</v>
      </c>
      <c r="AB412" s="1882">
        <v>0</v>
      </c>
      <c r="AC412" s="249">
        <v>999999</v>
      </c>
      <c r="AD412" s="247">
        <v>0</v>
      </c>
      <c r="AE412" s="250">
        <v>70</v>
      </c>
      <c r="AF412" s="144">
        <v>0</v>
      </c>
      <c r="AG412" s="145">
        <v>1</v>
      </c>
      <c r="AH412" s="145">
        <v>1</v>
      </c>
      <c r="AI412" s="145">
        <v>1</v>
      </c>
      <c r="AJ412" s="145">
        <v>1</v>
      </c>
      <c r="AK412" s="145">
        <v>1</v>
      </c>
      <c r="AL412" s="145">
        <v>0</v>
      </c>
      <c r="AM412" s="145">
        <v>1</v>
      </c>
      <c r="AN412" s="145">
        <v>1</v>
      </c>
      <c r="AO412" s="145">
        <v>1</v>
      </c>
      <c r="AP412" s="145">
        <v>1</v>
      </c>
      <c r="AQ412" s="145">
        <v>1</v>
      </c>
      <c r="AR412" s="145">
        <v>1</v>
      </c>
      <c r="AS412" s="145">
        <v>1</v>
      </c>
      <c r="AT412" s="145">
        <v>1</v>
      </c>
      <c r="AU412" s="145">
        <f t="shared" si="148"/>
        <v>0</v>
      </c>
      <c r="AV412" s="145">
        <f t="shared" si="149"/>
        <v>1</v>
      </c>
      <c r="AW412" s="145">
        <f t="shared" si="150"/>
        <v>1</v>
      </c>
      <c r="AX412" s="145">
        <f t="shared" si="133"/>
        <v>1</v>
      </c>
      <c r="AY412" s="145">
        <f t="shared" si="151"/>
        <v>1</v>
      </c>
      <c r="AZ412" s="145">
        <f t="shared" si="152"/>
        <v>1</v>
      </c>
      <c r="BA412" s="146">
        <f t="shared" si="153"/>
        <v>1</v>
      </c>
      <c r="BB412" s="149">
        <f t="shared" si="142"/>
        <v>19</v>
      </c>
      <c r="BC412" s="150">
        <f t="shared" si="143"/>
        <v>18</v>
      </c>
      <c r="BD412" s="150">
        <f t="shared" si="144"/>
        <v>19</v>
      </c>
      <c r="BE412" s="211" t="str">
        <f t="shared" si="145"/>
        <v/>
      </c>
      <c r="BH412" s="184">
        <f>IF(AND(Input_Product=Elig!$C412,Elig_MatchAll_Ct&lt;22,$BC412=(Elig_MatchAll_Ct-1),AF412=0),C412,0)</f>
        <v>0</v>
      </c>
      <c r="BI412" s="184">
        <f>IF(AND(Input_Product=Elig!$C412,Elig_MatchAll_Ct&lt;22,$BC412=(Elig_MatchAll_Ct-1),AG412=0),D412,0)</f>
        <v>0</v>
      </c>
      <c r="BJ412" s="184">
        <f>IF(AND(Input_Product=Elig!$C412,Elig_MatchAll_Ct&lt;22,$BC412=(Elig_MatchAll_Ct-1),AH412=0),E412,0)</f>
        <v>0</v>
      </c>
      <c r="BK412" s="184">
        <f>IF(AND(Input_Product=Elig!$C412,Elig_MatchAll_Ct&lt;22,$BC412=(Elig_MatchAll_Ct-1),AI412=0),F412,0)</f>
        <v>0</v>
      </c>
      <c r="BL412" s="184">
        <f>IF(AND(Input_Product=Elig!$C412,Elig_MatchAll_Ct&lt;22,$BC412=(Elig_MatchAll_Ct-1),AJ412=0),G412,0)</f>
        <v>0</v>
      </c>
      <c r="BM412" s="184">
        <f>IF(AND(Input_Product=Elig!$C412,Elig_MatchAll_Ct&lt;22,$BC412=(Elig_MatchAll_Ct-1),AK412=0),H412,0)</f>
        <v>0</v>
      </c>
      <c r="BN412" s="184">
        <f>IF(AND(Input_Product=Elig!$C412,Elig_MatchAll_Ct&lt;22,$BC412=(Elig_MatchAll_Ct-1),AL412=0),I412,0)</f>
        <v>0</v>
      </c>
      <c r="BO412" s="184">
        <f>IF(AND(Input_Product=Elig!$C412,Elig_MatchAll_Ct&lt;22,$BC412=(Elig_MatchAll_Ct-1),AM412=0),J412,0)</f>
        <v>0</v>
      </c>
      <c r="BP412" s="184">
        <f>IF(AND(Input_Product=Elig!$C412,Elig_MatchAll_Ct&lt;22,$BC412=(Elig_MatchAll_Ct-1),AN412=0),K412,0)</f>
        <v>0</v>
      </c>
      <c r="BQ412" s="184">
        <f>IF(AND(Input_Product=Elig!$C412,Elig_MatchAll_Ct&lt;22,$BC412=(Elig_MatchAll_Ct-1),AP412=0),L412,0)</f>
        <v>0</v>
      </c>
      <c r="BR412" s="184">
        <f>IF(AND(Input_Product=Elig!$C412,Elig_MatchAll_Ct&lt;22,$BC412=(Elig_MatchAll_Ct-1),AO412=0),M412,0)</f>
        <v>0</v>
      </c>
      <c r="BS412" s="184">
        <f>IF(AND(Input_Product=Elig!$C412,Elig_MatchAll_Ct&lt;22,$BC412=(Elig_MatchAll_Ct-1),AQ412=0),N412,0)</f>
        <v>0</v>
      </c>
      <c r="BT412" s="184">
        <f>IF(AND(Input_Product=Elig!$C412,Elig_MatchAll_Ct&lt;22,$BC412=(Elig_MatchAll_Ct-1),AR412=0),O412,0)</f>
        <v>0</v>
      </c>
      <c r="BU412" s="184">
        <f>IF(AND(Input_Product=Elig!$C412,Elig_MatchAll_Ct&lt;22,$BC412=(Elig_MatchAll_Ct-1),AS412=0),P412,0)</f>
        <v>0</v>
      </c>
      <c r="BV412" s="185">
        <f>IF(AND(Input_Product=Elig!$C412,Elig_MatchAll_Ct&lt;22,$BC412=(Elig_MatchAll_Ct-1),AT412=0),Q412,0)</f>
        <v>0</v>
      </c>
      <c r="BW412" s="186">
        <f>IF(AND(Input_Product=Elig!$C412,Elig_MatchAll_Ct&lt;22,$BC412=(Elig_MatchAll_Ct-1),AU412=0),R412,0)</f>
        <v>0</v>
      </c>
      <c r="BX412" s="187">
        <f>IF(AND(Input_Product=Elig!$C412,Elig_MatchAll_Ct&lt;22,$BC412=(Elig_MatchAll_Ct-1),AU412=0),S412,0)</f>
        <v>0</v>
      </c>
      <c r="BY412" s="186">
        <f>IF(AND(Input_Product=Elig!$C412,Elig_MatchAll_Ct&lt;22,$BC412=(Elig_MatchAll_Ct-1),AV412=0),T412,0)</f>
        <v>0</v>
      </c>
      <c r="BZ412" s="187">
        <f>IF(AND(Input_Product=Elig!$C412,Elig_MatchAll_Ct&lt;22,$BC412=(Elig_MatchAll_Ct-1),AV412=0),U412,0)</f>
        <v>0</v>
      </c>
      <c r="CA412" s="186">
        <f>IF(AND(Input_Product=Elig!$C412,Elig_MatchAll_Ct&lt;22,$BC412=(Elig_MatchAll_Ct-1),AW412=0),V412,0)</f>
        <v>0</v>
      </c>
      <c r="CB412" s="187">
        <f>IF(AND(Input_Product=Elig!$C412,Elig_MatchAll_Ct&lt;22,$BC412=(Elig_MatchAll_Ct-1),AW412=0),W412,0)</f>
        <v>0</v>
      </c>
      <c r="CC412" s="186">
        <f>IF(AND(Input_Product=Elig!$C412,Elig_MatchAll_Ct&lt;22,$BC412=(Elig_MatchAll_Ct-1),AX412=0),X412,0)</f>
        <v>0</v>
      </c>
      <c r="CD412" s="187">
        <f>IF(AND(Input_Product=Elig!$C412,Elig_MatchAll_Ct&lt;22,$BC412=(Elig_MatchAll_Ct-1),AX412=0),Y412,0)</f>
        <v>0</v>
      </c>
      <c r="CE412" s="186">
        <f>IF(AND(Input_LTV&lt;=AE412,Input_Product=Elig!$C412,Elig_MatchAll_Ct&lt;22,$BC412=(Elig_MatchAll_Ct-1),AY412=0),Z412,0)</f>
        <v>0</v>
      </c>
      <c r="CF412" s="187">
        <f>IF(AND(Input_LTV&lt;=AE412,Input_Product=Elig!$C412,Elig_MatchAll_Ct&lt;22,$BC412=(Elig_MatchAll_Ct-1),AY412=0),AA412,0)</f>
        <v>0</v>
      </c>
      <c r="CG412" s="186">
        <f>IF(AND(Input_Product=Elig!$C412,Elig_MatchAll_Ct&lt;22,$BC412=(Elig_MatchAll_Ct-1),AZ412=0),AB412,0)</f>
        <v>0</v>
      </c>
      <c r="CH412" s="187">
        <f>IF(AND(Input_Product=Elig!$C412,Elig_MatchAll_Ct&lt;22,$BC412=(Elig_MatchAll_Ct-1),AZ412=0),AC412,0)</f>
        <v>0</v>
      </c>
      <c r="CI412" s="186">
        <f>IF(AND(Input_Product=Elig!$C412,Elig_MatchAll_Ct&lt;22,$BC412=(Elig_MatchAll_Ct-1),BA412=0),AD412,0)</f>
        <v>0</v>
      </c>
      <c r="CJ412" s="187">
        <f>IF(AND(Input_Product=Elig!$C412,Elig_MatchAll_Ct&lt;22,$BC412=(Elig_MatchAll_Ct-1),BA412=0),AE412,0)</f>
        <v>0</v>
      </c>
    </row>
    <row r="413" spans="1:88" ht="10.15" customHeight="1" x14ac:dyDescent="0.25">
      <c r="A413" s="252" t="s">
        <v>76</v>
      </c>
      <c r="B413" s="252" t="s">
        <v>2082</v>
      </c>
      <c r="C413" s="251" t="str">
        <f t="shared" si="140"/>
        <v>NonQM NOO</v>
      </c>
      <c r="D413" s="252" t="s">
        <v>1995</v>
      </c>
      <c r="E413" s="252" t="s">
        <v>166</v>
      </c>
      <c r="F413" s="252" t="s">
        <v>329</v>
      </c>
      <c r="G413" s="252" t="s">
        <v>180</v>
      </c>
      <c r="H413" s="252" t="s">
        <v>135</v>
      </c>
      <c r="I413" s="253" t="s">
        <v>16</v>
      </c>
      <c r="J413" s="253" t="s">
        <v>1130</v>
      </c>
      <c r="K413" s="253" t="s">
        <v>1398</v>
      </c>
      <c r="L413" s="252" t="s">
        <v>311</v>
      </c>
      <c r="M413" s="252" t="s">
        <v>2289</v>
      </c>
      <c r="N413" s="252" t="s">
        <v>1844</v>
      </c>
      <c r="O413" s="252" t="s">
        <v>309</v>
      </c>
      <c r="P413" s="252" t="s">
        <v>2434</v>
      </c>
      <c r="Q413" s="252" t="s">
        <v>293</v>
      </c>
      <c r="R413" s="252">
        <v>1500000.01</v>
      </c>
      <c r="S413" s="252">
        <v>2000000</v>
      </c>
      <c r="T413" s="252">
        <v>0</v>
      </c>
      <c r="U413" s="252">
        <f t="shared" si="155"/>
        <v>2000000</v>
      </c>
      <c r="V413" s="252">
        <v>0</v>
      </c>
      <c r="W413" s="252">
        <v>50</v>
      </c>
      <c r="X413" s="261">
        <v>0.75</v>
      </c>
      <c r="Y413" s="252">
        <v>999</v>
      </c>
      <c r="Z413" s="254">
        <v>700</v>
      </c>
      <c r="AA413" s="254">
        <v>719</v>
      </c>
      <c r="AB413" s="1883">
        <v>0</v>
      </c>
      <c r="AC413" s="254">
        <v>999999</v>
      </c>
      <c r="AD413" s="252">
        <v>0</v>
      </c>
      <c r="AE413" s="255">
        <v>70</v>
      </c>
      <c r="AF413" s="144">
        <v>0</v>
      </c>
      <c r="AG413" s="145">
        <v>1</v>
      </c>
      <c r="AH413" s="145">
        <v>1</v>
      </c>
      <c r="AI413" s="145">
        <v>1</v>
      </c>
      <c r="AJ413" s="145">
        <v>1</v>
      </c>
      <c r="AK413" s="145">
        <v>1</v>
      </c>
      <c r="AL413" s="145">
        <v>0</v>
      </c>
      <c r="AM413" s="145">
        <v>1</v>
      </c>
      <c r="AN413" s="145">
        <v>1</v>
      </c>
      <c r="AO413" s="145">
        <v>1</v>
      </c>
      <c r="AP413" s="145">
        <v>1</v>
      </c>
      <c r="AQ413" s="145">
        <v>1</v>
      </c>
      <c r="AR413" s="145">
        <v>1</v>
      </c>
      <c r="AS413" s="145">
        <v>1</v>
      </c>
      <c r="AT413" s="145">
        <v>1</v>
      </c>
      <c r="AU413" s="145">
        <f t="shared" si="148"/>
        <v>0</v>
      </c>
      <c r="AV413" s="145">
        <f t="shared" si="149"/>
        <v>1</v>
      </c>
      <c r="AW413" s="145">
        <f t="shared" si="150"/>
        <v>1</v>
      </c>
      <c r="AX413" s="145">
        <f t="shared" si="133"/>
        <v>1</v>
      </c>
      <c r="AY413" s="145">
        <f t="shared" si="151"/>
        <v>0</v>
      </c>
      <c r="AZ413" s="145">
        <f t="shared" si="152"/>
        <v>1</v>
      </c>
      <c r="BA413" s="146">
        <f t="shared" si="153"/>
        <v>1</v>
      </c>
      <c r="BB413" s="149">
        <f t="shared" si="142"/>
        <v>18</v>
      </c>
      <c r="BC413" s="150">
        <f t="shared" si="143"/>
        <v>17</v>
      </c>
      <c r="BD413" s="150">
        <f t="shared" si="144"/>
        <v>18</v>
      </c>
      <c r="BE413" s="211" t="str">
        <f t="shared" si="145"/>
        <v/>
      </c>
      <c r="BH413" s="173">
        <f>IF(AND(Input_Product=Elig!$C413,Elig_MatchAll_Ct&lt;22,$BC413=(Elig_MatchAll_Ct-1),AF413=0),C413,0)</f>
        <v>0</v>
      </c>
      <c r="BI413" s="173">
        <f>IF(AND(Input_Product=Elig!$C413,Elig_MatchAll_Ct&lt;22,$BC413=(Elig_MatchAll_Ct-1),AG413=0),D413,0)</f>
        <v>0</v>
      </c>
      <c r="BJ413" s="173">
        <f>IF(AND(Input_Product=Elig!$C413,Elig_MatchAll_Ct&lt;22,$BC413=(Elig_MatchAll_Ct-1),AH413=0),E413,0)</f>
        <v>0</v>
      </c>
      <c r="BK413" s="173">
        <f>IF(AND(Input_Product=Elig!$C413,Elig_MatchAll_Ct&lt;22,$BC413=(Elig_MatchAll_Ct-1),AI413=0),F413,0)</f>
        <v>0</v>
      </c>
      <c r="BL413" s="173">
        <f>IF(AND(Input_Product=Elig!$C413,Elig_MatchAll_Ct&lt;22,$BC413=(Elig_MatchAll_Ct-1),AJ413=0),G413,0)</f>
        <v>0</v>
      </c>
      <c r="BM413" s="173">
        <f>IF(AND(Input_Product=Elig!$C413,Elig_MatchAll_Ct&lt;22,$BC413=(Elig_MatchAll_Ct-1),AK413=0),H413,0)</f>
        <v>0</v>
      </c>
      <c r="BN413" s="173">
        <f>IF(AND(Input_Product=Elig!$C413,Elig_MatchAll_Ct&lt;22,$BC413=(Elig_MatchAll_Ct-1),AL413=0),I413,0)</f>
        <v>0</v>
      </c>
      <c r="BO413" s="173">
        <f>IF(AND(Input_Product=Elig!$C413,Elig_MatchAll_Ct&lt;22,$BC413=(Elig_MatchAll_Ct-1),AM413=0),J413,0)</f>
        <v>0</v>
      </c>
      <c r="BP413" s="173">
        <f>IF(AND(Input_Product=Elig!$C413,Elig_MatchAll_Ct&lt;22,$BC413=(Elig_MatchAll_Ct-1),AN413=0),K413,0)</f>
        <v>0</v>
      </c>
      <c r="BQ413" s="173">
        <f>IF(AND(Input_Product=Elig!$C413,Elig_MatchAll_Ct&lt;22,$BC413=(Elig_MatchAll_Ct-1),AP413=0),L413,0)</f>
        <v>0</v>
      </c>
      <c r="BR413" s="173">
        <f>IF(AND(Input_Product=Elig!$C413,Elig_MatchAll_Ct&lt;22,$BC413=(Elig_MatchAll_Ct-1),AO413=0),M413,0)</f>
        <v>0</v>
      </c>
      <c r="BS413" s="173">
        <f>IF(AND(Input_Product=Elig!$C413,Elig_MatchAll_Ct&lt;22,$BC413=(Elig_MatchAll_Ct-1),AQ413=0),N413,0)</f>
        <v>0</v>
      </c>
      <c r="BT413" s="173">
        <f>IF(AND(Input_Product=Elig!$C413,Elig_MatchAll_Ct&lt;22,$BC413=(Elig_MatchAll_Ct-1),AR413=0),O413,0)</f>
        <v>0</v>
      </c>
      <c r="BU413" s="173">
        <f>IF(AND(Input_Product=Elig!$C413,Elig_MatchAll_Ct&lt;22,$BC413=(Elig_MatchAll_Ct-1),AS413=0),P413,0)</f>
        <v>0</v>
      </c>
      <c r="BV413" s="174">
        <f>IF(AND(Input_Product=Elig!$C413,Elig_MatchAll_Ct&lt;22,$BC413=(Elig_MatchAll_Ct-1),AT413=0),Q413,0)</f>
        <v>0</v>
      </c>
      <c r="BW413" s="175">
        <f>IF(AND(Input_Product=Elig!$C413,Elig_MatchAll_Ct&lt;22,$BC413=(Elig_MatchAll_Ct-1),AU413=0),R413,0)</f>
        <v>0</v>
      </c>
      <c r="BX413" s="176">
        <f>IF(AND(Input_Product=Elig!$C413,Elig_MatchAll_Ct&lt;22,$BC413=(Elig_MatchAll_Ct-1),AU413=0),S413,0)</f>
        <v>0</v>
      </c>
      <c r="BY413" s="175">
        <f>IF(AND(Input_Product=Elig!$C413,Elig_MatchAll_Ct&lt;22,$BC413=(Elig_MatchAll_Ct-1),AV413=0),T413,0)</f>
        <v>0</v>
      </c>
      <c r="BZ413" s="176">
        <f>IF(AND(Input_Product=Elig!$C413,Elig_MatchAll_Ct&lt;22,$BC413=(Elig_MatchAll_Ct-1),AV413=0),U413,0)</f>
        <v>0</v>
      </c>
      <c r="CA413" s="175">
        <f>IF(AND(Input_Product=Elig!$C413,Elig_MatchAll_Ct&lt;22,$BC413=(Elig_MatchAll_Ct-1),AW413=0),V413,0)</f>
        <v>0</v>
      </c>
      <c r="CB413" s="176">
        <f>IF(AND(Input_Product=Elig!$C413,Elig_MatchAll_Ct&lt;22,$BC413=(Elig_MatchAll_Ct-1),AW413=0),W413,0)</f>
        <v>0</v>
      </c>
      <c r="CC413" s="175">
        <f>IF(AND(Input_Product=Elig!$C413,Elig_MatchAll_Ct&lt;22,$BC413=(Elig_MatchAll_Ct-1),AX413=0),X413,0)</f>
        <v>0</v>
      </c>
      <c r="CD413" s="176">
        <f>IF(AND(Input_Product=Elig!$C413,Elig_MatchAll_Ct&lt;22,$BC413=(Elig_MatchAll_Ct-1),AX413=0),Y413,0)</f>
        <v>0</v>
      </c>
      <c r="CE413" s="175">
        <f>IF(AND(Input_LTV&lt;=AE413,Input_Product=Elig!$C413,Elig_MatchAll_Ct&lt;22,$BC413=(Elig_MatchAll_Ct-1),AY413=0),Z413,0)</f>
        <v>0</v>
      </c>
      <c r="CF413" s="176">
        <f>IF(AND(Input_LTV&lt;=AE413,Input_Product=Elig!$C413,Elig_MatchAll_Ct&lt;22,$BC413=(Elig_MatchAll_Ct-1),AY413=0),AA413,0)</f>
        <v>0</v>
      </c>
      <c r="CG413" s="175">
        <f>IF(AND(Input_Product=Elig!$C413,Elig_MatchAll_Ct&lt;22,$BC413=(Elig_MatchAll_Ct-1),AZ413=0),AB413,0)</f>
        <v>0</v>
      </c>
      <c r="CH413" s="176">
        <f>IF(AND(Input_Product=Elig!$C413,Elig_MatchAll_Ct&lt;22,$BC413=(Elig_MatchAll_Ct-1),AZ413=0),AC413,0)</f>
        <v>0</v>
      </c>
      <c r="CI413" s="175">
        <f>IF(AND(Input_Product=Elig!$C413,Elig_MatchAll_Ct&lt;22,$BC413=(Elig_MatchAll_Ct-1),BA413=0),AD413,0)</f>
        <v>0</v>
      </c>
      <c r="CJ413" s="176">
        <f>IF(AND(Input_Product=Elig!$C413,Elig_MatchAll_Ct&lt;22,$BC413=(Elig_MatchAll_Ct-1),BA413=0),AE413,0)</f>
        <v>0</v>
      </c>
    </row>
    <row r="414" spans="1:88" ht="10.15" customHeight="1" x14ac:dyDescent="0.25">
      <c r="A414" s="252" t="s">
        <v>76</v>
      </c>
      <c r="B414" s="252" t="s">
        <v>2083</v>
      </c>
      <c r="C414" s="251" t="str">
        <f t="shared" si="140"/>
        <v>NonQM NOO</v>
      </c>
      <c r="D414" s="252" t="s">
        <v>1995</v>
      </c>
      <c r="E414" s="252" t="s">
        <v>166</v>
      </c>
      <c r="F414" s="252" t="s">
        <v>329</v>
      </c>
      <c r="G414" s="252" t="s">
        <v>180</v>
      </c>
      <c r="H414" s="252" t="s">
        <v>135</v>
      </c>
      <c r="I414" s="253" t="s">
        <v>16</v>
      </c>
      <c r="J414" s="253" t="s">
        <v>1130</v>
      </c>
      <c r="K414" s="253" t="s">
        <v>1398</v>
      </c>
      <c r="L414" s="252" t="s">
        <v>311</v>
      </c>
      <c r="M414" s="252" t="s">
        <v>2289</v>
      </c>
      <c r="N414" s="252" t="s">
        <v>1844</v>
      </c>
      <c r="O414" s="252" t="s">
        <v>309</v>
      </c>
      <c r="P414" s="252" t="s">
        <v>2434</v>
      </c>
      <c r="Q414" s="252" t="s">
        <v>293</v>
      </c>
      <c r="R414" s="252">
        <v>1500000.01</v>
      </c>
      <c r="S414" s="252">
        <v>2000000</v>
      </c>
      <c r="T414" s="252">
        <v>0</v>
      </c>
      <c r="U414" s="252">
        <f t="shared" si="155"/>
        <v>2000000</v>
      </c>
      <c r="V414" s="252">
        <v>0</v>
      </c>
      <c r="W414" s="252">
        <v>50</v>
      </c>
      <c r="X414" s="261">
        <v>0.75</v>
      </c>
      <c r="Y414" s="252">
        <v>999</v>
      </c>
      <c r="Z414" s="254">
        <v>680</v>
      </c>
      <c r="AA414" s="254">
        <v>699</v>
      </c>
      <c r="AB414" s="1883">
        <v>0</v>
      </c>
      <c r="AC414" s="254">
        <v>999999</v>
      </c>
      <c r="AD414" s="252">
        <v>0</v>
      </c>
      <c r="AE414" s="255">
        <v>65</v>
      </c>
      <c r="AF414" s="144">
        <v>0</v>
      </c>
      <c r="AG414" s="145">
        <v>1</v>
      </c>
      <c r="AH414" s="145">
        <v>1</v>
      </c>
      <c r="AI414" s="145">
        <v>1</v>
      </c>
      <c r="AJ414" s="145">
        <v>1</v>
      </c>
      <c r="AK414" s="145">
        <v>1</v>
      </c>
      <c r="AL414" s="145">
        <v>0</v>
      </c>
      <c r="AM414" s="145">
        <v>1</v>
      </c>
      <c r="AN414" s="145">
        <v>1</v>
      </c>
      <c r="AO414" s="145">
        <v>1</v>
      </c>
      <c r="AP414" s="145">
        <v>1</v>
      </c>
      <c r="AQ414" s="145">
        <v>1</v>
      </c>
      <c r="AR414" s="145">
        <v>1</v>
      </c>
      <c r="AS414" s="145">
        <v>1</v>
      </c>
      <c r="AT414" s="145">
        <v>1</v>
      </c>
      <c r="AU414" s="145">
        <f t="shared" si="148"/>
        <v>0</v>
      </c>
      <c r="AV414" s="145">
        <f t="shared" si="149"/>
        <v>1</v>
      </c>
      <c r="AW414" s="145">
        <f t="shared" si="150"/>
        <v>1</v>
      </c>
      <c r="AX414" s="145">
        <f t="shared" si="133"/>
        <v>1</v>
      </c>
      <c r="AY414" s="145">
        <f t="shared" si="151"/>
        <v>0</v>
      </c>
      <c r="AZ414" s="145">
        <f t="shared" si="152"/>
        <v>1</v>
      </c>
      <c r="BA414" s="146">
        <f t="shared" si="153"/>
        <v>0</v>
      </c>
      <c r="BB414" s="149">
        <f t="shared" si="142"/>
        <v>17</v>
      </c>
      <c r="BC414" s="150">
        <f t="shared" si="143"/>
        <v>17</v>
      </c>
      <c r="BD414" s="150">
        <f t="shared" si="144"/>
        <v>17</v>
      </c>
      <c r="BE414" s="211" t="str">
        <f t="shared" si="145"/>
        <v/>
      </c>
      <c r="BH414" s="173">
        <f>IF(AND(Input_Product=Elig!$C414,Elig_MatchAll_Ct&lt;22,$BC414=(Elig_MatchAll_Ct-1),AF414=0),C414,0)</f>
        <v>0</v>
      </c>
      <c r="BI414" s="173">
        <f>IF(AND(Input_Product=Elig!$C414,Elig_MatchAll_Ct&lt;22,$BC414=(Elig_MatchAll_Ct-1),AG414=0),D414,0)</f>
        <v>0</v>
      </c>
      <c r="BJ414" s="173">
        <f>IF(AND(Input_Product=Elig!$C414,Elig_MatchAll_Ct&lt;22,$BC414=(Elig_MatchAll_Ct-1),AH414=0),E414,0)</f>
        <v>0</v>
      </c>
      <c r="BK414" s="173">
        <f>IF(AND(Input_Product=Elig!$C414,Elig_MatchAll_Ct&lt;22,$BC414=(Elig_MatchAll_Ct-1),AI414=0),F414,0)</f>
        <v>0</v>
      </c>
      <c r="BL414" s="173">
        <f>IF(AND(Input_Product=Elig!$C414,Elig_MatchAll_Ct&lt;22,$BC414=(Elig_MatchAll_Ct-1),AJ414=0),G414,0)</f>
        <v>0</v>
      </c>
      <c r="BM414" s="173">
        <f>IF(AND(Input_Product=Elig!$C414,Elig_MatchAll_Ct&lt;22,$BC414=(Elig_MatchAll_Ct-1),AK414=0),H414,0)</f>
        <v>0</v>
      </c>
      <c r="BN414" s="173">
        <f>IF(AND(Input_Product=Elig!$C414,Elig_MatchAll_Ct&lt;22,$BC414=(Elig_MatchAll_Ct-1),AL414=0),I414,0)</f>
        <v>0</v>
      </c>
      <c r="BO414" s="173">
        <f>IF(AND(Input_Product=Elig!$C414,Elig_MatchAll_Ct&lt;22,$BC414=(Elig_MatchAll_Ct-1),AM414=0),J414,0)</f>
        <v>0</v>
      </c>
      <c r="BP414" s="173">
        <f>IF(AND(Input_Product=Elig!$C414,Elig_MatchAll_Ct&lt;22,$BC414=(Elig_MatchAll_Ct-1),AN414=0),K414,0)</f>
        <v>0</v>
      </c>
      <c r="BQ414" s="173">
        <f>IF(AND(Input_Product=Elig!$C414,Elig_MatchAll_Ct&lt;22,$BC414=(Elig_MatchAll_Ct-1),AP414=0),L414,0)</f>
        <v>0</v>
      </c>
      <c r="BR414" s="173">
        <f>IF(AND(Input_Product=Elig!$C414,Elig_MatchAll_Ct&lt;22,$BC414=(Elig_MatchAll_Ct-1),AO414=0),M414,0)</f>
        <v>0</v>
      </c>
      <c r="BS414" s="173">
        <f>IF(AND(Input_Product=Elig!$C414,Elig_MatchAll_Ct&lt;22,$BC414=(Elig_MatchAll_Ct-1),AQ414=0),N414,0)</f>
        <v>0</v>
      </c>
      <c r="BT414" s="173">
        <f>IF(AND(Input_Product=Elig!$C414,Elig_MatchAll_Ct&lt;22,$BC414=(Elig_MatchAll_Ct-1),AR414=0),O414,0)</f>
        <v>0</v>
      </c>
      <c r="BU414" s="173">
        <f>IF(AND(Input_Product=Elig!$C414,Elig_MatchAll_Ct&lt;22,$BC414=(Elig_MatchAll_Ct-1),AS414=0),P414,0)</f>
        <v>0</v>
      </c>
      <c r="BV414" s="174">
        <f>IF(AND(Input_Product=Elig!$C414,Elig_MatchAll_Ct&lt;22,$BC414=(Elig_MatchAll_Ct-1),AT414=0),Q414,0)</f>
        <v>0</v>
      </c>
      <c r="BW414" s="175">
        <f>IF(AND(Input_Product=Elig!$C414,Elig_MatchAll_Ct&lt;22,$BC414=(Elig_MatchAll_Ct-1),AU414=0),R414,0)</f>
        <v>0</v>
      </c>
      <c r="BX414" s="176">
        <f>IF(AND(Input_Product=Elig!$C414,Elig_MatchAll_Ct&lt;22,$BC414=(Elig_MatchAll_Ct-1),AU414=0),S414,0)</f>
        <v>0</v>
      </c>
      <c r="BY414" s="175">
        <f>IF(AND(Input_Product=Elig!$C414,Elig_MatchAll_Ct&lt;22,$BC414=(Elig_MatchAll_Ct-1),AV414=0),T414,0)</f>
        <v>0</v>
      </c>
      <c r="BZ414" s="176">
        <f>IF(AND(Input_Product=Elig!$C414,Elig_MatchAll_Ct&lt;22,$BC414=(Elig_MatchAll_Ct-1),AV414=0),U414,0)</f>
        <v>0</v>
      </c>
      <c r="CA414" s="175">
        <f>IF(AND(Input_Product=Elig!$C414,Elig_MatchAll_Ct&lt;22,$BC414=(Elig_MatchAll_Ct-1),AW414=0),V414,0)</f>
        <v>0</v>
      </c>
      <c r="CB414" s="176">
        <f>IF(AND(Input_Product=Elig!$C414,Elig_MatchAll_Ct&lt;22,$BC414=(Elig_MatchAll_Ct-1),AW414=0),W414,0)</f>
        <v>0</v>
      </c>
      <c r="CC414" s="175">
        <f>IF(AND(Input_Product=Elig!$C414,Elig_MatchAll_Ct&lt;22,$BC414=(Elig_MatchAll_Ct-1),AX414=0),X414,0)</f>
        <v>0</v>
      </c>
      <c r="CD414" s="176">
        <f>IF(AND(Input_Product=Elig!$C414,Elig_MatchAll_Ct&lt;22,$BC414=(Elig_MatchAll_Ct-1),AX414=0),Y414,0)</f>
        <v>0</v>
      </c>
      <c r="CE414" s="175">
        <f>IF(AND(Input_LTV&lt;=AE414,Input_Product=Elig!$C414,Elig_MatchAll_Ct&lt;22,$BC414=(Elig_MatchAll_Ct-1),AY414=0),Z414,0)</f>
        <v>0</v>
      </c>
      <c r="CF414" s="176">
        <f>IF(AND(Input_LTV&lt;=AE414,Input_Product=Elig!$C414,Elig_MatchAll_Ct&lt;22,$BC414=(Elig_MatchAll_Ct-1),AY414=0),AA414,0)</f>
        <v>0</v>
      </c>
      <c r="CG414" s="175">
        <f>IF(AND(Input_Product=Elig!$C414,Elig_MatchAll_Ct&lt;22,$BC414=(Elig_MatchAll_Ct-1),AZ414=0),AB414,0)</f>
        <v>0</v>
      </c>
      <c r="CH414" s="176">
        <f>IF(AND(Input_Product=Elig!$C414,Elig_MatchAll_Ct&lt;22,$BC414=(Elig_MatchAll_Ct-1),AZ414=0),AC414,0)</f>
        <v>0</v>
      </c>
      <c r="CI414" s="175">
        <f>IF(AND(Input_Product=Elig!$C414,Elig_MatchAll_Ct&lt;22,$BC414=(Elig_MatchAll_Ct-1),BA414=0),AD414,0)</f>
        <v>0</v>
      </c>
      <c r="CJ414" s="176">
        <f>IF(AND(Input_Product=Elig!$C414,Elig_MatchAll_Ct&lt;22,$BC414=(Elig_MatchAll_Ct-1),BA414=0),AE414,0)</f>
        <v>0</v>
      </c>
    </row>
    <row r="415" spans="1:88" ht="10.15" customHeight="1" x14ac:dyDescent="0.25">
      <c r="A415" s="252" t="s">
        <v>76</v>
      </c>
      <c r="B415" s="252" t="s">
        <v>2084</v>
      </c>
      <c r="C415" s="251" t="str">
        <f t="shared" si="140"/>
        <v>NonQM NOO</v>
      </c>
      <c r="D415" s="252" t="s">
        <v>1995</v>
      </c>
      <c r="E415" s="252" t="s">
        <v>166</v>
      </c>
      <c r="F415" s="252" t="s">
        <v>329</v>
      </c>
      <c r="G415" s="252" t="s">
        <v>180</v>
      </c>
      <c r="H415" s="252" t="s">
        <v>135</v>
      </c>
      <c r="I415" s="252" t="s">
        <v>16</v>
      </c>
      <c r="J415" s="252" t="s">
        <v>1130</v>
      </c>
      <c r="K415" s="252" t="s">
        <v>1398</v>
      </c>
      <c r="L415" s="252" t="s">
        <v>311</v>
      </c>
      <c r="M415" s="252" t="s">
        <v>2289</v>
      </c>
      <c r="N415" s="252" t="s">
        <v>1844</v>
      </c>
      <c r="O415" s="252" t="s">
        <v>309</v>
      </c>
      <c r="P415" s="252" t="s">
        <v>2434</v>
      </c>
      <c r="Q415" s="252" t="s">
        <v>293</v>
      </c>
      <c r="R415" s="252">
        <v>1500000.01</v>
      </c>
      <c r="S415" s="252">
        <v>2000000</v>
      </c>
      <c r="T415" s="252">
        <v>0</v>
      </c>
      <c r="U415" s="252">
        <f t="shared" si="155"/>
        <v>2000000</v>
      </c>
      <c r="V415" s="252">
        <v>0</v>
      </c>
      <c r="W415" s="252">
        <v>50</v>
      </c>
      <c r="X415" s="252">
        <v>1</v>
      </c>
      <c r="Y415" s="252">
        <v>999</v>
      </c>
      <c r="Z415" s="254">
        <v>660</v>
      </c>
      <c r="AA415" s="254">
        <v>679</v>
      </c>
      <c r="AB415" s="1883">
        <v>0</v>
      </c>
      <c r="AC415" s="254">
        <v>999999</v>
      </c>
      <c r="AD415" s="252">
        <v>0</v>
      </c>
      <c r="AE415" s="255">
        <v>65</v>
      </c>
      <c r="AF415" s="144">
        <v>0</v>
      </c>
      <c r="AG415" s="145">
        <v>1</v>
      </c>
      <c r="AH415" s="145">
        <v>1</v>
      </c>
      <c r="AI415" s="145">
        <v>1</v>
      </c>
      <c r="AJ415" s="145">
        <v>1</v>
      </c>
      <c r="AK415" s="145">
        <v>1</v>
      </c>
      <c r="AL415" s="145">
        <v>0</v>
      </c>
      <c r="AM415" s="145">
        <v>1</v>
      </c>
      <c r="AN415" s="145">
        <v>1</v>
      </c>
      <c r="AO415" s="145">
        <v>1</v>
      </c>
      <c r="AP415" s="145">
        <v>1</v>
      </c>
      <c r="AQ415" s="145">
        <v>1</v>
      </c>
      <c r="AR415" s="145">
        <v>1</v>
      </c>
      <c r="AS415" s="145">
        <v>1</v>
      </c>
      <c r="AT415" s="145">
        <v>1</v>
      </c>
      <c r="AU415" s="145">
        <f t="shared" si="148"/>
        <v>0</v>
      </c>
      <c r="AV415" s="145">
        <f t="shared" si="149"/>
        <v>1</v>
      </c>
      <c r="AW415" s="145">
        <f t="shared" si="150"/>
        <v>1</v>
      </c>
      <c r="AX415" s="145">
        <f t="shared" si="133"/>
        <v>1</v>
      </c>
      <c r="AY415" s="145">
        <f t="shared" si="151"/>
        <v>0</v>
      </c>
      <c r="AZ415" s="145">
        <f t="shared" si="152"/>
        <v>1</v>
      </c>
      <c r="BA415" s="146">
        <f t="shared" si="153"/>
        <v>0</v>
      </c>
      <c r="BB415" s="149">
        <f t="shared" si="142"/>
        <v>17</v>
      </c>
      <c r="BC415" s="150">
        <f t="shared" si="143"/>
        <v>17</v>
      </c>
      <c r="BD415" s="150">
        <f t="shared" si="144"/>
        <v>17</v>
      </c>
      <c r="BE415" s="211" t="str">
        <f t="shared" si="145"/>
        <v/>
      </c>
      <c r="BH415" s="173">
        <f>IF(AND(Input_Product=Elig!$C415,Elig_MatchAll_Ct&lt;22,$BC415=(Elig_MatchAll_Ct-1),AF415=0),C415,0)</f>
        <v>0</v>
      </c>
      <c r="BI415" s="173">
        <f>IF(AND(Input_Product=Elig!$C415,Elig_MatchAll_Ct&lt;22,$BC415=(Elig_MatchAll_Ct-1),AG415=0),D415,0)</f>
        <v>0</v>
      </c>
      <c r="BJ415" s="173">
        <f>IF(AND(Input_Product=Elig!$C415,Elig_MatchAll_Ct&lt;22,$BC415=(Elig_MatchAll_Ct-1),AH415=0),E415,0)</f>
        <v>0</v>
      </c>
      <c r="BK415" s="173">
        <f>IF(AND(Input_Product=Elig!$C415,Elig_MatchAll_Ct&lt;22,$BC415=(Elig_MatchAll_Ct-1),AI415=0),F415,0)</f>
        <v>0</v>
      </c>
      <c r="BL415" s="173">
        <f>IF(AND(Input_Product=Elig!$C415,Elig_MatchAll_Ct&lt;22,$BC415=(Elig_MatchAll_Ct-1),AJ415=0),G415,0)</f>
        <v>0</v>
      </c>
      <c r="BM415" s="173">
        <f>IF(AND(Input_Product=Elig!$C415,Elig_MatchAll_Ct&lt;22,$BC415=(Elig_MatchAll_Ct-1),AK415=0),H415,0)</f>
        <v>0</v>
      </c>
      <c r="BN415" s="173">
        <f>IF(AND(Input_Product=Elig!$C415,Elig_MatchAll_Ct&lt;22,$BC415=(Elig_MatchAll_Ct-1),AL415=0),I415,0)</f>
        <v>0</v>
      </c>
      <c r="BO415" s="173">
        <f>IF(AND(Input_Product=Elig!$C415,Elig_MatchAll_Ct&lt;22,$BC415=(Elig_MatchAll_Ct-1),AM415=0),J415,0)</f>
        <v>0</v>
      </c>
      <c r="BP415" s="173">
        <f>IF(AND(Input_Product=Elig!$C415,Elig_MatchAll_Ct&lt;22,$BC415=(Elig_MatchAll_Ct-1),AN415=0),K415,0)</f>
        <v>0</v>
      </c>
      <c r="BQ415" s="173">
        <f>IF(AND(Input_Product=Elig!$C415,Elig_MatchAll_Ct&lt;22,$BC415=(Elig_MatchAll_Ct-1),AP415=0),L415,0)</f>
        <v>0</v>
      </c>
      <c r="BR415" s="173">
        <f>IF(AND(Input_Product=Elig!$C415,Elig_MatchAll_Ct&lt;22,$BC415=(Elig_MatchAll_Ct-1),AO415=0),M415,0)</f>
        <v>0</v>
      </c>
      <c r="BS415" s="173">
        <f>IF(AND(Input_Product=Elig!$C415,Elig_MatchAll_Ct&lt;22,$BC415=(Elig_MatchAll_Ct-1),AQ415=0),N415,0)</f>
        <v>0</v>
      </c>
      <c r="BT415" s="173">
        <f>IF(AND(Input_Product=Elig!$C415,Elig_MatchAll_Ct&lt;22,$BC415=(Elig_MatchAll_Ct-1),AR415=0),O415,0)</f>
        <v>0</v>
      </c>
      <c r="BU415" s="173">
        <f>IF(AND(Input_Product=Elig!$C415,Elig_MatchAll_Ct&lt;22,$BC415=(Elig_MatchAll_Ct-1),AS415=0),P415,0)</f>
        <v>0</v>
      </c>
      <c r="BV415" s="174">
        <f>IF(AND(Input_Product=Elig!$C415,Elig_MatchAll_Ct&lt;22,$BC415=(Elig_MatchAll_Ct-1),AT415=0),Q415,0)</f>
        <v>0</v>
      </c>
      <c r="BW415" s="175">
        <f>IF(AND(Input_Product=Elig!$C415,Elig_MatchAll_Ct&lt;22,$BC415=(Elig_MatchAll_Ct-1),AU415=0),R415,0)</f>
        <v>0</v>
      </c>
      <c r="BX415" s="176">
        <f>IF(AND(Input_Product=Elig!$C415,Elig_MatchAll_Ct&lt;22,$BC415=(Elig_MatchAll_Ct-1),AU415=0),S415,0)</f>
        <v>0</v>
      </c>
      <c r="BY415" s="175">
        <f>IF(AND(Input_Product=Elig!$C415,Elig_MatchAll_Ct&lt;22,$BC415=(Elig_MatchAll_Ct-1),AV415=0),T415,0)</f>
        <v>0</v>
      </c>
      <c r="BZ415" s="176">
        <f>IF(AND(Input_Product=Elig!$C415,Elig_MatchAll_Ct&lt;22,$BC415=(Elig_MatchAll_Ct-1),AV415=0),U415,0)</f>
        <v>0</v>
      </c>
      <c r="CA415" s="175">
        <f>IF(AND(Input_Product=Elig!$C415,Elig_MatchAll_Ct&lt;22,$BC415=(Elig_MatchAll_Ct-1),AW415=0),V415,0)</f>
        <v>0</v>
      </c>
      <c r="CB415" s="176">
        <f>IF(AND(Input_Product=Elig!$C415,Elig_MatchAll_Ct&lt;22,$BC415=(Elig_MatchAll_Ct-1),AW415=0),W415,0)</f>
        <v>0</v>
      </c>
      <c r="CC415" s="175">
        <f>IF(AND(Input_Product=Elig!$C415,Elig_MatchAll_Ct&lt;22,$BC415=(Elig_MatchAll_Ct-1),AX415=0),X415,0)</f>
        <v>0</v>
      </c>
      <c r="CD415" s="176">
        <f>IF(AND(Input_Product=Elig!$C415,Elig_MatchAll_Ct&lt;22,$BC415=(Elig_MatchAll_Ct-1),AX415=0),Y415,0)</f>
        <v>0</v>
      </c>
      <c r="CE415" s="175">
        <f>IF(AND(Input_LTV&lt;=AE415,Input_Product=Elig!$C415,Elig_MatchAll_Ct&lt;22,$BC415=(Elig_MatchAll_Ct-1),AY415=0),Z415,0)</f>
        <v>0</v>
      </c>
      <c r="CF415" s="176">
        <f>IF(AND(Input_LTV&lt;=AE415,Input_Product=Elig!$C415,Elig_MatchAll_Ct&lt;22,$BC415=(Elig_MatchAll_Ct-1),AY415=0),AA415,0)</f>
        <v>0</v>
      </c>
      <c r="CG415" s="175">
        <f>IF(AND(Input_Product=Elig!$C415,Elig_MatchAll_Ct&lt;22,$BC415=(Elig_MatchAll_Ct-1),AZ415=0),AB415,0)</f>
        <v>0</v>
      </c>
      <c r="CH415" s="176">
        <f>IF(AND(Input_Product=Elig!$C415,Elig_MatchAll_Ct&lt;22,$BC415=(Elig_MatchAll_Ct-1),AZ415=0),AC415,0)</f>
        <v>0</v>
      </c>
      <c r="CI415" s="175">
        <f>IF(AND(Input_Product=Elig!$C415,Elig_MatchAll_Ct&lt;22,$BC415=(Elig_MatchAll_Ct-1),BA415=0),AD415,0)</f>
        <v>0</v>
      </c>
      <c r="CJ415" s="176">
        <f>IF(AND(Input_Product=Elig!$C415,Elig_MatchAll_Ct&lt;22,$BC415=(Elig_MatchAll_Ct-1),BA415=0),AE415,0)</f>
        <v>0</v>
      </c>
    </row>
    <row r="416" spans="1:88" ht="10.15" customHeight="1" x14ac:dyDescent="0.25">
      <c r="A416" s="261" t="s">
        <v>2507</v>
      </c>
      <c r="B416" s="261" t="s">
        <v>2495</v>
      </c>
      <c r="C416" s="1930" t="str">
        <f t="shared" si="140"/>
        <v>NonQM NOO</v>
      </c>
      <c r="D416" s="276" t="s">
        <v>1995</v>
      </c>
      <c r="E416" s="1537" t="s">
        <v>166</v>
      </c>
      <c r="F416" s="1537" t="s">
        <v>329</v>
      </c>
      <c r="G416" s="1537" t="s">
        <v>180</v>
      </c>
      <c r="H416" s="1537" t="s">
        <v>135</v>
      </c>
      <c r="I416" s="276" t="s">
        <v>273</v>
      </c>
      <c r="J416" s="276" t="s">
        <v>1130</v>
      </c>
      <c r="K416" s="1930" t="s">
        <v>2516</v>
      </c>
      <c r="L416" s="261" t="s">
        <v>311</v>
      </c>
      <c r="M416" s="261" t="s">
        <v>2289</v>
      </c>
      <c r="N416" s="261" t="s">
        <v>1844</v>
      </c>
      <c r="O416" s="1985" t="s">
        <v>2196</v>
      </c>
      <c r="P416" s="1985" t="s">
        <v>2422</v>
      </c>
      <c r="Q416" s="1985" t="s">
        <v>49</v>
      </c>
      <c r="R416" s="261">
        <v>1500000.01</v>
      </c>
      <c r="S416" s="276">
        <v>2000000</v>
      </c>
      <c r="T416" s="276">
        <v>0</v>
      </c>
      <c r="U416" s="276">
        <v>0</v>
      </c>
      <c r="V416" s="276">
        <v>0</v>
      </c>
      <c r="W416" s="276">
        <v>50</v>
      </c>
      <c r="X416" s="276">
        <v>0.01</v>
      </c>
      <c r="Y416" s="261">
        <v>0.74999999999989997</v>
      </c>
      <c r="Z416" s="1882">
        <v>720</v>
      </c>
      <c r="AA416" s="1882">
        <v>999</v>
      </c>
      <c r="AB416" s="1882">
        <v>0</v>
      </c>
      <c r="AC416" s="1882">
        <v>999999</v>
      </c>
      <c r="AD416" s="276">
        <v>0</v>
      </c>
      <c r="AE416" s="1538">
        <v>75</v>
      </c>
      <c r="AF416" s="144">
        <v>0</v>
      </c>
      <c r="AG416" s="145">
        <v>1</v>
      </c>
      <c r="AH416" s="145">
        <v>1</v>
      </c>
      <c r="AI416" s="145">
        <v>1</v>
      </c>
      <c r="AJ416" s="145">
        <v>1</v>
      </c>
      <c r="AK416" s="145">
        <v>1</v>
      </c>
      <c r="AL416" s="145">
        <v>1</v>
      </c>
      <c r="AM416" s="145">
        <v>1</v>
      </c>
      <c r="AN416" s="145">
        <v>1</v>
      </c>
      <c r="AO416" s="145">
        <v>1</v>
      </c>
      <c r="AP416" s="145">
        <v>1</v>
      </c>
      <c r="AQ416" s="145">
        <v>1</v>
      </c>
      <c r="AR416" s="145">
        <v>1</v>
      </c>
      <c r="AS416" s="145">
        <v>1</v>
      </c>
      <c r="AT416" s="145">
        <v>0</v>
      </c>
      <c r="AU416" s="145">
        <f t="shared" si="148"/>
        <v>0</v>
      </c>
      <c r="AV416" s="145">
        <f t="shared" si="149"/>
        <v>1</v>
      </c>
      <c r="AW416" s="145">
        <f t="shared" si="150"/>
        <v>1</v>
      </c>
      <c r="AX416" s="145">
        <f t="shared" si="133"/>
        <v>0</v>
      </c>
      <c r="AY416" s="145">
        <f t="shared" si="151"/>
        <v>1</v>
      </c>
      <c r="AZ416" s="145">
        <f t="shared" si="152"/>
        <v>1</v>
      </c>
      <c r="BA416" s="146">
        <f t="shared" si="153"/>
        <v>1</v>
      </c>
      <c r="BB416" s="149">
        <f t="shared" ref="BB416:BB421" si="156">SUM(AF416:BA416)</f>
        <v>18</v>
      </c>
      <c r="BC416" s="150">
        <f t="shared" ref="BC416:BC421" si="157">SUM(AF416:AZ416)</f>
        <v>17</v>
      </c>
      <c r="BD416" s="150">
        <f t="shared" ref="BD416:BD421" si="158">SUM(AG416:BA416)</f>
        <v>18</v>
      </c>
      <c r="BE416" s="211" t="str">
        <f t="shared" ref="BE416:BE421" si="159">IF(BD416=21,C416,"")</f>
        <v/>
      </c>
      <c r="BH416" s="184">
        <f>IF(AND(Input_Product=Elig!$C416,Elig_MatchAll_Ct&lt;22,$BC416=(Elig_MatchAll_Ct-1),AF416=0),C416,0)</f>
        <v>0</v>
      </c>
      <c r="BI416" s="184">
        <f>IF(AND(Input_Product=Elig!$C416,Elig_MatchAll_Ct&lt;22,$BC416=(Elig_MatchAll_Ct-1),AG416=0),D416,0)</f>
        <v>0</v>
      </c>
      <c r="BJ416" s="184">
        <f>IF(AND(Input_Product=Elig!$C416,Elig_MatchAll_Ct&lt;22,$BC416=(Elig_MatchAll_Ct-1),AH416=0),E416,0)</f>
        <v>0</v>
      </c>
      <c r="BK416" s="184">
        <f>IF(AND(Input_Product=Elig!$C416,Elig_MatchAll_Ct&lt;22,$BC416=(Elig_MatchAll_Ct-1),AI416=0),F416,0)</f>
        <v>0</v>
      </c>
      <c r="BL416" s="184">
        <f>IF(AND(Input_Product=Elig!$C416,Elig_MatchAll_Ct&lt;22,$BC416=(Elig_MatchAll_Ct-1),AJ416=0),G416,0)</f>
        <v>0</v>
      </c>
      <c r="BM416" s="184">
        <f>IF(AND(Input_Product=Elig!$C416,Elig_MatchAll_Ct&lt;22,$BC416=(Elig_MatchAll_Ct-1),AK416=0),H416,0)</f>
        <v>0</v>
      </c>
      <c r="BN416" s="184">
        <f>IF(AND(Input_Product=Elig!$C416,Elig_MatchAll_Ct&lt;22,$BC416=(Elig_MatchAll_Ct-1),AL416=0),I416,0)</f>
        <v>0</v>
      </c>
      <c r="BO416" s="184">
        <f>IF(AND(Input_Product=Elig!$C416,Elig_MatchAll_Ct&lt;22,$BC416=(Elig_MatchAll_Ct-1),AM416=0),J416,0)</f>
        <v>0</v>
      </c>
      <c r="BP416" s="184">
        <f>IF(AND(Input_Product=Elig!$C416,Elig_MatchAll_Ct&lt;22,$BC416=(Elig_MatchAll_Ct-1),AN416=0),K416,0)</f>
        <v>0</v>
      </c>
      <c r="BQ416" s="184">
        <f>IF(AND(Input_Product=Elig!$C416,Elig_MatchAll_Ct&lt;22,$BC416=(Elig_MatchAll_Ct-1),AP416=0),L416,0)</f>
        <v>0</v>
      </c>
      <c r="BR416" s="184">
        <f>IF(AND(Input_Product=Elig!$C416,Elig_MatchAll_Ct&lt;22,$BC416=(Elig_MatchAll_Ct-1),AO416=0),M416,0)</f>
        <v>0</v>
      </c>
      <c r="BS416" s="184">
        <f>IF(AND(Input_Product=Elig!$C416,Elig_MatchAll_Ct&lt;22,$BC416=(Elig_MatchAll_Ct-1),AQ416=0),N416,0)</f>
        <v>0</v>
      </c>
      <c r="BT416" s="184">
        <f>IF(AND(Input_Product=Elig!$C416,Elig_MatchAll_Ct&lt;22,$BC416=(Elig_MatchAll_Ct-1),AR416=0),O416,0)</f>
        <v>0</v>
      </c>
      <c r="BU416" s="184">
        <f>IF(AND(Input_Product=Elig!$C416,Elig_MatchAll_Ct&lt;22,$BC416=(Elig_MatchAll_Ct-1),AS416=0),P416,0)</f>
        <v>0</v>
      </c>
      <c r="BV416" s="185">
        <f>IF(AND(Input_Product=Elig!$C416,Elig_MatchAll_Ct&lt;22,$BC416=(Elig_MatchAll_Ct-1),AT416=0),Q416,0)</f>
        <v>0</v>
      </c>
      <c r="BW416" s="186">
        <f>IF(AND(Input_Product=Elig!$C416,Elig_MatchAll_Ct&lt;22,$BC416=(Elig_MatchAll_Ct-1),AU416=0),R416,0)</f>
        <v>0</v>
      </c>
      <c r="BX416" s="187">
        <f>IF(AND(Input_Product=Elig!$C416,Elig_MatchAll_Ct&lt;22,$BC416=(Elig_MatchAll_Ct-1),AU416=0),S416,0)</f>
        <v>0</v>
      </c>
      <c r="BY416" s="186">
        <f>IF(AND(Input_Product=Elig!$C416,Elig_MatchAll_Ct&lt;22,$BC416=(Elig_MatchAll_Ct-1),AV416=0),T416,0)</f>
        <v>0</v>
      </c>
      <c r="BZ416" s="187">
        <f>IF(AND(Input_Product=Elig!$C416,Elig_MatchAll_Ct&lt;22,$BC416=(Elig_MatchAll_Ct-1),AV416=0),U416,0)</f>
        <v>0</v>
      </c>
      <c r="CA416" s="186">
        <f>IF(AND(Input_Product=Elig!$C416,Elig_MatchAll_Ct&lt;22,$BC416=(Elig_MatchAll_Ct-1),AW416=0),V416,0)</f>
        <v>0</v>
      </c>
      <c r="CB416" s="187">
        <f>IF(AND(Input_Product=Elig!$C416,Elig_MatchAll_Ct&lt;22,$BC416=(Elig_MatchAll_Ct-1),AW416=0),W416,0)</f>
        <v>0</v>
      </c>
      <c r="CC416" s="186">
        <f>IF(AND(Input_Product=Elig!$C416,Elig_MatchAll_Ct&lt;22,$BC416=(Elig_MatchAll_Ct-1),AX416=0),X416,0)</f>
        <v>0</v>
      </c>
      <c r="CD416" s="187">
        <f>IF(AND(Input_Product=Elig!$C416,Elig_MatchAll_Ct&lt;22,$BC416=(Elig_MatchAll_Ct-1),AX416=0),Y416,0)</f>
        <v>0</v>
      </c>
      <c r="CE416" s="186">
        <f>IF(AND(Input_LTV&lt;=AE416,Input_Product=Elig!$C416,Elig_MatchAll_Ct&lt;22,$BC416=(Elig_MatchAll_Ct-1),AY416=0),Z416,0)</f>
        <v>0</v>
      </c>
      <c r="CF416" s="187">
        <f>IF(AND(Input_LTV&lt;=AE416,Input_Product=Elig!$C416,Elig_MatchAll_Ct&lt;22,$BC416=(Elig_MatchAll_Ct-1),AY416=0),AA416,0)</f>
        <v>0</v>
      </c>
      <c r="CG416" s="186">
        <f>IF(AND(Input_Product=Elig!$C416,Elig_MatchAll_Ct&lt;22,$BC416=(Elig_MatchAll_Ct-1),AZ416=0),AB416,0)</f>
        <v>0</v>
      </c>
      <c r="CH416" s="187">
        <f>IF(AND(Input_Product=Elig!$C416,Elig_MatchAll_Ct&lt;22,$BC416=(Elig_MatchAll_Ct-1),AZ416=0),AC416,0)</f>
        <v>0</v>
      </c>
      <c r="CI416" s="186">
        <f>IF(AND(Input_Product=Elig!$C416,Elig_MatchAll_Ct&lt;22,$BC416=(Elig_MatchAll_Ct-1),BA416=0),AD416,0)</f>
        <v>0</v>
      </c>
      <c r="CJ416" s="187">
        <f>IF(AND(Input_Product=Elig!$C416,Elig_MatchAll_Ct&lt;22,$BC416=(Elig_MatchAll_Ct-1),BA416=0),AE416,0)</f>
        <v>0</v>
      </c>
    </row>
    <row r="417" spans="1:88" ht="10.15" customHeight="1" x14ac:dyDescent="0.25">
      <c r="A417" s="261" t="s">
        <v>2507</v>
      </c>
      <c r="B417" s="261" t="s">
        <v>2496</v>
      </c>
      <c r="C417" s="1970" t="str">
        <f t="shared" si="140"/>
        <v>NonQM NOO</v>
      </c>
      <c r="D417" s="261" t="s">
        <v>1995</v>
      </c>
      <c r="E417" s="261" t="s">
        <v>166</v>
      </c>
      <c r="F417" s="261" t="s">
        <v>329</v>
      </c>
      <c r="G417" s="261" t="s">
        <v>180</v>
      </c>
      <c r="H417" s="261" t="s">
        <v>135</v>
      </c>
      <c r="I417" s="1544" t="s">
        <v>273</v>
      </c>
      <c r="J417" s="1544" t="s">
        <v>1130</v>
      </c>
      <c r="K417" s="1930" t="s">
        <v>2516</v>
      </c>
      <c r="L417" s="261" t="s">
        <v>311</v>
      </c>
      <c r="M417" s="261" t="s">
        <v>2289</v>
      </c>
      <c r="N417" s="261" t="s">
        <v>1844</v>
      </c>
      <c r="O417" s="1985" t="s">
        <v>2196</v>
      </c>
      <c r="P417" s="1985" t="s">
        <v>2422</v>
      </c>
      <c r="Q417" s="1985" t="s">
        <v>49</v>
      </c>
      <c r="R417" s="261">
        <v>1500000.01</v>
      </c>
      <c r="S417" s="261">
        <v>2000000</v>
      </c>
      <c r="T417" s="261">
        <v>0</v>
      </c>
      <c r="U417" s="261">
        <v>0</v>
      </c>
      <c r="V417" s="261">
        <v>0</v>
      </c>
      <c r="W417" s="261">
        <v>50</v>
      </c>
      <c r="X417" s="276">
        <v>0.01</v>
      </c>
      <c r="Y417" s="261">
        <v>0.74999999999989997</v>
      </c>
      <c r="Z417" s="1883">
        <v>700</v>
      </c>
      <c r="AA417" s="1883">
        <v>719</v>
      </c>
      <c r="AB417" s="1883">
        <v>0</v>
      </c>
      <c r="AC417" s="1883">
        <v>999999</v>
      </c>
      <c r="AD417" s="261">
        <v>0</v>
      </c>
      <c r="AE417" s="1539">
        <v>75</v>
      </c>
      <c r="AF417" s="144">
        <v>0</v>
      </c>
      <c r="AG417" s="145">
        <v>1</v>
      </c>
      <c r="AH417" s="145">
        <v>1</v>
      </c>
      <c r="AI417" s="145">
        <v>1</v>
      </c>
      <c r="AJ417" s="145">
        <v>1</v>
      </c>
      <c r="AK417" s="145">
        <v>1</v>
      </c>
      <c r="AL417" s="145">
        <v>1</v>
      </c>
      <c r="AM417" s="145">
        <v>1</v>
      </c>
      <c r="AN417" s="145">
        <v>1</v>
      </c>
      <c r="AO417" s="145">
        <v>1</v>
      </c>
      <c r="AP417" s="145">
        <v>1</v>
      </c>
      <c r="AQ417" s="145">
        <v>1</v>
      </c>
      <c r="AR417" s="145">
        <v>1</v>
      </c>
      <c r="AS417" s="145">
        <v>1</v>
      </c>
      <c r="AT417" s="145">
        <v>0</v>
      </c>
      <c r="AU417" s="145">
        <f t="shared" si="148"/>
        <v>0</v>
      </c>
      <c r="AV417" s="145">
        <f t="shared" si="149"/>
        <v>1</v>
      </c>
      <c r="AW417" s="145">
        <f t="shared" si="150"/>
        <v>1</v>
      </c>
      <c r="AX417" s="145">
        <f t="shared" si="133"/>
        <v>0</v>
      </c>
      <c r="AY417" s="145">
        <f t="shared" si="151"/>
        <v>0</v>
      </c>
      <c r="AZ417" s="145">
        <f t="shared" si="152"/>
        <v>1</v>
      </c>
      <c r="BA417" s="146">
        <f t="shared" si="153"/>
        <v>1</v>
      </c>
      <c r="BB417" s="149">
        <f t="shared" si="156"/>
        <v>17</v>
      </c>
      <c r="BC417" s="150">
        <f t="shared" si="157"/>
        <v>16</v>
      </c>
      <c r="BD417" s="150">
        <f t="shared" si="158"/>
        <v>17</v>
      </c>
      <c r="BE417" s="211" t="str">
        <f t="shared" si="159"/>
        <v/>
      </c>
      <c r="BH417" s="173">
        <f>IF(AND(Input_Product=Elig!$C417,Elig_MatchAll_Ct&lt;22,$BC417=(Elig_MatchAll_Ct-1),AF417=0),C417,0)</f>
        <v>0</v>
      </c>
      <c r="BI417" s="173">
        <f>IF(AND(Input_Product=Elig!$C417,Elig_MatchAll_Ct&lt;22,$BC417=(Elig_MatchAll_Ct-1),AG417=0),D417,0)</f>
        <v>0</v>
      </c>
      <c r="BJ417" s="173">
        <f>IF(AND(Input_Product=Elig!$C417,Elig_MatchAll_Ct&lt;22,$BC417=(Elig_MatchAll_Ct-1),AH417=0),E417,0)</f>
        <v>0</v>
      </c>
      <c r="BK417" s="173">
        <f>IF(AND(Input_Product=Elig!$C417,Elig_MatchAll_Ct&lt;22,$BC417=(Elig_MatchAll_Ct-1),AI417=0),F417,0)</f>
        <v>0</v>
      </c>
      <c r="BL417" s="173">
        <f>IF(AND(Input_Product=Elig!$C417,Elig_MatchAll_Ct&lt;22,$BC417=(Elig_MatchAll_Ct-1),AJ417=0),G417,0)</f>
        <v>0</v>
      </c>
      <c r="BM417" s="173">
        <f>IF(AND(Input_Product=Elig!$C417,Elig_MatchAll_Ct&lt;22,$BC417=(Elig_MatchAll_Ct-1),AK417=0),H417,0)</f>
        <v>0</v>
      </c>
      <c r="BN417" s="173">
        <f>IF(AND(Input_Product=Elig!$C417,Elig_MatchAll_Ct&lt;22,$BC417=(Elig_MatchAll_Ct-1),AL417=0),I417,0)</f>
        <v>0</v>
      </c>
      <c r="BO417" s="173">
        <f>IF(AND(Input_Product=Elig!$C417,Elig_MatchAll_Ct&lt;22,$BC417=(Elig_MatchAll_Ct-1),AM417=0),J417,0)</f>
        <v>0</v>
      </c>
      <c r="BP417" s="173">
        <f>IF(AND(Input_Product=Elig!$C417,Elig_MatchAll_Ct&lt;22,$BC417=(Elig_MatchAll_Ct-1),AN417=0),K417,0)</f>
        <v>0</v>
      </c>
      <c r="BQ417" s="173">
        <f>IF(AND(Input_Product=Elig!$C417,Elig_MatchAll_Ct&lt;22,$BC417=(Elig_MatchAll_Ct-1),AP417=0),L417,0)</f>
        <v>0</v>
      </c>
      <c r="BR417" s="173">
        <f>IF(AND(Input_Product=Elig!$C417,Elig_MatchAll_Ct&lt;22,$BC417=(Elig_MatchAll_Ct-1),AO417=0),M417,0)</f>
        <v>0</v>
      </c>
      <c r="BS417" s="173">
        <f>IF(AND(Input_Product=Elig!$C417,Elig_MatchAll_Ct&lt;22,$BC417=(Elig_MatchAll_Ct-1),AQ417=0),N417,0)</f>
        <v>0</v>
      </c>
      <c r="BT417" s="173">
        <f>IF(AND(Input_Product=Elig!$C417,Elig_MatchAll_Ct&lt;22,$BC417=(Elig_MatchAll_Ct-1),AR417=0),O417,0)</f>
        <v>0</v>
      </c>
      <c r="BU417" s="173">
        <f>IF(AND(Input_Product=Elig!$C417,Elig_MatchAll_Ct&lt;22,$BC417=(Elig_MatchAll_Ct-1),AS417=0),P417,0)</f>
        <v>0</v>
      </c>
      <c r="BV417" s="174">
        <f>IF(AND(Input_Product=Elig!$C417,Elig_MatchAll_Ct&lt;22,$BC417=(Elig_MatchAll_Ct-1),AT417=0),Q417,0)</f>
        <v>0</v>
      </c>
      <c r="BW417" s="175">
        <f>IF(AND(Input_Product=Elig!$C417,Elig_MatchAll_Ct&lt;22,$BC417=(Elig_MatchAll_Ct-1),AU417=0),R417,0)</f>
        <v>0</v>
      </c>
      <c r="BX417" s="176">
        <f>IF(AND(Input_Product=Elig!$C417,Elig_MatchAll_Ct&lt;22,$BC417=(Elig_MatchAll_Ct-1),AU417=0),S417,0)</f>
        <v>0</v>
      </c>
      <c r="BY417" s="175">
        <f>IF(AND(Input_Product=Elig!$C417,Elig_MatchAll_Ct&lt;22,$BC417=(Elig_MatchAll_Ct-1),AV417=0),T417,0)</f>
        <v>0</v>
      </c>
      <c r="BZ417" s="176">
        <f>IF(AND(Input_Product=Elig!$C417,Elig_MatchAll_Ct&lt;22,$BC417=(Elig_MatchAll_Ct-1),AV417=0),U417,0)</f>
        <v>0</v>
      </c>
      <c r="CA417" s="175">
        <f>IF(AND(Input_Product=Elig!$C417,Elig_MatchAll_Ct&lt;22,$BC417=(Elig_MatchAll_Ct-1),AW417=0),V417,0)</f>
        <v>0</v>
      </c>
      <c r="CB417" s="176">
        <f>IF(AND(Input_Product=Elig!$C417,Elig_MatchAll_Ct&lt;22,$BC417=(Elig_MatchAll_Ct-1),AW417=0),W417,0)</f>
        <v>0</v>
      </c>
      <c r="CC417" s="175">
        <f>IF(AND(Input_Product=Elig!$C417,Elig_MatchAll_Ct&lt;22,$BC417=(Elig_MatchAll_Ct-1),AX417=0),X417,0)</f>
        <v>0</v>
      </c>
      <c r="CD417" s="176">
        <f>IF(AND(Input_Product=Elig!$C417,Elig_MatchAll_Ct&lt;22,$BC417=(Elig_MatchAll_Ct-1),AX417=0),Y417,0)</f>
        <v>0</v>
      </c>
      <c r="CE417" s="175">
        <f>IF(AND(Input_LTV&lt;=AE417,Input_Product=Elig!$C417,Elig_MatchAll_Ct&lt;22,$BC417=(Elig_MatchAll_Ct-1),AY417=0),Z417,0)</f>
        <v>0</v>
      </c>
      <c r="CF417" s="176">
        <f>IF(AND(Input_LTV&lt;=AE417,Input_Product=Elig!$C417,Elig_MatchAll_Ct&lt;22,$BC417=(Elig_MatchAll_Ct-1),AY417=0),AA417,0)</f>
        <v>0</v>
      </c>
      <c r="CG417" s="175">
        <f>IF(AND(Input_Product=Elig!$C417,Elig_MatchAll_Ct&lt;22,$BC417=(Elig_MatchAll_Ct-1),AZ417=0),AB417,0)</f>
        <v>0</v>
      </c>
      <c r="CH417" s="176">
        <f>IF(AND(Input_Product=Elig!$C417,Elig_MatchAll_Ct&lt;22,$BC417=(Elig_MatchAll_Ct-1),AZ417=0),AC417,0)</f>
        <v>0</v>
      </c>
      <c r="CI417" s="175">
        <f>IF(AND(Input_Product=Elig!$C417,Elig_MatchAll_Ct&lt;22,$BC417=(Elig_MatchAll_Ct-1),BA417=0),AD417,0)</f>
        <v>0</v>
      </c>
      <c r="CJ417" s="176">
        <f>IF(AND(Input_Product=Elig!$C417,Elig_MatchAll_Ct&lt;22,$BC417=(Elig_MatchAll_Ct-1),BA417=0),AE417,0)</f>
        <v>0</v>
      </c>
    </row>
    <row r="418" spans="1:88" ht="10.15" customHeight="1" x14ac:dyDescent="0.25">
      <c r="A418" s="261" t="s">
        <v>2507</v>
      </c>
      <c r="B418" s="261" t="s">
        <v>2515</v>
      </c>
      <c r="C418" s="1970" t="str">
        <f t="shared" si="140"/>
        <v>NonQM NOO</v>
      </c>
      <c r="D418" s="261" t="s">
        <v>1995</v>
      </c>
      <c r="E418" s="261" t="s">
        <v>166</v>
      </c>
      <c r="F418" s="261" t="s">
        <v>329</v>
      </c>
      <c r="G418" s="261" t="s">
        <v>180</v>
      </c>
      <c r="H418" s="261" t="s">
        <v>135</v>
      </c>
      <c r="I418" s="1544" t="s">
        <v>273</v>
      </c>
      <c r="J418" s="1544" t="s">
        <v>1130</v>
      </c>
      <c r="K418" s="1930" t="s">
        <v>2516</v>
      </c>
      <c r="L418" s="261" t="s">
        <v>311</v>
      </c>
      <c r="M418" s="261" t="s">
        <v>2289</v>
      </c>
      <c r="N418" s="261" t="s">
        <v>1844</v>
      </c>
      <c r="O418" s="1985" t="s">
        <v>2196</v>
      </c>
      <c r="P418" s="1985" t="s">
        <v>2422</v>
      </c>
      <c r="Q418" s="1985" t="s">
        <v>49</v>
      </c>
      <c r="R418" s="261">
        <v>1500000.01</v>
      </c>
      <c r="S418" s="261">
        <v>2000000</v>
      </c>
      <c r="T418" s="261">
        <v>0</v>
      </c>
      <c r="U418" s="261">
        <v>0</v>
      </c>
      <c r="V418" s="261">
        <v>0</v>
      </c>
      <c r="W418" s="261">
        <v>50</v>
      </c>
      <c r="X418" s="276">
        <v>0.01</v>
      </c>
      <c r="Y418" s="261">
        <v>0.74999999999989997</v>
      </c>
      <c r="Z418" s="1883">
        <v>680</v>
      </c>
      <c r="AA418" s="1883">
        <v>699</v>
      </c>
      <c r="AB418" s="1883">
        <v>0</v>
      </c>
      <c r="AC418" s="1883">
        <v>999999</v>
      </c>
      <c r="AD418" s="261">
        <v>0</v>
      </c>
      <c r="AE418" s="1539">
        <v>70</v>
      </c>
      <c r="AF418" s="144">
        <v>0</v>
      </c>
      <c r="AG418" s="145">
        <v>1</v>
      </c>
      <c r="AH418" s="145">
        <v>1</v>
      </c>
      <c r="AI418" s="145">
        <v>1</v>
      </c>
      <c r="AJ418" s="145">
        <v>1</v>
      </c>
      <c r="AK418" s="145">
        <v>1</v>
      </c>
      <c r="AL418" s="145">
        <v>1</v>
      </c>
      <c r="AM418" s="145">
        <v>1</v>
      </c>
      <c r="AN418" s="145">
        <v>1</v>
      </c>
      <c r="AO418" s="145">
        <v>1</v>
      </c>
      <c r="AP418" s="145">
        <v>1</v>
      </c>
      <c r="AQ418" s="145">
        <v>1</v>
      </c>
      <c r="AR418" s="145">
        <v>1</v>
      </c>
      <c r="AS418" s="145">
        <v>1</v>
      </c>
      <c r="AT418" s="145">
        <v>0</v>
      </c>
      <c r="AU418" s="145">
        <f t="shared" si="148"/>
        <v>0</v>
      </c>
      <c r="AV418" s="145">
        <f t="shared" si="149"/>
        <v>1</v>
      </c>
      <c r="AW418" s="145">
        <f t="shared" si="150"/>
        <v>1</v>
      </c>
      <c r="AX418" s="145">
        <f t="shared" si="133"/>
        <v>0</v>
      </c>
      <c r="AY418" s="145">
        <f t="shared" si="151"/>
        <v>0</v>
      </c>
      <c r="AZ418" s="145">
        <f t="shared" si="152"/>
        <v>1</v>
      </c>
      <c r="BA418" s="146">
        <f t="shared" si="153"/>
        <v>1</v>
      </c>
      <c r="BB418" s="149">
        <f t="shared" si="156"/>
        <v>17</v>
      </c>
      <c r="BC418" s="150">
        <f t="shared" si="157"/>
        <v>16</v>
      </c>
      <c r="BD418" s="150">
        <f t="shared" si="158"/>
        <v>17</v>
      </c>
      <c r="BE418" s="211" t="str">
        <f t="shared" si="159"/>
        <v/>
      </c>
      <c r="BH418" s="173">
        <f>IF(AND(Input_Product=Elig!$C418,Elig_MatchAll_Ct&lt;22,$BC418=(Elig_MatchAll_Ct-1),AF418=0),C418,0)</f>
        <v>0</v>
      </c>
      <c r="BI418" s="173">
        <f>IF(AND(Input_Product=Elig!$C418,Elig_MatchAll_Ct&lt;22,$BC418=(Elig_MatchAll_Ct-1),AG418=0),D418,0)</f>
        <v>0</v>
      </c>
      <c r="BJ418" s="173">
        <f>IF(AND(Input_Product=Elig!$C418,Elig_MatchAll_Ct&lt;22,$BC418=(Elig_MatchAll_Ct-1),AH418=0),E418,0)</f>
        <v>0</v>
      </c>
      <c r="BK418" s="173">
        <f>IF(AND(Input_Product=Elig!$C418,Elig_MatchAll_Ct&lt;22,$BC418=(Elig_MatchAll_Ct-1),AI418=0),F418,0)</f>
        <v>0</v>
      </c>
      <c r="BL418" s="173">
        <f>IF(AND(Input_Product=Elig!$C418,Elig_MatchAll_Ct&lt;22,$BC418=(Elig_MatchAll_Ct-1),AJ418=0),G418,0)</f>
        <v>0</v>
      </c>
      <c r="BM418" s="173">
        <f>IF(AND(Input_Product=Elig!$C418,Elig_MatchAll_Ct&lt;22,$BC418=(Elig_MatchAll_Ct-1),AK418=0),H418,0)</f>
        <v>0</v>
      </c>
      <c r="BN418" s="173">
        <f>IF(AND(Input_Product=Elig!$C418,Elig_MatchAll_Ct&lt;22,$BC418=(Elig_MatchAll_Ct-1),AL418=0),I418,0)</f>
        <v>0</v>
      </c>
      <c r="BO418" s="173">
        <f>IF(AND(Input_Product=Elig!$C418,Elig_MatchAll_Ct&lt;22,$BC418=(Elig_MatchAll_Ct-1),AM418=0),J418,0)</f>
        <v>0</v>
      </c>
      <c r="BP418" s="173">
        <f>IF(AND(Input_Product=Elig!$C418,Elig_MatchAll_Ct&lt;22,$BC418=(Elig_MatchAll_Ct-1),AN418=0),K418,0)</f>
        <v>0</v>
      </c>
      <c r="BQ418" s="173">
        <f>IF(AND(Input_Product=Elig!$C418,Elig_MatchAll_Ct&lt;22,$BC418=(Elig_MatchAll_Ct-1),AP418=0),L418,0)</f>
        <v>0</v>
      </c>
      <c r="BR418" s="173">
        <f>IF(AND(Input_Product=Elig!$C418,Elig_MatchAll_Ct&lt;22,$BC418=(Elig_MatchAll_Ct-1),AO418=0),M418,0)</f>
        <v>0</v>
      </c>
      <c r="BS418" s="173">
        <f>IF(AND(Input_Product=Elig!$C418,Elig_MatchAll_Ct&lt;22,$BC418=(Elig_MatchAll_Ct-1),AQ418=0),N418,0)</f>
        <v>0</v>
      </c>
      <c r="BT418" s="173">
        <f>IF(AND(Input_Product=Elig!$C418,Elig_MatchAll_Ct&lt;22,$BC418=(Elig_MatchAll_Ct-1),AR418=0),O418,0)</f>
        <v>0</v>
      </c>
      <c r="BU418" s="173">
        <f>IF(AND(Input_Product=Elig!$C418,Elig_MatchAll_Ct&lt;22,$BC418=(Elig_MatchAll_Ct-1),AS418=0),P418,0)</f>
        <v>0</v>
      </c>
      <c r="BV418" s="174">
        <f>IF(AND(Input_Product=Elig!$C418,Elig_MatchAll_Ct&lt;22,$BC418=(Elig_MatchAll_Ct-1),AT418=0),Q418,0)</f>
        <v>0</v>
      </c>
      <c r="BW418" s="175">
        <f>IF(AND(Input_Product=Elig!$C418,Elig_MatchAll_Ct&lt;22,$BC418=(Elig_MatchAll_Ct-1),AU418=0),R418,0)</f>
        <v>0</v>
      </c>
      <c r="BX418" s="176">
        <f>IF(AND(Input_Product=Elig!$C418,Elig_MatchAll_Ct&lt;22,$BC418=(Elig_MatchAll_Ct-1),AU418=0),S418,0)</f>
        <v>0</v>
      </c>
      <c r="BY418" s="175">
        <f>IF(AND(Input_Product=Elig!$C418,Elig_MatchAll_Ct&lt;22,$BC418=(Elig_MatchAll_Ct-1),AV418=0),T418,0)</f>
        <v>0</v>
      </c>
      <c r="BZ418" s="176">
        <f>IF(AND(Input_Product=Elig!$C418,Elig_MatchAll_Ct&lt;22,$BC418=(Elig_MatchAll_Ct-1),AV418=0),U418,0)</f>
        <v>0</v>
      </c>
      <c r="CA418" s="175">
        <f>IF(AND(Input_Product=Elig!$C418,Elig_MatchAll_Ct&lt;22,$BC418=(Elig_MatchAll_Ct-1),AW418=0),V418,0)</f>
        <v>0</v>
      </c>
      <c r="CB418" s="176">
        <f>IF(AND(Input_Product=Elig!$C418,Elig_MatchAll_Ct&lt;22,$BC418=(Elig_MatchAll_Ct-1),AW418=0),W418,0)</f>
        <v>0</v>
      </c>
      <c r="CC418" s="175">
        <f>IF(AND(Input_Product=Elig!$C418,Elig_MatchAll_Ct&lt;22,$BC418=(Elig_MatchAll_Ct-1),AX418=0),X418,0)</f>
        <v>0</v>
      </c>
      <c r="CD418" s="176">
        <f>IF(AND(Input_Product=Elig!$C418,Elig_MatchAll_Ct&lt;22,$BC418=(Elig_MatchAll_Ct-1),AX418=0),Y418,0)</f>
        <v>0</v>
      </c>
      <c r="CE418" s="175">
        <f>IF(AND(Input_LTV&lt;=AE418,Input_Product=Elig!$C418,Elig_MatchAll_Ct&lt;22,$BC418=(Elig_MatchAll_Ct-1),AY418=0),Z418,0)</f>
        <v>0</v>
      </c>
      <c r="CF418" s="176">
        <f>IF(AND(Input_LTV&lt;=AE418,Input_Product=Elig!$C418,Elig_MatchAll_Ct&lt;22,$BC418=(Elig_MatchAll_Ct-1),AY418=0),AA418,0)</f>
        <v>0</v>
      </c>
      <c r="CG418" s="175">
        <f>IF(AND(Input_Product=Elig!$C418,Elig_MatchAll_Ct&lt;22,$BC418=(Elig_MatchAll_Ct-1),AZ418=0),AB418,0)</f>
        <v>0</v>
      </c>
      <c r="CH418" s="176">
        <f>IF(AND(Input_Product=Elig!$C418,Elig_MatchAll_Ct&lt;22,$BC418=(Elig_MatchAll_Ct-1),AZ418=0),AC418,0)</f>
        <v>0</v>
      </c>
      <c r="CI418" s="175">
        <f>IF(AND(Input_Product=Elig!$C418,Elig_MatchAll_Ct&lt;22,$BC418=(Elig_MatchAll_Ct-1),BA418=0),AD418,0)</f>
        <v>0</v>
      </c>
      <c r="CJ418" s="176">
        <f>IF(AND(Input_Product=Elig!$C418,Elig_MatchAll_Ct&lt;22,$BC418=(Elig_MatchAll_Ct-1),BA418=0),AE418,0)</f>
        <v>0</v>
      </c>
    </row>
    <row r="419" spans="1:88" ht="10.15" customHeight="1" x14ac:dyDescent="0.25">
      <c r="A419" s="261" t="s">
        <v>2507</v>
      </c>
      <c r="B419" s="261" t="s">
        <v>2497</v>
      </c>
      <c r="C419" s="1930" t="str">
        <f t="shared" si="140"/>
        <v>NonQM NOO</v>
      </c>
      <c r="D419" s="276" t="s">
        <v>1995</v>
      </c>
      <c r="E419" s="1537" t="s">
        <v>166</v>
      </c>
      <c r="F419" s="1537" t="s">
        <v>329</v>
      </c>
      <c r="G419" s="1537" t="s">
        <v>180</v>
      </c>
      <c r="H419" s="1537" t="s">
        <v>135</v>
      </c>
      <c r="I419" s="276" t="s">
        <v>16</v>
      </c>
      <c r="J419" s="276" t="s">
        <v>1130</v>
      </c>
      <c r="K419" s="1930" t="s">
        <v>2516</v>
      </c>
      <c r="L419" s="261" t="s">
        <v>311</v>
      </c>
      <c r="M419" s="261" t="s">
        <v>2289</v>
      </c>
      <c r="N419" s="261" t="s">
        <v>1844</v>
      </c>
      <c r="O419" s="1985" t="s">
        <v>2196</v>
      </c>
      <c r="P419" s="1985" t="s">
        <v>2422</v>
      </c>
      <c r="Q419" s="1985" t="s">
        <v>49</v>
      </c>
      <c r="R419" s="261">
        <v>1500000.01</v>
      </c>
      <c r="S419" s="276">
        <v>2000000</v>
      </c>
      <c r="T419" s="276">
        <v>0</v>
      </c>
      <c r="U419" s="276">
        <f t="shared" ref="U419:U421" si="160">S419</f>
        <v>2000000</v>
      </c>
      <c r="V419" s="276">
        <v>0</v>
      </c>
      <c r="W419" s="276">
        <v>50</v>
      </c>
      <c r="X419" s="276">
        <v>0.01</v>
      </c>
      <c r="Y419" s="261">
        <v>0.74999999999989997</v>
      </c>
      <c r="Z419" s="1882">
        <v>720</v>
      </c>
      <c r="AA419" s="1882">
        <v>999</v>
      </c>
      <c r="AB419" s="1882">
        <v>0</v>
      </c>
      <c r="AC419" s="1882">
        <v>999999</v>
      </c>
      <c r="AD419" s="276">
        <v>0</v>
      </c>
      <c r="AE419" s="1538">
        <v>70</v>
      </c>
      <c r="AF419" s="144">
        <v>0</v>
      </c>
      <c r="AG419" s="145">
        <v>1</v>
      </c>
      <c r="AH419" s="145">
        <v>1</v>
      </c>
      <c r="AI419" s="145">
        <v>1</v>
      </c>
      <c r="AJ419" s="145">
        <v>1</v>
      </c>
      <c r="AK419" s="145">
        <v>1</v>
      </c>
      <c r="AL419" s="145">
        <v>0</v>
      </c>
      <c r="AM419" s="145">
        <v>1</v>
      </c>
      <c r="AN419" s="145">
        <v>1</v>
      </c>
      <c r="AO419" s="145">
        <v>1</v>
      </c>
      <c r="AP419" s="145">
        <v>1</v>
      </c>
      <c r="AQ419" s="145">
        <v>1</v>
      </c>
      <c r="AR419" s="145">
        <v>1</v>
      </c>
      <c r="AS419" s="145">
        <v>1</v>
      </c>
      <c r="AT419" s="145">
        <v>0</v>
      </c>
      <c r="AU419" s="145">
        <f t="shared" si="148"/>
        <v>0</v>
      </c>
      <c r="AV419" s="145">
        <f t="shared" si="149"/>
        <v>1</v>
      </c>
      <c r="AW419" s="145">
        <f t="shared" si="150"/>
        <v>1</v>
      </c>
      <c r="AX419" s="145">
        <f t="shared" si="133"/>
        <v>0</v>
      </c>
      <c r="AY419" s="145">
        <f t="shared" si="151"/>
        <v>1</v>
      </c>
      <c r="AZ419" s="145">
        <f t="shared" si="152"/>
        <v>1</v>
      </c>
      <c r="BA419" s="146">
        <f t="shared" si="153"/>
        <v>1</v>
      </c>
      <c r="BB419" s="149">
        <f t="shared" si="156"/>
        <v>17</v>
      </c>
      <c r="BC419" s="150">
        <f t="shared" si="157"/>
        <v>16</v>
      </c>
      <c r="BD419" s="150">
        <f t="shared" si="158"/>
        <v>17</v>
      </c>
      <c r="BE419" s="211" t="str">
        <f t="shared" si="159"/>
        <v/>
      </c>
      <c r="BH419" s="184">
        <f>IF(AND(Input_Product=Elig!$C419,Elig_MatchAll_Ct&lt;22,$BC419=(Elig_MatchAll_Ct-1),AF419=0),C419,0)</f>
        <v>0</v>
      </c>
      <c r="BI419" s="184">
        <f>IF(AND(Input_Product=Elig!$C419,Elig_MatchAll_Ct&lt;22,$BC419=(Elig_MatchAll_Ct-1),AG419=0),D419,0)</f>
        <v>0</v>
      </c>
      <c r="BJ419" s="184">
        <f>IF(AND(Input_Product=Elig!$C419,Elig_MatchAll_Ct&lt;22,$BC419=(Elig_MatchAll_Ct-1),AH419=0),E419,0)</f>
        <v>0</v>
      </c>
      <c r="BK419" s="184">
        <f>IF(AND(Input_Product=Elig!$C419,Elig_MatchAll_Ct&lt;22,$BC419=(Elig_MatchAll_Ct-1),AI419=0),F419,0)</f>
        <v>0</v>
      </c>
      <c r="BL419" s="184">
        <f>IF(AND(Input_Product=Elig!$C419,Elig_MatchAll_Ct&lt;22,$BC419=(Elig_MatchAll_Ct-1),AJ419=0),G419,0)</f>
        <v>0</v>
      </c>
      <c r="BM419" s="184">
        <f>IF(AND(Input_Product=Elig!$C419,Elig_MatchAll_Ct&lt;22,$BC419=(Elig_MatchAll_Ct-1),AK419=0),H419,0)</f>
        <v>0</v>
      </c>
      <c r="BN419" s="184">
        <f>IF(AND(Input_Product=Elig!$C419,Elig_MatchAll_Ct&lt;22,$BC419=(Elig_MatchAll_Ct-1),AL419=0),I419,0)</f>
        <v>0</v>
      </c>
      <c r="BO419" s="184">
        <f>IF(AND(Input_Product=Elig!$C419,Elig_MatchAll_Ct&lt;22,$BC419=(Elig_MatchAll_Ct-1),AM419=0),J419,0)</f>
        <v>0</v>
      </c>
      <c r="BP419" s="184">
        <f>IF(AND(Input_Product=Elig!$C419,Elig_MatchAll_Ct&lt;22,$BC419=(Elig_MatchAll_Ct-1),AN419=0),K419,0)</f>
        <v>0</v>
      </c>
      <c r="BQ419" s="184">
        <f>IF(AND(Input_Product=Elig!$C419,Elig_MatchAll_Ct&lt;22,$BC419=(Elig_MatchAll_Ct-1),AP419=0),L419,0)</f>
        <v>0</v>
      </c>
      <c r="BR419" s="184">
        <f>IF(AND(Input_Product=Elig!$C419,Elig_MatchAll_Ct&lt;22,$BC419=(Elig_MatchAll_Ct-1),AO419=0),M419,0)</f>
        <v>0</v>
      </c>
      <c r="BS419" s="184">
        <f>IF(AND(Input_Product=Elig!$C419,Elig_MatchAll_Ct&lt;22,$BC419=(Elig_MatchAll_Ct-1),AQ419=0),N419,0)</f>
        <v>0</v>
      </c>
      <c r="BT419" s="184">
        <f>IF(AND(Input_Product=Elig!$C419,Elig_MatchAll_Ct&lt;22,$BC419=(Elig_MatchAll_Ct-1),AR419=0),O419,0)</f>
        <v>0</v>
      </c>
      <c r="BU419" s="184">
        <f>IF(AND(Input_Product=Elig!$C419,Elig_MatchAll_Ct&lt;22,$BC419=(Elig_MatchAll_Ct-1),AS419=0),P419,0)</f>
        <v>0</v>
      </c>
      <c r="BV419" s="185">
        <f>IF(AND(Input_Product=Elig!$C419,Elig_MatchAll_Ct&lt;22,$BC419=(Elig_MatchAll_Ct-1),AT419=0),Q419,0)</f>
        <v>0</v>
      </c>
      <c r="BW419" s="186">
        <f>IF(AND(Input_Product=Elig!$C419,Elig_MatchAll_Ct&lt;22,$BC419=(Elig_MatchAll_Ct-1),AU419=0),R419,0)</f>
        <v>0</v>
      </c>
      <c r="BX419" s="187">
        <f>IF(AND(Input_Product=Elig!$C419,Elig_MatchAll_Ct&lt;22,$BC419=(Elig_MatchAll_Ct-1),AU419=0),S419,0)</f>
        <v>0</v>
      </c>
      <c r="BY419" s="186">
        <f>IF(AND(Input_Product=Elig!$C419,Elig_MatchAll_Ct&lt;22,$BC419=(Elig_MatchAll_Ct-1),AV419=0),T419,0)</f>
        <v>0</v>
      </c>
      <c r="BZ419" s="187">
        <f>IF(AND(Input_Product=Elig!$C419,Elig_MatchAll_Ct&lt;22,$BC419=(Elig_MatchAll_Ct-1),AV419=0),U419,0)</f>
        <v>0</v>
      </c>
      <c r="CA419" s="186">
        <f>IF(AND(Input_Product=Elig!$C419,Elig_MatchAll_Ct&lt;22,$BC419=(Elig_MatchAll_Ct-1),AW419=0),V419,0)</f>
        <v>0</v>
      </c>
      <c r="CB419" s="187">
        <f>IF(AND(Input_Product=Elig!$C419,Elig_MatchAll_Ct&lt;22,$BC419=(Elig_MatchAll_Ct-1),AW419=0),W419,0)</f>
        <v>0</v>
      </c>
      <c r="CC419" s="186">
        <f>IF(AND(Input_Product=Elig!$C419,Elig_MatchAll_Ct&lt;22,$BC419=(Elig_MatchAll_Ct-1),AX419=0),X419,0)</f>
        <v>0</v>
      </c>
      <c r="CD419" s="187">
        <f>IF(AND(Input_Product=Elig!$C419,Elig_MatchAll_Ct&lt;22,$BC419=(Elig_MatchAll_Ct-1),AX419=0),Y419,0)</f>
        <v>0</v>
      </c>
      <c r="CE419" s="186">
        <f>IF(AND(Input_LTV&lt;=AE419,Input_Product=Elig!$C419,Elig_MatchAll_Ct&lt;22,$BC419=(Elig_MatchAll_Ct-1),AY419=0),Z419,0)</f>
        <v>0</v>
      </c>
      <c r="CF419" s="187">
        <f>IF(AND(Input_LTV&lt;=AE419,Input_Product=Elig!$C419,Elig_MatchAll_Ct&lt;22,$BC419=(Elig_MatchAll_Ct-1),AY419=0),AA419,0)</f>
        <v>0</v>
      </c>
      <c r="CG419" s="186">
        <f>IF(AND(Input_Product=Elig!$C419,Elig_MatchAll_Ct&lt;22,$BC419=(Elig_MatchAll_Ct-1),AZ419=0),AB419,0)</f>
        <v>0</v>
      </c>
      <c r="CH419" s="187">
        <f>IF(AND(Input_Product=Elig!$C419,Elig_MatchAll_Ct&lt;22,$BC419=(Elig_MatchAll_Ct-1),AZ419=0),AC419,0)</f>
        <v>0</v>
      </c>
      <c r="CI419" s="186">
        <f>IF(AND(Input_Product=Elig!$C419,Elig_MatchAll_Ct&lt;22,$BC419=(Elig_MatchAll_Ct-1),BA419=0),AD419,0)</f>
        <v>0</v>
      </c>
      <c r="CJ419" s="187">
        <f>IF(AND(Input_Product=Elig!$C419,Elig_MatchAll_Ct&lt;22,$BC419=(Elig_MatchAll_Ct-1),BA419=0),AE419,0)</f>
        <v>0</v>
      </c>
    </row>
    <row r="420" spans="1:88" ht="9.6" customHeight="1" x14ac:dyDescent="0.25">
      <c r="A420" s="261" t="s">
        <v>2507</v>
      </c>
      <c r="B420" s="261" t="s">
        <v>2498</v>
      </c>
      <c r="C420" s="1970" t="str">
        <f t="shared" si="140"/>
        <v>NonQM NOO</v>
      </c>
      <c r="D420" s="261" t="s">
        <v>1995</v>
      </c>
      <c r="E420" s="261" t="s">
        <v>166</v>
      </c>
      <c r="F420" s="261" t="s">
        <v>329</v>
      </c>
      <c r="G420" s="261" t="s">
        <v>180</v>
      </c>
      <c r="H420" s="261" t="s">
        <v>135</v>
      </c>
      <c r="I420" s="1544" t="s">
        <v>16</v>
      </c>
      <c r="J420" s="1544" t="s">
        <v>1130</v>
      </c>
      <c r="K420" s="1930" t="s">
        <v>2516</v>
      </c>
      <c r="L420" s="261" t="s">
        <v>311</v>
      </c>
      <c r="M420" s="261" t="s">
        <v>2289</v>
      </c>
      <c r="N420" s="261" t="s">
        <v>1844</v>
      </c>
      <c r="O420" s="1985" t="s">
        <v>2196</v>
      </c>
      <c r="P420" s="1985" t="s">
        <v>2422</v>
      </c>
      <c r="Q420" s="1985" t="s">
        <v>49</v>
      </c>
      <c r="R420" s="261">
        <v>1500000.01</v>
      </c>
      <c r="S420" s="261">
        <v>2000000</v>
      </c>
      <c r="T420" s="261">
        <v>0</v>
      </c>
      <c r="U420" s="261">
        <f t="shared" si="160"/>
        <v>2000000</v>
      </c>
      <c r="V420" s="261">
        <v>0</v>
      </c>
      <c r="W420" s="261">
        <v>50</v>
      </c>
      <c r="X420" s="276">
        <v>0.01</v>
      </c>
      <c r="Y420" s="261">
        <v>0.74999999999989997</v>
      </c>
      <c r="Z420" s="1883">
        <v>700</v>
      </c>
      <c r="AA420" s="1883">
        <v>719</v>
      </c>
      <c r="AB420" s="1883">
        <v>0</v>
      </c>
      <c r="AC420" s="1883">
        <v>999999</v>
      </c>
      <c r="AD420" s="261">
        <v>0</v>
      </c>
      <c r="AE420" s="1539">
        <v>70</v>
      </c>
      <c r="AF420" s="144">
        <v>0</v>
      </c>
      <c r="AG420" s="145">
        <v>1</v>
      </c>
      <c r="AH420" s="145">
        <v>1</v>
      </c>
      <c r="AI420" s="145">
        <v>1</v>
      </c>
      <c r="AJ420" s="145">
        <v>1</v>
      </c>
      <c r="AK420" s="145">
        <v>1</v>
      </c>
      <c r="AL420" s="145">
        <v>0</v>
      </c>
      <c r="AM420" s="145">
        <v>1</v>
      </c>
      <c r="AN420" s="145">
        <v>1</v>
      </c>
      <c r="AO420" s="145">
        <v>1</v>
      </c>
      <c r="AP420" s="145">
        <v>1</v>
      </c>
      <c r="AQ420" s="145">
        <v>1</v>
      </c>
      <c r="AR420" s="145">
        <v>1</v>
      </c>
      <c r="AS420" s="145">
        <v>1</v>
      </c>
      <c r="AT420" s="145">
        <v>0</v>
      </c>
      <c r="AU420" s="145">
        <f t="shared" si="148"/>
        <v>0</v>
      </c>
      <c r="AV420" s="145">
        <f t="shared" si="149"/>
        <v>1</v>
      </c>
      <c r="AW420" s="145">
        <f t="shared" si="150"/>
        <v>1</v>
      </c>
      <c r="AX420" s="145">
        <f t="shared" si="133"/>
        <v>0</v>
      </c>
      <c r="AY420" s="145">
        <f t="shared" si="151"/>
        <v>0</v>
      </c>
      <c r="AZ420" s="145">
        <f t="shared" si="152"/>
        <v>1</v>
      </c>
      <c r="BA420" s="146">
        <f t="shared" si="153"/>
        <v>1</v>
      </c>
      <c r="BB420" s="149">
        <f t="shared" si="156"/>
        <v>16</v>
      </c>
      <c r="BC420" s="150">
        <f t="shared" si="157"/>
        <v>15</v>
      </c>
      <c r="BD420" s="150">
        <f t="shared" si="158"/>
        <v>16</v>
      </c>
      <c r="BE420" s="211" t="str">
        <f t="shared" si="159"/>
        <v/>
      </c>
      <c r="BH420" s="173">
        <f>IF(AND(Input_Product=Elig!$C420,Elig_MatchAll_Ct&lt;22,$BC420=(Elig_MatchAll_Ct-1),AF420=0),C420,0)</f>
        <v>0</v>
      </c>
      <c r="BI420" s="173">
        <f>IF(AND(Input_Product=Elig!$C420,Elig_MatchAll_Ct&lt;22,$BC420=(Elig_MatchAll_Ct-1),AG420=0),D420,0)</f>
        <v>0</v>
      </c>
      <c r="BJ420" s="173">
        <f>IF(AND(Input_Product=Elig!$C420,Elig_MatchAll_Ct&lt;22,$BC420=(Elig_MatchAll_Ct-1),AH420=0),E420,0)</f>
        <v>0</v>
      </c>
      <c r="BK420" s="173">
        <f>IF(AND(Input_Product=Elig!$C420,Elig_MatchAll_Ct&lt;22,$BC420=(Elig_MatchAll_Ct-1),AI420=0),F420,0)</f>
        <v>0</v>
      </c>
      <c r="BL420" s="173">
        <f>IF(AND(Input_Product=Elig!$C420,Elig_MatchAll_Ct&lt;22,$BC420=(Elig_MatchAll_Ct-1),AJ420=0),G420,0)</f>
        <v>0</v>
      </c>
      <c r="BM420" s="173">
        <f>IF(AND(Input_Product=Elig!$C420,Elig_MatchAll_Ct&lt;22,$BC420=(Elig_MatchAll_Ct-1),AK420=0),H420,0)</f>
        <v>0</v>
      </c>
      <c r="BN420" s="173">
        <f>IF(AND(Input_Product=Elig!$C420,Elig_MatchAll_Ct&lt;22,$BC420=(Elig_MatchAll_Ct-1),AL420=0),I420,0)</f>
        <v>0</v>
      </c>
      <c r="BO420" s="173">
        <f>IF(AND(Input_Product=Elig!$C420,Elig_MatchAll_Ct&lt;22,$BC420=(Elig_MatchAll_Ct-1),AM420=0),J420,0)</f>
        <v>0</v>
      </c>
      <c r="BP420" s="173">
        <f>IF(AND(Input_Product=Elig!$C420,Elig_MatchAll_Ct&lt;22,$BC420=(Elig_MatchAll_Ct-1),AN420=0),K420,0)</f>
        <v>0</v>
      </c>
      <c r="BQ420" s="173">
        <f>IF(AND(Input_Product=Elig!$C420,Elig_MatchAll_Ct&lt;22,$BC420=(Elig_MatchAll_Ct-1),AP420=0),L420,0)</f>
        <v>0</v>
      </c>
      <c r="BR420" s="173">
        <f>IF(AND(Input_Product=Elig!$C420,Elig_MatchAll_Ct&lt;22,$BC420=(Elig_MatchAll_Ct-1),AO420=0),M420,0)</f>
        <v>0</v>
      </c>
      <c r="BS420" s="173">
        <f>IF(AND(Input_Product=Elig!$C420,Elig_MatchAll_Ct&lt;22,$BC420=(Elig_MatchAll_Ct-1),AQ420=0),N420,0)</f>
        <v>0</v>
      </c>
      <c r="BT420" s="173">
        <f>IF(AND(Input_Product=Elig!$C420,Elig_MatchAll_Ct&lt;22,$BC420=(Elig_MatchAll_Ct-1),AR420=0),O420,0)</f>
        <v>0</v>
      </c>
      <c r="BU420" s="173">
        <f>IF(AND(Input_Product=Elig!$C420,Elig_MatchAll_Ct&lt;22,$BC420=(Elig_MatchAll_Ct-1),AS420=0),P420,0)</f>
        <v>0</v>
      </c>
      <c r="BV420" s="174">
        <f>IF(AND(Input_Product=Elig!$C420,Elig_MatchAll_Ct&lt;22,$BC420=(Elig_MatchAll_Ct-1),AT420=0),Q420,0)</f>
        <v>0</v>
      </c>
      <c r="BW420" s="175">
        <f>IF(AND(Input_Product=Elig!$C420,Elig_MatchAll_Ct&lt;22,$BC420=(Elig_MatchAll_Ct-1),AU420=0),R420,0)</f>
        <v>0</v>
      </c>
      <c r="BX420" s="176">
        <f>IF(AND(Input_Product=Elig!$C420,Elig_MatchAll_Ct&lt;22,$BC420=(Elig_MatchAll_Ct-1),AU420=0),S420,0)</f>
        <v>0</v>
      </c>
      <c r="BY420" s="175">
        <f>IF(AND(Input_Product=Elig!$C420,Elig_MatchAll_Ct&lt;22,$BC420=(Elig_MatchAll_Ct-1),AV420=0),T420,0)</f>
        <v>0</v>
      </c>
      <c r="BZ420" s="176">
        <f>IF(AND(Input_Product=Elig!$C420,Elig_MatchAll_Ct&lt;22,$BC420=(Elig_MatchAll_Ct-1),AV420=0),U420,0)</f>
        <v>0</v>
      </c>
      <c r="CA420" s="175">
        <f>IF(AND(Input_Product=Elig!$C420,Elig_MatchAll_Ct&lt;22,$BC420=(Elig_MatchAll_Ct-1),AW420=0),V420,0)</f>
        <v>0</v>
      </c>
      <c r="CB420" s="176">
        <f>IF(AND(Input_Product=Elig!$C420,Elig_MatchAll_Ct&lt;22,$BC420=(Elig_MatchAll_Ct-1),AW420=0),W420,0)</f>
        <v>0</v>
      </c>
      <c r="CC420" s="175">
        <f>IF(AND(Input_Product=Elig!$C420,Elig_MatchAll_Ct&lt;22,$BC420=(Elig_MatchAll_Ct-1),AX420=0),X420,0)</f>
        <v>0</v>
      </c>
      <c r="CD420" s="176">
        <f>IF(AND(Input_Product=Elig!$C420,Elig_MatchAll_Ct&lt;22,$BC420=(Elig_MatchAll_Ct-1),AX420=0),Y420,0)</f>
        <v>0</v>
      </c>
      <c r="CE420" s="175">
        <f>IF(AND(Input_LTV&lt;=AE420,Input_Product=Elig!$C420,Elig_MatchAll_Ct&lt;22,$BC420=(Elig_MatchAll_Ct-1),AY420=0),Z420,0)</f>
        <v>0</v>
      </c>
      <c r="CF420" s="176">
        <f>IF(AND(Input_LTV&lt;=AE420,Input_Product=Elig!$C420,Elig_MatchAll_Ct&lt;22,$BC420=(Elig_MatchAll_Ct-1),AY420=0),AA420,0)</f>
        <v>0</v>
      </c>
      <c r="CG420" s="175">
        <f>IF(AND(Input_Product=Elig!$C420,Elig_MatchAll_Ct&lt;22,$BC420=(Elig_MatchAll_Ct-1),AZ420=0),AB420,0)</f>
        <v>0</v>
      </c>
      <c r="CH420" s="176">
        <f>IF(AND(Input_Product=Elig!$C420,Elig_MatchAll_Ct&lt;22,$BC420=(Elig_MatchAll_Ct-1),AZ420=0),AC420,0)</f>
        <v>0</v>
      </c>
      <c r="CI420" s="175">
        <f>IF(AND(Input_Product=Elig!$C420,Elig_MatchAll_Ct&lt;22,$BC420=(Elig_MatchAll_Ct-1),BA420=0),AD420,0)</f>
        <v>0</v>
      </c>
      <c r="CJ420" s="176">
        <f>IF(AND(Input_Product=Elig!$C420,Elig_MatchAll_Ct&lt;22,$BC420=(Elig_MatchAll_Ct-1),BA420=0),AE420,0)</f>
        <v>0</v>
      </c>
    </row>
    <row r="421" spans="1:88" ht="10.15" customHeight="1" x14ac:dyDescent="0.25">
      <c r="A421" s="261" t="s">
        <v>2507</v>
      </c>
      <c r="B421" s="261" t="s">
        <v>2514</v>
      </c>
      <c r="C421" s="1970" t="str">
        <f t="shared" si="140"/>
        <v>NonQM NOO</v>
      </c>
      <c r="D421" s="261" t="s">
        <v>1995</v>
      </c>
      <c r="E421" s="261" t="s">
        <v>166</v>
      </c>
      <c r="F421" s="261" t="s">
        <v>329</v>
      </c>
      <c r="G421" s="261" t="s">
        <v>180</v>
      </c>
      <c r="H421" s="261" t="s">
        <v>135</v>
      </c>
      <c r="I421" s="1544" t="s">
        <v>16</v>
      </c>
      <c r="J421" s="1544" t="s">
        <v>1130</v>
      </c>
      <c r="K421" s="1930" t="s">
        <v>2516</v>
      </c>
      <c r="L421" s="261" t="s">
        <v>311</v>
      </c>
      <c r="M421" s="261" t="s">
        <v>2289</v>
      </c>
      <c r="N421" s="261" t="s">
        <v>1844</v>
      </c>
      <c r="O421" s="1985" t="s">
        <v>2196</v>
      </c>
      <c r="P421" s="1985" t="s">
        <v>2422</v>
      </c>
      <c r="Q421" s="1985" t="s">
        <v>49</v>
      </c>
      <c r="R421" s="261">
        <v>1500000.01</v>
      </c>
      <c r="S421" s="261">
        <v>2000000</v>
      </c>
      <c r="T421" s="261">
        <v>0</v>
      </c>
      <c r="U421" s="261">
        <f t="shared" si="160"/>
        <v>2000000</v>
      </c>
      <c r="V421" s="261">
        <v>0</v>
      </c>
      <c r="W421" s="261">
        <v>50</v>
      </c>
      <c r="X421" s="276">
        <v>0.01</v>
      </c>
      <c r="Y421" s="261">
        <v>0.74999999999989997</v>
      </c>
      <c r="Z421" s="1883">
        <v>680</v>
      </c>
      <c r="AA421" s="1883">
        <v>699</v>
      </c>
      <c r="AB421" s="1883">
        <v>0</v>
      </c>
      <c r="AC421" s="1883">
        <v>999999</v>
      </c>
      <c r="AD421" s="261">
        <v>0</v>
      </c>
      <c r="AE421" s="1539">
        <v>65</v>
      </c>
      <c r="AF421" s="144">
        <v>0</v>
      </c>
      <c r="AG421" s="145">
        <v>1</v>
      </c>
      <c r="AH421" s="145">
        <v>1</v>
      </c>
      <c r="AI421" s="145">
        <v>1</v>
      </c>
      <c r="AJ421" s="145">
        <v>1</v>
      </c>
      <c r="AK421" s="145">
        <v>1</v>
      </c>
      <c r="AL421" s="145">
        <v>0</v>
      </c>
      <c r="AM421" s="145">
        <v>1</v>
      </c>
      <c r="AN421" s="145">
        <v>1</v>
      </c>
      <c r="AO421" s="145">
        <v>1</v>
      </c>
      <c r="AP421" s="145">
        <v>1</v>
      </c>
      <c r="AQ421" s="145">
        <v>1</v>
      </c>
      <c r="AR421" s="145">
        <v>1</v>
      </c>
      <c r="AS421" s="145">
        <v>1</v>
      </c>
      <c r="AT421" s="145">
        <v>0</v>
      </c>
      <c r="AU421" s="145">
        <f t="shared" si="148"/>
        <v>0</v>
      </c>
      <c r="AV421" s="145">
        <f t="shared" si="149"/>
        <v>1</v>
      </c>
      <c r="AW421" s="145">
        <f t="shared" si="150"/>
        <v>1</v>
      </c>
      <c r="AX421" s="145">
        <f t="shared" si="133"/>
        <v>0</v>
      </c>
      <c r="AY421" s="145">
        <f t="shared" si="151"/>
        <v>0</v>
      </c>
      <c r="AZ421" s="145">
        <f t="shared" si="152"/>
        <v>1</v>
      </c>
      <c r="BA421" s="146">
        <f t="shared" si="153"/>
        <v>0</v>
      </c>
      <c r="BB421" s="149">
        <f t="shared" si="156"/>
        <v>15</v>
      </c>
      <c r="BC421" s="150">
        <f t="shared" si="157"/>
        <v>15</v>
      </c>
      <c r="BD421" s="150">
        <f t="shared" si="158"/>
        <v>15</v>
      </c>
      <c r="BE421" s="211" t="str">
        <f t="shared" si="159"/>
        <v/>
      </c>
      <c r="BH421" s="173">
        <f>IF(AND(Input_Product=Elig!$C421,Elig_MatchAll_Ct&lt;22,$BC421=(Elig_MatchAll_Ct-1),AF421=0),C421,0)</f>
        <v>0</v>
      </c>
      <c r="BI421" s="173">
        <f>IF(AND(Input_Product=Elig!$C421,Elig_MatchAll_Ct&lt;22,$BC421=(Elig_MatchAll_Ct-1),AG421=0),D421,0)</f>
        <v>0</v>
      </c>
      <c r="BJ421" s="173">
        <f>IF(AND(Input_Product=Elig!$C421,Elig_MatchAll_Ct&lt;22,$BC421=(Elig_MatchAll_Ct-1),AH421=0),E421,0)</f>
        <v>0</v>
      </c>
      <c r="BK421" s="173">
        <f>IF(AND(Input_Product=Elig!$C421,Elig_MatchAll_Ct&lt;22,$BC421=(Elig_MatchAll_Ct-1),AI421=0),F421,0)</f>
        <v>0</v>
      </c>
      <c r="BL421" s="173">
        <f>IF(AND(Input_Product=Elig!$C421,Elig_MatchAll_Ct&lt;22,$BC421=(Elig_MatchAll_Ct-1),AJ421=0),G421,0)</f>
        <v>0</v>
      </c>
      <c r="BM421" s="173">
        <f>IF(AND(Input_Product=Elig!$C421,Elig_MatchAll_Ct&lt;22,$BC421=(Elig_MatchAll_Ct-1),AK421=0),H421,0)</f>
        <v>0</v>
      </c>
      <c r="BN421" s="173">
        <f>IF(AND(Input_Product=Elig!$C421,Elig_MatchAll_Ct&lt;22,$BC421=(Elig_MatchAll_Ct-1),AL421=0),I421,0)</f>
        <v>0</v>
      </c>
      <c r="BO421" s="173">
        <f>IF(AND(Input_Product=Elig!$C421,Elig_MatchAll_Ct&lt;22,$BC421=(Elig_MatchAll_Ct-1),AM421=0),J421,0)</f>
        <v>0</v>
      </c>
      <c r="BP421" s="173">
        <f>IF(AND(Input_Product=Elig!$C421,Elig_MatchAll_Ct&lt;22,$BC421=(Elig_MatchAll_Ct-1),AN421=0),K421,0)</f>
        <v>0</v>
      </c>
      <c r="BQ421" s="173">
        <f>IF(AND(Input_Product=Elig!$C421,Elig_MatchAll_Ct&lt;22,$BC421=(Elig_MatchAll_Ct-1),AP421=0),L421,0)</f>
        <v>0</v>
      </c>
      <c r="BR421" s="173">
        <f>IF(AND(Input_Product=Elig!$C421,Elig_MatchAll_Ct&lt;22,$BC421=(Elig_MatchAll_Ct-1),AO421=0),M421,0)</f>
        <v>0</v>
      </c>
      <c r="BS421" s="173">
        <f>IF(AND(Input_Product=Elig!$C421,Elig_MatchAll_Ct&lt;22,$BC421=(Elig_MatchAll_Ct-1),AQ421=0),N421,0)</f>
        <v>0</v>
      </c>
      <c r="BT421" s="173">
        <f>IF(AND(Input_Product=Elig!$C421,Elig_MatchAll_Ct&lt;22,$BC421=(Elig_MatchAll_Ct-1),AR421=0),O421,0)</f>
        <v>0</v>
      </c>
      <c r="BU421" s="173">
        <f>IF(AND(Input_Product=Elig!$C421,Elig_MatchAll_Ct&lt;22,$BC421=(Elig_MatchAll_Ct-1),AS421=0),P421,0)</f>
        <v>0</v>
      </c>
      <c r="BV421" s="174">
        <f>IF(AND(Input_Product=Elig!$C421,Elig_MatchAll_Ct&lt;22,$BC421=(Elig_MatchAll_Ct-1),AT421=0),Q421,0)</f>
        <v>0</v>
      </c>
      <c r="BW421" s="175">
        <f>IF(AND(Input_Product=Elig!$C421,Elig_MatchAll_Ct&lt;22,$BC421=(Elig_MatchAll_Ct-1),AU421=0),R421,0)</f>
        <v>0</v>
      </c>
      <c r="BX421" s="176">
        <f>IF(AND(Input_Product=Elig!$C421,Elig_MatchAll_Ct&lt;22,$BC421=(Elig_MatchAll_Ct-1),AU421=0),S421,0)</f>
        <v>0</v>
      </c>
      <c r="BY421" s="175">
        <f>IF(AND(Input_Product=Elig!$C421,Elig_MatchAll_Ct&lt;22,$BC421=(Elig_MatchAll_Ct-1),AV421=0),T421,0)</f>
        <v>0</v>
      </c>
      <c r="BZ421" s="176">
        <f>IF(AND(Input_Product=Elig!$C421,Elig_MatchAll_Ct&lt;22,$BC421=(Elig_MatchAll_Ct-1),AV421=0),U421,0)</f>
        <v>0</v>
      </c>
      <c r="CA421" s="175">
        <f>IF(AND(Input_Product=Elig!$C421,Elig_MatchAll_Ct&lt;22,$BC421=(Elig_MatchAll_Ct-1),AW421=0),V421,0)</f>
        <v>0</v>
      </c>
      <c r="CB421" s="176">
        <f>IF(AND(Input_Product=Elig!$C421,Elig_MatchAll_Ct&lt;22,$BC421=(Elig_MatchAll_Ct-1),AW421=0),W421,0)</f>
        <v>0</v>
      </c>
      <c r="CC421" s="175">
        <f>IF(AND(Input_Product=Elig!$C421,Elig_MatchAll_Ct&lt;22,$BC421=(Elig_MatchAll_Ct-1),AX421=0),X421,0)</f>
        <v>0</v>
      </c>
      <c r="CD421" s="176">
        <f>IF(AND(Input_Product=Elig!$C421,Elig_MatchAll_Ct&lt;22,$BC421=(Elig_MatchAll_Ct-1),AX421=0),Y421,0)</f>
        <v>0</v>
      </c>
      <c r="CE421" s="175">
        <f>IF(AND(Input_LTV&lt;=AE421,Input_Product=Elig!$C421,Elig_MatchAll_Ct&lt;22,$BC421=(Elig_MatchAll_Ct-1),AY421=0),Z421,0)</f>
        <v>0</v>
      </c>
      <c r="CF421" s="176">
        <f>IF(AND(Input_LTV&lt;=AE421,Input_Product=Elig!$C421,Elig_MatchAll_Ct&lt;22,$BC421=(Elig_MatchAll_Ct-1),AY421=0),AA421,0)</f>
        <v>0</v>
      </c>
      <c r="CG421" s="175">
        <f>IF(AND(Input_Product=Elig!$C421,Elig_MatchAll_Ct&lt;22,$BC421=(Elig_MatchAll_Ct-1),AZ421=0),AB421,0)</f>
        <v>0</v>
      </c>
      <c r="CH421" s="176">
        <f>IF(AND(Input_Product=Elig!$C421,Elig_MatchAll_Ct&lt;22,$BC421=(Elig_MatchAll_Ct-1),AZ421=0),AC421,0)</f>
        <v>0</v>
      </c>
      <c r="CI421" s="175">
        <f>IF(AND(Input_Product=Elig!$C421,Elig_MatchAll_Ct&lt;22,$BC421=(Elig_MatchAll_Ct-1),BA421=0),AD421,0)</f>
        <v>0</v>
      </c>
      <c r="CJ421" s="176">
        <f>IF(AND(Input_Product=Elig!$C421,Elig_MatchAll_Ct&lt;22,$BC421=(Elig_MatchAll_Ct-1),BA421=0),AE421,0)</f>
        <v>0</v>
      </c>
    </row>
    <row r="422" spans="1:88" ht="10.15" customHeight="1" x14ac:dyDescent="0.25">
      <c r="A422" s="252" t="s">
        <v>76</v>
      </c>
      <c r="B422" s="252" t="s">
        <v>2085</v>
      </c>
      <c r="C422" s="246" t="str">
        <f t="shared" si="140"/>
        <v>NonQM NOO</v>
      </c>
      <c r="D422" s="247" t="s">
        <v>1995</v>
      </c>
      <c r="E422" s="248" t="s">
        <v>166</v>
      </c>
      <c r="F422" s="248" t="s">
        <v>329</v>
      </c>
      <c r="G422" s="248" t="s">
        <v>302</v>
      </c>
      <c r="H422" s="248" t="s">
        <v>135</v>
      </c>
      <c r="I422" s="247" t="s">
        <v>273</v>
      </c>
      <c r="J422" s="247" t="s">
        <v>1130</v>
      </c>
      <c r="K422" s="247" t="s">
        <v>1398</v>
      </c>
      <c r="L422" s="248" t="s">
        <v>311</v>
      </c>
      <c r="M422" s="248" t="s">
        <v>2289</v>
      </c>
      <c r="N422" s="248" t="s">
        <v>1844</v>
      </c>
      <c r="O422" s="248" t="s">
        <v>309</v>
      </c>
      <c r="P422" s="248" t="s">
        <v>2434</v>
      </c>
      <c r="Q422" s="248" t="s">
        <v>293</v>
      </c>
      <c r="R422" s="247">
        <v>2000000.01</v>
      </c>
      <c r="S422" s="247">
        <v>2500000</v>
      </c>
      <c r="T422" s="247">
        <v>0</v>
      </c>
      <c r="U422" s="247">
        <v>0</v>
      </c>
      <c r="V422" s="247">
        <v>0</v>
      </c>
      <c r="W422" s="247">
        <v>50</v>
      </c>
      <c r="X422" s="247">
        <v>0</v>
      </c>
      <c r="Y422" s="247">
        <v>999</v>
      </c>
      <c r="Z422" s="249">
        <v>720</v>
      </c>
      <c r="AA422" s="249">
        <v>999</v>
      </c>
      <c r="AB422" s="1882">
        <v>0</v>
      </c>
      <c r="AC422" s="249">
        <v>999999</v>
      </c>
      <c r="AD422" s="247">
        <v>0</v>
      </c>
      <c r="AE422" s="250">
        <v>75</v>
      </c>
      <c r="AF422" s="144">
        <v>0</v>
      </c>
      <c r="AG422" s="145">
        <v>1</v>
      </c>
      <c r="AH422" s="145">
        <v>1</v>
      </c>
      <c r="AI422" s="145">
        <v>1</v>
      </c>
      <c r="AJ422" s="145">
        <v>0</v>
      </c>
      <c r="AK422" s="145">
        <v>1</v>
      </c>
      <c r="AL422" s="145">
        <v>1</v>
      </c>
      <c r="AM422" s="145">
        <v>1</v>
      </c>
      <c r="AN422" s="145">
        <v>1</v>
      </c>
      <c r="AO422" s="145">
        <v>1</v>
      </c>
      <c r="AP422" s="145">
        <v>1</v>
      </c>
      <c r="AQ422" s="145">
        <v>1</v>
      </c>
      <c r="AR422" s="145">
        <v>1</v>
      </c>
      <c r="AS422" s="145">
        <v>1</v>
      </c>
      <c r="AT422" s="145">
        <v>1</v>
      </c>
      <c r="AU422" s="145">
        <f t="shared" si="148"/>
        <v>0</v>
      </c>
      <c r="AV422" s="145">
        <f t="shared" si="149"/>
        <v>1</v>
      </c>
      <c r="AW422" s="145">
        <f t="shared" si="150"/>
        <v>1</v>
      </c>
      <c r="AX422" s="145">
        <f t="shared" si="133"/>
        <v>1</v>
      </c>
      <c r="AY422" s="145">
        <f t="shared" si="151"/>
        <v>1</v>
      </c>
      <c r="AZ422" s="145">
        <f t="shared" si="152"/>
        <v>1</v>
      </c>
      <c r="BA422" s="146">
        <f t="shared" si="153"/>
        <v>1</v>
      </c>
      <c r="BB422" s="149">
        <f t="shared" si="142"/>
        <v>19</v>
      </c>
      <c r="BC422" s="150">
        <f t="shared" si="143"/>
        <v>18</v>
      </c>
      <c r="BD422" s="150">
        <f t="shared" si="144"/>
        <v>19</v>
      </c>
      <c r="BE422" s="211" t="str">
        <f t="shared" si="145"/>
        <v/>
      </c>
      <c r="BH422" s="184">
        <f>IF(AND(Input_Product=Elig!$C422,Elig_MatchAll_Ct&lt;22,$BC422=(Elig_MatchAll_Ct-1),AF422=0),C422,0)</f>
        <v>0</v>
      </c>
      <c r="BI422" s="184">
        <f>IF(AND(Input_Product=Elig!$C422,Elig_MatchAll_Ct&lt;22,$BC422=(Elig_MatchAll_Ct-1),AG422=0),D422,0)</f>
        <v>0</v>
      </c>
      <c r="BJ422" s="184">
        <f>IF(AND(Input_Product=Elig!$C422,Elig_MatchAll_Ct&lt;22,$BC422=(Elig_MatchAll_Ct-1),AH422=0),E422,0)</f>
        <v>0</v>
      </c>
      <c r="BK422" s="184">
        <f>IF(AND(Input_Product=Elig!$C422,Elig_MatchAll_Ct&lt;22,$BC422=(Elig_MatchAll_Ct-1),AI422=0),F422,0)</f>
        <v>0</v>
      </c>
      <c r="BL422" s="184">
        <f>IF(AND(Input_Product=Elig!$C422,Elig_MatchAll_Ct&lt;22,$BC422=(Elig_MatchAll_Ct-1),AJ422=0),G422,0)</f>
        <v>0</v>
      </c>
      <c r="BM422" s="184">
        <f>IF(AND(Input_Product=Elig!$C422,Elig_MatchAll_Ct&lt;22,$BC422=(Elig_MatchAll_Ct-1),AK422=0),H422,0)</f>
        <v>0</v>
      </c>
      <c r="BN422" s="184">
        <f>IF(AND(Input_Product=Elig!$C422,Elig_MatchAll_Ct&lt;22,$BC422=(Elig_MatchAll_Ct-1),AL422=0),I422,0)</f>
        <v>0</v>
      </c>
      <c r="BO422" s="184">
        <f>IF(AND(Input_Product=Elig!$C422,Elig_MatchAll_Ct&lt;22,$BC422=(Elig_MatchAll_Ct-1),AM422=0),J422,0)</f>
        <v>0</v>
      </c>
      <c r="BP422" s="184">
        <f>IF(AND(Input_Product=Elig!$C422,Elig_MatchAll_Ct&lt;22,$BC422=(Elig_MatchAll_Ct-1),AN422=0),K422,0)</f>
        <v>0</v>
      </c>
      <c r="BQ422" s="184">
        <f>IF(AND(Input_Product=Elig!$C422,Elig_MatchAll_Ct&lt;22,$BC422=(Elig_MatchAll_Ct-1),AP422=0),L422,0)</f>
        <v>0</v>
      </c>
      <c r="BR422" s="184">
        <f>IF(AND(Input_Product=Elig!$C422,Elig_MatchAll_Ct&lt;22,$BC422=(Elig_MatchAll_Ct-1),AO422=0),M422,0)</f>
        <v>0</v>
      </c>
      <c r="BS422" s="184">
        <f>IF(AND(Input_Product=Elig!$C422,Elig_MatchAll_Ct&lt;22,$BC422=(Elig_MatchAll_Ct-1),AQ422=0),N422,0)</f>
        <v>0</v>
      </c>
      <c r="BT422" s="184">
        <f>IF(AND(Input_Product=Elig!$C422,Elig_MatchAll_Ct&lt;22,$BC422=(Elig_MatchAll_Ct-1),AR422=0),O422,0)</f>
        <v>0</v>
      </c>
      <c r="BU422" s="184">
        <f>IF(AND(Input_Product=Elig!$C422,Elig_MatchAll_Ct&lt;22,$BC422=(Elig_MatchAll_Ct-1),AS422=0),P422,0)</f>
        <v>0</v>
      </c>
      <c r="BV422" s="185">
        <f>IF(AND(Input_Product=Elig!$C422,Elig_MatchAll_Ct&lt;22,$BC422=(Elig_MatchAll_Ct-1),AT422=0),Q422,0)</f>
        <v>0</v>
      </c>
      <c r="BW422" s="186">
        <f>IF(AND(Input_Product=Elig!$C422,Elig_MatchAll_Ct&lt;22,$BC422=(Elig_MatchAll_Ct-1),AU422=0),R422,0)</f>
        <v>0</v>
      </c>
      <c r="BX422" s="187">
        <f>IF(AND(Input_Product=Elig!$C422,Elig_MatchAll_Ct&lt;22,$BC422=(Elig_MatchAll_Ct-1),AU422=0),S422,0)</f>
        <v>0</v>
      </c>
      <c r="BY422" s="186">
        <f>IF(AND(Input_Product=Elig!$C422,Elig_MatchAll_Ct&lt;22,$BC422=(Elig_MatchAll_Ct-1),AV422=0),T422,0)</f>
        <v>0</v>
      </c>
      <c r="BZ422" s="187">
        <f>IF(AND(Input_Product=Elig!$C422,Elig_MatchAll_Ct&lt;22,$BC422=(Elig_MatchAll_Ct-1),AV422=0),U422,0)</f>
        <v>0</v>
      </c>
      <c r="CA422" s="186">
        <f>IF(AND(Input_Product=Elig!$C422,Elig_MatchAll_Ct&lt;22,$BC422=(Elig_MatchAll_Ct-1),AW422=0),V422,0)</f>
        <v>0</v>
      </c>
      <c r="CB422" s="187">
        <f>IF(AND(Input_Product=Elig!$C422,Elig_MatchAll_Ct&lt;22,$BC422=(Elig_MatchAll_Ct-1),AW422=0),W422,0)</f>
        <v>0</v>
      </c>
      <c r="CC422" s="186">
        <f>IF(AND(Input_Product=Elig!$C422,Elig_MatchAll_Ct&lt;22,$BC422=(Elig_MatchAll_Ct-1),AX422=0),X422,0)</f>
        <v>0</v>
      </c>
      <c r="CD422" s="187">
        <f>IF(AND(Input_Product=Elig!$C422,Elig_MatchAll_Ct&lt;22,$BC422=(Elig_MatchAll_Ct-1),AX422=0),Y422,0)</f>
        <v>0</v>
      </c>
      <c r="CE422" s="186">
        <f>IF(AND(Input_LTV&lt;=AE422,Input_Product=Elig!$C422,Elig_MatchAll_Ct&lt;22,$BC422=(Elig_MatchAll_Ct-1),AY422=0),Z422,0)</f>
        <v>0</v>
      </c>
      <c r="CF422" s="187">
        <f>IF(AND(Input_LTV&lt;=AE422,Input_Product=Elig!$C422,Elig_MatchAll_Ct&lt;22,$BC422=(Elig_MatchAll_Ct-1),AY422=0),AA422,0)</f>
        <v>0</v>
      </c>
      <c r="CG422" s="186">
        <f>IF(AND(Input_Product=Elig!$C422,Elig_MatchAll_Ct&lt;22,$BC422=(Elig_MatchAll_Ct-1),AZ422=0),AB422,0)</f>
        <v>0</v>
      </c>
      <c r="CH422" s="187">
        <f>IF(AND(Input_Product=Elig!$C422,Elig_MatchAll_Ct&lt;22,$BC422=(Elig_MatchAll_Ct-1),AZ422=0),AC422,0)</f>
        <v>0</v>
      </c>
      <c r="CI422" s="186">
        <f>IF(AND(Input_Product=Elig!$C422,Elig_MatchAll_Ct&lt;22,$BC422=(Elig_MatchAll_Ct-1),BA422=0),AD422,0)</f>
        <v>0</v>
      </c>
      <c r="CJ422" s="187">
        <f>IF(AND(Input_Product=Elig!$C422,Elig_MatchAll_Ct&lt;22,$BC422=(Elig_MatchAll_Ct-1),BA422=0),AE422,0)</f>
        <v>0</v>
      </c>
    </row>
    <row r="423" spans="1:88" ht="10.15" customHeight="1" x14ac:dyDescent="0.25">
      <c r="A423" s="252" t="s">
        <v>76</v>
      </c>
      <c r="B423" s="252" t="s">
        <v>2086</v>
      </c>
      <c r="C423" s="251" t="str">
        <f t="shared" si="140"/>
        <v>NonQM NOO</v>
      </c>
      <c r="D423" s="252" t="s">
        <v>1995</v>
      </c>
      <c r="E423" s="252" t="s">
        <v>166</v>
      </c>
      <c r="F423" s="252" t="s">
        <v>329</v>
      </c>
      <c r="G423" s="252" t="s">
        <v>302</v>
      </c>
      <c r="H423" s="252" t="s">
        <v>135</v>
      </c>
      <c r="I423" s="253" t="s">
        <v>273</v>
      </c>
      <c r="J423" s="253" t="s">
        <v>1130</v>
      </c>
      <c r="K423" s="253" t="s">
        <v>1398</v>
      </c>
      <c r="L423" s="252" t="s">
        <v>311</v>
      </c>
      <c r="M423" s="252" t="s">
        <v>2289</v>
      </c>
      <c r="N423" s="252" t="s">
        <v>1844</v>
      </c>
      <c r="O423" s="252" t="s">
        <v>309</v>
      </c>
      <c r="P423" s="252" t="s">
        <v>2434</v>
      </c>
      <c r="Q423" s="252" t="s">
        <v>293</v>
      </c>
      <c r="R423" s="252">
        <v>2000000.01</v>
      </c>
      <c r="S423" s="252">
        <v>2500000</v>
      </c>
      <c r="T423" s="252">
        <v>0</v>
      </c>
      <c r="U423" s="252">
        <v>0</v>
      </c>
      <c r="V423" s="252">
        <v>0</v>
      </c>
      <c r="W423" s="252">
        <v>50</v>
      </c>
      <c r="X423" s="252">
        <v>0</v>
      </c>
      <c r="Y423" s="252">
        <v>999</v>
      </c>
      <c r="Z423" s="254">
        <v>700</v>
      </c>
      <c r="AA423" s="254">
        <v>719</v>
      </c>
      <c r="AB423" s="1883">
        <v>0</v>
      </c>
      <c r="AC423" s="254">
        <v>999999</v>
      </c>
      <c r="AD423" s="252">
        <v>0</v>
      </c>
      <c r="AE423" s="255">
        <v>75</v>
      </c>
      <c r="AF423" s="144">
        <v>0</v>
      </c>
      <c r="AG423" s="145">
        <v>1</v>
      </c>
      <c r="AH423" s="145">
        <v>1</v>
      </c>
      <c r="AI423" s="145">
        <v>1</v>
      </c>
      <c r="AJ423" s="145">
        <v>0</v>
      </c>
      <c r="AK423" s="145">
        <v>1</v>
      </c>
      <c r="AL423" s="145">
        <v>1</v>
      </c>
      <c r="AM423" s="145">
        <v>1</v>
      </c>
      <c r="AN423" s="145">
        <v>1</v>
      </c>
      <c r="AO423" s="145">
        <v>1</v>
      </c>
      <c r="AP423" s="145">
        <v>1</v>
      </c>
      <c r="AQ423" s="145">
        <v>1</v>
      </c>
      <c r="AR423" s="145">
        <v>1</v>
      </c>
      <c r="AS423" s="145">
        <v>1</v>
      </c>
      <c r="AT423" s="145">
        <v>1</v>
      </c>
      <c r="AU423" s="145">
        <f t="shared" si="148"/>
        <v>0</v>
      </c>
      <c r="AV423" s="145">
        <f t="shared" si="149"/>
        <v>1</v>
      </c>
      <c r="AW423" s="145">
        <f t="shared" si="150"/>
        <v>1</v>
      </c>
      <c r="AX423" s="145">
        <f t="shared" si="133"/>
        <v>1</v>
      </c>
      <c r="AY423" s="145">
        <f t="shared" si="151"/>
        <v>0</v>
      </c>
      <c r="AZ423" s="145">
        <f t="shared" si="152"/>
        <v>1</v>
      </c>
      <c r="BA423" s="146">
        <f t="shared" si="153"/>
        <v>1</v>
      </c>
      <c r="BB423" s="149">
        <f t="shared" si="142"/>
        <v>18</v>
      </c>
      <c r="BC423" s="150">
        <f t="shared" si="143"/>
        <v>17</v>
      </c>
      <c r="BD423" s="150">
        <f t="shared" si="144"/>
        <v>18</v>
      </c>
      <c r="BE423" s="211" t="str">
        <f t="shared" si="145"/>
        <v/>
      </c>
      <c r="BH423" s="173">
        <f>IF(AND(Input_Product=Elig!$C423,Elig_MatchAll_Ct&lt;22,$BC423=(Elig_MatchAll_Ct-1),AF423=0),C423,0)</f>
        <v>0</v>
      </c>
      <c r="BI423" s="173">
        <f>IF(AND(Input_Product=Elig!$C423,Elig_MatchAll_Ct&lt;22,$BC423=(Elig_MatchAll_Ct-1),AG423=0),D423,0)</f>
        <v>0</v>
      </c>
      <c r="BJ423" s="173">
        <f>IF(AND(Input_Product=Elig!$C423,Elig_MatchAll_Ct&lt;22,$BC423=(Elig_MatchAll_Ct-1),AH423=0),E423,0)</f>
        <v>0</v>
      </c>
      <c r="BK423" s="173">
        <f>IF(AND(Input_Product=Elig!$C423,Elig_MatchAll_Ct&lt;22,$BC423=(Elig_MatchAll_Ct-1),AI423=0),F423,0)</f>
        <v>0</v>
      </c>
      <c r="BL423" s="173">
        <f>IF(AND(Input_Product=Elig!$C423,Elig_MatchAll_Ct&lt;22,$BC423=(Elig_MatchAll_Ct-1),AJ423=0),G423,0)</f>
        <v>0</v>
      </c>
      <c r="BM423" s="173">
        <f>IF(AND(Input_Product=Elig!$C423,Elig_MatchAll_Ct&lt;22,$BC423=(Elig_MatchAll_Ct-1),AK423=0),H423,0)</f>
        <v>0</v>
      </c>
      <c r="BN423" s="173">
        <f>IF(AND(Input_Product=Elig!$C423,Elig_MatchAll_Ct&lt;22,$BC423=(Elig_MatchAll_Ct-1),AL423=0),I423,0)</f>
        <v>0</v>
      </c>
      <c r="BO423" s="173">
        <f>IF(AND(Input_Product=Elig!$C423,Elig_MatchAll_Ct&lt;22,$BC423=(Elig_MatchAll_Ct-1),AM423=0),J423,0)</f>
        <v>0</v>
      </c>
      <c r="BP423" s="173">
        <f>IF(AND(Input_Product=Elig!$C423,Elig_MatchAll_Ct&lt;22,$BC423=(Elig_MatchAll_Ct-1),AN423=0),K423,0)</f>
        <v>0</v>
      </c>
      <c r="BQ423" s="173">
        <f>IF(AND(Input_Product=Elig!$C423,Elig_MatchAll_Ct&lt;22,$BC423=(Elig_MatchAll_Ct-1),AP423=0),L423,0)</f>
        <v>0</v>
      </c>
      <c r="BR423" s="173">
        <f>IF(AND(Input_Product=Elig!$C423,Elig_MatchAll_Ct&lt;22,$BC423=(Elig_MatchAll_Ct-1),AO423=0),M423,0)</f>
        <v>0</v>
      </c>
      <c r="BS423" s="173">
        <f>IF(AND(Input_Product=Elig!$C423,Elig_MatchAll_Ct&lt;22,$BC423=(Elig_MatchAll_Ct-1),AQ423=0),N423,0)</f>
        <v>0</v>
      </c>
      <c r="BT423" s="173">
        <f>IF(AND(Input_Product=Elig!$C423,Elig_MatchAll_Ct&lt;22,$BC423=(Elig_MatchAll_Ct-1),AR423=0),O423,0)</f>
        <v>0</v>
      </c>
      <c r="BU423" s="173">
        <f>IF(AND(Input_Product=Elig!$C423,Elig_MatchAll_Ct&lt;22,$BC423=(Elig_MatchAll_Ct-1),AS423=0),P423,0)</f>
        <v>0</v>
      </c>
      <c r="BV423" s="174">
        <f>IF(AND(Input_Product=Elig!$C423,Elig_MatchAll_Ct&lt;22,$BC423=(Elig_MatchAll_Ct-1),AT423=0),Q423,0)</f>
        <v>0</v>
      </c>
      <c r="BW423" s="175">
        <f>IF(AND(Input_Product=Elig!$C423,Elig_MatchAll_Ct&lt;22,$BC423=(Elig_MatchAll_Ct-1),AU423=0),R423,0)</f>
        <v>0</v>
      </c>
      <c r="BX423" s="176">
        <f>IF(AND(Input_Product=Elig!$C423,Elig_MatchAll_Ct&lt;22,$BC423=(Elig_MatchAll_Ct-1),AU423=0),S423,0)</f>
        <v>0</v>
      </c>
      <c r="BY423" s="175">
        <f>IF(AND(Input_Product=Elig!$C423,Elig_MatchAll_Ct&lt;22,$BC423=(Elig_MatchAll_Ct-1),AV423=0),T423,0)</f>
        <v>0</v>
      </c>
      <c r="BZ423" s="176">
        <f>IF(AND(Input_Product=Elig!$C423,Elig_MatchAll_Ct&lt;22,$BC423=(Elig_MatchAll_Ct-1),AV423=0),U423,0)</f>
        <v>0</v>
      </c>
      <c r="CA423" s="175">
        <f>IF(AND(Input_Product=Elig!$C423,Elig_MatchAll_Ct&lt;22,$BC423=(Elig_MatchAll_Ct-1),AW423=0),V423,0)</f>
        <v>0</v>
      </c>
      <c r="CB423" s="176">
        <f>IF(AND(Input_Product=Elig!$C423,Elig_MatchAll_Ct&lt;22,$BC423=(Elig_MatchAll_Ct-1),AW423=0),W423,0)</f>
        <v>0</v>
      </c>
      <c r="CC423" s="175">
        <f>IF(AND(Input_Product=Elig!$C423,Elig_MatchAll_Ct&lt;22,$BC423=(Elig_MatchAll_Ct-1),AX423=0),X423,0)</f>
        <v>0</v>
      </c>
      <c r="CD423" s="176">
        <f>IF(AND(Input_Product=Elig!$C423,Elig_MatchAll_Ct&lt;22,$BC423=(Elig_MatchAll_Ct-1),AX423=0),Y423,0)</f>
        <v>0</v>
      </c>
      <c r="CE423" s="175">
        <f>IF(AND(Input_LTV&lt;=AE423,Input_Product=Elig!$C423,Elig_MatchAll_Ct&lt;22,$BC423=(Elig_MatchAll_Ct-1),AY423=0),Z423,0)</f>
        <v>0</v>
      </c>
      <c r="CF423" s="176">
        <f>IF(AND(Input_LTV&lt;=AE423,Input_Product=Elig!$C423,Elig_MatchAll_Ct&lt;22,$BC423=(Elig_MatchAll_Ct-1),AY423=0),AA423,0)</f>
        <v>0</v>
      </c>
      <c r="CG423" s="175">
        <f>IF(AND(Input_Product=Elig!$C423,Elig_MatchAll_Ct&lt;22,$BC423=(Elig_MatchAll_Ct-1),AZ423=0),AB423,0)</f>
        <v>0</v>
      </c>
      <c r="CH423" s="176">
        <f>IF(AND(Input_Product=Elig!$C423,Elig_MatchAll_Ct&lt;22,$BC423=(Elig_MatchAll_Ct-1),AZ423=0),AC423,0)</f>
        <v>0</v>
      </c>
      <c r="CI423" s="175">
        <f>IF(AND(Input_Product=Elig!$C423,Elig_MatchAll_Ct&lt;22,$BC423=(Elig_MatchAll_Ct-1),BA423=0),AD423,0)</f>
        <v>0</v>
      </c>
      <c r="CJ423" s="176">
        <f>IF(AND(Input_Product=Elig!$C423,Elig_MatchAll_Ct&lt;22,$BC423=(Elig_MatchAll_Ct-1),BA423=0),AE423,0)</f>
        <v>0</v>
      </c>
    </row>
    <row r="424" spans="1:88" ht="10.15" customHeight="1" x14ac:dyDescent="0.25">
      <c r="A424" s="252" t="s">
        <v>76</v>
      </c>
      <c r="B424" s="252" t="s">
        <v>2087</v>
      </c>
      <c r="C424" s="251" t="str">
        <f t="shared" si="140"/>
        <v>NonQM NOO</v>
      </c>
      <c r="D424" s="252" t="s">
        <v>1995</v>
      </c>
      <c r="E424" s="252" t="s">
        <v>166</v>
      </c>
      <c r="F424" s="252" t="s">
        <v>329</v>
      </c>
      <c r="G424" s="252" t="s">
        <v>302</v>
      </c>
      <c r="H424" s="252" t="s">
        <v>135</v>
      </c>
      <c r="I424" s="253" t="s">
        <v>273</v>
      </c>
      <c r="J424" s="253" t="s">
        <v>1130</v>
      </c>
      <c r="K424" s="253" t="s">
        <v>1398</v>
      </c>
      <c r="L424" s="252" t="s">
        <v>311</v>
      </c>
      <c r="M424" s="252" t="s">
        <v>2289</v>
      </c>
      <c r="N424" s="252" t="s">
        <v>1844</v>
      </c>
      <c r="O424" s="252" t="s">
        <v>309</v>
      </c>
      <c r="P424" s="252" t="s">
        <v>2434</v>
      </c>
      <c r="Q424" s="252" t="s">
        <v>293</v>
      </c>
      <c r="R424" s="252">
        <v>2000000.01</v>
      </c>
      <c r="S424" s="252">
        <v>2500000</v>
      </c>
      <c r="T424" s="252">
        <v>0</v>
      </c>
      <c r="U424" s="252">
        <v>0</v>
      </c>
      <c r="V424" s="252">
        <v>0</v>
      </c>
      <c r="W424" s="252">
        <v>50</v>
      </c>
      <c r="X424" s="252">
        <v>0</v>
      </c>
      <c r="Y424" s="252">
        <v>999</v>
      </c>
      <c r="Z424" s="254">
        <v>680</v>
      </c>
      <c r="AA424" s="254">
        <v>699</v>
      </c>
      <c r="AB424" s="1883">
        <v>0</v>
      </c>
      <c r="AC424" s="254">
        <v>999999</v>
      </c>
      <c r="AD424" s="252">
        <v>0</v>
      </c>
      <c r="AE424" s="255">
        <v>70</v>
      </c>
      <c r="AF424" s="144">
        <v>0</v>
      </c>
      <c r="AG424" s="145">
        <v>1</v>
      </c>
      <c r="AH424" s="145">
        <v>1</v>
      </c>
      <c r="AI424" s="145">
        <v>1</v>
      </c>
      <c r="AJ424" s="145">
        <v>0</v>
      </c>
      <c r="AK424" s="145">
        <v>1</v>
      </c>
      <c r="AL424" s="145">
        <v>1</v>
      </c>
      <c r="AM424" s="145">
        <v>1</v>
      </c>
      <c r="AN424" s="145">
        <v>1</v>
      </c>
      <c r="AO424" s="145">
        <v>1</v>
      </c>
      <c r="AP424" s="145">
        <v>1</v>
      </c>
      <c r="AQ424" s="145">
        <v>1</v>
      </c>
      <c r="AR424" s="145">
        <v>1</v>
      </c>
      <c r="AS424" s="145">
        <v>1</v>
      </c>
      <c r="AT424" s="145">
        <v>1</v>
      </c>
      <c r="AU424" s="145">
        <f t="shared" si="148"/>
        <v>0</v>
      </c>
      <c r="AV424" s="145">
        <f t="shared" si="149"/>
        <v>1</v>
      </c>
      <c r="AW424" s="145">
        <f t="shared" si="150"/>
        <v>1</v>
      </c>
      <c r="AX424" s="145">
        <f t="shared" si="133"/>
        <v>1</v>
      </c>
      <c r="AY424" s="145">
        <f t="shared" si="151"/>
        <v>0</v>
      </c>
      <c r="AZ424" s="145">
        <f t="shared" si="152"/>
        <v>1</v>
      </c>
      <c r="BA424" s="146">
        <f t="shared" si="153"/>
        <v>1</v>
      </c>
      <c r="BB424" s="149">
        <f t="shared" si="142"/>
        <v>18</v>
      </c>
      <c r="BC424" s="150">
        <f t="shared" si="143"/>
        <v>17</v>
      </c>
      <c r="BD424" s="150">
        <f t="shared" si="144"/>
        <v>18</v>
      </c>
      <c r="BE424" s="211" t="str">
        <f t="shared" si="145"/>
        <v/>
      </c>
      <c r="BH424" s="173">
        <f>IF(AND(Input_Product=Elig!$C424,Elig_MatchAll_Ct&lt;22,$BC424=(Elig_MatchAll_Ct-1),AF424=0),C424,0)</f>
        <v>0</v>
      </c>
      <c r="BI424" s="173">
        <f>IF(AND(Input_Product=Elig!$C424,Elig_MatchAll_Ct&lt;22,$BC424=(Elig_MatchAll_Ct-1),AG424=0),D424,0)</f>
        <v>0</v>
      </c>
      <c r="BJ424" s="173">
        <f>IF(AND(Input_Product=Elig!$C424,Elig_MatchAll_Ct&lt;22,$BC424=(Elig_MatchAll_Ct-1),AH424=0),E424,0)</f>
        <v>0</v>
      </c>
      <c r="BK424" s="173">
        <f>IF(AND(Input_Product=Elig!$C424,Elig_MatchAll_Ct&lt;22,$BC424=(Elig_MatchAll_Ct-1),AI424=0),F424,0)</f>
        <v>0</v>
      </c>
      <c r="BL424" s="173">
        <f>IF(AND(Input_Product=Elig!$C424,Elig_MatchAll_Ct&lt;22,$BC424=(Elig_MatchAll_Ct-1),AJ424=0),G424,0)</f>
        <v>0</v>
      </c>
      <c r="BM424" s="173">
        <f>IF(AND(Input_Product=Elig!$C424,Elig_MatchAll_Ct&lt;22,$BC424=(Elig_MatchAll_Ct-1),AK424=0),H424,0)</f>
        <v>0</v>
      </c>
      <c r="BN424" s="173">
        <f>IF(AND(Input_Product=Elig!$C424,Elig_MatchAll_Ct&lt;22,$BC424=(Elig_MatchAll_Ct-1),AL424=0),I424,0)</f>
        <v>0</v>
      </c>
      <c r="BO424" s="173">
        <f>IF(AND(Input_Product=Elig!$C424,Elig_MatchAll_Ct&lt;22,$BC424=(Elig_MatchAll_Ct-1),AM424=0),J424,0)</f>
        <v>0</v>
      </c>
      <c r="BP424" s="173">
        <f>IF(AND(Input_Product=Elig!$C424,Elig_MatchAll_Ct&lt;22,$BC424=(Elig_MatchAll_Ct-1),AN424=0),K424,0)</f>
        <v>0</v>
      </c>
      <c r="BQ424" s="173">
        <f>IF(AND(Input_Product=Elig!$C424,Elig_MatchAll_Ct&lt;22,$BC424=(Elig_MatchAll_Ct-1),AP424=0),L424,0)</f>
        <v>0</v>
      </c>
      <c r="BR424" s="173">
        <f>IF(AND(Input_Product=Elig!$C424,Elig_MatchAll_Ct&lt;22,$BC424=(Elig_MatchAll_Ct-1),AO424=0),M424,0)</f>
        <v>0</v>
      </c>
      <c r="BS424" s="173">
        <f>IF(AND(Input_Product=Elig!$C424,Elig_MatchAll_Ct&lt;22,$BC424=(Elig_MatchAll_Ct-1),AQ424=0),N424,0)</f>
        <v>0</v>
      </c>
      <c r="BT424" s="173">
        <f>IF(AND(Input_Product=Elig!$C424,Elig_MatchAll_Ct&lt;22,$BC424=(Elig_MatchAll_Ct-1),AR424=0),O424,0)</f>
        <v>0</v>
      </c>
      <c r="BU424" s="173">
        <f>IF(AND(Input_Product=Elig!$C424,Elig_MatchAll_Ct&lt;22,$BC424=(Elig_MatchAll_Ct-1),AS424=0),P424,0)</f>
        <v>0</v>
      </c>
      <c r="BV424" s="174">
        <f>IF(AND(Input_Product=Elig!$C424,Elig_MatchAll_Ct&lt;22,$BC424=(Elig_MatchAll_Ct-1),AT424=0),Q424,0)</f>
        <v>0</v>
      </c>
      <c r="BW424" s="175">
        <f>IF(AND(Input_Product=Elig!$C424,Elig_MatchAll_Ct&lt;22,$BC424=(Elig_MatchAll_Ct-1),AU424=0),R424,0)</f>
        <v>0</v>
      </c>
      <c r="BX424" s="176">
        <f>IF(AND(Input_Product=Elig!$C424,Elig_MatchAll_Ct&lt;22,$BC424=(Elig_MatchAll_Ct-1),AU424=0),S424,0)</f>
        <v>0</v>
      </c>
      <c r="BY424" s="175">
        <f>IF(AND(Input_Product=Elig!$C424,Elig_MatchAll_Ct&lt;22,$BC424=(Elig_MatchAll_Ct-1),AV424=0),T424,0)</f>
        <v>0</v>
      </c>
      <c r="BZ424" s="176">
        <f>IF(AND(Input_Product=Elig!$C424,Elig_MatchAll_Ct&lt;22,$BC424=(Elig_MatchAll_Ct-1),AV424=0),U424,0)</f>
        <v>0</v>
      </c>
      <c r="CA424" s="175">
        <f>IF(AND(Input_Product=Elig!$C424,Elig_MatchAll_Ct&lt;22,$BC424=(Elig_MatchAll_Ct-1),AW424=0),V424,0)</f>
        <v>0</v>
      </c>
      <c r="CB424" s="176">
        <f>IF(AND(Input_Product=Elig!$C424,Elig_MatchAll_Ct&lt;22,$BC424=(Elig_MatchAll_Ct-1),AW424=0),W424,0)</f>
        <v>0</v>
      </c>
      <c r="CC424" s="175">
        <f>IF(AND(Input_Product=Elig!$C424,Elig_MatchAll_Ct&lt;22,$BC424=(Elig_MatchAll_Ct-1),AX424=0),X424,0)</f>
        <v>0</v>
      </c>
      <c r="CD424" s="176">
        <f>IF(AND(Input_Product=Elig!$C424,Elig_MatchAll_Ct&lt;22,$BC424=(Elig_MatchAll_Ct-1),AX424=0),Y424,0)</f>
        <v>0</v>
      </c>
      <c r="CE424" s="175">
        <f>IF(AND(Input_LTV&lt;=AE424,Input_Product=Elig!$C424,Elig_MatchAll_Ct&lt;22,$BC424=(Elig_MatchAll_Ct-1),AY424=0),Z424,0)</f>
        <v>0</v>
      </c>
      <c r="CF424" s="176">
        <f>IF(AND(Input_LTV&lt;=AE424,Input_Product=Elig!$C424,Elig_MatchAll_Ct&lt;22,$BC424=(Elig_MatchAll_Ct-1),AY424=0),AA424,0)</f>
        <v>0</v>
      </c>
      <c r="CG424" s="175">
        <f>IF(AND(Input_Product=Elig!$C424,Elig_MatchAll_Ct&lt;22,$BC424=(Elig_MatchAll_Ct-1),AZ424=0),AB424,0)</f>
        <v>0</v>
      </c>
      <c r="CH424" s="176">
        <f>IF(AND(Input_Product=Elig!$C424,Elig_MatchAll_Ct&lt;22,$BC424=(Elig_MatchAll_Ct-1),AZ424=0),AC424,0)</f>
        <v>0</v>
      </c>
      <c r="CI424" s="175">
        <f>IF(AND(Input_Product=Elig!$C424,Elig_MatchAll_Ct&lt;22,$BC424=(Elig_MatchAll_Ct-1),BA424=0),AD424,0)</f>
        <v>0</v>
      </c>
      <c r="CJ424" s="176">
        <f>IF(AND(Input_Product=Elig!$C424,Elig_MatchAll_Ct&lt;22,$BC424=(Elig_MatchAll_Ct-1),BA424=0),AE424,0)</f>
        <v>0</v>
      </c>
    </row>
    <row r="425" spans="1:88" ht="10.15" customHeight="1" x14ac:dyDescent="0.25">
      <c r="A425" s="252" t="s">
        <v>76</v>
      </c>
      <c r="B425" s="252" t="s">
        <v>2088</v>
      </c>
      <c r="C425" s="256" t="str">
        <f t="shared" si="140"/>
        <v>NonQM NOO</v>
      </c>
      <c r="D425" s="257" t="s">
        <v>1995</v>
      </c>
      <c r="E425" s="257" t="s">
        <v>166</v>
      </c>
      <c r="F425" s="257" t="s">
        <v>329</v>
      </c>
      <c r="G425" s="257" t="s">
        <v>302</v>
      </c>
      <c r="H425" s="257" t="s">
        <v>135</v>
      </c>
      <c r="I425" s="260" t="s">
        <v>273</v>
      </c>
      <c r="J425" s="260" t="s">
        <v>1130</v>
      </c>
      <c r="K425" s="260" t="s">
        <v>1398</v>
      </c>
      <c r="L425" s="257" t="s">
        <v>311</v>
      </c>
      <c r="M425" s="257" t="s">
        <v>2289</v>
      </c>
      <c r="N425" s="257" t="s">
        <v>1844</v>
      </c>
      <c r="O425" s="257" t="s">
        <v>309</v>
      </c>
      <c r="P425" s="257" t="s">
        <v>2434</v>
      </c>
      <c r="Q425" s="257" t="s">
        <v>293</v>
      </c>
      <c r="R425" s="257">
        <v>2000000.01</v>
      </c>
      <c r="S425" s="257">
        <v>2500000</v>
      </c>
      <c r="T425" s="257">
        <v>0</v>
      </c>
      <c r="U425" s="257">
        <v>0</v>
      </c>
      <c r="V425" s="257">
        <v>0</v>
      </c>
      <c r="W425" s="257">
        <v>50</v>
      </c>
      <c r="X425" s="257">
        <v>0</v>
      </c>
      <c r="Y425" s="257">
        <v>999</v>
      </c>
      <c r="Z425" s="258">
        <v>660</v>
      </c>
      <c r="AA425" s="258">
        <v>679</v>
      </c>
      <c r="AB425" s="1884">
        <v>0</v>
      </c>
      <c r="AC425" s="258">
        <v>999999</v>
      </c>
      <c r="AD425" s="257">
        <v>0</v>
      </c>
      <c r="AE425" s="259">
        <v>70</v>
      </c>
      <c r="AF425" s="144">
        <v>0</v>
      </c>
      <c r="AG425" s="145">
        <v>1</v>
      </c>
      <c r="AH425" s="145">
        <v>1</v>
      </c>
      <c r="AI425" s="145">
        <v>1</v>
      </c>
      <c r="AJ425" s="145">
        <v>0</v>
      </c>
      <c r="AK425" s="145">
        <v>1</v>
      </c>
      <c r="AL425" s="145">
        <v>1</v>
      </c>
      <c r="AM425" s="145">
        <v>1</v>
      </c>
      <c r="AN425" s="145">
        <v>1</v>
      </c>
      <c r="AO425" s="145">
        <v>1</v>
      </c>
      <c r="AP425" s="145">
        <v>1</v>
      </c>
      <c r="AQ425" s="145">
        <v>1</v>
      </c>
      <c r="AR425" s="145">
        <v>1</v>
      </c>
      <c r="AS425" s="145">
        <v>1</v>
      </c>
      <c r="AT425" s="145">
        <v>1</v>
      </c>
      <c r="AU425" s="145">
        <f t="shared" si="148"/>
        <v>0</v>
      </c>
      <c r="AV425" s="145">
        <f t="shared" si="149"/>
        <v>1</v>
      </c>
      <c r="AW425" s="145">
        <f t="shared" si="150"/>
        <v>1</v>
      </c>
      <c r="AX425" s="145">
        <f t="shared" ref="AX425:AX536" si="161">IF(AND(Input_DSCR&gt;=Elig_DSCR_Min,Input_DSCR&lt;=Elig_DSCR_Max),1,0)</f>
        <v>1</v>
      </c>
      <c r="AY425" s="145">
        <f t="shared" si="151"/>
        <v>0</v>
      </c>
      <c r="AZ425" s="145">
        <f t="shared" si="152"/>
        <v>1</v>
      </c>
      <c r="BA425" s="146">
        <f t="shared" si="153"/>
        <v>1</v>
      </c>
      <c r="BB425" s="149">
        <f t="shared" si="142"/>
        <v>18</v>
      </c>
      <c r="BC425" s="150">
        <f t="shared" si="143"/>
        <v>17</v>
      </c>
      <c r="BD425" s="150">
        <f t="shared" si="144"/>
        <v>18</v>
      </c>
      <c r="BE425" s="211" t="str">
        <f t="shared" si="145"/>
        <v/>
      </c>
      <c r="BH425" s="188">
        <f>IF(AND(Input_Product=Elig!$C425,Elig_MatchAll_Ct&lt;22,$BC425=(Elig_MatchAll_Ct-1),AF425=0),C425,0)</f>
        <v>0</v>
      </c>
      <c r="BI425" s="188">
        <f>IF(AND(Input_Product=Elig!$C425,Elig_MatchAll_Ct&lt;22,$BC425=(Elig_MatchAll_Ct-1),AG425=0),D425,0)</f>
        <v>0</v>
      </c>
      <c r="BJ425" s="188">
        <f>IF(AND(Input_Product=Elig!$C425,Elig_MatchAll_Ct&lt;22,$BC425=(Elig_MatchAll_Ct-1),AH425=0),E425,0)</f>
        <v>0</v>
      </c>
      <c r="BK425" s="188">
        <f>IF(AND(Input_Product=Elig!$C425,Elig_MatchAll_Ct&lt;22,$BC425=(Elig_MatchAll_Ct-1),AI425=0),F425,0)</f>
        <v>0</v>
      </c>
      <c r="BL425" s="188">
        <f>IF(AND(Input_Product=Elig!$C425,Elig_MatchAll_Ct&lt;22,$BC425=(Elig_MatchAll_Ct-1),AJ425=0),G425,0)</f>
        <v>0</v>
      </c>
      <c r="BM425" s="188">
        <f>IF(AND(Input_Product=Elig!$C425,Elig_MatchAll_Ct&lt;22,$BC425=(Elig_MatchAll_Ct-1),AK425=0),H425,0)</f>
        <v>0</v>
      </c>
      <c r="BN425" s="188">
        <f>IF(AND(Input_Product=Elig!$C425,Elig_MatchAll_Ct&lt;22,$BC425=(Elig_MatchAll_Ct-1),AL425=0),I425,0)</f>
        <v>0</v>
      </c>
      <c r="BO425" s="188">
        <f>IF(AND(Input_Product=Elig!$C425,Elig_MatchAll_Ct&lt;22,$BC425=(Elig_MatchAll_Ct-1),AM425=0),J425,0)</f>
        <v>0</v>
      </c>
      <c r="BP425" s="188">
        <f>IF(AND(Input_Product=Elig!$C425,Elig_MatchAll_Ct&lt;22,$BC425=(Elig_MatchAll_Ct-1),AN425=0),K425,0)</f>
        <v>0</v>
      </c>
      <c r="BQ425" s="188">
        <f>IF(AND(Input_Product=Elig!$C425,Elig_MatchAll_Ct&lt;22,$BC425=(Elig_MatchAll_Ct-1),AP425=0),L425,0)</f>
        <v>0</v>
      </c>
      <c r="BR425" s="188">
        <f>IF(AND(Input_Product=Elig!$C425,Elig_MatchAll_Ct&lt;22,$BC425=(Elig_MatchAll_Ct-1),AO425=0),M425,0)</f>
        <v>0</v>
      </c>
      <c r="BS425" s="188">
        <f>IF(AND(Input_Product=Elig!$C425,Elig_MatchAll_Ct&lt;22,$BC425=(Elig_MatchAll_Ct-1),AQ425=0),N425,0)</f>
        <v>0</v>
      </c>
      <c r="BT425" s="188">
        <f>IF(AND(Input_Product=Elig!$C425,Elig_MatchAll_Ct&lt;22,$BC425=(Elig_MatchAll_Ct-1),AR425=0),O425,0)</f>
        <v>0</v>
      </c>
      <c r="BU425" s="188">
        <f>IF(AND(Input_Product=Elig!$C425,Elig_MatchAll_Ct&lt;22,$BC425=(Elig_MatchAll_Ct-1),AS425=0),P425,0)</f>
        <v>0</v>
      </c>
      <c r="BV425" s="189">
        <f>IF(AND(Input_Product=Elig!$C425,Elig_MatchAll_Ct&lt;22,$BC425=(Elig_MatchAll_Ct-1),AT425=0),Q425,0)</f>
        <v>0</v>
      </c>
      <c r="BW425" s="271">
        <f>IF(AND(Input_Product=Elig!$C425,Elig_MatchAll_Ct&lt;22,$BC425=(Elig_MatchAll_Ct-1),AU425=0),R425,0)</f>
        <v>0</v>
      </c>
      <c r="BX425" s="272">
        <f>IF(AND(Input_Product=Elig!$C425,Elig_MatchAll_Ct&lt;22,$BC425=(Elig_MatchAll_Ct-1),AU425=0),S425,0)</f>
        <v>0</v>
      </c>
      <c r="BY425" s="271">
        <f>IF(AND(Input_Product=Elig!$C425,Elig_MatchAll_Ct&lt;22,$BC425=(Elig_MatchAll_Ct-1),AV425=0),T425,0)</f>
        <v>0</v>
      </c>
      <c r="BZ425" s="272">
        <f>IF(AND(Input_Product=Elig!$C425,Elig_MatchAll_Ct&lt;22,$BC425=(Elig_MatchAll_Ct-1),AV425=0),U425,0)</f>
        <v>0</v>
      </c>
      <c r="CA425" s="271">
        <f>IF(AND(Input_Product=Elig!$C425,Elig_MatchAll_Ct&lt;22,$BC425=(Elig_MatchAll_Ct-1),AW425=0),V425,0)</f>
        <v>0</v>
      </c>
      <c r="CB425" s="272">
        <f>IF(AND(Input_Product=Elig!$C425,Elig_MatchAll_Ct&lt;22,$BC425=(Elig_MatchAll_Ct-1),AW425=0),W425,0)</f>
        <v>0</v>
      </c>
      <c r="CC425" s="271">
        <f>IF(AND(Input_Product=Elig!$C425,Elig_MatchAll_Ct&lt;22,$BC425=(Elig_MatchAll_Ct-1),AX425=0),X425,0)</f>
        <v>0</v>
      </c>
      <c r="CD425" s="272">
        <f>IF(AND(Input_Product=Elig!$C425,Elig_MatchAll_Ct&lt;22,$BC425=(Elig_MatchAll_Ct-1),AX425=0),Y425,0)</f>
        <v>0</v>
      </c>
      <c r="CE425" s="271">
        <f>IF(AND(Input_LTV&lt;=AE425,Input_Product=Elig!$C425,Elig_MatchAll_Ct&lt;22,$BC425=(Elig_MatchAll_Ct-1),AY425=0),Z425,0)</f>
        <v>0</v>
      </c>
      <c r="CF425" s="272">
        <f>IF(AND(Input_LTV&lt;=AE425,Input_Product=Elig!$C425,Elig_MatchAll_Ct&lt;22,$BC425=(Elig_MatchAll_Ct-1),AY425=0),AA425,0)</f>
        <v>0</v>
      </c>
      <c r="CG425" s="271">
        <f>IF(AND(Input_Product=Elig!$C425,Elig_MatchAll_Ct&lt;22,$BC425=(Elig_MatchAll_Ct-1),AZ425=0),AB425,0)</f>
        <v>0</v>
      </c>
      <c r="CH425" s="272">
        <f>IF(AND(Input_Product=Elig!$C425,Elig_MatchAll_Ct&lt;22,$BC425=(Elig_MatchAll_Ct-1),AZ425=0),AC425,0)</f>
        <v>0</v>
      </c>
      <c r="CI425" s="271">
        <f>IF(AND(Input_Product=Elig!$C425,Elig_MatchAll_Ct&lt;22,$BC425=(Elig_MatchAll_Ct-1),BA425=0),AD425,0)</f>
        <v>0</v>
      </c>
      <c r="CJ425" s="272">
        <f>IF(AND(Input_Product=Elig!$C425,Elig_MatchAll_Ct&lt;22,$BC425=(Elig_MatchAll_Ct-1),BA425=0),AE425,0)</f>
        <v>0</v>
      </c>
    </row>
    <row r="426" spans="1:88" ht="10.15" customHeight="1" x14ac:dyDescent="0.25">
      <c r="A426" s="252" t="s">
        <v>76</v>
      </c>
      <c r="B426" s="252" t="s">
        <v>2089</v>
      </c>
      <c r="C426" s="246" t="str">
        <f t="shared" si="140"/>
        <v>NonQM NOO</v>
      </c>
      <c r="D426" s="247" t="s">
        <v>1995</v>
      </c>
      <c r="E426" s="248" t="s">
        <v>166</v>
      </c>
      <c r="F426" s="248" t="s">
        <v>329</v>
      </c>
      <c r="G426" s="248" t="s">
        <v>302</v>
      </c>
      <c r="H426" s="248" t="s">
        <v>135</v>
      </c>
      <c r="I426" s="247" t="s">
        <v>16</v>
      </c>
      <c r="J426" s="247" t="s">
        <v>1130</v>
      </c>
      <c r="K426" s="247" t="s">
        <v>1398</v>
      </c>
      <c r="L426" s="248" t="s">
        <v>311</v>
      </c>
      <c r="M426" s="248" t="s">
        <v>2289</v>
      </c>
      <c r="N426" s="248" t="s">
        <v>1844</v>
      </c>
      <c r="O426" s="248" t="s">
        <v>309</v>
      </c>
      <c r="P426" s="248" t="s">
        <v>2434</v>
      </c>
      <c r="Q426" s="248" t="s">
        <v>293</v>
      </c>
      <c r="R426" s="247">
        <v>2000000.01</v>
      </c>
      <c r="S426" s="247">
        <v>2500000</v>
      </c>
      <c r="T426" s="247">
        <v>0</v>
      </c>
      <c r="U426" s="247">
        <f t="shared" ref="U426:U429" si="162">S426</f>
        <v>2500000</v>
      </c>
      <c r="V426" s="247">
        <v>0</v>
      </c>
      <c r="W426" s="247">
        <v>50</v>
      </c>
      <c r="X426" s="247">
        <v>0</v>
      </c>
      <c r="Y426" s="247">
        <v>999</v>
      </c>
      <c r="Z426" s="249">
        <v>720</v>
      </c>
      <c r="AA426" s="249">
        <v>999</v>
      </c>
      <c r="AB426" s="1882">
        <v>0</v>
      </c>
      <c r="AC426" s="249">
        <v>999999</v>
      </c>
      <c r="AD426" s="247">
        <v>0</v>
      </c>
      <c r="AE426" s="250">
        <v>70</v>
      </c>
      <c r="AF426" s="144">
        <v>0</v>
      </c>
      <c r="AG426" s="145">
        <v>1</v>
      </c>
      <c r="AH426" s="145">
        <v>1</v>
      </c>
      <c r="AI426" s="145">
        <v>1</v>
      </c>
      <c r="AJ426" s="145">
        <v>0</v>
      </c>
      <c r="AK426" s="145">
        <v>1</v>
      </c>
      <c r="AL426" s="145">
        <v>0</v>
      </c>
      <c r="AM426" s="145">
        <v>1</v>
      </c>
      <c r="AN426" s="145">
        <v>1</v>
      </c>
      <c r="AO426" s="145">
        <v>1</v>
      </c>
      <c r="AP426" s="145">
        <v>1</v>
      </c>
      <c r="AQ426" s="145">
        <v>1</v>
      </c>
      <c r="AR426" s="145">
        <v>1</v>
      </c>
      <c r="AS426" s="145">
        <v>1</v>
      </c>
      <c r="AT426" s="145">
        <v>1</v>
      </c>
      <c r="AU426" s="145">
        <f t="shared" si="148"/>
        <v>0</v>
      </c>
      <c r="AV426" s="145">
        <f t="shared" si="149"/>
        <v>1</v>
      </c>
      <c r="AW426" s="145">
        <f t="shared" si="150"/>
        <v>1</v>
      </c>
      <c r="AX426" s="145">
        <f t="shared" si="161"/>
        <v>1</v>
      </c>
      <c r="AY426" s="145">
        <f t="shared" si="151"/>
        <v>1</v>
      </c>
      <c r="AZ426" s="145">
        <f t="shared" si="152"/>
        <v>1</v>
      </c>
      <c r="BA426" s="146">
        <f t="shared" si="153"/>
        <v>1</v>
      </c>
      <c r="BB426" s="149">
        <f t="shared" si="142"/>
        <v>18</v>
      </c>
      <c r="BC426" s="150">
        <f t="shared" si="143"/>
        <v>17</v>
      </c>
      <c r="BD426" s="150">
        <f t="shared" si="144"/>
        <v>18</v>
      </c>
      <c r="BE426" s="211" t="str">
        <f t="shared" si="145"/>
        <v/>
      </c>
      <c r="BH426" s="184">
        <f>IF(AND(Input_Product=Elig!$C426,Elig_MatchAll_Ct&lt;22,$BC426=(Elig_MatchAll_Ct-1),AF426=0),C426,0)</f>
        <v>0</v>
      </c>
      <c r="BI426" s="184">
        <f>IF(AND(Input_Product=Elig!$C426,Elig_MatchAll_Ct&lt;22,$BC426=(Elig_MatchAll_Ct-1),AG426=0),D426,0)</f>
        <v>0</v>
      </c>
      <c r="BJ426" s="184">
        <f>IF(AND(Input_Product=Elig!$C426,Elig_MatchAll_Ct&lt;22,$BC426=(Elig_MatchAll_Ct-1),AH426=0),E426,0)</f>
        <v>0</v>
      </c>
      <c r="BK426" s="184">
        <f>IF(AND(Input_Product=Elig!$C426,Elig_MatchAll_Ct&lt;22,$BC426=(Elig_MatchAll_Ct-1),AI426=0),F426,0)</f>
        <v>0</v>
      </c>
      <c r="BL426" s="184">
        <f>IF(AND(Input_Product=Elig!$C426,Elig_MatchAll_Ct&lt;22,$BC426=(Elig_MatchAll_Ct-1),AJ426=0),G426,0)</f>
        <v>0</v>
      </c>
      <c r="BM426" s="184">
        <f>IF(AND(Input_Product=Elig!$C426,Elig_MatchAll_Ct&lt;22,$BC426=(Elig_MatchAll_Ct-1),AK426=0),H426,0)</f>
        <v>0</v>
      </c>
      <c r="BN426" s="184">
        <f>IF(AND(Input_Product=Elig!$C426,Elig_MatchAll_Ct&lt;22,$BC426=(Elig_MatchAll_Ct-1),AL426=0),I426,0)</f>
        <v>0</v>
      </c>
      <c r="BO426" s="184">
        <f>IF(AND(Input_Product=Elig!$C426,Elig_MatchAll_Ct&lt;22,$BC426=(Elig_MatchAll_Ct-1),AM426=0),J426,0)</f>
        <v>0</v>
      </c>
      <c r="BP426" s="184">
        <f>IF(AND(Input_Product=Elig!$C426,Elig_MatchAll_Ct&lt;22,$BC426=(Elig_MatchAll_Ct-1),AN426=0),K426,0)</f>
        <v>0</v>
      </c>
      <c r="BQ426" s="184">
        <f>IF(AND(Input_Product=Elig!$C426,Elig_MatchAll_Ct&lt;22,$BC426=(Elig_MatchAll_Ct-1),AP426=0),L426,0)</f>
        <v>0</v>
      </c>
      <c r="BR426" s="184">
        <f>IF(AND(Input_Product=Elig!$C426,Elig_MatchAll_Ct&lt;22,$BC426=(Elig_MatchAll_Ct-1),AO426=0),M426,0)</f>
        <v>0</v>
      </c>
      <c r="BS426" s="184">
        <f>IF(AND(Input_Product=Elig!$C426,Elig_MatchAll_Ct&lt;22,$BC426=(Elig_MatchAll_Ct-1),AQ426=0),N426,0)</f>
        <v>0</v>
      </c>
      <c r="BT426" s="184">
        <f>IF(AND(Input_Product=Elig!$C426,Elig_MatchAll_Ct&lt;22,$BC426=(Elig_MatchAll_Ct-1),AR426=0),O426,0)</f>
        <v>0</v>
      </c>
      <c r="BU426" s="184">
        <f>IF(AND(Input_Product=Elig!$C426,Elig_MatchAll_Ct&lt;22,$BC426=(Elig_MatchAll_Ct-1),AS426=0),P426,0)</f>
        <v>0</v>
      </c>
      <c r="BV426" s="185">
        <f>IF(AND(Input_Product=Elig!$C426,Elig_MatchAll_Ct&lt;22,$BC426=(Elig_MatchAll_Ct-1),AT426=0),Q426,0)</f>
        <v>0</v>
      </c>
      <c r="BW426" s="186">
        <f>IF(AND(Input_Product=Elig!$C426,Elig_MatchAll_Ct&lt;22,$BC426=(Elig_MatchAll_Ct-1),AU426=0),R426,0)</f>
        <v>0</v>
      </c>
      <c r="BX426" s="187">
        <f>IF(AND(Input_Product=Elig!$C426,Elig_MatchAll_Ct&lt;22,$BC426=(Elig_MatchAll_Ct-1),AU426=0),S426,0)</f>
        <v>0</v>
      </c>
      <c r="BY426" s="186">
        <f>IF(AND(Input_Product=Elig!$C426,Elig_MatchAll_Ct&lt;22,$BC426=(Elig_MatchAll_Ct-1),AV426=0),T426,0)</f>
        <v>0</v>
      </c>
      <c r="BZ426" s="187">
        <f>IF(AND(Input_Product=Elig!$C426,Elig_MatchAll_Ct&lt;22,$BC426=(Elig_MatchAll_Ct-1),AV426=0),U426,0)</f>
        <v>0</v>
      </c>
      <c r="CA426" s="186">
        <f>IF(AND(Input_Product=Elig!$C426,Elig_MatchAll_Ct&lt;22,$BC426=(Elig_MatchAll_Ct-1),AW426=0),V426,0)</f>
        <v>0</v>
      </c>
      <c r="CB426" s="187">
        <f>IF(AND(Input_Product=Elig!$C426,Elig_MatchAll_Ct&lt;22,$BC426=(Elig_MatchAll_Ct-1),AW426=0),W426,0)</f>
        <v>0</v>
      </c>
      <c r="CC426" s="186">
        <f>IF(AND(Input_Product=Elig!$C426,Elig_MatchAll_Ct&lt;22,$BC426=(Elig_MatchAll_Ct-1),AX426=0),X426,0)</f>
        <v>0</v>
      </c>
      <c r="CD426" s="187">
        <f>IF(AND(Input_Product=Elig!$C426,Elig_MatchAll_Ct&lt;22,$BC426=(Elig_MatchAll_Ct-1),AX426=0),Y426,0)</f>
        <v>0</v>
      </c>
      <c r="CE426" s="186">
        <f>IF(AND(Input_LTV&lt;=AE426,Input_Product=Elig!$C426,Elig_MatchAll_Ct&lt;22,$BC426=(Elig_MatchAll_Ct-1),AY426=0),Z426,0)</f>
        <v>0</v>
      </c>
      <c r="CF426" s="187">
        <f>IF(AND(Input_LTV&lt;=AE426,Input_Product=Elig!$C426,Elig_MatchAll_Ct&lt;22,$BC426=(Elig_MatchAll_Ct-1),AY426=0),AA426,0)</f>
        <v>0</v>
      </c>
      <c r="CG426" s="186">
        <f>IF(AND(Input_Product=Elig!$C426,Elig_MatchAll_Ct&lt;22,$BC426=(Elig_MatchAll_Ct-1),AZ426=0),AB426,0)</f>
        <v>0</v>
      </c>
      <c r="CH426" s="187">
        <f>IF(AND(Input_Product=Elig!$C426,Elig_MatchAll_Ct&lt;22,$BC426=(Elig_MatchAll_Ct-1),AZ426=0),AC426,0)</f>
        <v>0</v>
      </c>
      <c r="CI426" s="186">
        <f>IF(AND(Input_Product=Elig!$C426,Elig_MatchAll_Ct&lt;22,$BC426=(Elig_MatchAll_Ct-1),BA426=0),AD426,0)</f>
        <v>0</v>
      </c>
      <c r="CJ426" s="187">
        <f>IF(AND(Input_Product=Elig!$C426,Elig_MatchAll_Ct&lt;22,$BC426=(Elig_MatchAll_Ct-1),BA426=0),AE426,0)</f>
        <v>0</v>
      </c>
    </row>
    <row r="427" spans="1:88" ht="10.15" customHeight="1" x14ac:dyDescent="0.25">
      <c r="A427" s="252" t="s">
        <v>76</v>
      </c>
      <c r="B427" s="252" t="s">
        <v>2090</v>
      </c>
      <c r="C427" s="251" t="str">
        <f t="shared" si="140"/>
        <v>NonQM NOO</v>
      </c>
      <c r="D427" s="252" t="s">
        <v>1995</v>
      </c>
      <c r="E427" s="252" t="s">
        <v>166</v>
      </c>
      <c r="F427" s="252" t="s">
        <v>329</v>
      </c>
      <c r="G427" s="252" t="s">
        <v>302</v>
      </c>
      <c r="H427" s="252" t="s">
        <v>135</v>
      </c>
      <c r="I427" s="253" t="s">
        <v>16</v>
      </c>
      <c r="J427" s="253" t="s">
        <v>1130</v>
      </c>
      <c r="K427" s="253" t="s">
        <v>1398</v>
      </c>
      <c r="L427" s="252" t="s">
        <v>311</v>
      </c>
      <c r="M427" s="252" t="s">
        <v>2289</v>
      </c>
      <c r="N427" s="252" t="s">
        <v>1844</v>
      </c>
      <c r="O427" s="252" t="s">
        <v>309</v>
      </c>
      <c r="P427" s="252" t="s">
        <v>2434</v>
      </c>
      <c r="Q427" s="252" t="s">
        <v>293</v>
      </c>
      <c r="R427" s="252">
        <v>2000000.01</v>
      </c>
      <c r="S427" s="252">
        <v>2500000</v>
      </c>
      <c r="T427" s="252">
        <v>0</v>
      </c>
      <c r="U427" s="252">
        <f t="shared" si="162"/>
        <v>2500000</v>
      </c>
      <c r="V427" s="252">
        <v>0</v>
      </c>
      <c r="W427" s="252">
        <v>50</v>
      </c>
      <c r="X427" s="252">
        <v>0</v>
      </c>
      <c r="Y427" s="252">
        <v>999</v>
      </c>
      <c r="Z427" s="254">
        <v>700</v>
      </c>
      <c r="AA427" s="254">
        <v>719</v>
      </c>
      <c r="AB427" s="1883">
        <v>0</v>
      </c>
      <c r="AC427" s="254">
        <v>999999</v>
      </c>
      <c r="AD427" s="252">
        <v>0</v>
      </c>
      <c r="AE427" s="255">
        <v>65</v>
      </c>
      <c r="AF427" s="144">
        <v>0</v>
      </c>
      <c r="AG427" s="145">
        <v>1</v>
      </c>
      <c r="AH427" s="145">
        <v>1</v>
      </c>
      <c r="AI427" s="145">
        <v>1</v>
      </c>
      <c r="AJ427" s="145">
        <v>0</v>
      </c>
      <c r="AK427" s="145">
        <v>1</v>
      </c>
      <c r="AL427" s="145">
        <v>0</v>
      </c>
      <c r="AM427" s="145">
        <v>1</v>
      </c>
      <c r="AN427" s="145">
        <v>1</v>
      </c>
      <c r="AO427" s="145">
        <v>1</v>
      </c>
      <c r="AP427" s="145">
        <v>1</v>
      </c>
      <c r="AQ427" s="145">
        <v>1</v>
      </c>
      <c r="AR427" s="145">
        <v>1</v>
      </c>
      <c r="AS427" s="145">
        <v>1</v>
      </c>
      <c r="AT427" s="145">
        <v>1</v>
      </c>
      <c r="AU427" s="145">
        <f t="shared" si="148"/>
        <v>0</v>
      </c>
      <c r="AV427" s="145">
        <f t="shared" si="149"/>
        <v>1</v>
      </c>
      <c r="AW427" s="145">
        <f t="shared" si="150"/>
        <v>1</v>
      </c>
      <c r="AX427" s="145">
        <f t="shared" si="161"/>
        <v>1</v>
      </c>
      <c r="AY427" s="145">
        <f t="shared" si="151"/>
        <v>0</v>
      </c>
      <c r="AZ427" s="145">
        <f t="shared" si="152"/>
        <v>1</v>
      </c>
      <c r="BA427" s="146">
        <f t="shared" si="153"/>
        <v>0</v>
      </c>
      <c r="BB427" s="149">
        <f t="shared" si="142"/>
        <v>16</v>
      </c>
      <c r="BC427" s="150">
        <f t="shared" si="143"/>
        <v>16</v>
      </c>
      <c r="BD427" s="150">
        <f t="shared" si="144"/>
        <v>16</v>
      </c>
      <c r="BE427" s="211" t="str">
        <f t="shared" si="145"/>
        <v/>
      </c>
      <c r="BH427" s="173">
        <f>IF(AND(Input_Product=Elig!$C427,Elig_MatchAll_Ct&lt;22,$BC427=(Elig_MatchAll_Ct-1),AF427=0),C427,0)</f>
        <v>0</v>
      </c>
      <c r="BI427" s="173">
        <f>IF(AND(Input_Product=Elig!$C427,Elig_MatchAll_Ct&lt;22,$BC427=(Elig_MatchAll_Ct-1),AG427=0),D427,0)</f>
        <v>0</v>
      </c>
      <c r="BJ427" s="173">
        <f>IF(AND(Input_Product=Elig!$C427,Elig_MatchAll_Ct&lt;22,$BC427=(Elig_MatchAll_Ct-1),AH427=0),E427,0)</f>
        <v>0</v>
      </c>
      <c r="BK427" s="173">
        <f>IF(AND(Input_Product=Elig!$C427,Elig_MatchAll_Ct&lt;22,$BC427=(Elig_MatchAll_Ct-1),AI427=0),F427,0)</f>
        <v>0</v>
      </c>
      <c r="BL427" s="173">
        <f>IF(AND(Input_Product=Elig!$C427,Elig_MatchAll_Ct&lt;22,$BC427=(Elig_MatchAll_Ct-1),AJ427=0),G427,0)</f>
        <v>0</v>
      </c>
      <c r="BM427" s="173">
        <f>IF(AND(Input_Product=Elig!$C427,Elig_MatchAll_Ct&lt;22,$BC427=(Elig_MatchAll_Ct-1),AK427=0),H427,0)</f>
        <v>0</v>
      </c>
      <c r="BN427" s="173">
        <f>IF(AND(Input_Product=Elig!$C427,Elig_MatchAll_Ct&lt;22,$BC427=(Elig_MatchAll_Ct-1),AL427=0),I427,0)</f>
        <v>0</v>
      </c>
      <c r="BO427" s="173">
        <f>IF(AND(Input_Product=Elig!$C427,Elig_MatchAll_Ct&lt;22,$BC427=(Elig_MatchAll_Ct-1),AM427=0),J427,0)</f>
        <v>0</v>
      </c>
      <c r="BP427" s="173">
        <f>IF(AND(Input_Product=Elig!$C427,Elig_MatchAll_Ct&lt;22,$BC427=(Elig_MatchAll_Ct-1),AN427=0),K427,0)</f>
        <v>0</v>
      </c>
      <c r="BQ427" s="173">
        <f>IF(AND(Input_Product=Elig!$C427,Elig_MatchAll_Ct&lt;22,$BC427=(Elig_MatchAll_Ct-1),AP427=0),L427,0)</f>
        <v>0</v>
      </c>
      <c r="BR427" s="173">
        <f>IF(AND(Input_Product=Elig!$C427,Elig_MatchAll_Ct&lt;22,$BC427=(Elig_MatchAll_Ct-1),AO427=0),M427,0)</f>
        <v>0</v>
      </c>
      <c r="BS427" s="173">
        <f>IF(AND(Input_Product=Elig!$C427,Elig_MatchAll_Ct&lt;22,$BC427=(Elig_MatchAll_Ct-1),AQ427=0),N427,0)</f>
        <v>0</v>
      </c>
      <c r="BT427" s="173">
        <f>IF(AND(Input_Product=Elig!$C427,Elig_MatchAll_Ct&lt;22,$BC427=(Elig_MatchAll_Ct-1),AR427=0),O427,0)</f>
        <v>0</v>
      </c>
      <c r="BU427" s="173">
        <f>IF(AND(Input_Product=Elig!$C427,Elig_MatchAll_Ct&lt;22,$BC427=(Elig_MatchAll_Ct-1),AS427=0),P427,0)</f>
        <v>0</v>
      </c>
      <c r="BV427" s="174">
        <f>IF(AND(Input_Product=Elig!$C427,Elig_MatchAll_Ct&lt;22,$BC427=(Elig_MatchAll_Ct-1),AT427=0),Q427,0)</f>
        <v>0</v>
      </c>
      <c r="BW427" s="175">
        <f>IF(AND(Input_Product=Elig!$C427,Elig_MatchAll_Ct&lt;22,$BC427=(Elig_MatchAll_Ct-1),AU427=0),R427,0)</f>
        <v>0</v>
      </c>
      <c r="BX427" s="176">
        <f>IF(AND(Input_Product=Elig!$C427,Elig_MatchAll_Ct&lt;22,$BC427=(Elig_MatchAll_Ct-1),AU427=0),S427,0)</f>
        <v>0</v>
      </c>
      <c r="BY427" s="175">
        <f>IF(AND(Input_Product=Elig!$C427,Elig_MatchAll_Ct&lt;22,$BC427=(Elig_MatchAll_Ct-1),AV427=0),T427,0)</f>
        <v>0</v>
      </c>
      <c r="BZ427" s="176">
        <f>IF(AND(Input_Product=Elig!$C427,Elig_MatchAll_Ct&lt;22,$BC427=(Elig_MatchAll_Ct-1),AV427=0),U427,0)</f>
        <v>0</v>
      </c>
      <c r="CA427" s="175">
        <f>IF(AND(Input_Product=Elig!$C427,Elig_MatchAll_Ct&lt;22,$BC427=(Elig_MatchAll_Ct-1),AW427=0),V427,0)</f>
        <v>0</v>
      </c>
      <c r="CB427" s="176">
        <f>IF(AND(Input_Product=Elig!$C427,Elig_MatchAll_Ct&lt;22,$BC427=(Elig_MatchAll_Ct-1),AW427=0),W427,0)</f>
        <v>0</v>
      </c>
      <c r="CC427" s="175">
        <f>IF(AND(Input_Product=Elig!$C427,Elig_MatchAll_Ct&lt;22,$BC427=(Elig_MatchAll_Ct-1),AX427=0),X427,0)</f>
        <v>0</v>
      </c>
      <c r="CD427" s="176">
        <f>IF(AND(Input_Product=Elig!$C427,Elig_MatchAll_Ct&lt;22,$BC427=(Elig_MatchAll_Ct-1),AX427=0),Y427,0)</f>
        <v>0</v>
      </c>
      <c r="CE427" s="175">
        <f>IF(AND(Input_LTV&lt;=AE427,Input_Product=Elig!$C427,Elig_MatchAll_Ct&lt;22,$BC427=(Elig_MatchAll_Ct-1),AY427=0),Z427,0)</f>
        <v>0</v>
      </c>
      <c r="CF427" s="176">
        <f>IF(AND(Input_LTV&lt;=AE427,Input_Product=Elig!$C427,Elig_MatchAll_Ct&lt;22,$BC427=(Elig_MatchAll_Ct-1),AY427=0),AA427,0)</f>
        <v>0</v>
      </c>
      <c r="CG427" s="175">
        <f>IF(AND(Input_Product=Elig!$C427,Elig_MatchAll_Ct&lt;22,$BC427=(Elig_MatchAll_Ct-1),AZ427=0),AB427,0)</f>
        <v>0</v>
      </c>
      <c r="CH427" s="176">
        <f>IF(AND(Input_Product=Elig!$C427,Elig_MatchAll_Ct&lt;22,$BC427=(Elig_MatchAll_Ct-1),AZ427=0),AC427,0)</f>
        <v>0</v>
      </c>
      <c r="CI427" s="175">
        <f>IF(AND(Input_Product=Elig!$C427,Elig_MatchAll_Ct&lt;22,$BC427=(Elig_MatchAll_Ct-1),BA427=0),AD427,0)</f>
        <v>0</v>
      </c>
      <c r="CJ427" s="176">
        <f>IF(AND(Input_Product=Elig!$C427,Elig_MatchAll_Ct&lt;22,$BC427=(Elig_MatchAll_Ct-1),BA427=0),AE427,0)</f>
        <v>0</v>
      </c>
    </row>
    <row r="428" spans="1:88" ht="10.15" customHeight="1" x14ac:dyDescent="0.25">
      <c r="A428" s="252" t="s">
        <v>76</v>
      </c>
      <c r="B428" s="252" t="s">
        <v>2091</v>
      </c>
      <c r="C428" s="251" t="str">
        <f t="shared" si="140"/>
        <v>NonQM NOO</v>
      </c>
      <c r="D428" s="252" t="s">
        <v>1995</v>
      </c>
      <c r="E428" s="252" t="s">
        <v>166</v>
      </c>
      <c r="F428" s="252" t="s">
        <v>329</v>
      </c>
      <c r="G428" s="252" t="s">
        <v>302</v>
      </c>
      <c r="H428" s="252" t="s">
        <v>135</v>
      </c>
      <c r="I428" s="253" t="s">
        <v>16</v>
      </c>
      <c r="J428" s="253" t="s">
        <v>1130</v>
      </c>
      <c r="K428" s="253" t="s">
        <v>1398</v>
      </c>
      <c r="L428" s="252" t="s">
        <v>311</v>
      </c>
      <c r="M428" s="252" t="s">
        <v>2289</v>
      </c>
      <c r="N428" s="252" t="s">
        <v>1844</v>
      </c>
      <c r="O428" s="252" t="s">
        <v>309</v>
      </c>
      <c r="P428" s="252" t="s">
        <v>2434</v>
      </c>
      <c r="Q428" s="252" t="s">
        <v>293</v>
      </c>
      <c r="R428" s="252">
        <v>2000000.01</v>
      </c>
      <c r="S428" s="252">
        <v>2500000</v>
      </c>
      <c r="T428" s="252">
        <v>0</v>
      </c>
      <c r="U428" s="252">
        <f t="shared" ref="U428" si="163">S428</f>
        <v>2500000</v>
      </c>
      <c r="V428" s="252">
        <v>0</v>
      </c>
      <c r="W428" s="252">
        <v>50</v>
      </c>
      <c r="X428" s="252">
        <v>0</v>
      </c>
      <c r="Y428" s="252">
        <v>999</v>
      </c>
      <c r="Z428" s="254">
        <v>680</v>
      </c>
      <c r="AA428" s="254">
        <v>699</v>
      </c>
      <c r="AB428" s="1883">
        <v>0</v>
      </c>
      <c r="AC428" s="254">
        <v>999999</v>
      </c>
      <c r="AD428" s="252">
        <v>0</v>
      </c>
      <c r="AE428" s="255">
        <v>65</v>
      </c>
      <c r="AF428" s="144">
        <v>0</v>
      </c>
      <c r="AG428" s="145">
        <v>1</v>
      </c>
      <c r="AH428" s="145">
        <v>1</v>
      </c>
      <c r="AI428" s="145">
        <v>1</v>
      </c>
      <c r="AJ428" s="145">
        <v>0</v>
      </c>
      <c r="AK428" s="145">
        <v>1</v>
      </c>
      <c r="AL428" s="145">
        <v>0</v>
      </c>
      <c r="AM428" s="145">
        <v>1</v>
      </c>
      <c r="AN428" s="145">
        <v>1</v>
      </c>
      <c r="AO428" s="145">
        <v>1</v>
      </c>
      <c r="AP428" s="145">
        <v>1</v>
      </c>
      <c r="AQ428" s="145">
        <v>1</v>
      </c>
      <c r="AR428" s="145">
        <v>1</v>
      </c>
      <c r="AS428" s="145">
        <v>1</v>
      </c>
      <c r="AT428" s="145">
        <v>1</v>
      </c>
      <c r="AU428" s="145">
        <f t="shared" si="148"/>
        <v>0</v>
      </c>
      <c r="AV428" s="145">
        <f t="shared" si="149"/>
        <v>1</v>
      </c>
      <c r="AW428" s="145">
        <f t="shared" si="150"/>
        <v>1</v>
      </c>
      <c r="AX428" s="145">
        <f t="shared" si="161"/>
        <v>1</v>
      </c>
      <c r="AY428" s="145">
        <f t="shared" si="151"/>
        <v>0</v>
      </c>
      <c r="AZ428" s="145">
        <f t="shared" si="152"/>
        <v>1</v>
      </c>
      <c r="BA428" s="146">
        <f t="shared" si="153"/>
        <v>0</v>
      </c>
      <c r="BB428" s="149">
        <f t="shared" si="142"/>
        <v>16</v>
      </c>
      <c r="BC428" s="150">
        <f t="shared" si="143"/>
        <v>16</v>
      </c>
      <c r="BD428" s="150">
        <f t="shared" si="144"/>
        <v>16</v>
      </c>
      <c r="BE428" s="211" t="str">
        <f t="shared" si="145"/>
        <v/>
      </c>
      <c r="BH428" s="173">
        <f>IF(AND(Input_Product=Elig!$C428,Elig_MatchAll_Ct&lt;22,$BC428=(Elig_MatchAll_Ct-1),AF428=0),C428,0)</f>
        <v>0</v>
      </c>
      <c r="BI428" s="173">
        <f>IF(AND(Input_Product=Elig!$C428,Elig_MatchAll_Ct&lt;22,$BC428=(Elig_MatchAll_Ct-1),AG428=0),D428,0)</f>
        <v>0</v>
      </c>
      <c r="BJ428" s="173">
        <f>IF(AND(Input_Product=Elig!$C428,Elig_MatchAll_Ct&lt;22,$BC428=(Elig_MatchAll_Ct-1),AH428=0),E428,0)</f>
        <v>0</v>
      </c>
      <c r="BK428" s="173">
        <f>IF(AND(Input_Product=Elig!$C428,Elig_MatchAll_Ct&lt;22,$BC428=(Elig_MatchAll_Ct-1),AI428=0),F428,0)</f>
        <v>0</v>
      </c>
      <c r="BL428" s="173">
        <f>IF(AND(Input_Product=Elig!$C428,Elig_MatchAll_Ct&lt;22,$BC428=(Elig_MatchAll_Ct-1),AJ428=0),G428,0)</f>
        <v>0</v>
      </c>
      <c r="BM428" s="173">
        <f>IF(AND(Input_Product=Elig!$C428,Elig_MatchAll_Ct&lt;22,$BC428=(Elig_MatchAll_Ct-1),AK428=0),H428,0)</f>
        <v>0</v>
      </c>
      <c r="BN428" s="173">
        <f>IF(AND(Input_Product=Elig!$C428,Elig_MatchAll_Ct&lt;22,$BC428=(Elig_MatchAll_Ct-1),AL428=0),I428,0)</f>
        <v>0</v>
      </c>
      <c r="BO428" s="173">
        <f>IF(AND(Input_Product=Elig!$C428,Elig_MatchAll_Ct&lt;22,$BC428=(Elig_MatchAll_Ct-1),AM428=0),J428,0)</f>
        <v>0</v>
      </c>
      <c r="BP428" s="173">
        <f>IF(AND(Input_Product=Elig!$C428,Elig_MatchAll_Ct&lt;22,$BC428=(Elig_MatchAll_Ct-1),AN428=0),K428,0)</f>
        <v>0</v>
      </c>
      <c r="BQ428" s="173">
        <f>IF(AND(Input_Product=Elig!$C428,Elig_MatchAll_Ct&lt;22,$BC428=(Elig_MatchAll_Ct-1),AP428=0),L428,0)</f>
        <v>0</v>
      </c>
      <c r="BR428" s="173">
        <f>IF(AND(Input_Product=Elig!$C428,Elig_MatchAll_Ct&lt;22,$BC428=(Elig_MatchAll_Ct-1),AO428=0),M428,0)</f>
        <v>0</v>
      </c>
      <c r="BS428" s="173">
        <f>IF(AND(Input_Product=Elig!$C428,Elig_MatchAll_Ct&lt;22,$BC428=(Elig_MatchAll_Ct-1),AQ428=0),N428,0)</f>
        <v>0</v>
      </c>
      <c r="BT428" s="173">
        <f>IF(AND(Input_Product=Elig!$C428,Elig_MatchAll_Ct&lt;22,$BC428=(Elig_MatchAll_Ct-1),AR428=0),O428,0)</f>
        <v>0</v>
      </c>
      <c r="BU428" s="173">
        <f>IF(AND(Input_Product=Elig!$C428,Elig_MatchAll_Ct&lt;22,$BC428=(Elig_MatchAll_Ct-1),AS428=0),P428,0)</f>
        <v>0</v>
      </c>
      <c r="BV428" s="174">
        <f>IF(AND(Input_Product=Elig!$C428,Elig_MatchAll_Ct&lt;22,$BC428=(Elig_MatchAll_Ct-1),AT428=0),Q428,0)</f>
        <v>0</v>
      </c>
      <c r="BW428" s="175">
        <f>IF(AND(Input_Product=Elig!$C428,Elig_MatchAll_Ct&lt;22,$BC428=(Elig_MatchAll_Ct-1),AU428=0),R428,0)</f>
        <v>0</v>
      </c>
      <c r="BX428" s="176">
        <f>IF(AND(Input_Product=Elig!$C428,Elig_MatchAll_Ct&lt;22,$BC428=(Elig_MatchAll_Ct-1),AU428=0),S428,0)</f>
        <v>0</v>
      </c>
      <c r="BY428" s="175">
        <f>IF(AND(Input_Product=Elig!$C428,Elig_MatchAll_Ct&lt;22,$BC428=(Elig_MatchAll_Ct-1),AV428=0),T428,0)</f>
        <v>0</v>
      </c>
      <c r="BZ428" s="176">
        <f>IF(AND(Input_Product=Elig!$C428,Elig_MatchAll_Ct&lt;22,$BC428=(Elig_MatchAll_Ct-1),AV428=0),U428,0)</f>
        <v>0</v>
      </c>
      <c r="CA428" s="175">
        <f>IF(AND(Input_Product=Elig!$C428,Elig_MatchAll_Ct&lt;22,$BC428=(Elig_MatchAll_Ct-1),AW428=0),V428,0)</f>
        <v>0</v>
      </c>
      <c r="CB428" s="176">
        <f>IF(AND(Input_Product=Elig!$C428,Elig_MatchAll_Ct&lt;22,$BC428=(Elig_MatchAll_Ct-1),AW428=0),W428,0)</f>
        <v>0</v>
      </c>
      <c r="CC428" s="175">
        <f>IF(AND(Input_Product=Elig!$C428,Elig_MatchAll_Ct&lt;22,$BC428=(Elig_MatchAll_Ct-1),AX428=0),X428,0)</f>
        <v>0</v>
      </c>
      <c r="CD428" s="176">
        <f>IF(AND(Input_Product=Elig!$C428,Elig_MatchAll_Ct&lt;22,$BC428=(Elig_MatchAll_Ct-1),AX428=0),Y428,0)</f>
        <v>0</v>
      </c>
      <c r="CE428" s="175">
        <f>IF(AND(Input_LTV&lt;=AE428,Input_Product=Elig!$C428,Elig_MatchAll_Ct&lt;22,$BC428=(Elig_MatchAll_Ct-1),AY428=0),Z428,0)</f>
        <v>0</v>
      </c>
      <c r="CF428" s="176">
        <f>IF(AND(Input_LTV&lt;=AE428,Input_Product=Elig!$C428,Elig_MatchAll_Ct&lt;22,$BC428=(Elig_MatchAll_Ct-1),AY428=0),AA428,0)</f>
        <v>0</v>
      </c>
      <c r="CG428" s="175">
        <f>IF(AND(Input_Product=Elig!$C428,Elig_MatchAll_Ct&lt;22,$BC428=(Elig_MatchAll_Ct-1),AZ428=0),AB428,0)</f>
        <v>0</v>
      </c>
      <c r="CH428" s="176">
        <f>IF(AND(Input_Product=Elig!$C428,Elig_MatchAll_Ct&lt;22,$BC428=(Elig_MatchAll_Ct-1),AZ428=0),AC428,0)</f>
        <v>0</v>
      </c>
      <c r="CI428" s="175">
        <f>IF(AND(Input_Product=Elig!$C428,Elig_MatchAll_Ct&lt;22,$BC428=(Elig_MatchAll_Ct-1),BA428=0),AD428,0)</f>
        <v>0</v>
      </c>
      <c r="CJ428" s="176">
        <f>IF(AND(Input_Product=Elig!$C428,Elig_MatchAll_Ct&lt;22,$BC428=(Elig_MatchAll_Ct-1),BA428=0),AE428,0)</f>
        <v>0</v>
      </c>
    </row>
    <row r="429" spans="1:88" ht="10.15" customHeight="1" x14ac:dyDescent="0.25">
      <c r="A429" s="252" t="s">
        <v>76</v>
      </c>
      <c r="B429" s="252" t="s">
        <v>2092</v>
      </c>
      <c r="C429" s="256" t="str">
        <f t="shared" si="140"/>
        <v>NonQM NOO</v>
      </c>
      <c r="D429" s="257" t="s">
        <v>1995</v>
      </c>
      <c r="E429" s="257" t="s">
        <v>166</v>
      </c>
      <c r="F429" s="257" t="s">
        <v>329</v>
      </c>
      <c r="G429" s="257" t="s">
        <v>302</v>
      </c>
      <c r="H429" s="257" t="s">
        <v>135</v>
      </c>
      <c r="I429" s="260" t="s">
        <v>16</v>
      </c>
      <c r="J429" s="260" t="s">
        <v>1130</v>
      </c>
      <c r="K429" s="260" t="s">
        <v>1398</v>
      </c>
      <c r="L429" s="257" t="s">
        <v>311</v>
      </c>
      <c r="M429" s="257" t="s">
        <v>2289</v>
      </c>
      <c r="N429" s="257" t="s">
        <v>1844</v>
      </c>
      <c r="O429" s="257" t="s">
        <v>309</v>
      </c>
      <c r="P429" s="257" t="s">
        <v>2434</v>
      </c>
      <c r="Q429" s="257" t="s">
        <v>293</v>
      </c>
      <c r="R429" s="257">
        <v>2000000.01</v>
      </c>
      <c r="S429" s="257">
        <v>2500000</v>
      </c>
      <c r="T429" s="257">
        <v>0</v>
      </c>
      <c r="U429" s="257">
        <f t="shared" si="162"/>
        <v>2500000</v>
      </c>
      <c r="V429" s="257">
        <v>0</v>
      </c>
      <c r="W429" s="257">
        <v>50</v>
      </c>
      <c r="X429" s="257">
        <v>0</v>
      </c>
      <c r="Y429" s="257">
        <v>999</v>
      </c>
      <c r="Z429" s="258">
        <v>660</v>
      </c>
      <c r="AA429" s="258">
        <v>679</v>
      </c>
      <c r="AB429" s="1884">
        <v>0</v>
      </c>
      <c r="AC429" s="258">
        <v>999999</v>
      </c>
      <c r="AD429" s="257">
        <v>0</v>
      </c>
      <c r="AE429" s="259">
        <v>65</v>
      </c>
      <c r="AF429" s="144">
        <v>0</v>
      </c>
      <c r="AG429" s="145">
        <v>1</v>
      </c>
      <c r="AH429" s="145">
        <v>1</v>
      </c>
      <c r="AI429" s="145">
        <v>1</v>
      </c>
      <c r="AJ429" s="145">
        <v>0</v>
      </c>
      <c r="AK429" s="145">
        <v>1</v>
      </c>
      <c r="AL429" s="145">
        <v>0</v>
      </c>
      <c r="AM429" s="145">
        <v>1</v>
      </c>
      <c r="AN429" s="145">
        <v>1</v>
      </c>
      <c r="AO429" s="145">
        <v>1</v>
      </c>
      <c r="AP429" s="145">
        <v>1</v>
      </c>
      <c r="AQ429" s="145">
        <v>1</v>
      </c>
      <c r="AR429" s="145">
        <v>1</v>
      </c>
      <c r="AS429" s="145">
        <v>1</v>
      </c>
      <c r="AT429" s="145">
        <v>1</v>
      </c>
      <c r="AU429" s="145">
        <f t="shared" si="148"/>
        <v>0</v>
      </c>
      <c r="AV429" s="145">
        <f t="shared" si="149"/>
        <v>1</v>
      </c>
      <c r="AW429" s="145">
        <f t="shared" si="150"/>
        <v>1</v>
      </c>
      <c r="AX429" s="145">
        <f t="shared" si="161"/>
        <v>1</v>
      </c>
      <c r="AY429" s="145">
        <f t="shared" si="151"/>
        <v>0</v>
      </c>
      <c r="AZ429" s="145">
        <f t="shared" si="152"/>
        <v>1</v>
      </c>
      <c r="BA429" s="146">
        <f t="shared" si="153"/>
        <v>0</v>
      </c>
      <c r="BB429" s="149">
        <f t="shared" si="142"/>
        <v>16</v>
      </c>
      <c r="BC429" s="150">
        <f t="shared" si="143"/>
        <v>16</v>
      </c>
      <c r="BD429" s="150">
        <f t="shared" si="144"/>
        <v>16</v>
      </c>
      <c r="BE429" s="211" t="str">
        <f t="shared" si="145"/>
        <v/>
      </c>
      <c r="BH429" s="188">
        <f>IF(AND(Input_Product=Elig!$C429,Elig_MatchAll_Ct&lt;22,$BC429=(Elig_MatchAll_Ct-1),AF429=0),C429,0)</f>
        <v>0</v>
      </c>
      <c r="BI429" s="188">
        <f>IF(AND(Input_Product=Elig!$C429,Elig_MatchAll_Ct&lt;22,$BC429=(Elig_MatchAll_Ct-1),AG429=0),D429,0)</f>
        <v>0</v>
      </c>
      <c r="BJ429" s="188">
        <f>IF(AND(Input_Product=Elig!$C429,Elig_MatchAll_Ct&lt;22,$BC429=(Elig_MatchAll_Ct-1),AH429=0),E429,0)</f>
        <v>0</v>
      </c>
      <c r="BK429" s="188">
        <f>IF(AND(Input_Product=Elig!$C429,Elig_MatchAll_Ct&lt;22,$BC429=(Elig_MatchAll_Ct-1),AI429=0),F429,0)</f>
        <v>0</v>
      </c>
      <c r="BL429" s="188">
        <f>IF(AND(Input_Product=Elig!$C429,Elig_MatchAll_Ct&lt;22,$BC429=(Elig_MatchAll_Ct-1),AJ429=0),G429,0)</f>
        <v>0</v>
      </c>
      <c r="BM429" s="188">
        <f>IF(AND(Input_Product=Elig!$C429,Elig_MatchAll_Ct&lt;22,$BC429=(Elig_MatchAll_Ct-1),AK429=0),H429,0)</f>
        <v>0</v>
      </c>
      <c r="BN429" s="188">
        <f>IF(AND(Input_Product=Elig!$C429,Elig_MatchAll_Ct&lt;22,$BC429=(Elig_MatchAll_Ct-1),AL429=0),I429,0)</f>
        <v>0</v>
      </c>
      <c r="BO429" s="188">
        <f>IF(AND(Input_Product=Elig!$C429,Elig_MatchAll_Ct&lt;22,$BC429=(Elig_MatchAll_Ct-1),AM429=0),J429,0)</f>
        <v>0</v>
      </c>
      <c r="BP429" s="188">
        <f>IF(AND(Input_Product=Elig!$C429,Elig_MatchAll_Ct&lt;22,$BC429=(Elig_MatchAll_Ct-1),AN429=0),K429,0)</f>
        <v>0</v>
      </c>
      <c r="BQ429" s="188">
        <f>IF(AND(Input_Product=Elig!$C429,Elig_MatchAll_Ct&lt;22,$BC429=(Elig_MatchAll_Ct-1),AP429=0),L429,0)</f>
        <v>0</v>
      </c>
      <c r="BR429" s="188">
        <f>IF(AND(Input_Product=Elig!$C429,Elig_MatchAll_Ct&lt;22,$BC429=(Elig_MatchAll_Ct-1),AO429=0),M429,0)</f>
        <v>0</v>
      </c>
      <c r="BS429" s="188">
        <f>IF(AND(Input_Product=Elig!$C429,Elig_MatchAll_Ct&lt;22,$BC429=(Elig_MatchAll_Ct-1),AQ429=0),N429,0)</f>
        <v>0</v>
      </c>
      <c r="BT429" s="188">
        <f>IF(AND(Input_Product=Elig!$C429,Elig_MatchAll_Ct&lt;22,$BC429=(Elig_MatchAll_Ct-1),AR429=0),O429,0)</f>
        <v>0</v>
      </c>
      <c r="BU429" s="188">
        <f>IF(AND(Input_Product=Elig!$C429,Elig_MatchAll_Ct&lt;22,$BC429=(Elig_MatchAll_Ct-1),AS429=0),P429,0)</f>
        <v>0</v>
      </c>
      <c r="BV429" s="189">
        <f>IF(AND(Input_Product=Elig!$C429,Elig_MatchAll_Ct&lt;22,$BC429=(Elig_MatchAll_Ct-1),AT429=0),Q429,0)</f>
        <v>0</v>
      </c>
      <c r="BW429" s="271">
        <f>IF(AND(Input_Product=Elig!$C429,Elig_MatchAll_Ct&lt;22,$BC429=(Elig_MatchAll_Ct-1),AU429=0),R429,0)</f>
        <v>0</v>
      </c>
      <c r="BX429" s="272">
        <f>IF(AND(Input_Product=Elig!$C429,Elig_MatchAll_Ct&lt;22,$BC429=(Elig_MatchAll_Ct-1),AU429=0),S429,0)</f>
        <v>0</v>
      </c>
      <c r="BY429" s="271">
        <f>IF(AND(Input_Product=Elig!$C429,Elig_MatchAll_Ct&lt;22,$BC429=(Elig_MatchAll_Ct-1),AV429=0),T429,0)</f>
        <v>0</v>
      </c>
      <c r="BZ429" s="272">
        <f>IF(AND(Input_Product=Elig!$C429,Elig_MatchAll_Ct&lt;22,$BC429=(Elig_MatchAll_Ct-1),AV429=0),U429,0)</f>
        <v>0</v>
      </c>
      <c r="CA429" s="271">
        <f>IF(AND(Input_Product=Elig!$C429,Elig_MatchAll_Ct&lt;22,$BC429=(Elig_MatchAll_Ct-1),AW429=0),V429,0)</f>
        <v>0</v>
      </c>
      <c r="CB429" s="272">
        <f>IF(AND(Input_Product=Elig!$C429,Elig_MatchAll_Ct&lt;22,$BC429=(Elig_MatchAll_Ct-1),AW429=0),W429,0)</f>
        <v>0</v>
      </c>
      <c r="CC429" s="271">
        <f>IF(AND(Input_Product=Elig!$C429,Elig_MatchAll_Ct&lt;22,$BC429=(Elig_MatchAll_Ct-1),AX429=0),X429,0)</f>
        <v>0</v>
      </c>
      <c r="CD429" s="272">
        <f>IF(AND(Input_Product=Elig!$C429,Elig_MatchAll_Ct&lt;22,$BC429=(Elig_MatchAll_Ct-1),AX429=0),Y429,0)</f>
        <v>0</v>
      </c>
      <c r="CE429" s="271">
        <f>IF(AND(Input_LTV&lt;=AE429,Input_Product=Elig!$C429,Elig_MatchAll_Ct&lt;22,$BC429=(Elig_MatchAll_Ct-1),AY429=0),Z429,0)</f>
        <v>0</v>
      </c>
      <c r="CF429" s="272">
        <f>IF(AND(Input_LTV&lt;=AE429,Input_Product=Elig!$C429,Elig_MatchAll_Ct&lt;22,$BC429=(Elig_MatchAll_Ct-1),AY429=0),AA429,0)</f>
        <v>0</v>
      </c>
      <c r="CG429" s="271">
        <f>IF(AND(Input_Product=Elig!$C429,Elig_MatchAll_Ct&lt;22,$BC429=(Elig_MatchAll_Ct-1),AZ429=0),AB429,0)</f>
        <v>0</v>
      </c>
      <c r="CH429" s="272">
        <f>IF(AND(Input_Product=Elig!$C429,Elig_MatchAll_Ct&lt;22,$BC429=(Elig_MatchAll_Ct-1),AZ429=0),AC429,0)</f>
        <v>0</v>
      </c>
      <c r="CI429" s="271">
        <f>IF(AND(Input_Product=Elig!$C429,Elig_MatchAll_Ct&lt;22,$BC429=(Elig_MatchAll_Ct-1),BA429=0),AD429,0)</f>
        <v>0</v>
      </c>
      <c r="CJ429" s="272">
        <f>IF(AND(Input_Product=Elig!$C429,Elig_MatchAll_Ct&lt;22,$BC429=(Elig_MatchAll_Ct-1),BA429=0),AE429,0)</f>
        <v>0</v>
      </c>
    </row>
    <row r="430" spans="1:88" ht="10.15" customHeight="1" x14ac:dyDescent="0.25">
      <c r="A430" s="252" t="s">
        <v>76</v>
      </c>
      <c r="B430" s="252" t="s">
        <v>2093</v>
      </c>
      <c r="C430" s="246" t="str">
        <f t="shared" si="140"/>
        <v>NonQM NOO</v>
      </c>
      <c r="D430" s="247" t="s">
        <v>1995</v>
      </c>
      <c r="E430" s="248" t="s">
        <v>166</v>
      </c>
      <c r="F430" s="248" t="s">
        <v>329</v>
      </c>
      <c r="G430" s="248" t="s">
        <v>303</v>
      </c>
      <c r="H430" s="248" t="s">
        <v>444</v>
      </c>
      <c r="I430" s="247" t="s">
        <v>273</v>
      </c>
      <c r="J430" s="247" t="s">
        <v>1130</v>
      </c>
      <c r="K430" s="247" t="s">
        <v>1398</v>
      </c>
      <c r="L430" s="248" t="s">
        <v>311</v>
      </c>
      <c r="M430" s="248" t="s">
        <v>2289</v>
      </c>
      <c r="N430" s="248" t="s">
        <v>1844</v>
      </c>
      <c r="O430" s="248" t="s">
        <v>309</v>
      </c>
      <c r="P430" s="248" t="s">
        <v>2434</v>
      </c>
      <c r="Q430" s="248" t="s">
        <v>293</v>
      </c>
      <c r="R430" s="247">
        <v>2000000.01</v>
      </c>
      <c r="S430" s="247">
        <v>2500000</v>
      </c>
      <c r="T430" s="247">
        <v>0</v>
      </c>
      <c r="U430" s="247">
        <v>0</v>
      </c>
      <c r="V430" s="247">
        <v>0</v>
      </c>
      <c r="W430" s="247">
        <v>50</v>
      </c>
      <c r="X430" s="247">
        <v>0</v>
      </c>
      <c r="Y430" s="247">
        <v>999</v>
      </c>
      <c r="Z430" s="249">
        <v>720</v>
      </c>
      <c r="AA430" s="249">
        <v>999</v>
      </c>
      <c r="AB430" s="1882">
        <v>0</v>
      </c>
      <c r="AC430" s="249">
        <v>999999</v>
      </c>
      <c r="AD430" s="247">
        <v>0</v>
      </c>
      <c r="AE430" s="250">
        <v>75</v>
      </c>
      <c r="AF430" s="144">
        <v>0</v>
      </c>
      <c r="AG430" s="145">
        <v>1</v>
      </c>
      <c r="AH430" s="145">
        <v>1</v>
      </c>
      <c r="AI430" s="145">
        <v>1</v>
      </c>
      <c r="AJ430" s="145">
        <v>0</v>
      </c>
      <c r="AK430" s="145">
        <v>0</v>
      </c>
      <c r="AL430" s="145">
        <v>1</v>
      </c>
      <c r="AM430" s="145">
        <v>1</v>
      </c>
      <c r="AN430" s="145">
        <v>1</v>
      </c>
      <c r="AO430" s="145">
        <v>1</v>
      </c>
      <c r="AP430" s="145">
        <v>1</v>
      </c>
      <c r="AQ430" s="145">
        <v>1</v>
      </c>
      <c r="AR430" s="145">
        <v>1</v>
      </c>
      <c r="AS430" s="145">
        <v>1</v>
      </c>
      <c r="AT430" s="145">
        <v>1</v>
      </c>
      <c r="AU430" s="145">
        <f t="shared" si="148"/>
        <v>0</v>
      </c>
      <c r="AV430" s="145">
        <f t="shared" si="149"/>
        <v>1</v>
      </c>
      <c r="AW430" s="145">
        <f t="shared" si="150"/>
        <v>1</v>
      </c>
      <c r="AX430" s="145">
        <f t="shared" si="161"/>
        <v>1</v>
      </c>
      <c r="AY430" s="145">
        <f t="shared" si="151"/>
        <v>1</v>
      </c>
      <c r="AZ430" s="145">
        <f t="shared" si="152"/>
        <v>1</v>
      </c>
      <c r="BA430" s="146">
        <f t="shared" si="153"/>
        <v>1</v>
      </c>
      <c r="BB430" s="149">
        <f t="shared" si="142"/>
        <v>18</v>
      </c>
      <c r="BC430" s="150">
        <f t="shared" si="143"/>
        <v>17</v>
      </c>
      <c r="BD430" s="150">
        <f t="shared" si="144"/>
        <v>18</v>
      </c>
      <c r="BE430" s="211" t="str">
        <f t="shared" si="145"/>
        <v/>
      </c>
      <c r="BH430" s="184">
        <f>IF(AND(Input_Product=Elig!$C430,Elig_MatchAll_Ct&lt;22,$BC430=(Elig_MatchAll_Ct-1),AF430=0),C430,0)</f>
        <v>0</v>
      </c>
      <c r="BI430" s="184">
        <f>IF(AND(Input_Product=Elig!$C430,Elig_MatchAll_Ct&lt;22,$BC430=(Elig_MatchAll_Ct-1),AG430=0),D430,0)</f>
        <v>0</v>
      </c>
      <c r="BJ430" s="184">
        <f>IF(AND(Input_Product=Elig!$C430,Elig_MatchAll_Ct&lt;22,$BC430=(Elig_MatchAll_Ct-1),AH430=0),E430,0)</f>
        <v>0</v>
      </c>
      <c r="BK430" s="184">
        <f>IF(AND(Input_Product=Elig!$C430,Elig_MatchAll_Ct&lt;22,$BC430=(Elig_MatchAll_Ct-1),AI430=0),F430,0)</f>
        <v>0</v>
      </c>
      <c r="BL430" s="184">
        <f>IF(AND(Input_Product=Elig!$C430,Elig_MatchAll_Ct&lt;22,$BC430=(Elig_MatchAll_Ct-1),AJ430=0),G430,0)</f>
        <v>0</v>
      </c>
      <c r="BM430" s="184">
        <f>IF(AND(Input_Product=Elig!$C430,Elig_MatchAll_Ct&lt;22,$BC430=(Elig_MatchAll_Ct-1),AK430=0),H430,0)</f>
        <v>0</v>
      </c>
      <c r="BN430" s="184">
        <f>IF(AND(Input_Product=Elig!$C430,Elig_MatchAll_Ct&lt;22,$BC430=(Elig_MatchAll_Ct-1),AL430=0),I430,0)</f>
        <v>0</v>
      </c>
      <c r="BO430" s="184">
        <f>IF(AND(Input_Product=Elig!$C430,Elig_MatchAll_Ct&lt;22,$BC430=(Elig_MatchAll_Ct-1),AM430=0),J430,0)</f>
        <v>0</v>
      </c>
      <c r="BP430" s="184">
        <f>IF(AND(Input_Product=Elig!$C430,Elig_MatchAll_Ct&lt;22,$BC430=(Elig_MatchAll_Ct-1),AN430=0),K430,0)</f>
        <v>0</v>
      </c>
      <c r="BQ430" s="184">
        <f>IF(AND(Input_Product=Elig!$C430,Elig_MatchAll_Ct&lt;22,$BC430=(Elig_MatchAll_Ct-1),AP430=0),L430,0)</f>
        <v>0</v>
      </c>
      <c r="BR430" s="184">
        <f>IF(AND(Input_Product=Elig!$C430,Elig_MatchAll_Ct&lt;22,$BC430=(Elig_MatchAll_Ct-1),AO430=0),M430,0)</f>
        <v>0</v>
      </c>
      <c r="BS430" s="184">
        <f>IF(AND(Input_Product=Elig!$C430,Elig_MatchAll_Ct&lt;22,$BC430=(Elig_MatchAll_Ct-1),AQ430=0),N430,0)</f>
        <v>0</v>
      </c>
      <c r="BT430" s="184">
        <f>IF(AND(Input_Product=Elig!$C430,Elig_MatchAll_Ct&lt;22,$BC430=(Elig_MatchAll_Ct-1),AR430=0),O430,0)</f>
        <v>0</v>
      </c>
      <c r="BU430" s="184">
        <f>IF(AND(Input_Product=Elig!$C430,Elig_MatchAll_Ct&lt;22,$BC430=(Elig_MatchAll_Ct-1),AS430=0),P430,0)</f>
        <v>0</v>
      </c>
      <c r="BV430" s="185">
        <f>IF(AND(Input_Product=Elig!$C430,Elig_MatchAll_Ct&lt;22,$BC430=(Elig_MatchAll_Ct-1),AT430=0),Q430,0)</f>
        <v>0</v>
      </c>
      <c r="BW430" s="186">
        <f>IF(AND(Input_Product=Elig!$C430,Elig_MatchAll_Ct&lt;22,$BC430=(Elig_MatchAll_Ct-1),AU430=0),R430,0)</f>
        <v>0</v>
      </c>
      <c r="BX430" s="187">
        <f>IF(AND(Input_Product=Elig!$C430,Elig_MatchAll_Ct&lt;22,$BC430=(Elig_MatchAll_Ct-1),AU430=0),S430,0)</f>
        <v>0</v>
      </c>
      <c r="BY430" s="186">
        <f>IF(AND(Input_Product=Elig!$C430,Elig_MatchAll_Ct&lt;22,$BC430=(Elig_MatchAll_Ct-1),AV430=0),T430,0)</f>
        <v>0</v>
      </c>
      <c r="BZ430" s="187">
        <f>IF(AND(Input_Product=Elig!$C430,Elig_MatchAll_Ct&lt;22,$BC430=(Elig_MatchAll_Ct-1),AV430=0),U430,0)</f>
        <v>0</v>
      </c>
      <c r="CA430" s="186">
        <f>IF(AND(Input_Product=Elig!$C430,Elig_MatchAll_Ct&lt;22,$BC430=(Elig_MatchAll_Ct-1),AW430=0),V430,0)</f>
        <v>0</v>
      </c>
      <c r="CB430" s="187">
        <f>IF(AND(Input_Product=Elig!$C430,Elig_MatchAll_Ct&lt;22,$BC430=(Elig_MatchAll_Ct-1),AW430=0),W430,0)</f>
        <v>0</v>
      </c>
      <c r="CC430" s="186">
        <f>IF(AND(Input_Product=Elig!$C430,Elig_MatchAll_Ct&lt;22,$BC430=(Elig_MatchAll_Ct-1),AX430=0),X430,0)</f>
        <v>0</v>
      </c>
      <c r="CD430" s="187">
        <f>IF(AND(Input_Product=Elig!$C430,Elig_MatchAll_Ct&lt;22,$BC430=(Elig_MatchAll_Ct-1),AX430=0),Y430,0)</f>
        <v>0</v>
      </c>
      <c r="CE430" s="186">
        <f>IF(AND(Input_LTV&lt;=AE430,Input_Product=Elig!$C430,Elig_MatchAll_Ct&lt;22,$BC430=(Elig_MatchAll_Ct-1),AY430=0),Z430,0)</f>
        <v>0</v>
      </c>
      <c r="CF430" s="187">
        <f>IF(AND(Input_LTV&lt;=AE430,Input_Product=Elig!$C430,Elig_MatchAll_Ct&lt;22,$BC430=(Elig_MatchAll_Ct-1),AY430=0),AA430,0)</f>
        <v>0</v>
      </c>
      <c r="CG430" s="186">
        <f>IF(AND(Input_Product=Elig!$C430,Elig_MatchAll_Ct&lt;22,$BC430=(Elig_MatchAll_Ct-1),AZ430=0),AB430,0)</f>
        <v>0</v>
      </c>
      <c r="CH430" s="187">
        <f>IF(AND(Input_Product=Elig!$C430,Elig_MatchAll_Ct&lt;22,$BC430=(Elig_MatchAll_Ct-1),AZ430=0),AC430,0)</f>
        <v>0</v>
      </c>
      <c r="CI430" s="186">
        <f>IF(AND(Input_Product=Elig!$C430,Elig_MatchAll_Ct&lt;22,$BC430=(Elig_MatchAll_Ct-1),BA430=0),AD430,0)</f>
        <v>0</v>
      </c>
      <c r="CJ430" s="187">
        <f>IF(AND(Input_Product=Elig!$C430,Elig_MatchAll_Ct&lt;22,$BC430=(Elig_MatchAll_Ct-1),BA430=0),AE430,0)</f>
        <v>0</v>
      </c>
    </row>
    <row r="431" spans="1:88" ht="10.15" customHeight="1" x14ac:dyDescent="0.25">
      <c r="A431" s="252" t="s">
        <v>76</v>
      </c>
      <c r="B431" s="252" t="s">
        <v>2094</v>
      </c>
      <c r="C431" s="251" t="str">
        <f t="shared" si="140"/>
        <v>NonQM NOO</v>
      </c>
      <c r="D431" s="252" t="s">
        <v>1995</v>
      </c>
      <c r="E431" s="252" t="s">
        <v>166</v>
      </c>
      <c r="F431" s="252" t="s">
        <v>329</v>
      </c>
      <c r="G431" s="252" t="s">
        <v>303</v>
      </c>
      <c r="H431" s="252" t="s">
        <v>444</v>
      </c>
      <c r="I431" s="253" t="s">
        <v>273</v>
      </c>
      <c r="J431" s="253" t="s">
        <v>1130</v>
      </c>
      <c r="K431" s="253" t="s">
        <v>1398</v>
      </c>
      <c r="L431" s="252" t="s">
        <v>311</v>
      </c>
      <c r="M431" s="252" t="s">
        <v>2289</v>
      </c>
      <c r="N431" s="252" t="s">
        <v>1844</v>
      </c>
      <c r="O431" s="252" t="s">
        <v>309</v>
      </c>
      <c r="P431" s="252" t="s">
        <v>2434</v>
      </c>
      <c r="Q431" s="252" t="s">
        <v>293</v>
      </c>
      <c r="R431" s="252">
        <v>2000000.01</v>
      </c>
      <c r="S431" s="252">
        <v>2500000</v>
      </c>
      <c r="T431" s="252">
        <v>0</v>
      </c>
      <c r="U431" s="252">
        <v>0</v>
      </c>
      <c r="V431" s="252">
        <v>0</v>
      </c>
      <c r="W431" s="252">
        <v>50</v>
      </c>
      <c r="X431" s="252">
        <v>0</v>
      </c>
      <c r="Y431" s="252">
        <v>999</v>
      </c>
      <c r="Z431" s="254">
        <v>700</v>
      </c>
      <c r="AA431" s="254">
        <v>719</v>
      </c>
      <c r="AB431" s="1883">
        <v>0</v>
      </c>
      <c r="AC431" s="254">
        <v>999999</v>
      </c>
      <c r="AD431" s="252">
        <v>0</v>
      </c>
      <c r="AE431" s="255">
        <v>75</v>
      </c>
      <c r="AF431" s="144">
        <v>0</v>
      </c>
      <c r="AG431" s="145">
        <v>1</v>
      </c>
      <c r="AH431" s="145">
        <v>1</v>
      </c>
      <c r="AI431" s="145">
        <v>1</v>
      </c>
      <c r="AJ431" s="145">
        <v>0</v>
      </c>
      <c r="AK431" s="145">
        <v>0</v>
      </c>
      <c r="AL431" s="145">
        <v>1</v>
      </c>
      <c r="AM431" s="145">
        <v>1</v>
      </c>
      <c r="AN431" s="145">
        <v>1</v>
      </c>
      <c r="AO431" s="145">
        <v>1</v>
      </c>
      <c r="AP431" s="145">
        <v>1</v>
      </c>
      <c r="AQ431" s="145">
        <v>1</v>
      </c>
      <c r="AR431" s="145">
        <v>1</v>
      </c>
      <c r="AS431" s="145">
        <v>1</v>
      </c>
      <c r="AT431" s="145">
        <v>1</v>
      </c>
      <c r="AU431" s="145">
        <f t="shared" si="148"/>
        <v>0</v>
      </c>
      <c r="AV431" s="145">
        <f t="shared" si="149"/>
        <v>1</v>
      </c>
      <c r="AW431" s="145">
        <f t="shared" si="150"/>
        <v>1</v>
      </c>
      <c r="AX431" s="145">
        <f t="shared" si="161"/>
        <v>1</v>
      </c>
      <c r="AY431" s="145">
        <f t="shared" si="151"/>
        <v>0</v>
      </c>
      <c r="AZ431" s="145">
        <f t="shared" si="152"/>
        <v>1</v>
      </c>
      <c r="BA431" s="146">
        <f t="shared" si="153"/>
        <v>1</v>
      </c>
      <c r="BB431" s="149">
        <f t="shared" si="142"/>
        <v>17</v>
      </c>
      <c r="BC431" s="150">
        <f t="shared" si="143"/>
        <v>16</v>
      </c>
      <c r="BD431" s="150">
        <f t="shared" si="144"/>
        <v>17</v>
      </c>
      <c r="BE431" s="211" t="str">
        <f t="shared" si="145"/>
        <v/>
      </c>
      <c r="BH431" s="173">
        <f>IF(AND(Input_Product=Elig!$C431,Elig_MatchAll_Ct&lt;22,$BC431=(Elig_MatchAll_Ct-1),AF431=0),C431,0)</f>
        <v>0</v>
      </c>
      <c r="BI431" s="173">
        <f>IF(AND(Input_Product=Elig!$C431,Elig_MatchAll_Ct&lt;22,$BC431=(Elig_MatchAll_Ct-1),AG431=0),D431,0)</f>
        <v>0</v>
      </c>
      <c r="BJ431" s="173">
        <f>IF(AND(Input_Product=Elig!$C431,Elig_MatchAll_Ct&lt;22,$BC431=(Elig_MatchAll_Ct-1),AH431=0),E431,0)</f>
        <v>0</v>
      </c>
      <c r="BK431" s="173">
        <f>IF(AND(Input_Product=Elig!$C431,Elig_MatchAll_Ct&lt;22,$BC431=(Elig_MatchAll_Ct-1),AI431=0),F431,0)</f>
        <v>0</v>
      </c>
      <c r="BL431" s="173">
        <f>IF(AND(Input_Product=Elig!$C431,Elig_MatchAll_Ct&lt;22,$BC431=(Elig_MatchAll_Ct-1),AJ431=0),G431,0)</f>
        <v>0</v>
      </c>
      <c r="BM431" s="173">
        <f>IF(AND(Input_Product=Elig!$C431,Elig_MatchAll_Ct&lt;22,$BC431=(Elig_MatchAll_Ct-1),AK431=0),H431,0)</f>
        <v>0</v>
      </c>
      <c r="BN431" s="173">
        <f>IF(AND(Input_Product=Elig!$C431,Elig_MatchAll_Ct&lt;22,$BC431=(Elig_MatchAll_Ct-1),AL431=0),I431,0)</f>
        <v>0</v>
      </c>
      <c r="BO431" s="173">
        <f>IF(AND(Input_Product=Elig!$C431,Elig_MatchAll_Ct&lt;22,$BC431=(Elig_MatchAll_Ct-1),AM431=0),J431,0)</f>
        <v>0</v>
      </c>
      <c r="BP431" s="173">
        <f>IF(AND(Input_Product=Elig!$C431,Elig_MatchAll_Ct&lt;22,$BC431=(Elig_MatchAll_Ct-1),AN431=0),K431,0)</f>
        <v>0</v>
      </c>
      <c r="BQ431" s="173">
        <f>IF(AND(Input_Product=Elig!$C431,Elig_MatchAll_Ct&lt;22,$BC431=(Elig_MatchAll_Ct-1),AP431=0),L431,0)</f>
        <v>0</v>
      </c>
      <c r="BR431" s="173">
        <f>IF(AND(Input_Product=Elig!$C431,Elig_MatchAll_Ct&lt;22,$BC431=(Elig_MatchAll_Ct-1),AO431=0),M431,0)</f>
        <v>0</v>
      </c>
      <c r="BS431" s="173">
        <f>IF(AND(Input_Product=Elig!$C431,Elig_MatchAll_Ct&lt;22,$BC431=(Elig_MatchAll_Ct-1),AQ431=0),N431,0)</f>
        <v>0</v>
      </c>
      <c r="BT431" s="173">
        <f>IF(AND(Input_Product=Elig!$C431,Elig_MatchAll_Ct&lt;22,$BC431=(Elig_MatchAll_Ct-1),AR431=0),O431,0)</f>
        <v>0</v>
      </c>
      <c r="BU431" s="173">
        <f>IF(AND(Input_Product=Elig!$C431,Elig_MatchAll_Ct&lt;22,$BC431=(Elig_MatchAll_Ct-1),AS431=0),P431,0)</f>
        <v>0</v>
      </c>
      <c r="BV431" s="174">
        <f>IF(AND(Input_Product=Elig!$C431,Elig_MatchAll_Ct&lt;22,$BC431=(Elig_MatchAll_Ct-1),AT431=0),Q431,0)</f>
        <v>0</v>
      </c>
      <c r="BW431" s="175">
        <f>IF(AND(Input_Product=Elig!$C431,Elig_MatchAll_Ct&lt;22,$BC431=(Elig_MatchAll_Ct-1),AU431=0),R431,0)</f>
        <v>0</v>
      </c>
      <c r="BX431" s="176">
        <f>IF(AND(Input_Product=Elig!$C431,Elig_MatchAll_Ct&lt;22,$BC431=(Elig_MatchAll_Ct-1),AU431=0),S431,0)</f>
        <v>0</v>
      </c>
      <c r="BY431" s="175">
        <f>IF(AND(Input_Product=Elig!$C431,Elig_MatchAll_Ct&lt;22,$BC431=(Elig_MatchAll_Ct-1),AV431=0),T431,0)</f>
        <v>0</v>
      </c>
      <c r="BZ431" s="176">
        <f>IF(AND(Input_Product=Elig!$C431,Elig_MatchAll_Ct&lt;22,$BC431=(Elig_MatchAll_Ct-1),AV431=0),U431,0)</f>
        <v>0</v>
      </c>
      <c r="CA431" s="175">
        <f>IF(AND(Input_Product=Elig!$C431,Elig_MatchAll_Ct&lt;22,$BC431=(Elig_MatchAll_Ct-1),AW431=0),V431,0)</f>
        <v>0</v>
      </c>
      <c r="CB431" s="176">
        <f>IF(AND(Input_Product=Elig!$C431,Elig_MatchAll_Ct&lt;22,$BC431=(Elig_MatchAll_Ct-1),AW431=0),W431,0)</f>
        <v>0</v>
      </c>
      <c r="CC431" s="175">
        <f>IF(AND(Input_Product=Elig!$C431,Elig_MatchAll_Ct&lt;22,$BC431=(Elig_MatchAll_Ct-1),AX431=0),X431,0)</f>
        <v>0</v>
      </c>
      <c r="CD431" s="176">
        <f>IF(AND(Input_Product=Elig!$C431,Elig_MatchAll_Ct&lt;22,$BC431=(Elig_MatchAll_Ct-1),AX431=0),Y431,0)</f>
        <v>0</v>
      </c>
      <c r="CE431" s="175">
        <f>IF(AND(Input_LTV&lt;=AE431,Input_Product=Elig!$C431,Elig_MatchAll_Ct&lt;22,$BC431=(Elig_MatchAll_Ct-1),AY431=0),Z431,0)</f>
        <v>0</v>
      </c>
      <c r="CF431" s="176">
        <f>IF(AND(Input_LTV&lt;=AE431,Input_Product=Elig!$C431,Elig_MatchAll_Ct&lt;22,$BC431=(Elig_MatchAll_Ct-1),AY431=0),AA431,0)</f>
        <v>0</v>
      </c>
      <c r="CG431" s="175">
        <f>IF(AND(Input_Product=Elig!$C431,Elig_MatchAll_Ct&lt;22,$BC431=(Elig_MatchAll_Ct-1),AZ431=0),AB431,0)</f>
        <v>0</v>
      </c>
      <c r="CH431" s="176">
        <f>IF(AND(Input_Product=Elig!$C431,Elig_MatchAll_Ct&lt;22,$BC431=(Elig_MatchAll_Ct-1),AZ431=0),AC431,0)</f>
        <v>0</v>
      </c>
      <c r="CI431" s="175">
        <f>IF(AND(Input_Product=Elig!$C431,Elig_MatchAll_Ct&lt;22,$BC431=(Elig_MatchAll_Ct-1),BA431=0),AD431,0)</f>
        <v>0</v>
      </c>
      <c r="CJ431" s="176">
        <f>IF(AND(Input_Product=Elig!$C431,Elig_MatchAll_Ct&lt;22,$BC431=(Elig_MatchAll_Ct-1),BA431=0),AE431,0)</f>
        <v>0</v>
      </c>
    </row>
    <row r="432" spans="1:88" ht="10.15" customHeight="1" x14ac:dyDescent="0.25">
      <c r="A432" s="252" t="s">
        <v>76</v>
      </c>
      <c r="B432" s="252" t="s">
        <v>2095</v>
      </c>
      <c r="C432" s="251" t="str">
        <f t="shared" si="140"/>
        <v>NonQM NOO</v>
      </c>
      <c r="D432" s="252" t="s">
        <v>1995</v>
      </c>
      <c r="E432" s="252" t="s">
        <v>166</v>
      </c>
      <c r="F432" s="252" t="s">
        <v>329</v>
      </c>
      <c r="G432" s="252" t="s">
        <v>303</v>
      </c>
      <c r="H432" s="252" t="s">
        <v>444</v>
      </c>
      <c r="I432" s="253" t="s">
        <v>273</v>
      </c>
      <c r="J432" s="253" t="s">
        <v>1130</v>
      </c>
      <c r="K432" s="253" t="s">
        <v>1398</v>
      </c>
      <c r="L432" s="252" t="s">
        <v>311</v>
      </c>
      <c r="M432" s="252" t="s">
        <v>2289</v>
      </c>
      <c r="N432" s="252" t="s">
        <v>1844</v>
      </c>
      <c r="O432" s="252" t="s">
        <v>309</v>
      </c>
      <c r="P432" s="252" t="s">
        <v>2434</v>
      </c>
      <c r="Q432" s="252" t="s">
        <v>293</v>
      </c>
      <c r="R432" s="252">
        <v>2000000.01</v>
      </c>
      <c r="S432" s="252">
        <v>2500000</v>
      </c>
      <c r="T432" s="252">
        <v>0</v>
      </c>
      <c r="U432" s="252">
        <v>0</v>
      </c>
      <c r="V432" s="252">
        <v>0</v>
      </c>
      <c r="W432" s="252">
        <v>50</v>
      </c>
      <c r="X432" s="252">
        <v>0</v>
      </c>
      <c r="Y432" s="252">
        <v>999</v>
      </c>
      <c r="Z432" s="254">
        <v>680</v>
      </c>
      <c r="AA432" s="254">
        <v>699</v>
      </c>
      <c r="AB432" s="1883">
        <v>0</v>
      </c>
      <c r="AC432" s="254">
        <v>999999</v>
      </c>
      <c r="AD432" s="252">
        <v>0</v>
      </c>
      <c r="AE432" s="255">
        <v>70</v>
      </c>
      <c r="AF432" s="144">
        <v>0</v>
      </c>
      <c r="AG432" s="145">
        <v>1</v>
      </c>
      <c r="AH432" s="145">
        <v>1</v>
      </c>
      <c r="AI432" s="145">
        <v>1</v>
      </c>
      <c r="AJ432" s="145">
        <v>0</v>
      </c>
      <c r="AK432" s="145">
        <v>0</v>
      </c>
      <c r="AL432" s="145">
        <v>1</v>
      </c>
      <c r="AM432" s="145">
        <v>1</v>
      </c>
      <c r="AN432" s="145">
        <v>1</v>
      </c>
      <c r="AO432" s="145">
        <v>1</v>
      </c>
      <c r="AP432" s="145">
        <v>1</v>
      </c>
      <c r="AQ432" s="145">
        <v>1</v>
      </c>
      <c r="AR432" s="145">
        <v>1</v>
      </c>
      <c r="AS432" s="145">
        <v>1</v>
      </c>
      <c r="AT432" s="145">
        <v>1</v>
      </c>
      <c r="AU432" s="145">
        <f t="shared" si="148"/>
        <v>0</v>
      </c>
      <c r="AV432" s="145">
        <f t="shared" si="149"/>
        <v>1</v>
      </c>
      <c r="AW432" s="145">
        <f t="shared" si="150"/>
        <v>1</v>
      </c>
      <c r="AX432" s="145">
        <f t="shared" si="161"/>
        <v>1</v>
      </c>
      <c r="AY432" s="145">
        <f t="shared" si="151"/>
        <v>0</v>
      </c>
      <c r="AZ432" s="145">
        <f t="shared" si="152"/>
        <v>1</v>
      </c>
      <c r="BA432" s="146">
        <f t="shared" si="153"/>
        <v>1</v>
      </c>
      <c r="BB432" s="149">
        <f t="shared" si="142"/>
        <v>17</v>
      </c>
      <c r="BC432" s="150">
        <f t="shared" si="143"/>
        <v>16</v>
      </c>
      <c r="BD432" s="150">
        <f t="shared" si="144"/>
        <v>17</v>
      </c>
      <c r="BE432" s="211" t="str">
        <f t="shared" si="145"/>
        <v/>
      </c>
      <c r="BH432" s="173">
        <f>IF(AND(Input_Product=Elig!$C432,Elig_MatchAll_Ct&lt;22,$BC432=(Elig_MatchAll_Ct-1),AF432=0),C432,0)</f>
        <v>0</v>
      </c>
      <c r="BI432" s="173">
        <f>IF(AND(Input_Product=Elig!$C432,Elig_MatchAll_Ct&lt;22,$BC432=(Elig_MatchAll_Ct-1),AG432=0),D432,0)</f>
        <v>0</v>
      </c>
      <c r="BJ432" s="173">
        <f>IF(AND(Input_Product=Elig!$C432,Elig_MatchAll_Ct&lt;22,$BC432=(Elig_MatchAll_Ct-1),AH432=0),E432,0)</f>
        <v>0</v>
      </c>
      <c r="BK432" s="173">
        <f>IF(AND(Input_Product=Elig!$C432,Elig_MatchAll_Ct&lt;22,$BC432=(Elig_MatchAll_Ct-1),AI432=0),F432,0)</f>
        <v>0</v>
      </c>
      <c r="BL432" s="173">
        <f>IF(AND(Input_Product=Elig!$C432,Elig_MatchAll_Ct&lt;22,$BC432=(Elig_MatchAll_Ct-1),AJ432=0),G432,0)</f>
        <v>0</v>
      </c>
      <c r="BM432" s="173">
        <f>IF(AND(Input_Product=Elig!$C432,Elig_MatchAll_Ct&lt;22,$BC432=(Elig_MatchAll_Ct-1),AK432=0),H432,0)</f>
        <v>0</v>
      </c>
      <c r="BN432" s="173">
        <f>IF(AND(Input_Product=Elig!$C432,Elig_MatchAll_Ct&lt;22,$BC432=(Elig_MatchAll_Ct-1),AL432=0),I432,0)</f>
        <v>0</v>
      </c>
      <c r="BO432" s="173">
        <f>IF(AND(Input_Product=Elig!$C432,Elig_MatchAll_Ct&lt;22,$BC432=(Elig_MatchAll_Ct-1),AM432=0),J432,0)</f>
        <v>0</v>
      </c>
      <c r="BP432" s="173">
        <f>IF(AND(Input_Product=Elig!$C432,Elig_MatchAll_Ct&lt;22,$BC432=(Elig_MatchAll_Ct-1),AN432=0),K432,0)</f>
        <v>0</v>
      </c>
      <c r="BQ432" s="173">
        <f>IF(AND(Input_Product=Elig!$C432,Elig_MatchAll_Ct&lt;22,$BC432=(Elig_MatchAll_Ct-1),AP432=0),L432,0)</f>
        <v>0</v>
      </c>
      <c r="BR432" s="173">
        <f>IF(AND(Input_Product=Elig!$C432,Elig_MatchAll_Ct&lt;22,$BC432=(Elig_MatchAll_Ct-1),AO432=0),M432,0)</f>
        <v>0</v>
      </c>
      <c r="BS432" s="173">
        <f>IF(AND(Input_Product=Elig!$C432,Elig_MatchAll_Ct&lt;22,$BC432=(Elig_MatchAll_Ct-1),AQ432=0),N432,0)</f>
        <v>0</v>
      </c>
      <c r="BT432" s="173">
        <f>IF(AND(Input_Product=Elig!$C432,Elig_MatchAll_Ct&lt;22,$BC432=(Elig_MatchAll_Ct-1),AR432=0),O432,0)</f>
        <v>0</v>
      </c>
      <c r="BU432" s="173">
        <f>IF(AND(Input_Product=Elig!$C432,Elig_MatchAll_Ct&lt;22,$BC432=(Elig_MatchAll_Ct-1),AS432=0),P432,0)</f>
        <v>0</v>
      </c>
      <c r="BV432" s="174">
        <f>IF(AND(Input_Product=Elig!$C432,Elig_MatchAll_Ct&lt;22,$BC432=(Elig_MatchAll_Ct-1),AT432=0),Q432,0)</f>
        <v>0</v>
      </c>
      <c r="BW432" s="175">
        <f>IF(AND(Input_Product=Elig!$C432,Elig_MatchAll_Ct&lt;22,$BC432=(Elig_MatchAll_Ct-1),AU432=0),R432,0)</f>
        <v>0</v>
      </c>
      <c r="BX432" s="176">
        <f>IF(AND(Input_Product=Elig!$C432,Elig_MatchAll_Ct&lt;22,$BC432=(Elig_MatchAll_Ct-1),AU432=0),S432,0)</f>
        <v>0</v>
      </c>
      <c r="BY432" s="175">
        <f>IF(AND(Input_Product=Elig!$C432,Elig_MatchAll_Ct&lt;22,$BC432=(Elig_MatchAll_Ct-1),AV432=0),T432,0)</f>
        <v>0</v>
      </c>
      <c r="BZ432" s="176">
        <f>IF(AND(Input_Product=Elig!$C432,Elig_MatchAll_Ct&lt;22,$BC432=(Elig_MatchAll_Ct-1),AV432=0),U432,0)</f>
        <v>0</v>
      </c>
      <c r="CA432" s="175">
        <f>IF(AND(Input_Product=Elig!$C432,Elig_MatchAll_Ct&lt;22,$BC432=(Elig_MatchAll_Ct-1),AW432=0),V432,0)</f>
        <v>0</v>
      </c>
      <c r="CB432" s="176">
        <f>IF(AND(Input_Product=Elig!$C432,Elig_MatchAll_Ct&lt;22,$BC432=(Elig_MatchAll_Ct-1),AW432=0),W432,0)</f>
        <v>0</v>
      </c>
      <c r="CC432" s="175">
        <f>IF(AND(Input_Product=Elig!$C432,Elig_MatchAll_Ct&lt;22,$BC432=(Elig_MatchAll_Ct-1),AX432=0),X432,0)</f>
        <v>0</v>
      </c>
      <c r="CD432" s="176">
        <f>IF(AND(Input_Product=Elig!$C432,Elig_MatchAll_Ct&lt;22,$BC432=(Elig_MatchAll_Ct-1),AX432=0),Y432,0)</f>
        <v>0</v>
      </c>
      <c r="CE432" s="175">
        <f>IF(AND(Input_LTV&lt;=AE432,Input_Product=Elig!$C432,Elig_MatchAll_Ct&lt;22,$BC432=(Elig_MatchAll_Ct-1),AY432=0),Z432,0)</f>
        <v>0</v>
      </c>
      <c r="CF432" s="176">
        <f>IF(AND(Input_LTV&lt;=AE432,Input_Product=Elig!$C432,Elig_MatchAll_Ct&lt;22,$BC432=(Elig_MatchAll_Ct-1),AY432=0),AA432,0)</f>
        <v>0</v>
      </c>
      <c r="CG432" s="175">
        <f>IF(AND(Input_Product=Elig!$C432,Elig_MatchAll_Ct&lt;22,$BC432=(Elig_MatchAll_Ct-1),AZ432=0),AB432,0)</f>
        <v>0</v>
      </c>
      <c r="CH432" s="176">
        <f>IF(AND(Input_Product=Elig!$C432,Elig_MatchAll_Ct&lt;22,$BC432=(Elig_MatchAll_Ct-1),AZ432=0),AC432,0)</f>
        <v>0</v>
      </c>
      <c r="CI432" s="175">
        <f>IF(AND(Input_Product=Elig!$C432,Elig_MatchAll_Ct&lt;22,$BC432=(Elig_MatchAll_Ct-1),BA432=0),AD432,0)</f>
        <v>0</v>
      </c>
      <c r="CJ432" s="176">
        <f>IF(AND(Input_Product=Elig!$C432,Elig_MatchAll_Ct&lt;22,$BC432=(Elig_MatchAll_Ct-1),BA432=0),AE432,0)</f>
        <v>0</v>
      </c>
    </row>
    <row r="433" spans="1:88" ht="10.15" customHeight="1" x14ac:dyDescent="0.25">
      <c r="A433" s="252" t="s">
        <v>76</v>
      </c>
      <c r="B433" s="252" t="s">
        <v>2096</v>
      </c>
      <c r="C433" s="256" t="str">
        <f t="shared" si="140"/>
        <v>NonQM NOO</v>
      </c>
      <c r="D433" s="257" t="s">
        <v>1995</v>
      </c>
      <c r="E433" s="257" t="s">
        <v>166</v>
      </c>
      <c r="F433" s="257" t="s">
        <v>329</v>
      </c>
      <c r="G433" s="257" t="s">
        <v>303</v>
      </c>
      <c r="H433" s="257" t="s">
        <v>444</v>
      </c>
      <c r="I433" s="260" t="s">
        <v>273</v>
      </c>
      <c r="J433" s="260" t="s">
        <v>1130</v>
      </c>
      <c r="K433" s="260" t="s">
        <v>1398</v>
      </c>
      <c r="L433" s="257" t="s">
        <v>311</v>
      </c>
      <c r="M433" s="257" t="s">
        <v>2289</v>
      </c>
      <c r="N433" s="257" t="s">
        <v>1844</v>
      </c>
      <c r="O433" s="257" t="s">
        <v>309</v>
      </c>
      <c r="P433" s="257" t="s">
        <v>2434</v>
      </c>
      <c r="Q433" s="257" t="s">
        <v>293</v>
      </c>
      <c r="R433" s="257">
        <v>2000000.01</v>
      </c>
      <c r="S433" s="257">
        <v>2500000</v>
      </c>
      <c r="T433" s="257">
        <v>0</v>
      </c>
      <c r="U433" s="257">
        <v>0</v>
      </c>
      <c r="V433" s="257">
        <v>0</v>
      </c>
      <c r="W433" s="257">
        <v>50</v>
      </c>
      <c r="X433" s="257">
        <v>0</v>
      </c>
      <c r="Y433" s="257">
        <v>999</v>
      </c>
      <c r="Z433" s="258">
        <v>660</v>
      </c>
      <c r="AA433" s="258">
        <v>679</v>
      </c>
      <c r="AB433" s="1884">
        <v>0</v>
      </c>
      <c r="AC433" s="258">
        <v>999999</v>
      </c>
      <c r="AD433" s="257">
        <v>0</v>
      </c>
      <c r="AE433" s="259">
        <v>70</v>
      </c>
      <c r="AF433" s="144">
        <v>0</v>
      </c>
      <c r="AG433" s="145">
        <v>1</v>
      </c>
      <c r="AH433" s="145">
        <v>1</v>
      </c>
      <c r="AI433" s="145">
        <v>1</v>
      </c>
      <c r="AJ433" s="145">
        <v>0</v>
      </c>
      <c r="AK433" s="145">
        <v>0</v>
      </c>
      <c r="AL433" s="145">
        <v>1</v>
      </c>
      <c r="AM433" s="145">
        <v>1</v>
      </c>
      <c r="AN433" s="145">
        <v>1</v>
      </c>
      <c r="AO433" s="145">
        <v>1</v>
      </c>
      <c r="AP433" s="145">
        <v>1</v>
      </c>
      <c r="AQ433" s="145">
        <v>1</v>
      </c>
      <c r="AR433" s="145">
        <v>1</v>
      </c>
      <c r="AS433" s="145">
        <v>1</v>
      </c>
      <c r="AT433" s="145">
        <v>1</v>
      </c>
      <c r="AU433" s="145">
        <f t="shared" si="148"/>
        <v>0</v>
      </c>
      <c r="AV433" s="145">
        <f t="shared" si="149"/>
        <v>1</v>
      </c>
      <c r="AW433" s="145">
        <f t="shared" si="150"/>
        <v>1</v>
      </c>
      <c r="AX433" s="145">
        <f t="shared" si="161"/>
        <v>1</v>
      </c>
      <c r="AY433" s="145">
        <f t="shared" si="151"/>
        <v>0</v>
      </c>
      <c r="AZ433" s="145">
        <f t="shared" si="152"/>
        <v>1</v>
      </c>
      <c r="BA433" s="146">
        <f t="shared" si="153"/>
        <v>1</v>
      </c>
      <c r="BB433" s="149">
        <f t="shared" si="142"/>
        <v>17</v>
      </c>
      <c r="BC433" s="150">
        <f t="shared" si="143"/>
        <v>16</v>
      </c>
      <c r="BD433" s="150">
        <f t="shared" si="144"/>
        <v>17</v>
      </c>
      <c r="BE433" s="211" t="str">
        <f t="shared" si="145"/>
        <v/>
      </c>
      <c r="BH433" s="188">
        <f>IF(AND(Input_Product=Elig!$C433,Elig_MatchAll_Ct&lt;22,$BC433=(Elig_MatchAll_Ct-1),AF433=0),C433,0)</f>
        <v>0</v>
      </c>
      <c r="BI433" s="188">
        <f>IF(AND(Input_Product=Elig!$C433,Elig_MatchAll_Ct&lt;22,$BC433=(Elig_MatchAll_Ct-1),AG433=0),D433,0)</f>
        <v>0</v>
      </c>
      <c r="BJ433" s="188">
        <f>IF(AND(Input_Product=Elig!$C433,Elig_MatchAll_Ct&lt;22,$BC433=(Elig_MatchAll_Ct-1),AH433=0),E433,0)</f>
        <v>0</v>
      </c>
      <c r="BK433" s="188">
        <f>IF(AND(Input_Product=Elig!$C433,Elig_MatchAll_Ct&lt;22,$BC433=(Elig_MatchAll_Ct-1),AI433=0),F433,0)</f>
        <v>0</v>
      </c>
      <c r="BL433" s="188">
        <f>IF(AND(Input_Product=Elig!$C433,Elig_MatchAll_Ct&lt;22,$BC433=(Elig_MatchAll_Ct-1),AJ433=0),G433,0)</f>
        <v>0</v>
      </c>
      <c r="BM433" s="188">
        <f>IF(AND(Input_Product=Elig!$C433,Elig_MatchAll_Ct&lt;22,$BC433=(Elig_MatchAll_Ct-1),AK433=0),H433,0)</f>
        <v>0</v>
      </c>
      <c r="BN433" s="188">
        <f>IF(AND(Input_Product=Elig!$C433,Elig_MatchAll_Ct&lt;22,$BC433=(Elig_MatchAll_Ct-1),AL433=0),I433,0)</f>
        <v>0</v>
      </c>
      <c r="BO433" s="188">
        <f>IF(AND(Input_Product=Elig!$C433,Elig_MatchAll_Ct&lt;22,$BC433=(Elig_MatchAll_Ct-1),AM433=0),J433,0)</f>
        <v>0</v>
      </c>
      <c r="BP433" s="188">
        <f>IF(AND(Input_Product=Elig!$C433,Elig_MatchAll_Ct&lt;22,$BC433=(Elig_MatchAll_Ct-1),AN433=0),K433,0)</f>
        <v>0</v>
      </c>
      <c r="BQ433" s="188">
        <f>IF(AND(Input_Product=Elig!$C433,Elig_MatchAll_Ct&lt;22,$BC433=(Elig_MatchAll_Ct-1),AP433=0),L433,0)</f>
        <v>0</v>
      </c>
      <c r="BR433" s="188">
        <f>IF(AND(Input_Product=Elig!$C433,Elig_MatchAll_Ct&lt;22,$BC433=(Elig_MatchAll_Ct-1),AO433=0),M433,0)</f>
        <v>0</v>
      </c>
      <c r="BS433" s="188">
        <f>IF(AND(Input_Product=Elig!$C433,Elig_MatchAll_Ct&lt;22,$BC433=(Elig_MatchAll_Ct-1),AQ433=0),N433,0)</f>
        <v>0</v>
      </c>
      <c r="BT433" s="188">
        <f>IF(AND(Input_Product=Elig!$C433,Elig_MatchAll_Ct&lt;22,$BC433=(Elig_MatchAll_Ct-1),AR433=0),O433,0)</f>
        <v>0</v>
      </c>
      <c r="BU433" s="188">
        <f>IF(AND(Input_Product=Elig!$C433,Elig_MatchAll_Ct&lt;22,$BC433=(Elig_MatchAll_Ct-1),AS433=0),P433,0)</f>
        <v>0</v>
      </c>
      <c r="BV433" s="189">
        <f>IF(AND(Input_Product=Elig!$C433,Elig_MatchAll_Ct&lt;22,$BC433=(Elig_MatchAll_Ct-1),AT433=0),Q433,0)</f>
        <v>0</v>
      </c>
      <c r="BW433" s="271">
        <f>IF(AND(Input_Product=Elig!$C433,Elig_MatchAll_Ct&lt;22,$BC433=(Elig_MatchAll_Ct-1),AU433=0),R433,0)</f>
        <v>0</v>
      </c>
      <c r="BX433" s="272">
        <f>IF(AND(Input_Product=Elig!$C433,Elig_MatchAll_Ct&lt;22,$BC433=(Elig_MatchAll_Ct-1),AU433=0),S433,0)</f>
        <v>0</v>
      </c>
      <c r="BY433" s="271">
        <f>IF(AND(Input_Product=Elig!$C433,Elig_MatchAll_Ct&lt;22,$BC433=(Elig_MatchAll_Ct-1),AV433=0),T433,0)</f>
        <v>0</v>
      </c>
      <c r="BZ433" s="272">
        <f>IF(AND(Input_Product=Elig!$C433,Elig_MatchAll_Ct&lt;22,$BC433=(Elig_MatchAll_Ct-1),AV433=0),U433,0)</f>
        <v>0</v>
      </c>
      <c r="CA433" s="271">
        <f>IF(AND(Input_Product=Elig!$C433,Elig_MatchAll_Ct&lt;22,$BC433=(Elig_MatchAll_Ct-1),AW433=0),V433,0)</f>
        <v>0</v>
      </c>
      <c r="CB433" s="272">
        <f>IF(AND(Input_Product=Elig!$C433,Elig_MatchAll_Ct&lt;22,$BC433=(Elig_MatchAll_Ct-1),AW433=0),W433,0)</f>
        <v>0</v>
      </c>
      <c r="CC433" s="271">
        <f>IF(AND(Input_Product=Elig!$C433,Elig_MatchAll_Ct&lt;22,$BC433=(Elig_MatchAll_Ct-1),AX433=0),X433,0)</f>
        <v>0</v>
      </c>
      <c r="CD433" s="272">
        <f>IF(AND(Input_Product=Elig!$C433,Elig_MatchAll_Ct&lt;22,$BC433=(Elig_MatchAll_Ct-1),AX433=0),Y433,0)</f>
        <v>0</v>
      </c>
      <c r="CE433" s="271">
        <f>IF(AND(Input_LTV&lt;=AE433,Input_Product=Elig!$C433,Elig_MatchAll_Ct&lt;22,$BC433=(Elig_MatchAll_Ct-1),AY433=0),Z433,0)</f>
        <v>0</v>
      </c>
      <c r="CF433" s="272">
        <f>IF(AND(Input_LTV&lt;=AE433,Input_Product=Elig!$C433,Elig_MatchAll_Ct&lt;22,$BC433=(Elig_MatchAll_Ct-1),AY433=0),AA433,0)</f>
        <v>0</v>
      </c>
      <c r="CG433" s="271">
        <f>IF(AND(Input_Product=Elig!$C433,Elig_MatchAll_Ct&lt;22,$BC433=(Elig_MatchAll_Ct-1),AZ433=0),AB433,0)</f>
        <v>0</v>
      </c>
      <c r="CH433" s="272">
        <f>IF(AND(Input_Product=Elig!$C433,Elig_MatchAll_Ct&lt;22,$BC433=(Elig_MatchAll_Ct-1),AZ433=0),AC433,0)</f>
        <v>0</v>
      </c>
      <c r="CI433" s="271">
        <f>IF(AND(Input_Product=Elig!$C433,Elig_MatchAll_Ct&lt;22,$BC433=(Elig_MatchAll_Ct-1),BA433=0),AD433,0)</f>
        <v>0</v>
      </c>
      <c r="CJ433" s="272">
        <f>IF(AND(Input_Product=Elig!$C433,Elig_MatchAll_Ct&lt;22,$BC433=(Elig_MatchAll_Ct-1),BA433=0),AE433,0)</f>
        <v>0</v>
      </c>
    </row>
    <row r="434" spans="1:88" ht="10.15" customHeight="1" x14ac:dyDescent="0.25">
      <c r="A434" s="252" t="s">
        <v>76</v>
      </c>
      <c r="B434" s="252" t="s">
        <v>2097</v>
      </c>
      <c r="C434" s="246" t="str">
        <f t="shared" si="140"/>
        <v>NonQM NOO</v>
      </c>
      <c r="D434" s="247" t="s">
        <v>1995</v>
      </c>
      <c r="E434" s="248" t="s">
        <v>166</v>
      </c>
      <c r="F434" s="248" t="s">
        <v>329</v>
      </c>
      <c r="G434" s="248" t="s">
        <v>303</v>
      </c>
      <c r="H434" s="248" t="s">
        <v>444</v>
      </c>
      <c r="I434" s="247" t="s">
        <v>16</v>
      </c>
      <c r="J434" s="247" t="s">
        <v>1130</v>
      </c>
      <c r="K434" s="247" t="s">
        <v>1398</v>
      </c>
      <c r="L434" s="248" t="s">
        <v>311</v>
      </c>
      <c r="M434" s="248" t="s">
        <v>2289</v>
      </c>
      <c r="N434" s="248" t="s">
        <v>1844</v>
      </c>
      <c r="O434" s="248" t="s">
        <v>309</v>
      </c>
      <c r="P434" s="248" t="s">
        <v>2434</v>
      </c>
      <c r="Q434" s="248" t="s">
        <v>293</v>
      </c>
      <c r="R434" s="247">
        <v>2000000.01</v>
      </c>
      <c r="S434" s="247">
        <v>2500000</v>
      </c>
      <c r="T434" s="247">
        <v>0</v>
      </c>
      <c r="U434" s="247">
        <f t="shared" ref="U434:U437" si="164">S434</f>
        <v>2500000</v>
      </c>
      <c r="V434" s="247">
        <v>0</v>
      </c>
      <c r="W434" s="247">
        <v>50</v>
      </c>
      <c r="X434" s="247">
        <v>0</v>
      </c>
      <c r="Y434" s="247">
        <v>999</v>
      </c>
      <c r="Z434" s="249">
        <v>720</v>
      </c>
      <c r="AA434" s="249">
        <v>999</v>
      </c>
      <c r="AB434" s="1882">
        <v>0</v>
      </c>
      <c r="AC434" s="249">
        <v>999999</v>
      </c>
      <c r="AD434" s="247">
        <v>0</v>
      </c>
      <c r="AE434" s="250">
        <v>70</v>
      </c>
      <c r="AF434" s="144">
        <v>0</v>
      </c>
      <c r="AG434" s="145">
        <v>1</v>
      </c>
      <c r="AH434" s="145">
        <v>1</v>
      </c>
      <c r="AI434" s="145">
        <v>1</v>
      </c>
      <c r="AJ434" s="145">
        <v>0</v>
      </c>
      <c r="AK434" s="145">
        <v>0</v>
      </c>
      <c r="AL434" s="145">
        <v>0</v>
      </c>
      <c r="AM434" s="145">
        <v>1</v>
      </c>
      <c r="AN434" s="145">
        <v>1</v>
      </c>
      <c r="AO434" s="145">
        <v>1</v>
      </c>
      <c r="AP434" s="145">
        <v>1</v>
      </c>
      <c r="AQ434" s="145">
        <v>1</v>
      </c>
      <c r="AR434" s="145">
        <v>1</v>
      </c>
      <c r="AS434" s="145">
        <v>1</v>
      </c>
      <c r="AT434" s="145">
        <v>1</v>
      </c>
      <c r="AU434" s="145">
        <f t="shared" si="148"/>
        <v>0</v>
      </c>
      <c r="AV434" s="145">
        <f t="shared" si="149"/>
        <v>1</v>
      </c>
      <c r="AW434" s="145">
        <f t="shared" si="150"/>
        <v>1</v>
      </c>
      <c r="AX434" s="145">
        <f t="shared" si="161"/>
        <v>1</v>
      </c>
      <c r="AY434" s="145">
        <f t="shared" si="151"/>
        <v>1</v>
      </c>
      <c r="AZ434" s="145">
        <f t="shared" si="152"/>
        <v>1</v>
      </c>
      <c r="BA434" s="146">
        <f t="shared" si="153"/>
        <v>1</v>
      </c>
      <c r="BB434" s="149">
        <f t="shared" si="142"/>
        <v>17</v>
      </c>
      <c r="BC434" s="150">
        <f t="shared" si="143"/>
        <v>16</v>
      </c>
      <c r="BD434" s="150">
        <f t="shared" si="144"/>
        <v>17</v>
      </c>
      <c r="BE434" s="211" t="str">
        <f t="shared" si="145"/>
        <v/>
      </c>
      <c r="BH434" s="184">
        <f>IF(AND(Input_Product=Elig!$C434,Elig_MatchAll_Ct&lt;22,$BC434=(Elig_MatchAll_Ct-1),AF434=0),C434,0)</f>
        <v>0</v>
      </c>
      <c r="BI434" s="184">
        <f>IF(AND(Input_Product=Elig!$C434,Elig_MatchAll_Ct&lt;22,$BC434=(Elig_MatchAll_Ct-1),AG434=0),D434,0)</f>
        <v>0</v>
      </c>
      <c r="BJ434" s="184">
        <f>IF(AND(Input_Product=Elig!$C434,Elig_MatchAll_Ct&lt;22,$BC434=(Elig_MatchAll_Ct-1),AH434=0),E434,0)</f>
        <v>0</v>
      </c>
      <c r="BK434" s="184">
        <f>IF(AND(Input_Product=Elig!$C434,Elig_MatchAll_Ct&lt;22,$BC434=(Elig_MatchAll_Ct-1),AI434=0),F434,0)</f>
        <v>0</v>
      </c>
      <c r="BL434" s="184">
        <f>IF(AND(Input_Product=Elig!$C434,Elig_MatchAll_Ct&lt;22,$BC434=(Elig_MatchAll_Ct-1),AJ434=0),G434,0)</f>
        <v>0</v>
      </c>
      <c r="BM434" s="184">
        <f>IF(AND(Input_Product=Elig!$C434,Elig_MatchAll_Ct&lt;22,$BC434=(Elig_MatchAll_Ct-1),AK434=0),H434,0)</f>
        <v>0</v>
      </c>
      <c r="BN434" s="184">
        <f>IF(AND(Input_Product=Elig!$C434,Elig_MatchAll_Ct&lt;22,$BC434=(Elig_MatchAll_Ct-1),AL434=0),I434,0)</f>
        <v>0</v>
      </c>
      <c r="BO434" s="184">
        <f>IF(AND(Input_Product=Elig!$C434,Elig_MatchAll_Ct&lt;22,$BC434=(Elig_MatchAll_Ct-1),AM434=0),J434,0)</f>
        <v>0</v>
      </c>
      <c r="BP434" s="184">
        <f>IF(AND(Input_Product=Elig!$C434,Elig_MatchAll_Ct&lt;22,$BC434=(Elig_MatchAll_Ct-1),AN434=0),K434,0)</f>
        <v>0</v>
      </c>
      <c r="BQ434" s="184">
        <f>IF(AND(Input_Product=Elig!$C434,Elig_MatchAll_Ct&lt;22,$BC434=(Elig_MatchAll_Ct-1),AP434=0),L434,0)</f>
        <v>0</v>
      </c>
      <c r="BR434" s="184">
        <f>IF(AND(Input_Product=Elig!$C434,Elig_MatchAll_Ct&lt;22,$BC434=(Elig_MatchAll_Ct-1),AO434=0),M434,0)</f>
        <v>0</v>
      </c>
      <c r="BS434" s="184">
        <f>IF(AND(Input_Product=Elig!$C434,Elig_MatchAll_Ct&lt;22,$BC434=(Elig_MatchAll_Ct-1),AQ434=0),N434,0)</f>
        <v>0</v>
      </c>
      <c r="BT434" s="184">
        <f>IF(AND(Input_Product=Elig!$C434,Elig_MatchAll_Ct&lt;22,$BC434=(Elig_MatchAll_Ct-1),AR434=0),O434,0)</f>
        <v>0</v>
      </c>
      <c r="BU434" s="184">
        <f>IF(AND(Input_Product=Elig!$C434,Elig_MatchAll_Ct&lt;22,$BC434=(Elig_MatchAll_Ct-1),AS434=0),P434,0)</f>
        <v>0</v>
      </c>
      <c r="BV434" s="185">
        <f>IF(AND(Input_Product=Elig!$C434,Elig_MatchAll_Ct&lt;22,$BC434=(Elig_MatchAll_Ct-1),AT434=0),Q434,0)</f>
        <v>0</v>
      </c>
      <c r="BW434" s="186">
        <f>IF(AND(Input_Product=Elig!$C434,Elig_MatchAll_Ct&lt;22,$BC434=(Elig_MatchAll_Ct-1),AU434=0),R434,0)</f>
        <v>0</v>
      </c>
      <c r="BX434" s="187">
        <f>IF(AND(Input_Product=Elig!$C434,Elig_MatchAll_Ct&lt;22,$BC434=(Elig_MatchAll_Ct-1),AU434=0),S434,0)</f>
        <v>0</v>
      </c>
      <c r="BY434" s="186">
        <f>IF(AND(Input_Product=Elig!$C434,Elig_MatchAll_Ct&lt;22,$BC434=(Elig_MatchAll_Ct-1),AV434=0),T434,0)</f>
        <v>0</v>
      </c>
      <c r="BZ434" s="187">
        <f>IF(AND(Input_Product=Elig!$C434,Elig_MatchAll_Ct&lt;22,$BC434=(Elig_MatchAll_Ct-1),AV434=0),U434,0)</f>
        <v>0</v>
      </c>
      <c r="CA434" s="186">
        <f>IF(AND(Input_Product=Elig!$C434,Elig_MatchAll_Ct&lt;22,$BC434=(Elig_MatchAll_Ct-1),AW434=0),V434,0)</f>
        <v>0</v>
      </c>
      <c r="CB434" s="187">
        <f>IF(AND(Input_Product=Elig!$C434,Elig_MatchAll_Ct&lt;22,$BC434=(Elig_MatchAll_Ct-1),AW434=0),W434,0)</f>
        <v>0</v>
      </c>
      <c r="CC434" s="186">
        <f>IF(AND(Input_Product=Elig!$C434,Elig_MatchAll_Ct&lt;22,$BC434=(Elig_MatchAll_Ct-1),AX434=0),X434,0)</f>
        <v>0</v>
      </c>
      <c r="CD434" s="187">
        <f>IF(AND(Input_Product=Elig!$C434,Elig_MatchAll_Ct&lt;22,$BC434=(Elig_MatchAll_Ct-1),AX434=0),Y434,0)</f>
        <v>0</v>
      </c>
      <c r="CE434" s="186">
        <f>IF(AND(Input_LTV&lt;=AE434,Input_Product=Elig!$C434,Elig_MatchAll_Ct&lt;22,$BC434=(Elig_MatchAll_Ct-1),AY434=0),Z434,0)</f>
        <v>0</v>
      </c>
      <c r="CF434" s="187">
        <f>IF(AND(Input_LTV&lt;=AE434,Input_Product=Elig!$C434,Elig_MatchAll_Ct&lt;22,$BC434=(Elig_MatchAll_Ct-1),AY434=0),AA434,0)</f>
        <v>0</v>
      </c>
      <c r="CG434" s="186">
        <f>IF(AND(Input_Product=Elig!$C434,Elig_MatchAll_Ct&lt;22,$BC434=(Elig_MatchAll_Ct-1),AZ434=0),AB434,0)</f>
        <v>0</v>
      </c>
      <c r="CH434" s="187">
        <f>IF(AND(Input_Product=Elig!$C434,Elig_MatchAll_Ct&lt;22,$BC434=(Elig_MatchAll_Ct-1),AZ434=0),AC434,0)</f>
        <v>0</v>
      </c>
      <c r="CI434" s="186">
        <f>IF(AND(Input_Product=Elig!$C434,Elig_MatchAll_Ct&lt;22,$BC434=(Elig_MatchAll_Ct-1),BA434=0),AD434,0)</f>
        <v>0</v>
      </c>
      <c r="CJ434" s="187">
        <f>IF(AND(Input_Product=Elig!$C434,Elig_MatchAll_Ct&lt;22,$BC434=(Elig_MatchAll_Ct-1),BA434=0),AE434,0)</f>
        <v>0</v>
      </c>
    </row>
    <row r="435" spans="1:88" ht="10.15" customHeight="1" x14ac:dyDescent="0.25">
      <c r="A435" s="252" t="s">
        <v>76</v>
      </c>
      <c r="B435" s="252" t="s">
        <v>2098</v>
      </c>
      <c r="C435" s="251" t="str">
        <f t="shared" si="140"/>
        <v>NonQM NOO</v>
      </c>
      <c r="D435" s="252" t="s">
        <v>1995</v>
      </c>
      <c r="E435" s="252" t="s">
        <v>166</v>
      </c>
      <c r="F435" s="252" t="s">
        <v>329</v>
      </c>
      <c r="G435" s="252" t="s">
        <v>303</v>
      </c>
      <c r="H435" s="252" t="s">
        <v>444</v>
      </c>
      <c r="I435" s="253" t="s">
        <v>16</v>
      </c>
      <c r="J435" s="253" t="s">
        <v>1130</v>
      </c>
      <c r="K435" s="253" t="s">
        <v>1398</v>
      </c>
      <c r="L435" s="252" t="s">
        <v>311</v>
      </c>
      <c r="M435" s="252" t="s">
        <v>2289</v>
      </c>
      <c r="N435" s="252" t="s">
        <v>1844</v>
      </c>
      <c r="O435" s="252" t="s">
        <v>309</v>
      </c>
      <c r="P435" s="252" t="s">
        <v>2434</v>
      </c>
      <c r="Q435" s="252" t="s">
        <v>293</v>
      </c>
      <c r="R435" s="252">
        <v>2000000.01</v>
      </c>
      <c r="S435" s="252">
        <v>2500000</v>
      </c>
      <c r="T435" s="252">
        <v>0</v>
      </c>
      <c r="U435" s="252">
        <f t="shared" si="164"/>
        <v>2500000</v>
      </c>
      <c r="V435" s="252">
        <v>0</v>
      </c>
      <c r="W435" s="252">
        <v>50</v>
      </c>
      <c r="X435" s="252">
        <v>0</v>
      </c>
      <c r="Y435" s="252">
        <v>999</v>
      </c>
      <c r="Z435" s="254">
        <v>700</v>
      </c>
      <c r="AA435" s="254">
        <v>719</v>
      </c>
      <c r="AB435" s="1883">
        <v>0</v>
      </c>
      <c r="AC435" s="254">
        <v>999999</v>
      </c>
      <c r="AD435" s="252">
        <v>0</v>
      </c>
      <c r="AE435" s="255">
        <v>65</v>
      </c>
      <c r="AF435" s="144">
        <v>0</v>
      </c>
      <c r="AG435" s="145">
        <v>1</v>
      </c>
      <c r="AH435" s="145">
        <v>1</v>
      </c>
      <c r="AI435" s="145">
        <v>1</v>
      </c>
      <c r="AJ435" s="145">
        <v>0</v>
      </c>
      <c r="AK435" s="145">
        <v>0</v>
      </c>
      <c r="AL435" s="145">
        <v>0</v>
      </c>
      <c r="AM435" s="145">
        <v>1</v>
      </c>
      <c r="AN435" s="145">
        <v>1</v>
      </c>
      <c r="AO435" s="145">
        <v>1</v>
      </c>
      <c r="AP435" s="145">
        <v>1</v>
      </c>
      <c r="AQ435" s="145">
        <v>1</v>
      </c>
      <c r="AR435" s="145">
        <v>1</v>
      </c>
      <c r="AS435" s="145">
        <v>1</v>
      </c>
      <c r="AT435" s="145">
        <v>1</v>
      </c>
      <c r="AU435" s="145">
        <f t="shared" si="148"/>
        <v>0</v>
      </c>
      <c r="AV435" s="145">
        <f t="shared" si="149"/>
        <v>1</v>
      </c>
      <c r="AW435" s="145">
        <f t="shared" si="150"/>
        <v>1</v>
      </c>
      <c r="AX435" s="145">
        <f t="shared" si="161"/>
        <v>1</v>
      </c>
      <c r="AY435" s="145">
        <f t="shared" si="151"/>
        <v>0</v>
      </c>
      <c r="AZ435" s="145">
        <f t="shared" si="152"/>
        <v>1</v>
      </c>
      <c r="BA435" s="146">
        <f t="shared" si="153"/>
        <v>0</v>
      </c>
      <c r="BB435" s="149">
        <f t="shared" si="142"/>
        <v>15</v>
      </c>
      <c r="BC435" s="150">
        <f t="shared" si="143"/>
        <v>15</v>
      </c>
      <c r="BD435" s="150">
        <f t="shared" si="144"/>
        <v>15</v>
      </c>
      <c r="BE435" s="211" t="str">
        <f t="shared" si="145"/>
        <v/>
      </c>
      <c r="BH435" s="173">
        <f>IF(AND(Input_Product=Elig!$C435,Elig_MatchAll_Ct&lt;22,$BC435=(Elig_MatchAll_Ct-1),AF435=0),C435,0)</f>
        <v>0</v>
      </c>
      <c r="BI435" s="173">
        <f>IF(AND(Input_Product=Elig!$C435,Elig_MatchAll_Ct&lt;22,$BC435=(Elig_MatchAll_Ct-1),AG435=0),D435,0)</f>
        <v>0</v>
      </c>
      <c r="BJ435" s="173">
        <f>IF(AND(Input_Product=Elig!$C435,Elig_MatchAll_Ct&lt;22,$BC435=(Elig_MatchAll_Ct-1),AH435=0),E435,0)</f>
        <v>0</v>
      </c>
      <c r="BK435" s="173">
        <f>IF(AND(Input_Product=Elig!$C435,Elig_MatchAll_Ct&lt;22,$BC435=(Elig_MatchAll_Ct-1),AI435=0),F435,0)</f>
        <v>0</v>
      </c>
      <c r="BL435" s="173">
        <f>IF(AND(Input_Product=Elig!$C435,Elig_MatchAll_Ct&lt;22,$BC435=(Elig_MatchAll_Ct-1),AJ435=0),G435,0)</f>
        <v>0</v>
      </c>
      <c r="BM435" s="173">
        <f>IF(AND(Input_Product=Elig!$C435,Elig_MatchAll_Ct&lt;22,$BC435=(Elig_MatchAll_Ct-1),AK435=0),H435,0)</f>
        <v>0</v>
      </c>
      <c r="BN435" s="173">
        <f>IF(AND(Input_Product=Elig!$C435,Elig_MatchAll_Ct&lt;22,$BC435=(Elig_MatchAll_Ct-1),AL435=0),I435,0)</f>
        <v>0</v>
      </c>
      <c r="BO435" s="173">
        <f>IF(AND(Input_Product=Elig!$C435,Elig_MatchAll_Ct&lt;22,$BC435=(Elig_MatchAll_Ct-1),AM435=0),J435,0)</f>
        <v>0</v>
      </c>
      <c r="BP435" s="173">
        <f>IF(AND(Input_Product=Elig!$C435,Elig_MatchAll_Ct&lt;22,$BC435=(Elig_MatchAll_Ct-1),AN435=0),K435,0)</f>
        <v>0</v>
      </c>
      <c r="BQ435" s="173">
        <f>IF(AND(Input_Product=Elig!$C435,Elig_MatchAll_Ct&lt;22,$BC435=(Elig_MatchAll_Ct-1),AP435=0),L435,0)</f>
        <v>0</v>
      </c>
      <c r="BR435" s="173">
        <f>IF(AND(Input_Product=Elig!$C435,Elig_MatchAll_Ct&lt;22,$BC435=(Elig_MatchAll_Ct-1),AO435=0),M435,0)</f>
        <v>0</v>
      </c>
      <c r="BS435" s="173">
        <f>IF(AND(Input_Product=Elig!$C435,Elig_MatchAll_Ct&lt;22,$BC435=(Elig_MatchAll_Ct-1),AQ435=0),N435,0)</f>
        <v>0</v>
      </c>
      <c r="BT435" s="173">
        <f>IF(AND(Input_Product=Elig!$C435,Elig_MatchAll_Ct&lt;22,$BC435=(Elig_MatchAll_Ct-1),AR435=0),O435,0)</f>
        <v>0</v>
      </c>
      <c r="BU435" s="173">
        <f>IF(AND(Input_Product=Elig!$C435,Elig_MatchAll_Ct&lt;22,$BC435=(Elig_MatchAll_Ct-1),AS435=0),P435,0)</f>
        <v>0</v>
      </c>
      <c r="BV435" s="174">
        <f>IF(AND(Input_Product=Elig!$C435,Elig_MatchAll_Ct&lt;22,$BC435=(Elig_MatchAll_Ct-1),AT435=0),Q435,0)</f>
        <v>0</v>
      </c>
      <c r="BW435" s="175">
        <f>IF(AND(Input_Product=Elig!$C435,Elig_MatchAll_Ct&lt;22,$BC435=(Elig_MatchAll_Ct-1),AU435=0),R435,0)</f>
        <v>0</v>
      </c>
      <c r="BX435" s="176">
        <f>IF(AND(Input_Product=Elig!$C435,Elig_MatchAll_Ct&lt;22,$BC435=(Elig_MatchAll_Ct-1),AU435=0),S435,0)</f>
        <v>0</v>
      </c>
      <c r="BY435" s="175">
        <f>IF(AND(Input_Product=Elig!$C435,Elig_MatchAll_Ct&lt;22,$BC435=(Elig_MatchAll_Ct-1),AV435=0),T435,0)</f>
        <v>0</v>
      </c>
      <c r="BZ435" s="176">
        <f>IF(AND(Input_Product=Elig!$C435,Elig_MatchAll_Ct&lt;22,$BC435=(Elig_MatchAll_Ct-1),AV435=0),U435,0)</f>
        <v>0</v>
      </c>
      <c r="CA435" s="175">
        <f>IF(AND(Input_Product=Elig!$C435,Elig_MatchAll_Ct&lt;22,$BC435=(Elig_MatchAll_Ct-1),AW435=0),V435,0)</f>
        <v>0</v>
      </c>
      <c r="CB435" s="176">
        <f>IF(AND(Input_Product=Elig!$C435,Elig_MatchAll_Ct&lt;22,$BC435=(Elig_MatchAll_Ct-1),AW435=0),W435,0)</f>
        <v>0</v>
      </c>
      <c r="CC435" s="175">
        <f>IF(AND(Input_Product=Elig!$C435,Elig_MatchAll_Ct&lt;22,$BC435=(Elig_MatchAll_Ct-1),AX435=0),X435,0)</f>
        <v>0</v>
      </c>
      <c r="CD435" s="176">
        <f>IF(AND(Input_Product=Elig!$C435,Elig_MatchAll_Ct&lt;22,$BC435=(Elig_MatchAll_Ct-1),AX435=0),Y435,0)</f>
        <v>0</v>
      </c>
      <c r="CE435" s="175">
        <f>IF(AND(Input_LTV&lt;=AE435,Input_Product=Elig!$C435,Elig_MatchAll_Ct&lt;22,$BC435=(Elig_MatchAll_Ct-1),AY435=0),Z435,0)</f>
        <v>0</v>
      </c>
      <c r="CF435" s="176">
        <f>IF(AND(Input_LTV&lt;=AE435,Input_Product=Elig!$C435,Elig_MatchAll_Ct&lt;22,$BC435=(Elig_MatchAll_Ct-1),AY435=0),AA435,0)</f>
        <v>0</v>
      </c>
      <c r="CG435" s="175">
        <f>IF(AND(Input_Product=Elig!$C435,Elig_MatchAll_Ct&lt;22,$BC435=(Elig_MatchAll_Ct-1),AZ435=0),AB435,0)</f>
        <v>0</v>
      </c>
      <c r="CH435" s="176">
        <f>IF(AND(Input_Product=Elig!$C435,Elig_MatchAll_Ct&lt;22,$BC435=(Elig_MatchAll_Ct-1),AZ435=0),AC435,0)</f>
        <v>0</v>
      </c>
      <c r="CI435" s="175">
        <f>IF(AND(Input_Product=Elig!$C435,Elig_MatchAll_Ct&lt;22,$BC435=(Elig_MatchAll_Ct-1),BA435=0),AD435,0)</f>
        <v>0</v>
      </c>
      <c r="CJ435" s="176">
        <f>IF(AND(Input_Product=Elig!$C435,Elig_MatchAll_Ct&lt;22,$BC435=(Elig_MatchAll_Ct-1),BA435=0),AE435,0)</f>
        <v>0</v>
      </c>
    </row>
    <row r="436" spans="1:88" ht="10.15" customHeight="1" x14ac:dyDescent="0.25">
      <c r="A436" s="252" t="s">
        <v>76</v>
      </c>
      <c r="B436" s="252" t="s">
        <v>2099</v>
      </c>
      <c r="C436" s="251" t="str">
        <f t="shared" si="140"/>
        <v>NonQM NOO</v>
      </c>
      <c r="D436" s="252" t="s">
        <v>1995</v>
      </c>
      <c r="E436" s="252" t="s">
        <v>166</v>
      </c>
      <c r="F436" s="252" t="s">
        <v>329</v>
      </c>
      <c r="G436" s="252" t="s">
        <v>303</v>
      </c>
      <c r="H436" s="252" t="s">
        <v>444</v>
      </c>
      <c r="I436" s="253" t="s">
        <v>16</v>
      </c>
      <c r="J436" s="253" t="s">
        <v>1130</v>
      </c>
      <c r="K436" s="253" t="s">
        <v>1398</v>
      </c>
      <c r="L436" s="252" t="s">
        <v>311</v>
      </c>
      <c r="M436" s="252" t="s">
        <v>2289</v>
      </c>
      <c r="N436" s="252" t="s">
        <v>1844</v>
      </c>
      <c r="O436" s="252" t="s">
        <v>309</v>
      </c>
      <c r="P436" s="252" t="s">
        <v>2434</v>
      </c>
      <c r="Q436" s="252" t="s">
        <v>293</v>
      </c>
      <c r="R436" s="252">
        <v>2000000.01</v>
      </c>
      <c r="S436" s="252">
        <v>2500000</v>
      </c>
      <c r="T436" s="252">
        <v>0</v>
      </c>
      <c r="U436" s="252">
        <f t="shared" ref="U436" si="165">S436</f>
        <v>2500000</v>
      </c>
      <c r="V436" s="252">
        <v>0</v>
      </c>
      <c r="W436" s="252">
        <v>50</v>
      </c>
      <c r="X436" s="252">
        <v>0</v>
      </c>
      <c r="Y436" s="252">
        <v>999</v>
      </c>
      <c r="Z436" s="254">
        <v>680</v>
      </c>
      <c r="AA436" s="254">
        <v>699</v>
      </c>
      <c r="AB436" s="1883">
        <v>0</v>
      </c>
      <c r="AC436" s="254">
        <v>999999</v>
      </c>
      <c r="AD436" s="252">
        <v>0</v>
      </c>
      <c r="AE436" s="255">
        <v>65</v>
      </c>
      <c r="AF436" s="144">
        <v>0</v>
      </c>
      <c r="AG436" s="145">
        <v>1</v>
      </c>
      <c r="AH436" s="145">
        <v>1</v>
      </c>
      <c r="AI436" s="145">
        <v>1</v>
      </c>
      <c r="AJ436" s="145">
        <v>0</v>
      </c>
      <c r="AK436" s="145">
        <v>0</v>
      </c>
      <c r="AL436" s="145">
        <v>0</v>
      </c>
      <c r="AM436" s="145">
        <v>1</v>
      </c>
      <c r="AN436" s="145">
        <v>1</v>
      </c>
      <c r="AO436" s="145">
        <v>1</v>
      </c>
      <c r="AP436" s="145">
        <v>1</v>
      </c>
      <c r="AQ436" s="145">
        <v>1</v>
      </c>
      <c r="AR436" s="145">
        <v>1</v>
      </c>
      <c r="AS436" s="145">
        <v>1</v>
      </c>
      <c r="AT436" s="145">
        <v>1</v>
      </c>
      <c r="AU436" s="145">
        <f t="shared" si="148"/>
        <v>0</v>
      </c>
      <c r="AV436" s="145">
        <f t="shared" si="149"/>
        <v>1</v>
      </c>
      <c r="AW436" s="145">
        <f t="shared" si="150"/>
        <v>1</v>
      </c>
      <c r="AX436" s="145">
        <f t="shared" si="161"/>
        <v>1</v>
      </c>
      <c r="AY436" s="145">
        <f t="shared" si="151"/>
        <v>0</v>
      </c>
      <c r="AZ436" s="145">
        <f t="shared" si="152"/>
        <v>1</v>
      </c>
      <c r="BA436" s="146">
        <f t="shared" si="153"/>
        <v>0</v>
      </c>
      <c r="BB436" s="149">
        <f t="shared" si="142"/>
        <v>15</v>
      </c>
      <c r="BC436" s="150">
        <f t="shared" si="143"/>
        <v>15</v>
      </c>
      <c r="BD436" s="150">
        <f t="shared" si="144"/>
        <v>15</v>
      </c>
      <c r="BE436" s="211" t="str">
        <f t="shared" si="145"/>
        <v/>
      </c>
      <c r="BH436" s="173">
        <f>IF(AND(Input_Product=Elig!$C436,Elig_MatchAll_Ct&lt;22,$BC436=(Elig_MatchAll_Ct-1),AF436=0),C436,0)</f>
        <v>0</v>
      </c>
      <c r="BI436" s="173">
        <f>IF(AND(Input_Product=Elig!$C436,Elig_MatchAll_Ct&lt;22,$BC436=(Elig_MatchAll_Ct-1),AG436=0),D436,0)</f>
        <v>0</v>
      </c>
      <c r="BJ436" s="173">
        <f>IF(AND(Input_Product=Elig!$C436,Elig_MatchAll_Ct&lt;22,$BC436=(Elig_MatchAll_Ct-1),AH436=0),E436,0)</f>
        <v>0</v>
      </c>
      <c r="BK436" s="173">
        <f>IF(AND(Input_Product=Elig!$C436,Elig_MatchAll_Ct&lt;22,$BC436=(Elig_MatchAll_Ct-1),AI436=0),F436,0)</f>
        <v>0</v>
      </c>
      <c r="BL436" s="173">
        <f>IF(AND(Input_Product=Elig!$C436,Elig_MatchAll_Ct&lt;22,$BC436=(Elig_MatchAll_Ct-1),AJ436=0),G436,0)</f>
        <v>0</v>
      </c>
      <c r="BM436" s="173">
        <f>IF(AND(Input_Product=Elig!$C436,Elig_MatchAll_Ct&lt;22,$BC436=(Elig_MatchAll_Ct-1),AK436=0),H436,0)</f>
        <v>0</v>
      </c>
      <c r="BN436" s="173">
        <f>IF(AND(Input_Product=Elig!$C436,Elig_MatchAll_Ct&lt;22,$BC436=(Elig_MatchAll_Ct-1),AL436=0),I436,0)</f>
        <v>0</v>
      </c>
      <c r="BO436" s="173">
        <f>IF(AND(Input_Product=Elig!$C436,Elig_MatchAll_Ct&lt;22,$BC436=(Elig_MatchAll_Ct-1),AM436=0),J436,0)</f>
        <v>0</v>
      </c>
      <c r="BP436" s="173">
        <f>IF(AND(Input_Product=Elig!$C436,Elig_MatchAll_Ct&lt;22,$BC436=(Elig_MatchAll_Ct-1),AN436=0),K436,0)</f>
        <v>0</v>
      </c>
      <c r="BQ436" s="173">
        <f>IF(AND(Input_Product=Elig!$C436,Elig_MatchAll_Ct&lt;22,$BC436=(Elig_MatchAll_Ct-1),AP436=0),L436,0)</f>
        <v>0</v>
      </c>
      <c r="BR436" s="173">
        <f>IF(AND(Input_Product=Elig!$C436,Elig_MatchAll_Ct&lt;22,$BC436=(Elig_MatchAll_Ct-1),AO436=0),M436,0)</f>
        <v>0</v>
      </c>
      <c r="BS436" s="173">
        <f>IF(AND(Input_Product=Elig!$C436,Elig_MatchAll_Ct&lt;22,$BC436=(Elig_MatchAll_Ct-1),AQ436=0),N436,0)</f>
        <v>0</v>
      </c>
      <c r="BT436" s="173">
        <f>IF(AND(Input_Product=Elig!$C436,Elig_MatchAll_Ct&lt;22,$BC436=(Elig_MatchAll_Ct-1),AR436=0),O436,0)</f>
        <v>0</v>
      </c>
      <c r="BU436" s="173">
        <f>IF(AND(Input_Product=Elig!$C436,Elig_MatchAll_Ct&lt;22,$BC436=(Elig_MatchAll_Ct-1),AS436=0),P436,0)</f>
        <v>0</v>
      </c>
      <c r="BV436" s="174">
        <f>IF(AND(Input_Product=Elig!$C436,Elig_MatchAll_Ct&lt;22,$BC436=(Elig_MatchAll_Ct-1),AT436=0),Q436,0)</f>
        <v>0</v>
      </c>
      <c r="BW436" s="175">
        <f>IF(AND(Input_Product=Elig!$C436,Elig_MatchAll_Ct&lt;22,$BC436=(Elig_MatchAll_Ct-1),AU436=0),R436,0)</f>
        <v>0</v>
      </c>
      <c r="BX436" s="176">
        <f>IF(AND(Input_Product=Elig!$C436,Elig_MatchAll_Ct&lt;22,$BC436=(Elig_MatchAll_Ct-1),AU436=0),S436,0)</f>
        <v>0</v>
      </c>
      <c r="BY436" s="175">
        <f>IF(AND(Input_Product=Elig!$C436,Elig_MatchAll_Ct&lt;22,$BC436=(Elig_MatchAll_Ct-1),AV436=0),T436,0)</f>
        <v>0</v>
      </c>
      <c r="BZ436" s="176">
        <f>IF(AND(Input_Product=Elig!$C436,Elig_MatchAll_Ct&lt;22,$BC436=(Elig_MatchAll_Ct-1),AV436=0),U436,0)</f>
        <v>0</v>
      </c>
      <c r="CA436" s="175">
        <f>IF(AND(Input_Product=Elig!$C436,Elig_MatchAll_Ct&lt;22,$BC436=(Elig_MatchAll_Ct-1),AW436=0),V436,0)</f>
        <v>0</v>
      </c>
      <c r="CB436" s="176">
        <f>IF(AND(Input_Product=Elig!$C436,Elig_MatchAll_Ct&lt;22,$BC436=(Elig_MatchAll_Ct-1),AW436=0),W436,0)</f>
        <v>0</v>
      </c>
      <c r="CC436" s="175">
        <f>IF(AND(Input_Product=Elig!$C436,Elig_MatchAll_Ct&lt;22,$BC436=(Elig_MatchAll_Ct-1),AX436=0),X436,0)</f>
        <v>0</v>
      </c>
      <c r="CD436" s="176">
        <f>IF(AND(Input_Product=Elig!$C436,Elig_MatchAll_Ct&lt;22,$BC436=(Elig_MatchAll_Ct-1),AX436=0),Y436,0)</f>
        <v>0</v>
      </c>
      <c r="CE436" s="175">
        <f>IF(AND(Input_LTV&lt;=AE436,Input_Product=Elig!$C436,Elig_MatchAll_Ct&lt;22,$BC436=(Elig_MatchAll_Ct-1),AY436=0),Z436,0)</f>
        <v>0</v>
      </c>
      <c r="CF436" s="176">
        <f>IF(AND(Input_LTV&lt;=AE436,Input_Product=Elig!$C436,Elig_MatchAll_Ct&lt;22,$BC436=(Elig_MatchAll_Ct-1),AY436=0),AA436,0)</f>
        <v>0</v>
      </c>
      <c r="CG436" s="175">
        <f>IF(AND(Input_Product=Elig!$C436,Elig_MatchAll_Ct&lt;22,$BC436=(Elig_MatchAll_Ct-1),AZ436=0),AB436,0)</f>
        <v>0</v>
      </c>
      <c r="CH436" s="176">
        <f>IF(AND(Input_Product=Elig!$C436,Elig_MatchAll_Ct&lt;22,$BC436=(Elig_MatchAll_Ct-1),AZ436=0),AC436,0)</f>
        <v>0</v>
      </c>
      <c r="CI436" s="175">
        <f>IF(AND(Input_Product=Elig!$C436,Elig_MatchAll_Ct&lt;22,$BC436=(Elig_MatchAll_Ct-1),BA436=0),AD436,0)</f>
        <v>0</v>
      </c>
      <c r="CJ436" s="176">
        <f>IF(AND(Input_Product=Elig!$C436,Elig_MatchAll_Ct&lt;22,$BC436=(Elig_MatchAll_Ct-1),BA436=0),AE436,0)</f>
        <v>0</v>
      </c>
    </row>
    <row r="437" spans="1:88" ht="10.15" customHeight="1" x14ac:dyDescent="0.25">
      <c r="A437" s="252" t="s">
        <v>76</v>
      </c>
      <c r="B437" s="252" t="s">
        <v>2100</v>
      </c>
      <c r="C437" s="256" t="str">
        <f t="shared" si="140"/>
        <v>NonQM NOO</v>
      </c>
      <c r="D437" s="257" t="s">
        <v>1995</v>
      </c>
      <c r="E437" s="257" t="s">
        <v>166</v>
      </c>
      <c r="F437" s="257" t="s">
        <v>329</v>
      </c>
      <c r="G437" s="257" t="s">
        <v>303</v>
      </c>
      <c r="H437" s="257" t="s">
        <v>444</v>
      </c>
      <c r="I437" s="260" t="s">
        <v>16</v>
      </c>
      <c r="J437" s="260" t="s">
        <v>1130</v>
      </c>
      <c r="K437" s="260" t="s">
        <v>1398</v>
      </c>
      <c r="L437" s="257" t="s">
        <v>311</v>
      </c>
      <c r="M437" s="257" t="s">
        <v>2289</v>
      </c>
      <c r="N437" s="257" t="s">
        <v>1844</v>
      </c>
      <c r="O437" s="257" t="s">
        <v>309</v>
      </c>
      <c r="P437" s="257" t="s">
        <v>2434</v>
      </c>
      <c r="Q437" s="257" t="s">
        <v>293</v>
      </c>
      <c r="R437" s="257">
        <v>2000000.01</v>
      </c>
      <c r="S437" s="257">
        <v>2500000</v>
      </c>
      <c r="T437" s="257">
        <v>0</v>
      </c>
      <c r="U437" s="257">
        <f t="shared" si="164"/>
        <v>2500000</v>
      </c>
      <c r="V437" s="257">
        <v>0</v>
      </c>
      <c r="W437" s="257">
        <v>50</v>
      </c>
      <c r="X437" s="257">
        <v>0</v>
      </c>
      <c r="Y437" s="257">
        <v>999</v>
      </c>
      <c r="Z437" s="258">
        <v>660</v>
      </c>
      <c r="AA437" s="258">
        <v>679</v>
      </c>
      <c r="AB437" s="1884">
        <v>0</v>
      </c>
      <c r="AC437" s="258">
        <v>999999</v>
      </c>
      <c r="AD437" s="257">
        <v>0</v>
      </c>
      <c r="AE437" s="259">
        <v>65</v>
      </c>
      <c r="AF437" s="144">
        <v>0</v>
      </c>
      <c r="AG437" s="145">
        <v>1</v>
      </c>
      <c r="AH437" s="145">
        <v>1</v>
      </c>
      <c r="AI437" s="145">
        <v>1</v>
      </c>
      <c r="AJ437" s="145">
        <v>0</v>
      </c>
      <c r="AK437" s="145">
        <v>0</v>
      </c>
      <c r="AL437" s="145">
        <v>0</v>
      </c>
      <c r="AM437" s="145">
        <v>1</v>
      </c>
      <c r="AN437" s="145">
        <v>1</v>
      </c>
      <c r="AO437" s="145">
        <v>1</v>
      </c>
      <c r="AP437" s="145">
        <v>1</v>
      </c>
      <c r="AQ437" s="145">
        <v>1</v>
      </c>
      <c r="AR437" s="145">
        <v>1</v>
      </c>
      <c r="AS437" s="145">
        <v>1</v>
      </c>
      <c r="AT437" s="145">
        <v>1</v>
      </c>
      <c r="AU437" s="145">
        <f t="shared" si="148"/>
        <v>0</v>
      </c>
      <c r="AV437" s="145">
        <f t="shared" si="149"/>
        <v>1</v>
      </c>
      <c r="AW437" s="145">
        <f t="shared" si="150"/>
        <v>1</v>
      </c>
      <c r="AX437" s="145">
        <f t="shared" si="161"/>
        <v>1</v>
      </c>
      <c r="AY437" s="145">
        <f t="shared" si="151"/>
        <v>0</v>
      </c>
      <c r="AZ437" s="145">
        <f t="shared" si="152"/>
        <v>1</v>
      </c>
      <c r="BA437" s="146">
        <f t="shared" si="153"/>
        <v>0</v>
      </c>
      <c r="BB437" s="149">
        <f t="shared" si="142"/>
        <v>15</v>
      </c>
      <c r="BC437" s="150">
        <f t="shared" si="143"/>
        <v>15</v>
      </c>
      <c r="BD437" s="150">
        <f t="shared" si="144"/>
        <v>15</v>
      </c>
      <c r="BE437" s="211" t="str">
        <f t="shared" si="145"/>
        <v/>
      </c>
      <c r="BH437" s="188">
        <f>IF(AND(Input_Product=Elig!$C437,Elig_MatchAll_Ct&lt;22,$BC437=(Elig_MatchAll_Ct-1),AF437=0),C437,0)</f>
        <v>0</v>
      </c>
      <c r="BI437" s="188">
        <f>IF(AND(Input_Product=Elig!$C437,Elig_MatchAll_Ct&lt;22,$BC437=(Elig_MatchAll_Ct-1),AG437=0),D437,0)</f>
        <v>0</v>
      </c>
      <c r="BJ437" s="188">
        <f>IF(AND(Input_Product=Elig!$C437,Elig_MatchAll_Ct&lt;22,$BC437=(Elig_MatchAll_Ct-1),AH437=0),E437,0)</f>
        <v>0</v>
      </c>
      <c r="BK437" s="188">
        <f>IF(AND(Input_Product=Elig!$C437,Elig_MatchAll_Ct&lt;22,$BC437=(Elig_MatchAll_Ct-1),AI437=0),F437,0)</f>
        <v>0</v>
      </c>
      <c r="BL437" s="188">
        <f>IF(AND(Input_Product=Elig!$C437,Elig_MatchAll_Ct&lt;22,$BC437=(Elig_MatchAll_Ct-1),AJ437=0),G437,0)</f>
        <v>0</v>
      </c>
      <c r="BM437" s="188">
        <f>IF(AND(Input_Product=Elig!$C437,Elig_MatchAll_Ct&lt;22,$BC437=(Elig_MatchAll_Ct-1),AK437=0),H437,0)</f>
        <v>0</v>
      </c>
      <c r="BN437" s="188">
        <f>IF(AND(Input_Product=Elig!$C437,Elig_MatchAll_Ct&lt;22,$BC437=(Elig_MatchAll_Ct-1),AL437=0),I437,0)</f>
        <v>0</v>
      </c>
      <c r="BO437" s="188">
        <f>IF(AND(Input_Product=Elig!$C437,Elig_MatchAll_Ct&lt;22,$BC437=(Elig_MatchAll_Ct-1),AM437=0),J437,0)</f>
        <v>0</v>
      </c>
      <c r="BP437" s="188">
        <f>IF(AND(Input_Product=Elig!$C437,Elig_MatchAll_Ct&lt;22,$BC437=(Elig_MatchAll_Ct-1),AN437=0),K437,0)</f>
        <v>0</v>
      </c>
      <c r="BQ437" s="188">
        <f>IF(AND(Input_Product=Elig!$C437,Elig_MatchAll_Ct&lt;22,$BC437=(Elig_MatchAll_Ct-1),AP437=0),L437,0)</f>
        <v>0</v>
      </c>
      <c r="BR437" s="188">
        <f>IF(AND(Input_Product=Elig!$C437,Elig_MatchAll_Ct&lt;22,$BC437=(Elig_MatchAll_Ct-1),AO437=0),M437,0)</f>
        <v>0</v>
      </c>
      <c r="BS437" s="188">
        <f>IF(AND(Input_Product=Elig!$C437,Elig_MatchAll_Ct&lt;22,$BC437=(Elig_MatchAll_Ct-1),AQ437=0),N437,0)</f>
        <v>0</v>
      </c>
      <c r="BT437" s="188">
        <f>IF(AND(Input_Product=Elig!$C437,Elig_MatchAll_Ct&lt;22,$BC437=(Elig_MatchAll_Ct-1),AR437=0),O437,0)</f>
        <v>0</v>
      </c>
      <c r="BU437" s="188">
        <f>IF(AND(Input_Product=Elig!$C437,Elig_MatchAll_Ct&lt;22,$BC437=(Elig_MatchAll_Ct-1),AS437=0),P437,0)</f>
        <v>0</v>
      </c>
      <c r="BV437" s="189">
        <f>IF(AND(Input_Product=Elig!$C437,Elig_MatchAll_Ct&lt;22,$BC437=(Elig_MatchAll_Ct-1),AT437=0),Q437,0)</f>
        <v>0</v>
      </c>
      <c r="BW437" s="271">
        <f>IF(AND(Input_Product=Elig!$C437,Elig_MatchAll_Ct&lt;22,$BC437=(Elig_MatchAll_Ct-1),AU437=0),R437,0)</f>
        <v>0</v>
      </c>
      <c r="BX437" s="272">
        <f>IF(AND(Input_Product=Elig!$C437,Elig_MatchAll_Ct&lt;22,$BC437=(Elig_MatchAll_Ct-1),AU437=0),S437,0)</f>
        <v>0</v>
      </c>
      <c r="BY437" s="271">
        <f>IF(AND(Input_Product=Elig!$C437,Elig_MatchAll_Ct&lt;22,$BC437=(Elig_MatchAll_Ct-1),AV437=0),T437,0)</f>
        <v>0</v>
      </c>
      <c r="BZ437" s="272">
        <f>IF(AND(Input_Product=Elig!$C437,Elig_MatchAll_Ct&lt;22,$BC437=(Elig_MatchAll_Ct-1),AV437=0),U437,0)</f>
        <v>0</v>
      </c>
      <c r="CA437" s="271">
        <f>IF(AND(Input_Product=Elig!$C437,Elig_MatchAll_Ct&lt;22,$BC437=(Elig_MatchAll_Ct-1),AW437=0),V437,0)</f>
        <v>0</v>
      </c>
      <c r="CB437" s="272">
        <f>IF(AND(Input_Product=Elig!$C437,Elig_MatchAll_Ct&lt;22,$BC437=(Elig_MatchAll_Ct-1),AW437=0),W437,0)</f>
        <v>0</v>
      </c>
      <c r="CC437" s="271">
        <f>IF(AND(Input_Product=Elig!$C437,Elig_MatchAll_Ct&lt;22,$BC437=(Elig_MatchAll_Ct-1),AX437=0),X437,0)</f>
        <v>0</v>
      </c>
      <c r="CD437" s="272">
        <f>IF(AND(Input_Product=Elig!$C437,Elig_MatchAll_Ct&lt;22,$BC437=(Elig_MatchAll_Ct-1),AX437=0),Y437,0)</f>
        <v>0</v>
      </c>
      <c r="CE437" s="271">
        <f>IF(AND(Input_LTV&lt;=AE437,Input_Product=Elig!$C437,Elig_MatchAll_Ct&lt;22,$BC437=(Elig_MatchAll_Ct-1),AY437=0),Z437,0)</f>
        <v>0</v>
      </c>
      <c r="CF437" s="272">
        <f>IF(AND(Input_LTV&lt;=AE437,Input_Product=Elig!$C437,Elig_MatchAll_Ct&lt;22,$BC437=(Elig_MatchAll_Ct-1),AY437=0),AA437,0)</f>
        <v>0</v>
      </c>
      <c r="CG437" s="271">
        <f>IF(AND(Input_Product=Elig!$C437,Elig_MatchAll_Ct&lt;22,$BC437=(Elig_MatchAll_Ct-1),AZ437=0),AB437,0)</f>
        <v>0</v>
      </c>
      <c r="CH437" s="272">
        <f>IF(AND(Input_Product=Elig!$C437,Elig_MatchAll_Ct&lt;22,$BC437=(Elig_MatchAll_Ct-1),AZ437=0),AC437,0)</f>
        <v>0</v>
      </c>
      <c r="CI437" s="271">
        <f>IF(AND(Input_Product=Elig!$C437,Elig_MatchAll_Ct&lt;22,$BC437=(Elig_MatchAll_Ct-1),BA437=0),AD437,0)</f>
        <v>0</v>
      </c>
      <c r="CJ437" s="272">
        <f>IF(AND(Input_Product=Elig!$C437,Elig_MatchAll_Ct&lt;22,$BC437=(Elig_MatchAll_Ct-1),BA437=0),AE437,0)</f>
        <v>0</v>
      </c>
    </row>
    <row r="438" spans="1:88" ht="10.15" customHeight="1" x14ac:dyDescent="0.25">
      <c r="A438" s="252" t="s">
        <v>76</v>
      </c>
      <c r="B438" s="252" t="s">
        <v>2101</v>
      </c>
      <c r="C438" s="246" t="str">
        <f t="shared" si="140"/>
        <v>NonQM NOO</v>
      </c>
      <c r="D438" s="247" t="s">
        <v>1995</v>
      </c>
      <c r="E438" s="248" t="s">
        <v>166</v>
      </c>
      <c r="F438" s="248" t="s">
        <v>329</v>
      </c>
      <c r="G438" s="248" t="s">
        <v>465</v>
      </c>
      <c r="H438" s="248" t="s">
        <v>135</v>
      </c>
      <c r="I438" s="247" t="s">
        <v>273</v>
      </c>
      <c r="J438" s="247" t="s">
        <v>1130</v>
      </c>
      <c r="K438" s="247" t="s">
        <v>1398</v>
      </c>
      <c r="L438" s="248" t="s">
        <v>311</v>
      </c>
      <c r="M438" s="248" t="s">
        <v>2289</v>
      </c>
      <c r="N438" s="248" t="s">
        <v>1844</v>
      </c>
      <c r="O438" s="248" t="s">
        <v>309</v>
      </c>
      <c r="P438" s="248" t="s">
        <v>2434</v>
      </c>
      <c r="Q438" s="248" t="s">
        <v>293</v>
      </c>
      <c r="R438" s="247">
        <v>2000000.01</v>
      </c>
      <c r="S438" s="247">
        <v>2500000</v>
      </c>
      <c r="T438" s="247">
        <v>0</v>
      </c>
      <c r="U438" s="247">
        <v>0</v>
      </c>
      <c r="V438" s="247">
        <v>0</v>
      </c>
      <c r="W438" s="247">
        <v>50</v>
      </c>
      <c r="X438" s="247">
        <v>0</v>
      </c>
      <c r="Y438" s="247">
        <v>999</v>
      </c>
      <c r="Z438" s="249">
        <v>720</v>
      </c>
      <c r="AA438" s="249">
        <v>999</v>
      </c>
      <c r="AB438" s="1882">
        <v>0</v>
      </c>
      <c r="AC438" s="249">
        <v>999999</v>
      </c>
      <c r="AD438" s="247">
        <v>0</v>
      </c>
      <c r="AE438" s="250">
        <v>75</v>
      </c>
      <c r="AF438" s="144">
        <v>0</v>
      </c>
      <c r="AG438" s="145">
        <v>1</v>
      </c>
      <c r="AH438" s="145">
        <v>1</v>
      </c>
      <c r="AI438" s="145">
        <v>1</v>
      </c>
      <c r="AJ438" s="145">
        <v>0</v>
      </c>
      <c r="AK438" s="145">
        <v>1</v>
      </c>
      <c r="AL438" s="145">
        <v>1</v>
      </c>
      <c r="AM438" s="145">
        <v>1</v>
      </c>
      <c r="AN438" s="145">
        <v>1</v>
      </c>
      <c r="AO438" s="145">
        <v>1</v>
      </c>
      <c r="AP438" s="145">
        <v>1</v>
      </c>
      <c r="AQ438" s="145">
        <v>1</v>
      </c>
      <c r="AR438" s="145">
        <v>1</v>
      </c>
      <c r="AS438" s="145">
        <v>1</v>
      </c>
      <c r="AT438" s="145">
        <v>1</v>
      </c>
      <c r="AU438" s="145">
        <f t="shared" si="148"/>
        <v>0</v>
      </c>
      <c r="AV438" s="145">
        <f t="shared" si="149"/>
        <v>1</v>
      </c>
      <c r="AW438" s="145">
        <f t="shared" si="150"/>
        <v>1</v>
      </c>
      <c r="AX438" s="145">
        <f t="shared" si="161"/>
        <v>1</v>
      </c>
      <c r="AY438" s="145">
        <f t="shared" si="151"/>
        <v>1</v>
      </c>
      <c r="AZ438" s="145">
        <f t="shared" si="152"/>
        <v>1</v>
      </c>
      <c r="BA438" s="146">
        <f t="shared" si="153"/>
        <v>1</v>
      </c>
      <c r="BB438" s="149">
        <f t="shared" ref="BB438:BB505" si="166">SUM(AF438:BA438)</f>
        <v>19</v>
      </c>
      <c r="BC438" s="150">
        <f t="shared" ref="BC438:BC505" si="167">SUM(AF438:AZ438)</f>
        <v>18</v>
      </c>
      <c r="BD438" s="150">
        <f t="shared" ref="BD438:BD505" si="168">SUM(AG438:BA438)</f>
        <v>19</v>
      </c>
      <c r="BE438" s="211" t="str">
        <f t="shared" ref="BE438:BE505" si="169">IF(BD438=21,C438,"")</f>
        <v/>
      </c>
      <c r="BH438" s="184">
        <f>IF(AND(Input_Product=Elig!$C438,Elig_MatchAll_Ct&lt;22,$BC438=(Elig_MatchAll_Ct-1),AF438=0),C438,0)</f>
        <v>0</v>
      </c>
      <c r="BI438" s="184">
        <f>IF(AND(Input_Product=Elig!$C438,Elig_MatchAll_Ct&lt;22,$BC438=(Elig_MatchAll_Ct-1),AG438=0),D438,0)</f>
        <v>0</v>
      </c>
      <c r="BJ438" s="184">
        <f>IF(AND(Input_Product=Elig!$C438,Elig_MatchAll_Ct&lt;22,$BC438=(Elig_MatchAll_Ct-1),AH438=0),E438,0)</f>
        <v>0</v>
      </c>
      <c r="BK438" s="184">
        <f>IF(AND(Input_Product=Elig!$C438,Elig_MatchAll_Ct&lt;22,$BC438=(Elig_MatchAll_Ct-1),AI438=0),F438,0)</f>
        <v>0</v>
      </c>
      <c r="BL438" s="184">
        <f>IF(AND(Input_Product=Elig!$C438,Elig_MatchAll_Ct&lt;22,$BC438=(Elig_MatchAll_Ct-1),AJ438=0),G438,0)</f>
        <v>0</v>
      </c>
      <c r="BM438" s="184">
        <f>IF(AND(Input_Product=Elig!$C438,Elig_MatchAll_Ct&lt;22,$BC438=(Elig_MatchAll_Ct-1),AK438=0),H438,0)</f>
        <v>0</v>
      </c>
      <c r="BN438" s="184">
        <f>IF(AND(Input_Product=Elig!$C438,Elig_MatchAll_Ct&lt;22,$BC438=(Elig_MatchAll_Ct-1),AL438=0),I438,0)</f>
        <v>0</v>
      </c>
      <c r="BO438" s="184">
        <f>IF(AND(Input_Product=Elig!$C438,Elig_MatchAll_Ct&lt;22,$BC438=(Elig_MatchAll_Ct-1),AM438=0),J438,0)</f>
        <v>0</v>
      </c>
      <c r="BP438" s="184">
        <f>IF(AND(Input_Product=Elig!$C438,Elig_MatchAll_Ct&lt;22,$BC438=(Elig_MatchAll_Ct-1),AN438=0),K438,0)</f>
        <v>0</v>
      </c>
      <c r="BQ438" s="184">
        <f>IF(AND(Input_Product=Elig!$C438,Elig_MatchAll_Ct&lt;22,$BC438=(Elig_MatchAll_Ct-1),AP438=0),L438,0)</f>
        <v>0</v>
      </c>
      <c r="BR438" s="184">
        <f>IF(AND(Input_Product=Elig!$C438,Elig_MatchAll_Ct&lt;22,$BC438=(Elig_MatchAll_Ct-1),AO438=0),M438,0)</f>
        <v>0</v>
      </c>
      <c r="BS438" s="184">
        <f>IF(AND(Input_Product=Elig!$C438,Elig_MatchAll_Ct&lt;22,$BC438=(Elig_MatchAll_Ct-1),AQ438=0),N438,0)</f>
        <v>0</v>
      </c>
      <c r="BT438" s="184">
        <f>IF(AND(Input_Product=Elig!$C438,Elig_MatchAll_Ct&lt;22,$BC438=(Elig_MatchAll_Ct-1),AR438=0),O438,0)</f>
        <v>0</v>
      </c>
      <c r="BU438" s="184">
        <f>IF(AND(Input_Product=Elig!$C438,Elig_MatchAll_Ct&lt;22,$BC438=(Elig_MatchAll_Ct-1),AS438=0),P438,0)</f>
        <v>0</v>
      </c>
      <c r="BV438" s="185">
        <f>IF(AND(Input_Product=Elig!$C438,Elig_MatchAll_Ct&lt;22,$BC438=(Elig_MatchAll_Ct-1),AT438=0),Q438,0)</f>
        <v>0</v>
      </c>
      <c r="BW438" s="186">
        <f>IF(AND(Input_Product=Elig!$C438,Elig_MatchAll_Ct&lt;22,$BC438=(Elig_MatchAll_Ct-1),AU438=0),R438,0)</f>
        <v>0</v>
      </c>
      <c r="BX438" s="187">
        <f>IF(AND(Input_Product=Elig!$C438,Elig_MatchAll_Ct&lt;22,$BC438=(Elig_MatchAll_Ct-1),AU438=0),S438,0)</f>
        <v>0</v>
      </c>
      <c r="BY438" s="186">
        <f>IF(AND(Input_Product=Elig!$C438,Elig_MatchAll_Ct&lt;22,$BC438=(Elig_MatchAll_Ct-1),AV438=0),T438,0)</f>
        <v>0</v>
      </c>
      <c r="BZ438" s="187">
        <f>IF(AND(Input_Product=Elig!$C438,Elig_MatchAll_Ct&lt;22,$BC438=(Elig_MatchAll_Ct-1),AV438=0),U438,0)</f>
        <v>0</v>
      </c>
      <c r="CA438" s="186">
        <f>IF(AND(Input_Product=Elig!$C438,Elig_MatchAll_Ct&lt;22,$BC438=(Elig_MatchAll_Ct-1),AW438=0),V438,0)</f>
        <v>0</v>
      </c>
      <c r="CB438" s="187">
        <f>IF(AND(Input_Product=Elig!$C438,Elig_MatchAll_Ct&lt;22,$BC438=(Elig_MatchAll_Ct-1),AW438=0),W438,0)</f>
        <v>0</v>
      </c>
      <c r="CC438" s="186">
        <f>IF(AND(Input_Product=Elig!$C438,Elig_MatchAll_Ct&lt;22,$BC438=(Elig_MatchAll_Ct-1),AX438=0),X438,0)</f>
        <v>0</v>
      </c>
      <c r="CD438" s="187">
        <f>IF(AND(Input_Product=Elig!$C438,Elig_MatchAll_Ct&lt;22,$BC438=(Elig_MatchAll_Ct-1),AX438=0),Y438,0)</f>
        <v>0</v>
      </c>
      <c r="CE438" s="186">
        <f>IF(AND(Input_LTV&lt;=AE438,Input_Product=Elig!$C438,Elig_MatchAll_Ct&lt;22,$BC438=(Elig_MatchAll_Ct-1),AY438=0),Z438,0)</f>
        <v>0</v>
      </c>
      <c r="CF438" s="187">
        <f>IF(AND(Input_LTV&lt;=AE438,Input_Product=Elig!$C438,Elig_MatchAll_Ct&lt;22,$BC438=(Elig_MatchAll_Ct-1),AY438=0),AA438,0)</f>
        <v>0</v>
      </c>
      <c r="CG438" s="186">
        <f>IF(AND(Input_Product=Elig!$C438,Elig_MatchAll_Ct&lt;22,$BC438=(Elig_MatchAll_Ct-1),AZ438=0),AB438,0)</f>
        <v>0</v>
      </c>
      <c r="CH438" s="187">
        <f>IF(AND(Input_Product=Elig!$C438,Elig_MatchAll_Ct&lt;22,$BC438=(Elig_MatchAll_Ct-1),AZ438=0),AC438,0)</f>
        <v>0</v>
      </c>
      <c r="CI438" s="186">
        <f>IF(AND(Input_Product=Elig!$C438,Elig_MatchAll_Ct&lt;22,$BC438=(Elig_MatchAll_Ct-1),BA438=0),AD438,0)</f>
        <v>0</v>
      </c>
      <c r="CJ438" s="187">
        <f>IF(AND(Input_Product=Elig!$C438,Elig_MatchAll_Ct&lt;22,$BC438=(Elig_MatchAll_Ct-1),BA438=0),AE438,0)</f>
        <v>0</v>
      </c>
    </row>
    <row r="439" spans="1:88" ht="10.15" customHeight="1" x14ac:dyDescent="0.25">
      <c r="A439" s="252" t="s">
        <v>76</v>
      </c>
      <c r="B439" s="252" t="s">
        <v>2102</v>
      </c>
      <c r="C439" s="251" t="str">
        <f t="shared" si="140"/>
        <v>NonQM NOO</v>
      </c>
      <c r="D439" s="252" t="s">
        <v>1995</v>
      </c>
      <c r="E439" s="252" t="s">
        <v>166</v>
      </c>
      <c r="F439" s="252" t="s">
        <v>329</v>
      </c>
      <c r="G439" s="252" t="s">
        <v>465</v>
      </c>
      <c r="H439" s="252" t="s">
        <v>135</v>
      </c>
      <c r="I439" s="253" t="s">
        <v>273</v>
      </c>
      <c r="J439" s="253" t="s">
        <v>1130</v>
      </c>
      <c r="K439" s="253" t="s">
        <v>1398</v>
      </c>
      <c r="L439" s="252" t="s">
        <v>311</v>
      </c>
      <c r="M439" s="252" t="s">
        <v>2289</v>
      </c>
      <c r="N439" s="252" t="s">
        <v>1844</v>
      </c>
      <c r="O439" s="252" t="s">
        <v>309</v>
      </c>
      <c r="P439" s="252" t="s">
        <v>2434</v>
      </c>
      <c r="Q439" s="252" t="s">
        <v>293</v>
      </c>
      <c r="R439" s="252">
        <v>2000000.01</v>
      </c>
      <c r="S439" s="252">
        <v>2500000</v>
      </c>
      <c r="T439" s="252">
        <v>0</v>
      </c>
      <c r="U439" s="252">
        <v>0</v>
      </c>
      <c r="V439" s="252">
        <v>0</v>
      </c>
      <c r="W439" s="252">
        <v>50</v>
      </c>
      <c r="X439" s="252">
        <v>0</v>
      </c>
      <c r="Y439" s="252">
        <v>999</v>
      </c>
      <c r="Z439" s="254">
        <v>700</v>
      </c>
      <c r="AA439" s="254">
        <v>719</v>
      </c>
      <c r="AB439" s="1883">
        <v>0</v>
      </c>
      <c r="AC439" s="254">
        <v>999999</v>
      </c>
      <c r="AD439" s="252">
        <v>0</v>
      </c>
      <c r="AE439" s="255">
        <v>75</v>
      </c>
      <c r="AF439" s="144">
        <v>0</v>
      </c>
      <c r="AG439" s="145">
        <v>1</v>
      </c>
      <c r="AH439" s="145">
        <v>1</v>
      </c>
      <c r="AI439" s="145">
        <v>1</v>
      </c>
      <c r="AJ439" s="145">
        <v>0</v>
      </c>
      <c r="AK439" s="145">
        <v>1</v>
      </c>
      <c r="AL439" s="145">
        <v>1</v>
      </c>
      <c r="AM439" s="145">
        <v>1</v>
      </c>
      <c r="AN439" s="145">
        <v>1</v>
      </c>
      <c r="AO439" s="145">
        <v>1</v>
      </c>
      <c r="AP439" s="145">
        <v>1</v>
      </c>
      <c r="AQ439" s="145">
        <v>1</v>
      </c>
      <c r="AR439" s="145">
        <v>1</v>
      </c>
      <c r="AS439" s="145">
        <v>1</v>
      </c>
      <c r="AT439" s="145">
        <v>1</v>
      </c>
      <c r="AU439" s="145">
        <f t="shared" si="148"/>
        <v>0</v>
      </c>
      <c r="AV439" s="145">
        <f t="shared" si="149"/>
        <v>1</v>
      </c>
      <c r="AW439" s="145">
        <f t="shared" si="150"/>
        <v>1</v>
      </c>
      <c r="AX439" s="145">
        <f t="shared" si="161"/>
        <v>1</v>
      </c>
      <c r="AY439" s="145">
        <f t="shared" si="151"/>
        <v>0</v>
      </c>
      <c r="AZ439" s="145">
        <f t="shared" si="152"/>
        <v>1</v>
      </c>
      <c r="BA439" s="146">
        <f t="shared" si="153"/>
        <v>1</v>
      </c>
      <c r="BB439" s="149">
        <f t="shared" si="166"/>
        <v>18</v>
      </c>
      <c r="BC439" s="150">
        <f t="shared" si="167"/>
        <v>17</v>
      </c>
      <c r="BD439" s="150">
        <f t="shared" si="168"/>
        <v>18</v>
      </c>
      <c r="BE439" s="211" t="str">
        <f t="shared" si="169"/>
        <v/>
      </c>
      <c r="BH439" s="173">
        <f>IF(AND(Input_Product=Elig!$C439,Elig_MatchAll_Ct&lt;22,$BC439=(Elig_MatchAll_Ct-1),AF439=0),C439,0)</f>
        <v>0</v>
      </c>
      <c r="BI439" s="173">
        <f>IF(AND(Input_Product=Elig!$C439,Elig_MatchAll_Ct&lt;22,$BC439=(Elig_MatchAll_Ct-1),AG439=0),D439,0)</f>
        <v>0</v>
      </c>
      <c r="BJ439" s="173">
        <f>IF(AND(Input_Product=Elig!$C439,Elig_MatchAll_Ct&lt;22,$BC439=(Elig_MatchAll_Ct-1),AH439=0),E439,0)</f>
        <v>0</v>
      </c>
      <c r="BK439" s="173">
        <f>IF(AND(Input_Product=Elig!$C439,Elig_MatchAll_Ct&lt;22,$BC439=(Elig_MatchAll_Ct-1),AI439=0),F439,0)</f>
        <v>0</v>
      </c>
      <c r="BL439" s="173">
        <f>IF(AND(Input_Product=Elig!$C439,Elig_MatchAll_Ct&lt;22,$BC439=(Elig_MatchAll_Ct-1),AJ439=0),G439,0)</f>
        <v>0</v>
      </c>
      <c r="BM439" s="173">
        <f>IF(AND(Input_Product=Elig!$C439,Elig_MatchAll_Ct&lt;22,$BC439=(Elig_MatchAll_Ct-1),AK439=0),H439,0)</f>
        <v>0</v>
      </c>
      <c r="BN439" s="173">
        <f>IF(AND(Input_Product=Elig!$C439,Elig_MatchAll_Ct&lt;22,$BC439=(Elig_MatchAll_Ct-1),AL439=0),I439,0)</f>
        <v>0</v>
      </c>
      <c r="BO439" s="173">
        <f>IF(AND(Input_Product=Elig!$C439,Elig_MatchAll_Ct&lt;22,$BC439=(Elig_MatchAll_Ct-1),AM439=0),J439,0)</f>
        <v>0</v>
      </c>
      <c r="BP439" s="173">
        <f>IF(AND(Input_Product=Elig!$C439,Elig_MatchAll_Ct&lt;22,$BC439=(Elig_MatchAll_Ct-1),AN439=0),K439,0)</f>
        <v>0</v>
      </c>
      <c r="BQ439" s="173">
        <f>IF(AND(Input_Product=Elig!$C439,Elig_MatchAll_Ct&lt;22,$BC439=(Elig_MatchAll_Ct-1),AP439=0),L439,0)</f>
        <v>0</v>
      </c>
      <c r="BR439" s="173">
        <f>IF(AND(Input_Product=Elig!$C439,Elig_MatchAll_Ct&lt;22,$BC439=(Elig_MatchAll_Ct-1),AO439=0),M439,0)</f>
        <v>0</v>
      </c>
      <c r="BS439" s="173">
        <f>IF(AND(Input_Product=Elig!$C439,Elig_MatchAll_Ct&lt;22,$BC439=(Elig_MatchAll_Ct-1),AQ439=0),N439,0)</f>
        <v>0</v>
      </c>
      <c r="BT439" s="173">
        <f>IF(AND(Input_Product=Elig!$C439,Elig_MatchAll_Ct&lt;22,$BC439=(Elig_MatchAll_Ct-1),AR439=0),O439,0)</f>
        <v>0</v>
      </c>
      <c r="BU439" s="173">
        <f>IF(AND(Input_Product=Elig!$C439,Elig_MatchAll_Ct&lt;22,$BC439=(Elig_MatchAll_Ct-1),AS439=0),P439,0)</f>
        <v>0</v>
      </c>
      <c r="BV439" s="174">
        <f>IF(AND(Input_Product=Elig!$C439,Elig_MatchAll_Ct&lt;22,$BC439=(Elig_MatchAll_Ct-1),AT439=0),Q439,0)</f>
        <v>0</v>
      </c>
      <c r="BW439" s="175">
        <f>IF(AND(Input_Product=Elig!$C439,Elig_MatchAll_Ct&lt;22,$BC439=(Elig_MatchAll_Ct-1),AU439=0),R439,0)</f>
        <v>0</v>
      </c>
      <c r="BX439" s="176">
        <f>IF(AND(Input_Product=Elig!$C439,Elig_MatchAll_Ct&lt;22,$BC439=(Elig_MatchAll_Ct-1),AU439=0),S439,0)</f>
        <v>0</v>
      </c>
      <c r="BY439" s="175">
        <f>IF(AND(Input_Product=Elig!$C439,Elig_MatchAll_Ct&lt;22,$BC439=(Elig_MatchAll_Ct-1),AV439=0),T439,0)</f>
        <v>0</v>
      </c>
      <c r="BZ439" s="176">
        <f>IF(AND(Input_Product=Elig!$C439,Elig_MatchAll_Ct&lt;22,$BC439=(Elig_MatchAll_Ct-1),AV439=0),U439,0)</f>
        <v>0</v>
      </c>
      <c r="CA439" s="175">
        <f>IF(AND(Input_Product=Elig!$C439,Elig_MatchAll_Ct&lt;22,$BC439=(Elig_MatchAll_Ct-1),AW439=0),V439,0)</f>
        <v>0</v>
      </c>
      <c r="CB439" s="176">
        <f>IF(AND(Input_Product=Elig!$C439,Elig_MatchAll_Ct&lt;22,$BC439=(Elig_MatchAll_Ct-1),AW439=0),W439,0)</f>
        <v>0</v>
      </c>
      <c r="CC439" s="175">
        <f>IF(AND(Input_Product=Elig!$C439,Elig_MatchAll_Ct&lt;22,$BC439=(Elig_MatchAll_Ct-1),AX439=0),X439,0)</f>
        <v>0</v>
      </c>
      <c r="CD439" s="176">
        <f>IF(AND(Input_Product=Elig!$C439,Elig_MatchAll_Ct&lt;22,$BC439=(Elig_MatchAll_Ct-1),AX439=0),Y439,0)</f>
        <v>0</v>
      </c>
      <c r="CE439" s="175">
        <f>IF(AND(Input_LTV&lt;=AE439,Input_Product=Elig!$C439,Elig_MatchAll_Ct&lt;22,$BC439=(Elig_MatchAll_Ct-1),AY439=0),Z439,0)</f>
        <v>0</v>
      </c>
      <c r="CF439" s="176">
        <f>IF(AND(Input_LTV&lt;=AE439,Input_Product=Elig!$C439,Elig_MatchAll_Ct&lt;22,$BC439=(Elig_MatchAll_Ct-1),AY439=0),AA439,0)</f>
        <v>0</v>
      </c>
      <c r="CG439" s="175">
        <f>IF(AND(Input_Product=Elig!$C439,Elig_MatchAll_Ct&lt;22,$BC439=(Elig_MatchAll_Ct-1),AZ439=0),AB439,0)</f>
        <v>0</v>
      </c>
      <c r="CH439" s="176">
        <f>IF(AND(Input_Product=Elig!$C439,Elig_MatchAll_Ct&lt;22,$BC439=(Elig_MatchAll_Ct-1),AZ439=0),AC439,0)</f>
        <v>0</v>
      </c>
      <c r="CI439" s="175">
        <f>IF(AND(Input_Product=Elig!$C439,Elig_MatchAll_Ct&lt;22,$BC439=(Elig_MatchAll_Ct-1),BA439=0),AD439,0)</f>
        <v>0</v>
      </c>
      <c r="CJ439" s="176">
        <f>IF(AND(Input_Product=Elig!$C439,Elig_MatchAll_Ct&lt;22,$BC439=(Elig_MatchAll_Ct-1),BA439=0),AE439,0)</f>
        <v>0</v>
      </c>
    </row>
    <row r="440" spans="1:88" ht="10.15" customHeight="1" x14ac:dyDescent="0.25">
      <c r="A440" s="252" t="s">
        <v>76</v>
      </c>
      <c r="B440" s="252" t="s">
        <v>2103</v>
      </c>
      <c r="C440" s="251" t="str">
        <f t="shared" si="140"/>
        <v>NonQM NOO</v>
      </c>
      <c r="D440" s="252" t="s">
        <v>1995</v>
      </c>
      <c r="E440" s="252" t="s">
        <v>166</v>
      </c>
      <c r="F440" s="252" t="s">
        <v>329</v>
      </c>
      <c r="G440" s="252" t="s">
        <v>465</v>
      </c>
      <c r="H440" s="252" t="s">
        <v>135</v>
      </c>
      <c r="I440" s="253" t="s">
        <v>273</v>
      </c>
      <c r="J440" s="253" t="s">
        <v>1130</v>
      </c>
      <c r="K440" s="253" t="s">
        <v>1398</v>
      </c>
      <c r="L440" s="252" t="s">
        <v>311</v>
      </c>
      <c r="M440" s="252" t="s">
        <v>2289</v>
      </c>
      <c r="N440" s="252" t="s">
        <v>1844</v>
      </c>
      <c r="O440" s="252" t="s">
        <v>309</v>
      </c>
      <c r="P440" s="252" t="s">
        <v>2434</v>
      </c>
      <c r="Q440" s="252" t="s">
        <v>293</v>
      </c>
      <c r="R440" s="252">
        <v>2000000.01</v>
      </c>
      <c r="S440" s="252">
        <v>2500000</v>
      </c>
      <c r="T440" s="252">
        <v>0</v>
      </c>
      <c r="U440" s="252">
        <v>0</v>
      </c>
      <c r="V440" s="252">
        <v>0</v>
      </c>
      <c r="W440" s="252">
        <v>50</v>
      </c>
      <c r="X440" s="252">
        <v>0</v>
      </c>
      <c r="Y440" s="252">
        <v>999</v>
      </c>
      <c r="Z440" s="254">
        <v>680</v>
      </c>
      <c r="AA440" s="254">
        <v>699</v>
      </c>
      <c r="AB440" s="1883">
        <v>0</v>
      </c>
      <c r="AC440" s="254">
        <v>999999</v>
      </c>
      <c r="AD440" s="252">
        <v>0</v>
      </c>
      <c r="AE440" s="255">
        <v>70</v>
      </c>
      <c r="AF440" s="144">
        <v>0</v>
      </c>
      <c r="AG440" s="145">
        <v>1</v>
      </c>
      <c r="AH440" s="145">
        <v>1</v>
      </c>
      <c r="AI440" s="145">
        <v>1</v>
      </c>
      <c r="AJ440" s="145">
        <v>0</v>
      </c>
      <c r="AK440" s="145">
        <v>1</v>
      </c>
      <c r="AL440" s="145">
        <v>1</v>
      </c>
      <c r="AM440" s="145">
        <v>1</v>
      </c>
      <c r="AN440" s="145">
        <v>1</v>
      </c>
      <c r="AO440" s="145">
        <v>1</v>
      </c>
      <c r="AP440" s="145">
        <v>1</v>
      </c>
      <c r="AQ440" s="145">
        <v>1</v>
      </c>
      <c r="AR440" s="145">
        <v>1</v>
      </c>
      <c r="AS440" s="145">
        <v>1</v>
      </c>
      <c r="AT440" s="145">
        <v>1</v>
      </c>
      <c r="AU440" s="145">
        <f t="shared" si="148"/>
        <v>0</v>
      </c>
      <c r="AV440" s="145">
        <f t="shared" si="149"/>
        <v>1</v>
      </c>
      <c r="AW440" s="145">
        <f t="shared" si="150"/>
        <v>1</v>
      </c>
      <c r="AX440" s="145">
        <f t="shared" si="161"/>
        <v>1</v>
      </c>
      <c r="AY440" s="145">
        <f t="shared" si="151"/>
        <v>0</v>
      </c>
      <c r="AZ440" s="145">
        <f t="shared" si="152"/>
        <v>1</v>
      </c>
      <c r="BA440" s="146">
        <f t="shared" si="153"/>
        <v>1</v>
      </c>
      <c r="BB440" s="149">
        <f t="shared" si="166"/>
        <v>18</v>
      </c>
      <c r="BC440" s="150">
        <f t="shared" si="167"/>
        <v>17</v>
      </c>
      <c r="BD440" s="150">
        <f t="shared" si="168"/>
        <v>18</v>
      </c>
      <c r="BE440" s="211" t="str">
        <f t="shared" si="169"/>
        <v/>
      </c>
      <c r="BH440" s="173">
        <f>IF(AND(Input_Product=Elig!$C440,Elig_MatchAll_Ct&lt;22,$BC440=(Elig_MatchAll_Ct-1),AF440=0),C440,0)</f>
        <v>0</v>
      </c>
      <c r="BI440" s="173">
        <f>IF(AND(Input_Product=Elig!$C440,Elig_MatchAll_Ct&lt;22,$BC440=(Elig_MatchAll_Ct-1),AG440=0),D440,0)</f>
        <v>0</v>
      </c>
      <c r="BJ440" s="173">
        <f>IF(AND(Input_Product=Elig!$C440,Elig_MatchAll_Ct&lt;22,$BC440=(Elig_MatchAll_Ct-1),AH440=0),E440,0)</f>
        <v>0</v>
      </c>
      <c r="BK440" s="173">
        <f>IF(AND(Input_Product=Elig!$C440,Elig_MatchAll_Ct&lt;22,$BC440=(Elig_MatchAll_Ct-1),AI440=0),F440,0)</f>
        <v>0</v>
      </c>
      <c r="BL440" s="173">
        <f>IF(AND(Input_Product=Elig!$C440,Elig_MatchAll_Ct&lt;22,$BC440=(Elig_MatchAll_Ct-1),AJ440=0),G440,0)</f>
        <v>0</v>
      </c>
      <c r="BM440" s="173">
        <f>IF(AND(Input_Product=Elig!$C440,Elig_MatchAll_Ct&lt;22,$BC440=(Elig_MatchAll_Ct-1),AK440=0),H440,0)</f>
        <v>0</v>
      </c>
      <c r="BN440" s="173">
        <f>IF(AND(Input_Product=Elig!$C440,Elig_MatchAll_Ct&lt;22,$BC440=(Elig_MatchAll_Ct-1),AL440=0),I440,0)</f>
        <v>0</v>
      </c>
      <c r="BO440" s="173">
        <f>IF(AND(Input_Product=Elig!$C440,Elig_MatchAll_Ct&lt;22,$BC440=(Elig_MatchAll_Ct-1),AM440=0),J440,0)</f>
        <v>0</v>
      </c>
      <c r="BP440" s="173">
        <f>IF(AND(Input_Product=Elig!$C440,Elig_MatchAll_Ct&lt;22,$BC440=(Elig_MatchAll_Ct-1),AN440=0),K440,0)</f>
        <v>0</v>
      </c>
      <c r="BQ440" s="173">
        <f>IF(AND(Input_Product=Elig!$C440,Elig_MatchAll_Ct&lt;22,$BC440=(Elig_MatchAll_Ct-1),AP440=0),L440,0)</f>
        <v>0</v>
      </c>
      <c r="BR440" s="173">
        <f>IF(AND(Input_Product=Elig!$C440,Elig_MatchAll_Ct&lt;22,$BC440=(Elig_MatchAll_Ct-1),AO440=0),M440,0)</f>
        <v>0</v>
      </c>
      <c r="BS440" s="173">
        <f>IF(AND(Input_Product=Elig!$C440,Elig_MatchAll_Ct&lt;22,$BC440=(Elig_MatchAll_Ct-1),AQ440=0),N440,0)</f>
        <v>0</v>
      </c>
      <c r="BT440" s="173">
        <f>IF(AND(Input_Product=Elig!$C440,Elig_MatchAll_Ct&lt;22,$BC440=(Elig_MatchAll_Ct-1),AR440=0),O440,0)</f>
        <v>0</v>
      </c>
      <c r="BU440" s="173">
        <f>IF(AND(Input_Product=Elig!$C440,Elig_MatchAll_Ct&lt;22,$BC440=(Elig_MatchAll_Ct-1),AS440=0),P440,0)</f>
        <v>0</v>
      </c>
      <c r="BV440" s="174">
        <f>IF(AND(Input_Product=Elig!$C440,Elig_MatchAll_Ct&lt;22,$BC440=(Elig_MatchAll_Ct-1),AT440=0),Q440,0)</f>
        <v>0</v>
      </c>
      <c r="BW440" s="175">
        <f>IF(AND(Input_Product=Elig!$C440,Elig_MatchAll_Ct&lt;22,$BC440=(Elig_MatchAll_Ct-1),AU440=0),R440,0)</f>
        <v>0</v>
      </c>
      <c r="BX440" s="176">
        <f>IF(AND(Input_Product=Elig!$C440,Elig_MatchAll_Ct&lt;22,$BC440=(Elig_MatchAll_Ct-1),AU440=0),S440,0)</f>
        <v>0</v>
      </c>
      <c r="BY440" s="175">
        <f>IF(AND(Input_Product=Elig!$C440,Elig_MatchAll_Ct&lt;22,$BC440=(Elig_MatchAll_Ct-1),AV440=0),T440,0)</f>
        <v>0</v>
      </c>
      <c r="BZ440" s="176">
        <f>IF(AND(Input_Product=Elig!$C440,Elig_MatchAll_Ct&lt;22,$BC440=(Elig_MatchAll_Ct-1),AV440=0),U440,0)</f>
        <v>0</v>
      </c>
      <c r="CA440" s="175">
        <f>IF(AND(Input_Product=Elig!$C440,Elig_MatchAll_Ct&lt;22,$BC440=(Elig_MatchAll_Ct-1),AW440=0),V440,0)</f>
        <v>0</v>
      </c>
      <c r="CB440" s="176">
        <f>IF(AND(Input_Product=Elig!$C440,Elig_MatchAll_Ct&lt;22,$BC440=(Elig_MatchAll_Ct-1),AW440=0),W440,0)</f>
        <v>0</v>
      </c>
      <c r="CC440" s="175">
        <f>IF(AND(Input_Product=Elig!$C440,Elig_MatchAll_Ct&lt;22,$BC440=(Elig_MatchAll_Ct-1),AX440=0),X440,0)</f>
        <v>0</v>
      </c>
      <c r="CD440" s="176">
        <f>IF(AND(Input_Product=Elig!$C440,Elig_MatchAll_Ct&lt;22,$BC440=(Elig_MatchAll_Ct-1),AX440=0),Y440,0)</f>
        <v>0</v>
      </c>
      <c r="CE440" s="175">
        <f>IF(AND(Input_LTV&lt;=AE440,Input_Product=Elig!$C440,Elig_MatchAll_Ct&lt;22,$BC440=(Elig_MatchAll_Ct-1),AY440=0),Z440,0)</f>
        <v>0</v>
      </c>
      <c r="CF440" s="176">
        <f>IF(AND(Input_LTV&lt;=AE440,Input_Product=Elig!$C440,Elig_MatchAll_Ct&lt;22,$BC440=(Elig_MatchAll_Ct-1),AY440=0),AA440,0)</f>
        <v>0</v>
      </c>
      <c r="CG440" s="175">
        <f>IF(AND(Input_Product=Elig!$C440,Elig_MatchAll_Ct&lt;22,$BC440=(Elig_MatchAll_Ct-1),AZ440=0),AB440,0)</f>
        <v>0</v>
      </c>
      <c r="CH440" s="176">
        <f>IF(AND(Input_Product=Elig!$C440,Elig_MatchAll_Ct&lt;22,$BC440=(Elig_MatchAll_Ct-1),AZ440=0),AC440,0)</f>
        <v>0</v>
      </c>
      <c r="CI440" s="175">
        <f>IF(AND(Input_Product=Elig!$C440,Elig_MatchAll_Ct&lt;22,$BC440=(Elig_MatchAll_Ct-1),BA440=0),AD440,0)</f>
        <v>0</v>
      </c>
      <c r="CJ440" s="176">
        <f>IF(AND(Input_Product=Elig!$C440,Elig_MatchAll_Ct&lt;22,$BC440=(Elig_MatchAll_Ct-1),BA440=0),AE440,0)</f>
        <v>0</v>
      </c>
    </row>
    <row r="441" spans="1:88" ht="10.15" customHeight="1" x14ac:dyDescent="0.25">
      <c r="A441" s="252" t="s">
        <v>76</v>
      </c>
      <c r="B441" s="252" t="s">
        <v>2104</v>
      </c>
      <c r="C441" s="256" t="str">
        <f t="shared" si="140"/>
        <v>NonQM NOO</v>
      </c>
      <c r="D441" s="257" t="s">
        <v>1995</v>
      </c>
      <c r="E441" s="257" t="s">
        <v>166</v>
      </c>
      <c r="F441" s="257" t="s">
        <v>329</v>
      </c>
      <c r="G441" s="257" t="s">
        <v>465</v>
      </c>
      <c r="H441" s="257" t="s">
        <v>135</v>
      </c>
      <c r="I441" s="260" t="s">
        <v>273</v>
      </c>
      <c r="J441" s="260" t="s">
        <v>1130</v>
      </c>
      <c r="K441" s="260" t="s">
        <v>1398</v>
      </c>
      <c r="L441" s="257" t="s">
        <v>311</v>
      </c>
      <c r="M441" s="257" t="s">
        <v>2289</v>
      </c>
      <c r="N441" s="257" t="s">
        <v>1844</v>
      </c>
      <c r="O441" s="257" t="s">
        <v>309</v>
      </c>
      <c r="P441" s="257" t="s">
        <v>2434</v>
      </c>
      <c r="Q441" s="257" t="s">
        <v>293</v>
      </c>
      <c r="R441" s="257">
        <v>2000000.01</v>
      </c>
      <c r="S441" s="257">
        <v>2500000</v>
      </c>
      <c r="T441" s="257">
        <v>0</v>
      </c>
      <c r="U441" s="257">
        <v>0</v>
      </c>
      <c r="V441" s="257">
        <v>0</v>
      </c>
      <c r="W441" s="257">
        <v>50</v>
      </c>
      <c r="X441" s="257">
        <v>0</v>
      </c>
      <c r="Y441" s="257">
        <v>999</v>
      </c>
      <c r="Z441" s="258">
        <v>660</v>
      </c>
      <c r="AA441" s="258">
        <v>679</v>
      </c>
      <c r="AB441" s="1884">
        <v>0</v>
      </c>
      <c r="AC441" s="258">
        <v>999999</v>
      </c>
      <c r="AD441" s="257">
        <v>0</v>
      </c>
      <c r="AE441" s="259">
        <v>70</v>
      </c>
      <c r="AF441" s="144">
        <v>0</v>
      </c>
      <c r="AG441" s="145">
        <v>1</v>
      </c>
      <c r="AH441" s="145">
        <v>1</v>
      </c>
      <c r="AI441" s="145">
        <v>1</v>
      </c>
      <c r="AJ441" s="145">
        <v>0</v>
      </c>
      <c r="AK441" s="145">
        <v>1</v>
      </c>
      <c r="AL441" s="145">
        <v>1</v>
      </c>
      <c r="AM441" s="145">
        <v>1</v>
      </c>
      <c r="AN441" s="145">
        <v>1</v>
      </c>
      <c r="AO441" s="145">
        <v>1</v>
      </c>
      <c r="AP441" s="145">
        <v>1</v>
      </c>
      <c r="AQ441" s="145">
        <v>1</v>
      </c>
      <c r="AR441" s="145">
        <v>1</v>
      </c>
      <c r="AS441" s="145">
        <v>1</v>
      </c>
      <c r="AT441" s="145">
        <v>1</v>
      </c>
      <c r="AU441" s="145">
        <f t="shared" si="148"/>
        <v>0</v>
      </c>
      <c r="AV441" s="145">
        <f t="shared" si="149"/>
        <v>1</v>
      </c>
      <c r="AW441" s="145">
        <f t="shared" si="150"/>
        <v>1</v>
      </c>
      <c r="AX441" s="145">
        <f t="shared" si="161"/>
        <v>1</v>
      </c>
      <c r="AY441" s="145">
        <f t="shared" si="151"/>
        <v>0</v>
      </c>
      <c r="AZ441" s="145">
        <f t="shared" si="152"/>
        <v>1</v>
      </c>
      <c r="BA441" s="146">
        <f t="shared" si="153"/>
        <v>1</v>
      </c>
      <c r="BB441" s="149">
        <f t="shared" si="166"/>
        <v>18</v>
      </c>
      <c r="BC441" s="150">
        <f t="shared" si="167"/>
        <v>17</v>
      </c>
      <c r="BD441" s="150">
        <f t="shared" si="168"/>
        <v>18</v>
      </c>
      <c r="BE441" s="211" t="str">
        <f t="shared" si="169"/>
        <v/>
      </c>
      <c r="BH441" s="188">
        <f>IF(AND(Input_Product=Elig!$C441,Elig_MatchAll_Ct&lt;22,$BC441=(Elig_MatchAll_Ct-1),AF441=0),C441,0)</f>
        <v>0</v>
      </c>
      <c r="BI441" s="188">
        <f>IF(AND(Input_Product=Elig!$C441,Elig_MatchAll_Ct&lt;22,$BC441=(Elig_MatchAll_Ct-1),AG441=0),D441,0)</f>
        <v>0</v>
      </c>
      <c r="BJ441" s="188">
        <f>IF(AND(Input_Product=Elig!$C441,Elig_MatchAll_Ct&lt;22,$BC441=(Elig_MatchAll_Ct-1),AH441=0),E441,0)</f>
        <v>0</v>
      </c>
      <c r="BK441" s="188">
        <f>IF(AND(Input_Product=Elig!$C441,Elig_MatchAll_Ct&lt;22,$BC441=(Elig_MatchAll_Ct-1),AI441=0),F441,0)</f>
        <v>0</v>
      </c>
      <c r="BL441" s="188">
        <f>IF(AND(Input_Product=Elig!$C441,Elig_MatchAll_Ct&lt;22,$BC441=(Elig_MatchAll_Ct-1),AJ441=0),G441,0)</f>
        <v>0</v>
      </c>
      <c r="BM441" s="188">
        <f>IF(AND(Input_Product=Elig!$C441,Elig_MatchAll_Ct&lt;22,$BC441=(Elig_MatchAll_Ct-1),AK441=0),H441,0)</f>
        <v>0</v>
      </c>
      <c r="BN441" s="188">
        <f>IF(AND(Input_Product=Elig!$C441,Elig_MatchAll_Ct&lt;22,$BC441=(Elig_MatchAll_Ct-1),AL441=0),I441,0)</f>
        <v>0</v>
      </c>
      <c r="BO441" s="188">
        <f>IF(AND(Input_Product=Elig!$C441,Elig_MatchAll_Ct&lt;22,$BC441=(Elig_MatchAll_Ct-1),AM441=0),J441,0)</f>
        <v>0</v>
      </c>
      <c r="BP441" s="188">
        <f>IF(AND(Input_Product=Elig!$C441,Elig_MatchAll_Ct&lt;22,$BC441=(Elig_MatchAll_Ct-1),AN441=0),K441,0)</f>
        <v>0</v>
      </c>
      <c r="BQ441" s="188">
        <f>IF(AND(Input_Product=Elig!$C441,Elig_MatchAll_Ct&lt;22,$BC441=(Elig_MatchAll_Ct-1),AP441=0),L441,0)</f>
        <v>0</v>
      </c>
      <c r="BR441" s="188">
        <f>IF(AND(Input_Product=Elig!$C441,Elig_MatchAll_Ct&lt;22,$BC441=(Elig_MatchAll_Ct-1),AO441=0),M441,0)</f>
        <v>0</v>
      </c>
      <c r="BS441" s="188">
        <f>IF(AND(Input_Product=Elig!$C441,Elig_MatchAll_Ct&lt;22,$BC441=(Elig_MatchAll_Ct-1),AQ441=0),N441,0)</f>
        <v>0</v>
      </c>
      <c r="BT441" s="188">
        <f>IF(AND(Input_Product=Elig!$C441,Elig_MatchAll_Ct&lt;22,$BC441=(Elig_MatchAll_Ct-1),AR441=0),O441,0)</f>
        <v>0</v>
      </c>
      <c r="BU441" s="188">
        <f>IF(AND(Input_Product=Elig!$C441,Elig_MatchAll_Ct&lt;22,$BC441=(Elig_MatchAll_Ct-1),AS441=0),P441,0)</f>
        <v>0</v>
      </c>
      <c r="BV441" s="189">
        <f>IF(AND(Input_Product=Elig!$C441,Elig_MatchAll_Ct&lt;22,$BC441=(Elig_MatchAll_Ct-1),AT441=0),Q441,0)</f>
        <v>0</v>
      </c>
      <c r="BW441" s="271">
        <f>IF(AND(Input_Product=Elig!$C441,Elig_MatchAll_Ct&lt;22,$BC441=(Elig_MatchAll_Ct-1),AU441=0),R441,0)</f>
        <v>0</v>
      </c>
      <c r="BX441" s="272">
        <f>IF(AND(Input_Product=Elig!$C441,Elig_MatchAll_Ct&lt;22,$BC441=(Elig_MatchAll_Ct-1),AU441=0),S441,0)</f>
        <v>0</v>
      </c>
      <c r="BY441" s="271">
        <f>IF(AND(Input_Product=Elig!$C441,Elig_MatchAll_Ct&lt;22,$BC441=(Elig_MatchAll_Ct-1),AV441=0),T441,0)</f>
        <v>0</v>
      </c>
      <c r="BZ441" s="272">
        <f>IF(AND(Input_Product=Elig!$C441,Elig_MatchAll_Ct&lt;22,$BC441=(Elig_MatchAll_Ct-1),AV441=0),U441,0)</f>
        <v>0</v>
      </c>
      <c r="CA441" s="271">
        <f>IF(AND(Input_Product=Elig!$C441,Elig_MatchAll_Ct&lt;22,$BC441=(Elig_MatchAll_Ct-1),AW441=0),V441,0)</f>
        <v>0</v>
      </c>
      <c r="CB441" s="272">
        <f>IF(AND(Input_Product=Elig!$C441,Elig_MatchAll_Ct&lt;22,$BC441=(Elig_MatchAll_Ct-1),AW441=0),W441,0)</f>
        <v>0</v>
      </c>
      <c r="CC441" s="271">
        <f>IF(AND(Input_Product=Elig!$C441,Elig_MatchAll_Ct&lt;22,$BC441=(Elig_MatchAll_Ct-1),AX441=0),X441,0)</f>
        <v>0</v>
      </c>
      <c r="CD441" s="272">
        <f>IF(AND(Input_Product=Elig!$C441,Elig_MatchAll_Ct&lt;22,$BC441=(Elig_MatchAll_Ct-1),AX441=0),Y441,0)</f>
        <v>0</v>
      </c>
      <c r="CE441" s="271">
        <f>IF(AND(Input_LTV&lt;=AE441,Input_Product=Elig!$C441,Elig_MatchAll_Ct&lt;22,$BC441=(Elig_MatchAll_Ct-1),AY441=0),Z441,0)</f>
        <v>0</v>
      </c>
      <c r="CF441" s="272">
        <f>IF(AND(Input_LTV&lt;=AE441,Input_Product=Elig!$C441,Elig_MatchAll_Ct&lt;22,$BC441=(Elig_MatchAll_Ct-1),AY441=0),AA441,0)</f>
        <v>0</v>
      </c>
      <c r="CG441" s="271">
        <f>IF(AND(Input_Product=Elig!$C441,Elig_MatchAll_Ct&lt;22,$BC441=(Elig_MatchAll_Ct-1),AZ441=0),AB441,0)</f>
        <v>0</v>
      </c>
      <c r="CH441" s="272">
        <f>IF(AND(Input_Product=Elig!$C441,Elig_MatchAll_Ct&lt;22,$BC441=(Elig_MatchAll_Ct-1),AZ441=0),AC441,0)</f>
        <v>0</v>
      </c>
      <c r="CI441" s="271">
        <f>IF(AND(Input_Product=Elig!$C441,Elig_MatchAll_Ct&lt;22,$BC441=(Elig_MatchAll_Ct-1),BA441=0),AD441,0)</f>
        <v>0</v>
      </c>
      <c r="CJ441" s="272">
        <f>IF(AND(Input_Product=Elig!$C441,Elig_MatchAll_Ct&lt;22,$BC441=(Elig_MatchAll_Ct-1),BA441=0),AE441,0)</f>
        <v>0</v>
      </c>
    </row>
    <row r="442" spans="1:88" ht="10.15" customHeight="1" x14ac:dyDescent="0.25">
      <c r="A442" s="252" t="s">
        <v>76</v>
      </c>
      <c r="B442" s="252" t="s">
        <v>2105</v>
      </c>
      <c r="C442" s="246" t="str">
        <f t="shared" si="140"/>
        <v>NonQM NOO</v>
      </c>
      <c r="D442" s="247" t="s">
        <v>1995</v>
      </c>
      <c r="E442" s="248" t="s">
        <v>166</v>
      </c>
      <c r="F442" s="248" t="s">
        <v>329</v>
      </c>
      <c r="G442" s="248" t="s">
        <v>465</v>
      </c>
      <c r="H442" s="248" t="s">
        <v>135</v>
      </c>
      <c r="I442" s="247" t="s">
        <v>16</v>
      </c>
      <c r="J442" s="247" t="s">
        <v>1130</v>
      </c>
      <c r="K442" s="247" t="s">
        <v>1398</v>
      </c>
      <c r="L442" s="248" t="s">
        <v>311</v>
      </c>
      <c r="M442" s="248" t="s">
        <v>2289</v>
      </c>
      <c r="N442" s="248" t="s">
        <v>1844</v>
      </c>
      <c r="O442" s="248" t="s">
        <v>309</v>
      </c>
      <c r="P442" s="248" t="s">
        <v>2434</v>
      </c>
      <c r="Q442" s="248" t="s">
        <v>293</v>
      </c>
      <c r="R442" s="247">
        <v>2000000.01</v>
      </c>
      <c r="S442" s="247">
        <v>2500000</v>
      </c>
      <c r="T442" s="247">
        <v>0</v>
      </c>
      <c r="U442" s="247">
        <f t="shared" ref="U442:U445" si="170">S442</f>
        <v>2500000</v>
      </c>
      <c r="V442" s="247">
        <v>0</v>
      </c>
      <c r="W442" s="247">
        <v>50</v>
      </c>
      <c r="X442" s="247">
        <v>0</v>
      </c>
      <c r="Y442" s="247">
        <v>999</v>
      </c>
      <c r="Z442" s="249">
        <v>720</v>
      </c>
      <c r="AA442" s="249">
        <v>999</v>
      </c>
      <c r="AB442" s="1882">
        <v>0</v>
      </c>
      <c r="AC442" s="249">
        <v>999999</v>
      </c>
      <c r="AD442" s="247">
        <v>0</v>
      </c>
      <c r="AE442" s="250">
        <v>70</v>
      </c>
      <c r="AF442" s="144">
        <v>0</v>
      </c>
      <c r="AG442" s="145">
        <v>1</v>
      </c>
      <c r="AH442" s="145">
        <v>1</v>
      </c>
      <c r="AI442" s="145">
        <v>1</v>
      </c>
      <c r="AJ442" s="145">
        <v>0</v>
      </c>
      <c r="AK442" s="145">
        <v>1</v>
      </c>
      <c r="AL442" s="145">
        <v>0</v>
      </c>
      <c r="AM442" s="145">
        <v>1</v>
      </c>
      <c r="AN442" s="145">
        <v>1</v>
      </c>
      <c r="AO442" s="145">
        <v>1</v>
      </c>
      <c r="AP442" s="145">
        <v>1</v>
      </c>
      <c r="AQ442" s="145">
        <v>1</v>
      </c>
      <c r="AR442" s="145">
        <v>1</v>
      </c>
      <c r="AS442" s="145">
        <v>1</v>
      </c>
      <c r="AT442" s="145">
        <v>1</v>
      </c>
      <c r="AU442" s="145">
        <f t="shared" si="148"/>
        <v>0</v>
      </c>
      <c r="AV442" s="145">
        <f t="shared" si="149"/>
        <v>1</v>
      </c>
      <c r="AW442" s="145">
        <f t="shared" si="150"/>
        <v>1</v>
      </c>
      <c r="AX442" s="145">
        <f t="shared" si="161"/>
        <v>1</v>
      </c>
      <c r="AY442" s="145">
        <f t="shared" si="151"/>
        <v>1</v>
      </c>
      <c r="AZ442" s="145">
        <f t="shared" si="152"/>
        <v>1</v>
      </c>
      <c r="BA442" s="146">
        <f t="shared" si="153"/>
        <v>1</v>
      </c>
      <c r="BB442" s="149">
        <f t="shared" si="166"/>
        <v>18</v>
      </c>
      <c r="BC442" s="150">
        <f t="shared" si="167"/>
        <v>17</v>
      </c>
      <c r="BD442" s="150">
        <f t="shared" si="168"/>
        <v>18</v>
      </c>
      <c r="BE442" s="211" t="str">
        <f t="shared" si="169"/>
        <v/>
      </c>
      <c r="BH442" s="184">
        <f>IF(AND(Input_Product=Elig!$C442,Elig_MatchAll_Ct&lt;22,$BC442=(Elig_MatchAll_Ct-1),AF442=0),C442,0)</f>
        <v>0</v>
      </c>
      <c r="BI442" s="184">
        <f>IF(AND(Input_Product=Elig!$C442,Elig_MatchAll_Ct&lt;22,$BC442=(Elig_MatchAll_Ct-1),AG442=0),D442,0)</f>
        <v>0</v>
      </c>
      <c r="BJ442" s="184">
        <f>IF(AND(Input_Product=Elig!$C442,Elig_MatchAll_Ct&lt;22,$BC442=(Elig_MatchAll_Ct-1),AH442=0),E442,0)</f>
        <v>0</v>
      </c>
      <c r="BK442" s="184">
        <f>IF(AND(Input_Product=Elig!$C442,Elig_MatchAll_Ct&lt;22,$BC442=(Elig_MatchAll_Ct-1),AI442=0),F442,0)</f>
        <v>0</v>
      </c>
      <c r="BL442" s="184">
        <f>IF(AND(Input_Product=Elig!$C442,Elig_MatchAll_Ct&lt;22,$BC442=(Elig_MatchAll_Ct-1),AJ442=0),G442,0)</f>
        <v>0</v>
      </c>
      <c r="BM442" s="184">
        <f>IF(AND(Input_Product=Elig!$C442,Elig_MatchAll_Ct&lt;22,$BC442=(Elig_MatchAll_Ct-1),AK442=0),H442,0)</f>
        <v>0</v>
      </c>
      <c r="BN442" s="184">
        <f>IF(AND(Input_Product=Elig!$C442,Elig_MatchAll_Ct&lt;22,$BC442=(Elig_MatchAll_Ct-1),AL442=0),I442,0)</f>
        <v>0</v>
      </c>
      <c r="BO442" s="184">
        <f>IF(AND(Input_Product=Elig!$C442,Elig_MatchAll_Ct&lt;22,$BC442=(Elig_MatchAll_Ct-1),AM442=0),J442,0)</f>
        <v>0</v>
      </c>
      <c r="BP442" s="184">
        <f>IF(AND(Input_Product=Elig!$C442,Elig_MatchAll_Ct&lt;22,$BC442=(Elig_MatchAll_Ct-1),AN442=0),K442,0)</f>
        <v>0</v>
      </c>
      <c r="BQ442" s="184">
        <f>IF(AND(Input_Product=Elig!$C442,Elig_MatchAll_Ct&lt;22,$BC442=(Elig_MatchAll_Ct-1),AP442=0),L442,0)</f>
        <v>0</v>
      </c>
      <c r="BR442" s="184">
        <f>IF(AND(Input_Product=Elig!$C442,Elig_MatchAll_Ct&lt;22,$BC442=(Elig_MatchAll_Ct-1),AO442=0),M442,0)</f>
        <v>0</v>
      </c>
      <c r="BS442" s="184">
        <f>IF(AND(Input_Product=Elig!$C442,Elig_MatchAll_Ct&lt;22,$BC442=(Elig_MatchAll_Ct-1),AQ442=0),N442,0)</f>
        <v>0</v>
      </c>
      <c r="BT442" s="184">
        <f>IF(AND(Input_Product=Elig!$C442,Elig_MatchAll_Ct&lt;22,$BC442=(Elig_MatchAll_Ct-1),AR442=0),O442,0)</f>
        <v>0</v>
      </c>
      <c r="BU442" s="184">
        <f>IF(AND(Input_Product=Elig!$C442,Elig_MatchAll_Ct&lt;22,$BC442=(Elig_MatchAll_Ct-1),AS442=0),P442,0)</f>
        <v>0</v>
      </c>
      <c r="BV442" s="185">
        <f>IF(AND(Input_Product=Elig!$C442,Elig_MatchAll_Ct&lt;22,$BC442=(Elig_MatchAll_Ct-1),AT442=0),Q442,0)</f>
        <v>0</v>
      </c>
      <c r="BW442" s="186">
        <f>IF(AND(Input_Product=Elig!$C442,Elig_MatchAll_Ct&lt;22,$BC442=(Elig_MatchAll_Ct-1),AU442=0),R442,0)</f>
        <v>0</v>
      </c>
      <c r="BX442" s="187">
        <f>IF(AND(Input_Product=Elig!$C442,Elig_MatchAll_Ct&lt;22,$BC442=(Elig_MatchAll_Ct-1),AU442=0),S442,0)</f>
        <v>0</v>
      </c>
      <c r="BY442" s="186">
        <f>IF(AND(Input_Product=Elig!$C442,Elig_MatchAll_Ct&lt;22,$BC442=(Elig_MatchAll_Ct-1),AV442=0),T442,0)</f>
        <v>0</v>
      </c>
      <c r="BZ442" s="187">
        <f>IF(AND(Input_Product=Elig!$C442,Elig_MatchAll_Ct&lt;22,$BC442=(Elig_MatchAll_Ct-1),AV442=0),U442,0)</f>
        <v>0</v>
      </c>
      <c r="CA442" s="186">
        <f>IF(AND(Input_Product=Elig!$C442,Elig_MatchAll_Ct&lt;22,$BC442=(Elig_MatchAll_Ct-1),AW442=0),V442,0)</f>
        <v>0</v>
      </c>
      <c r="CB442" s="187">
        <f>IF(AND(Input_Product=Elig!$C442,Elig_MatchAll_Ct&lt;22,$BC442=(Elig_MatchAll_Ct-1),AW442=0),W442,0)</f>
        <v>0</v>
      </c>
      <c r="CC442" s="186">
        <f>IF(AND(Input_Product=Elig!$C442,Elig_MatchAll_Ct&lt;22,$BC442=(Elig_MatchAll_Ct-1),AX442=0),X442,0)</f>
        <v>0</v>
      </c>
      <c r="CD442" s="187">
        <f>IF(AND(Input_Product=Elig!$C442,Elig_MatchAll_Ct&lt;22,$BC442=(Elig_MatchAll_Ct-1),AX442=0),Y442,0)</f>
        <v>0</v>
      </c>
      <c r="CE442" s="186">
        <f>IF(AND(Input_LTV&lt;=AE442,Input_Product=Elig!$C442,Elig_MatchAll_Ct&lt;22,$BC442=(Elig_MatchAll_Ct-1),AY442=0),Z442,0)</f>
        <v>0</v>
      </c>
      <c r="CF442" s="187">
        <f>IF(AND(Input_LTV&lt;=AE442,Input_Product=Elig!$C442,Elig_MatchAll_Ct&lt;22,$BC442=(Elig_MatchAll_Ct-1),AY442=0),AA442,0)</f>
        <v>0</v>
      </c>
      <c r="CG442" s="186">
        <f>IF(AND(Input_Product=Elig!$C442,Elig_MatchAll_Ct&lt;22,$BC442=(Elig_MatchAll_Ct-1),AZ442=0),AB442,0)</f>
        <v>0</v>
      </c>
      <c r="CH442" s="187">
        <f>IF(AND(Input_Product=Elig!$C442,Elig_MatchAll_Ct&lt;22,$BC442=(Elig_MatchAll_Ct-1),AZ442=0),AC442,0)</f>
        <v>0</v>
      </c>
      <c r="CI442" s="186">
        <f>IF(AND(Input_Product=Elig!$C442,Elig_MatchAll_Ct&lt;22,$BC442=(Elig_MatchAll_Ct-1),BA442=0),AD442,0)</f>
        <v>0</v>
      </c>
      <c r="CJ442" s="187">
        <f>IF(AND(Input_Product=Elig!$C442,Elig_MatchAll_Ct&lt;22,$BC442=(Elig_MatchAll_Ct-1),BA442=0),AE442,0)</f>
        <v>0</v>
      </c>
    </row>
    <row r="443" spans="1:88" ht="10.15" customHeight="1" x14ac:dyDescent="0.25">
      <c r="A443" s="252" t="s">
        <v>76</v>
      </c>
      <c r="B443" s="252" t="s">
        <v>2106</v>
      </c>
      <c r="C443" s="251" t="str">
        <f t="shared" si="140"/>
        <v>NonQM NOO</v>
      </c>
      <c r="D443" s="252" t="s">
        <v>1995</v>
      </c>
      <c r="E443" s="252" t="s">
        <v>166</v>
      </c>
      <c r="F443" s="252" t="s">
        <v>329</v>
      </c>
      <c r="G443" s="252" t="s">
        <v>465</v>
      </c>
      <c r="H443" s="252" t="s">
        <v>135</v>
      </c>
      <c r="I443" s="253" t="s">
        <v>16</v>
      </c>
      <c r="J443" s="253" t="s">
        <v>1130</v>
      </c>
      <c r="K443" s="253" t="s">
        <v>1398</v>
      </c>
      <c r="L443" s="252" t="s">
        <v>311</v>
      </c>
      <c r="M443" s="252" t="s">
        <v>2289</v>
      </c>
      <c r="N443" s="252" t="s">
        <v>1844</v>
      </c>
      <c r="O443" s="252" t="s">
        <v>309</v>
      </c>
      <c r="P443" s="252" t="s">
        <v>2434</v>
      </c>
      <c r="Q443" s="252" t="s">
        <v>293</v>
      </c>
      <c r="R443" s="252">
        <v>2000000.01</v>
      </c>
      <c r="S443" s="252">
        <v>2500000</v>
      </c>
      <c r="T443" s="252">
        <v>0</v>
      </c>
      <c r="U443" s="252">
        <f t="shared" si="170"/>
        <v>2500000</v>
      </c>
      <c r="V443" s="252">
        <v>0</v>
      </c>
      <c r="W443" s="252">
        <v>50</v>
      </c>
      <c r="X443" s="252">
        <v>0</v>
      </c>
      <c r="Y443" s="252">
        <v>999</v>
      </c>
      <c r="Z443" s="254">
        <v>700</v>
      </c>
      <c r="AA443" s="254">
        <v>719</v>
      </c>
      <c r="AB443" s="1883">
        <v>0</v>
      </c>
      <c r="AC443" s="254">
        <v>999999</v>
      </c>
      <c r="AD443" s="252">
        <v>0</v>
      </c>
      <c r="AE443" s="255">
        <v>65</v>
      </c>
      <c r="AF443" s="144">
        <v>0</v>
      </c>
      <c r="AG443" s="145">
        <v>1</v>
      </c>
      <c r="AH443" s="145">
        <v>1</v>
      </c>
      <c r="AI443" s="145">
        <v>1</v>
      </c>
      <c r="AJ443" s="145">
        <v>0</v>
      </c>
      <c r="AK443" s="145">
        <v>1</v>
      </c>
      <c r="AL443" s="145">
        <v>0</v>
      </c>
      <c r="AM443" s="145">
        <v>1</v>
      </c>
      <c r="AN443" s="145">
        <v>1</v>
      </c>
      <c r="AO443" s="145">
        <v>1</v>
      </c>
      <c r="AP443" s="145">
        <v>1</v>
      </c>
      <c r="AQ443" s="145">
        <v>1</v>
      </c>
      <c r="AR443" s="145">
        <v>1</v>
      </c>
      <c r="AS443" s="145">
        <v>1</v>
      </c>
      <c r="AT443" s="145">
        <v>1</v>
      </c>
      <c r="AU443" s="145">
        <f t="shared" si="148"/>
        <v>0</v>
      </c>
      <c r="AV443" s="145">
        <f t="shared" si="149"/>
        <v>1</v>
      </c>
      <c r="AW443" s="145">
        <f t="shared" si="150"/>
        <v>1</v>
      </c>
      <c r="AX443" s="145">
        <f t="shared" si="161"/>
        <v>1</v>
      </c>
      <c r="AY443" s="145">
        <f t="shared" si="151"/>
        <v>0</v>
      </c>
      <c r="AZ443" s="145">
        <f t="shared" si="152"/>
        <v>1</v>
      </c>
      <c r="BA443" s="146">
        <f t="shared" si="153"/>
        <v>0</v>
      </c>
      <c r="BB443" s="149">
        <f t="shared" si="166"/>
        <v>16</v>
      </c>
      <c r="BC443" s="150">
        <f t="shared" si="167"/>
        <v>16</v>
      </c>
      <c r="BD443" s="150">
        <f t="shared" si="168"/>
        <v>16</v>
      </c>
      <c r="BE443" s="211" t="str">
        <f t="shared" si="169"/>
        <v/>
      </c>
      <c r="BH443" s="173">
        <f>IF(AND(Input_Product=Elig!$C443,Elig_MatchAll_Ct&lt;22,$BC443=(Elig_MatchAll_Ct-1),AF443=0),C443,0)</f>
        <v>0</v>
      </c>
      <c r="BI443" s="173">
        <f>IF(AND(Input_Product=Elig!$C443,Elig_MatchAll_Ct&lt;22,$BC443=(Elig_MatchAll_Ct-1),AG443=0),D443,0)</f>
        <v>0</v>
      </c>
      <c r="BJ443" s="173">
        <f>IF(AND(Input_Product=Elig!$C443,Elig_MatchAll_Ct&lt;22,$BC443=(Elig_MatchAll_Ct-1),AH443=0),E443,0)</f>
        <v>0</v>
      </c>
      <c r="BK443" s="173">
        <f>IF(AND(Input_Product=Elig!$C443,Elig_MatchAll_Ct&lt;22,$BC443=(Elig_MatchAll_Ct-1),AI443=0),F443,0)</f>
        <v>0</v>
      </c>
      <c r="BL443" s="173">
        <f>IF(AND(Input_Product=Elig!$C443,Elig_MatchAll_Ct&lt;22,$BC443=(Elig_MatchAll_Ct-1),AJ443=0),G443,0)</f>
        <v>0</v>
      </c>
      <c r="BM443" s="173">
        <f>IF(AND(Input_Product=Elig!$C443,Elig_MatchAll_Ct&lt;22,$BC443=(Elig_MatchAll_Ct-1),AK443=0),H443,0)</f>
        <v>0</v>
      </c>
      <c r="BN443" s="173">
        <f>IF(AND(Input_Product=Elig!$C443,Elig_MatchAll_Ct&lt;22,$BC443=(Elig_MatchAll_Ct-1),AL443=0),I443,0)</f>
        <v>0</v>
      </c>
      <c r="BO443" s="173">
        <f>IF(AND(Input_Product=Elig!$C443,Elig_MatchAll_Ct&lt;22,$BC443=(Elig_MatchAll_Ct-1),AM443=0),J443,0)</f>
        <v>0</v>
      </c>
      <c r="BP443" s="173">
        <f>IF(AND(Input_Product=Elig!$C443,Elig_MatchAll_Ct&lt;22,$BC443=(Elig_MatchAll_Ct-1),AN443=0),K443,0)</f>
        <v>0</v>
      </c>
      <c r="BQ443" s="173">
        <f>IF(AND(Input_Product=Elig!$C443,Elig_MatchAll_Ct&lt;22,$BC443=(Elig_MatchAll_Ct-1),AP443=0),L443,0)</f>
        <v>0</v>
      </c>
      <c r="BR443" s="173">
        <f>IF(AND(Input_Product=Elig!$C443,Elig_MatchAll_Ct&lt;22,$BC443=(Elig_MatchAll_Ct-1),AO443=0),M443,0)</f>
        <v>0</v>
      </c>
      <c r="BS443" s="173">
        <f>IF(AND(Input_Product=Elig!$C443,Elig_MatchAll_Ct&lt;22,$BC443=(Elig_MatchAll_Ct-1),AQ443=0),N443,0)</f>
        <v>0</v>
      </c>
      <c r="BT443" s="173">
        <f>IF(AND(Input_Product=Elig!$C443,Elig_MatchAll_Ct&lt;22,$BC443=(Elig_MatchAll_Ct-1),AR443=0),O443,0)</f>
        <v>0</v>
      </c>
      <c r="BU443" s="173">
        <f>IF(AND(Input_Product=Elig!$C443,Elig_MatchAll_Ct&lt;22,$BC443=(Elig_MatchAll_Ct-1),AS443=0),P443,0)</f>
        <v>0</v>
      </c>
      <c r="BV443" s="174">
        <f>IF(AND(Input_Product=Elig!$C443,Elig_MatchAll_Ct&lt;22,$BC443=(Elig_MatchAll_Ct-1),AT443=0),Q443,0)</f>
        <v>0</v>
      </c>
      <c r="BW443" s="175">
        <f>IF(AND(Input_Product=Elig!$C443,Elig_MatchAll_Ct&lt;22,$BC443=(Elig_MatchAll_Ct-1),AU443=0),R443,0)</f>
        <v>0</v>
      </c>
      <c r="BX443" s="176">
        <f>IF(AND(Input_Product=Elig!$C443,Elig_MatchAll_Ct&lt;22,$BC443=(Elig_MatchAll_Ct-1),AU443=0),S443,0)</f>
        <v>0</v>
      </c>
      <c r="BY443" s="175">
        <f>IF(AND(Input_Product=Elig!$C443,Elig_MatchAll_Ct&lt;22,$BC443=(Elig_MatchAll_Ct-1),AV443=0),T443,0)</f>
        <v>0</v>
      </c>
      <c r="BZ443" s="176">
        <f>IF(AND(Input_Product=Elig!$C443,Elig_MatchAll_Ct&lt;22,$BC443=(Elig_MatchAll_Ct-1),AV443=0),U443,0)</f>
        <v>0</v>
      </c>
      <c r="CA443" s="175">
        <f>IF(AND(Input_Product=Elig!$C443,Elig_MatchAll_Ct&lt;22,$BC443=(Elig_MatchAll_Ct-1),AW443=0),V443,0)</f>
        <v>0</v>
      </c>
      <c r="CB443" s="176">
        <f>IF(AND(Input_Product=Elig!$C443,Elig_MatchAll_Ct&lt;22,$BC443=(Elig_MatchAll_Ct-1),AW443=0),W443,0)</f>
        <v>0</v>
      </c>
      <c r="CC443" s="175">
        <f>IF(AND(Input_Product=Elig!$C443,Elig_MatchAll_Ct&lt;22,$BC443=(Elig_MatchAll_Ct-1),AX443=0),X443,0)</f>
        <v>0</v>
      </c>
      <c r="CD443" s="176">
        <f>IF(AND(Input_Product=Elig!$C443,Elig_MatchAll_Ct&lt;22,$BC443=(Elig_MatchAll_Ct-1),AX443=0),Y443,0)</f>
        <v>0</v>
      </c>
      <c r="CE443" s="175">
        <f>IF(AND(Input_LTV&lt;=AE443,Input_Product=Elig!$C443,Elig_MatchAll_Ct&lt;22,$BC443=(Elig_MatchAll_Ct-1),AY443=0),Z443,0)</f>
        <v>0</v>
      </c>
      <c r="CF443" s="176">
        <f>IF(AND(Input_LTV&lt;=AE443,Input_Product=Elig!$C443,Elig_MatchAll_Ct&lt;22,$BC443=(Elig_MatchAll_Ct-1),AY443=0),AA443,0)</f>
        <v>0</v>
      </c>
      <c r="CG443" s="175">
        <f>IF(AND(Input_Product=Elig!$C443,Elig_MatchAll_Ct&lt;22,$BC443=(Elig_MatchAll_Ct-1),AZ443=0),AB443,0)</f>
        <v>0</v>
      </c>
      <c r="CH443" s="176">
        <f>IF(AND(Input_Product=Elig!$C443,Elig_MatchAll_Ct&lt;22,$BC443=(Elig_MatchAll_Ct-1),AZ443=0),AC443,0)</f>
        <v>0</v>
      </c>
      <c r="CI443" s="175">
        <f>IF(AND(Input_Product=Elig!$C443,Elig_MatchAll_Ct&lt;22,$BC443=(Elig_MatchAll_Ct-1),BA443=0),AD443,0)</f>
        <v>0</v>
      </c>
      <c r="CJ443" s="176">
        <f>IF(AND(Input_Product=Elig!$C443,Elig_MatchAll_Ct&lt;22,$BC443=(Elig_MatchAll_Ct-1),BA443=0),AE443,0)</f>
        <v>0</v>
      </c>
    </row>
    <row r="444" spans="1:88" ht="10.15" customHeight="1" x14ac:dyDescent="0.25">
      <c r="A444" s="252" t="s">
        <v>76</v>
      </c>
      <c r="B444" s="252" t="s">
        <v>2107</v>
      </c>
      <c r="C444" s="251" t="str">
        <f t="shared" si="140"/>
        <v>NonQM NOO</v>
      </c>
      <c r="D444" s="252" t="s">
        <v>1995</v>
      </c>
      <c r="E444" s="252" t="s">
        <v>166</v>
      </c>
      <c r="F444" s="252" t="s">
        <v>329</v>
      </c>
      <c r="G444" s="252" t="s">
        <v>465</v>
      </c>
      <c r="H444" s="252" t="s">
        <v>135</v>
      </c>
      <c r="I444" s="253" t="s">
        <v>16</v>
      </c>
      <c r="J444" s="253" t="s">
        <v>1130</v>
      </c>
      <c r="K444" s="253" t="s">
        <v>1398</v>
      </c>
      <c r="L444" s="252" t="s">
        <v>311</v>
      </c>
      <c r="M444" s="252" t="s">
        <v>2289</v>
      </c>
      <c r="N444" s="252" t="s">
        <v>1844</v>
      </c>
      <c r="O444" s="252" t="s">
        <v>309</v>
      </c>
      <c r="P444" s="252" t="s">
        <v>2434</v>
      </c>
      <c r="Q444" s="252" t="s">
        <v>293</v>
      </c>
      <c r="R444" s="252">
        <v>2000000.01</v>
      </c>
      <c r="S444" s="252">
        <v>2500000</v>
      </c>
      <c r="T444" s="252">
        <v>0</v>
      </c>
      <c r="U444" s="252">
        <f t="shared" si="170"/>
        <v>2500000</v>
      </c>
      <c r="V444" s="252">
        <v>0</v>
      </c>
      <c r="W444" s="252">
        <v>50</v>
      </c>
      <c r="X444" s="252">
        <v>0</v>
      </c>
      <c r="Y444" s="252">
        <v>999</v>
      </c>
      <c r="Z444" s="254">
        <v>680</v>
      </c>
      <c r="AA444" s="254">
        <v>699</v>
      </c>
      <c r="AB444" s="1883">
        <v>0</v>
      </c>
      <c r="AC444" s="254">
        <v>999999</v>
      </c>
      <c r="AD444" s="252">
        <v>0</v>
      </c>
      <c r="AE444" s="255">
        <v>65</v>
      </c>
      <c r="AF444" s="144">
        <v>0</v>
      </c>
      <c r="AG444" s="145">
        <v>1</v>
      </c>
      <c r="AH444" s="145">
        <v>1</v>
      </c>
      <c r="AI444" s="145">
        <v>1</v>
      </c>
      <c r="AJ444" s="145">
        <v>0</v>
      </c>
      <c r="AK444" s="145">
        <v>1</v>
      </c>
      <c r="AL444" s="145">
        <v>0</v>
      </c>
      <c r="AM444" s="145">
        <v>1</v>
      </c>
      <c r="AN444" s="145">
        <v>1</v>
      </c>
      <c r="AO444" s="145">
        <v>1</v>
      </c>
      <c r="AP444" s="145">
        <v>1</v>
      </c>
      <c r="AQ444" s="145">
        <v>1</v>
      </c>
      <c r="AR444" s="145">
        <v>1</v>
      </c>
      <c r="AS444" s="145">
        <v>1</v>
      </c>
      <c r="AT444" s="145">
        <v>1</v>
      </c>
      <c r="AU444" s="145">
        <f t="shared" si="148"/>
        <v>0</v>
      </c>
      <c r="AV444" s="145">
        <f t="shared" si="149"/>
        <v>1</v>
      </c>
      <c r="AW444" s="145">
        <f t="shared" si="150"/>
        <v>1</v>
      </c>
      <c r="AX444" s="145">
        <f t="shared" si="161"/>
        <v>1</v>
      </c>
      <c r="AY444" s="145">
        <f t="shared" si="151"/>
        <v>0</v>
      </c>
      <c r="AZ444" s="145">
        <f t="shared" si="152"/>
        <v>1</v>
      </c>
      <c r="BA444" s="146">
        <f t="shared" si="153"/>
        <v>0</v>
      </c>
      <c r="BB444" s="149">
        <f t="shared" si="166"/>
        <v>16</v>
      </c>
      <c r="BC444" s="150">
        <f t="shared" si="167"/>
        <v>16</v>
      </c>
      <c r="BD444" s="150">
        <f t="shared" si="168"/>
        <v>16</v>
      </c>
      <c r="BE444" s="211" t="str">
        <f t="shared" si="169"/>
        <v/>
      </c>
      <c r="BH444" s="173">
        <f>IF(AND(Input_Product=Elig!$C444,Elig_MatchAll_Ct&lt;22,$BC444=(Elig_MatchAll_Ct-1),AF444=0),C444,0)</f>
        <v>0</v>
      </c>
      <c r="BI444" s="173">
        <f>IF(AND(Input_Product=Elig!$C444,Elig_MatchAll_Ct&lt;22,$BC444=(Elig_MatchAll_Ct-1),AG444=0),D444,0)</f>
        <v>0</v>
      </c>
      <c r="BJ444" s="173">
        <f>IF(AND(Input_Product=Elig!$C444,Elig_MatchAll_Ct&lt;22,$BC444=(Elig_MatchAll_Ct-1),AH444=0),E444,0)</f>
        <v>0</v>
      </c>
      <c r="BK444" s="173">
        <f>IF(AND(Input_Product=Elig!$C444,Elig_MatchAll_Ct&lt;22,$BC444=(Elig_MatchAll_Ct-1),AI444=0),F444,0)</f>
        <v>0</v>
      </c>
      <c r="BL444" s="173">
        <f>IF(AND(Input_Product=Elig!$C444,Elig_MatchAll_Ct&lt;22,$BC444=(Elig_MatchAll_Ct-1),AJ444=0),G444,0)</f>
        <v>0</v>
      </c>
      <c r="BM444" s="173">
        <f>IF(AND(Input_Product=Elig!$C444,Elig_MatchAll_Ct&lt;22,$BC444=(Elig_MatchAll_Ct-1),AK444=0),H444,0)</f>
        <v>0</v>
      </c>
      <c r="BN444" s="173">
        <f>IF(AND(Input_Product=Elig!$C444,Elig_MatchAll_Ct&lt;22,$BC444=(Elig_MatchAll_Ct-1),AL444=0),I444,0)</f>
        <v>0</v>
      </c>
      <c r="BO444" s="173">
        <f>IF(AND(Input_Product=Elig!$C444,Elig_MatchAll_Ct&lt;22,$BC444=(Elig_MatchAll_Ct-1),AM444=0),J444,0)</f>
        <v>0</v>
      </c>
      <c r="BP444" s="173">
        <f>IF(AND(Input_Product=Elig!$C444,Elig_MatchAll_Ct&lt;22,$BC444=(Elig_MatchAll_Ct-1),AN444=0),K444,0)</f>
        <v>0</v>
      </c>
      <c r="BQ444" s="173">
        <f>IF(AND(Input_Product=Elig!$C444,Elig_MatchAll_Ct&lt;22,$BC444=(Elig_MatchAll_Ct-1),AP444=0),L444,0)</f>
        <v>0</v>
      </c>
      <c r="BR444" s="173">
        <f>IF(AND(Input_Product=Elig!$C444,Elig_MatchAll_Ct&lt;22,$BC444=(Elig_MatchAll_Ct-1),AO444=0),M444,0)</f>
        <v>0</v>
      </c>
      <c r="BS444" s="173">
        <f>IF(AND(Input_Product=Elig!$C444,Elig_MatchAll_Ct&lt;22,$BC444=(Elig_MatchAll_Ct-1),AQ444=0),N444,0)</f>
        <v>0</v>
      </c>
      <c r="BT444" s="173">
        <f>IF(AND(Input_Product=Elig!$C444,Elig_MatchAll_Ct&lt;22,$BC444=(Elig_MatchAll_Ct-1),AR444=0),O444,0)</f>
        <v>0</v>
      </c>
      <c r="BU444" s="173">
        <f>IF(AND(Input_Product=Elig!$C444,Elig_MatchAll_Ct&lt;22,$BC444=(Elig_MatchAll_Ct-1),AS444=0),P444,0)</f>
        <v>0</v>
      </c>
      <c r="BV444" s="174">
        <f>IF(AND(Input_Product=Elig!$C444,Elig_MatchAll_Ct&lt;22,$BC444=(Elig_MatchAll_Ct-1),AT444=0),Q444,0)</f>
        <v>0</v>
      </c>
      <c r="BW444" s="175">
        <f>IF(AND(Input_Product=Elig!$C444,Elig_MatchAll_Ct&lt;22,$BC444=(Elig_MatchAll_Ct-1),AU444=0),R444,0)</f>
        <v>0</v>
      </c>
      <c r="BX444" s="176">
        <f>IF(AND(Input_Product=Elig!$C444,Elig_MatchAll_Ct&lt;22,$BC444=(Elig_MatchAll_Ct-1),AU444=0),S444,0)</f>
        <v>0</v>
      </c>
      <c r="BY444" s="175">
        <f>IF(AND(Input_Product=Elig!$C444,Elig_MatchAll_Ct&lt;22,$BC444=(Elig_MatchAll_Ct-1),AV444=0),T444,0)</f>
        <v>0</v>
      </c>
      <c r="BZ444" s="176">
        <f>IF(AND(Input_Product=Elig!$C444,Elig_MatchAll_Ct&lt;22,$BC444=(Elig_MatchAll_Ct-1),AV444=0),U444,0)</f>
        <v>0</v>
      </c>
      <c r="CA444" s="175">
        <f>IF(AND(Input_Product=Elig!$C444,Elig_MatchAll_Ct&lt;22,$BC444=(Elig_MatchAll_Ct-1),AW444=0),V444,0)</f>
        <v>0</v>
      </c>
      <c r="CB444" s="176">
        <f>IF(AND(Input_Product=Elig!$C444,Elig_MatchAll_Ct&lt;22,$BC444=(Elig_MatchAll_Ct-1),AW444=0),W444,0)</f>
        <v>0</v>
      </c>
      <c r="CC444" s="175">
        <f>IF(AND(Input_Product=Elig!$C444,Elig_MatchAll_Ct&lt;22,$BC444=(Elig_MatchAll_Ct-1),AX444=0),X444,0)</f>
        <v>0</v>
      </c>
      <c r="CD444" s="176">
        <f>IF(AND(Input_Product=Elig!$C444,Elig_MatchAll_Ct&lt;22,$BC444=(Elig_MatchAll_Ct-1),AX444=0),Y444,0)</f>
        <v>0</v>
      </c>
      <c r="CE444" s="175">
        <f>IF(AND(Input_LTV&lt;=AE444,Input_Product=Elig!$C444,Elig_MatchAll_Ct&lt;22,$BC444=(Elig_MatchAll_Ct-1),AY444=0),Z444,0)</f>
        <v>0</v>
      </c>
      <c r="CF444" s="176">
        <f>IF(AND(Input_LTV&lt;=AE444,Input_Product=Elig!$C444,Elig_MatchAll_Ct&lt;22,$BC444=(Elig_MatchAll_Ct-1),AY444=0),AA444,0)</f>
        <v>0</v>
      </c>
      <c r="CG444" s="175">
        <f>IF(AND(Input_Product=Elig!$C444,Elig_MatchAll_Ct&lt;22,$BC444=(Elig_MatchAll_Ct-1),AZ444=0),AB444,0)</f>
        <v>0</v>
      </c>
      <c r="CH444" s="176">
        <f>IF(AND(Input_Product=Elig!$C444,Elig_MatchAll_Ct&lt;22,$BC444=(Elig_MatchAll_Ct-1),AZ444=0),AC444,0)</f>
        <v>0</v>
      </c>
      <c r="CI444" s="175">
        <f>IF(AND(Input_Product=Elig!$C444,Elig_MatchAll_Ct&lt;22,$BC444=(Elig_MatchAll_Ct-1),BA444=0),AD444,0)</f>
        <v>0</v>
      </c>
      <c r="CJ444" s="176">
        <f>IF(AND(Input_Product=Elig!$C444,Elig_MatchAll_Ct&lt;22,$BC444=(Elig_MatchAll_Ct-1),BA444=0),AE444,0)</f>
        <v>0</v>
      </c>
    </row>
    <row r="445" spans="1:88" ht="10.15" customHeight="1" x14ac:dyDescent="0.25">
      <c r="A445" s="252" t="s">
        <v>76</v>
      </c>
      <c r="B445" s="252" t="s">
        <v>2108</v>
      </c>
      <c r="C445" s="256" t="str">
        <f t="shared" si="140"/>
        <v>NonQM NOO</v>
      </c>
      <c r="D445" s="257" t="s">
        <v>1995</v>
      </c>
      <c r="E445" s="257" t="s">
        <v>166</v>
      </c>
      <c r="F445" s="257" t="s">
        <v>329</v>
      </c>
      <c r="G445" s="257" t="s">
        <v>465</v>
      </c>
      <c r="H445" s="257" t="s">
        <v>135</v>
      </c>
      <c r="I445" s="260" t="s">
        <v>16</v>
      </c>
      <c r="J445" s="260" t="s">
        <v>1130</v>
      </c>
      <c r="K445" s="260" t="s">
        <v>1398</v>
      </c>
      <c r="L445" s="257" t="s">
        <v>311</v>
      </c>
      <c r="M445" s="257" t="s">
        <v>2289</v>
      </c>
      <c r="N445" s="257" t="s">
        <v>1844</v>
      </c>
      <c r="O445" s="257" t="s">
        <v>309</v>
      </c>
      <c r="P445" s="257" t="s">
        <v>2434</v>
      </c>
      <c r="Q445" s="257" t="s">
        <v>293</v>
      </c>
      <c r="R445" s="257">
        <v>2000000.01</v>
      </c>
      <c r="S445" s="257">
        <v>2500000</v>
      </c>
      <c r="T445" s="257">
        <v>0</v>
      </c>
      <c r="U445" s="257">
        <f t="shared" si="170"/>
        <v>2500000</v>
      </c>
      <c r="V445" s="257">
        <v>0</v>
      </c>
      <c r="W445" s="257">
        <v>50</v>
      </c>
      <c r="X445" s="257">
        <v>0</v>
      </c>
      <c r="Y445" s="257">
        <v>999</v>
      </c>
      <c r="Z445" s="258">
        <v>660</v>
      </c>
      <c r="AA445" s="258">
        <v>679</v>
      </c>
      <c r="AB445" s="1884">
        <v>0</v>
      </c>
      <c r="AC445" s="258">
        <v>999999</v>
      </c>
      <c r="AD445" s="257">
        <v>0</v>
      </c>
      <c r="AE445" s="259">
        <v>65</v>
      </c>
      <c r="AF445" s="144">
        <v>0</v>
      </c>
      <c r="AG445" s="145">
        <v>1</v>
      </c>
      <c r="AH445" s="145">
        <v>1</v>
      </c>
      <c r="AI445" s="145">
        <v>1</v>
      </c>
      <c r="AJ445" s="145">
        <v>0</v>
      </c>
      <c r="AK445" s="145">
        <v>1</v>
      </c>
      <c r="AL445" s="145">
        <v>0</v>
      </c>
      <c r="AM445" s="145">
        <v>1</v>
      </c>
      <c r="AN445" s="145">
        <v>1</v>
      </c>
      <c r="AO445" s="145">
        <v>1</v>
      </c>
      <c r="AP445" s="145">
        <v>1</v>
      </c>
      <c r="AQ445" s="145">
        <v>1</v>
      </c>
      <c r="AR445" s="145">
        <v>1</v>
      </c>
      <c r="AS445" s="145">
        <v>1</v>
      </c>
      <c r="AT445" s="145">
        <v>1</v>
      </c>
      <c r="AU445" s="145">
        <f t="shared" si="148"/>
        <v>0</v>
      </c>
      <c r="AV445" s="145">
        <f t="shared" si="149"/>
        <v>1</v>
      </c>
      <c r="AW445" s="145">
        <f t="shared" si="150"/>
        <v>1</v>
      </c>
      <c r="AX445" s="145">
        <f t="shared" si="161"/>
        <v>1</v>
      </c>
      <c r="AY445" s="145">
        <f t="shared" si="151"/>
        <v>0</v>
      </c>
      <c r="AZ445" s="145">
        <f t="shared" si="152"/>
        <v>1</v>
      </c>
      <c r="BA445" s="146">
        <f t="shared" si="153"/>
        <v>0</v>
      </c>
      <c r="BB445" s="149">
        <f t="shared" si="166"/>
        <v>16</v>
      </c>
      <c r="BC445" s="150">
        <f t="shared" si="167"/>
        <v>16</v>
      </c>
      <c r="BD445" s="150">
        <f t="shared" si="168"/>
        <v>16</v>
      </c>
      <c r="BE445" s="211" t="str">
        <f t="shared" si="169"/>
        <v/>
      </c>
      <c r="BH445" s="188">
        <f>IF(AND(Input_Product=Elig!$C445,Elig_MatchAll_Ct&lt;22,$BC445=(Elig_MatchAll_Ct-1),AF445=0),C445,0)</f>
        <v>0</v>
      </c>
      <c r="BI445" s="188">
        <f>IF(AND(Input_Product=Elig!$C445,Elig_MatchAll_Ct&lt;22,$BC445=(Elig_MatchAll_Ct-1),AG445=0),D445,0)</f>
        <v>0</v>
      </c>
      <c r="BJ445" s="188">
        <f>IF(AND(Input_Product=Elig!$C445,Elig_MatchAll_Ct&lt;22,$BC445=(Elig_MatchAll_Ct-1),AH445=0),E445,0)</f>
        <v>0</v>
      </c>
      <c r="BK445" s="188">
        <f>IF(AND(Input_Product=Elig!$C445,Elig_MatchAll_Ct&lt;22,$BC445=(Elig_MatchAll_Ct-1),AI445=0),F445,0)</f>
        <v>0</v>
      </c>
      <c r="BL445" s="188">
        <f>IF(AND(Input_Product=Elig!$C445,Elig_MatchAll_Ct&lt;22,$BC445=(Elig_MatchAll_Ct-1),AJ445=0),G445,0)</f>
        <v>0</v>
      </c>
      <c r="BM445" s="188">
        <f>IF(AND(Input_Product=Elig!$C445,Elig_MatchAll_Ct&lt;22,$BC445=(Elig_MatchAll_Ct-1),AK445=0),H445,0)</f>
        <v>0</v>
      </c>
      <c r="BN445" s="188">
        <f>IF(AND(Input_Product=Elig!$C445,Elig_MatchAll_Ct&lt;22,$BC445=(Elig_MatchAll_Ct-1),AL445=0),I445,0)</f>
        <v>0</v>
      </c>
      <c r="BO445" s="188">
        <f>IF(AND(Input_Product=Elig!$C445,Elig_MatchAll_Ct&lt;22,$BC445=(Elig_MatchAll_Ct-1),AM445=0),J445,0)</f>
        <v>0</v>
      </c>
      <c r="BP445" s="188">
        <f>IF(AND(Input_Product=Elig!$C445,Elig_MatchAll_Ct&lt;22,$BC445=(Elig_MatchAll_Ct-1),AN445=0),K445,0)</f>
        <v>0</v>
      </c>
      <c r="BQ445" s="188">
        <f>IF(AND(Input_Product=Elig!$C445,Elig_MatchAll_Ct&lt;22,$BC445=(Elig_MatchAll_Ct-1),AP445=0),L445,0)</f>
        <v>0</v>
      </c>
      <c r="BR445" s="188">
        <f>IF(AND(Input_Product=Elig!$C445,Elig_MatchAll_Ct&lt;22,$BC445=(Elig_MatchAll_Ct-1),AO445=0),M445,0)</f>
        <v>0</v>
      </c>
      <c r="BS445" s="188">
        <f>IF(AND(Input_Product=Elig!$C445,Elig_MatchAll_Ct&lt;22,$BC445=(Elig_MatchAll_Ct-1),AQ445=0),N445,0)</f>
        <v>0</v>
      </c>
      <c r="BT445" s="188">
        <f>IF(AND(Input_Product=Elig!$C445,Elig_MatchAll_Ct&lt;22,$BC445=(Elig_MatchAll_Ct-1),AR445=0),O445,0)</f>
        <v>0</v>
      </c>
      <c r="BU445" s="188">
        <f>IF(AND(Input_Product=Elig!$C445,Elig_MatchAll_Ct&lt;22,$BC445=(Elig_MatchAll_Ct-1),AS445=0),P445,0)</f>
        <v>0</v>
      </c>
      <c r="BV445" s="189">
        <f>IF(AND(Input_Product=Elig!$C445,Elig_MatchAll_Ct&lt;22,$BC445=(Elig_MatchAll_Ct-1),AT445=0),Q445,0)</f>
        <v>0</v>
      </c>
      <c r="BW445" s="271">
        <f>IF(AND(Input_Product=Elig!$C445,Elig_MatchAll_Ct&lt;22,$BC445=(Elig_MatchAll_Ct-1),AU445=0),R445,0)</f>
        <v>0</v>
      </c>
      <c r="BX445" s="272">
        <f>IF(AND(Input_Product=Elig!$C445,Elig_MatchAll_Ct&lt;22,$BC445=(Elig_MatchAll_Ct-1),AU445=0),S445,0)</f>
        <v>0</v>
      </c>
      <c r="BY445" s="271">
        <f>IF(AND(Input_Product=Elig!$C445,Elig_MatchAll_Ct&lt;22,$BC445=(Elig_MatchAll_Ct-1),AV445=0),T445,0)</f>
        <v>0</v>
      </c>
      <c r="BZ445" s="272">
        <f>IF(AND(Input_Product=Elig!$C445,Elig_MatchAll_Ct&lt;22,$BC445=(Elig_MatchAll_Ct-1),AV445=0),U445,0)</f>
        <v>0</v>
      </c>
      <c r="CA445" s="271">
        <f>IF(AND(Input_Product=Elig!$C445,Elig_MatchAll_Ct&lt;22,$BC445=(Elig_MatchAll_Ct-1),AW445=0),V445,0)</f>
        <v>0</v>
      </c>
      <c r="CB445" s="272">
        <f>IF(AND(Input_Product=Elig!$C445,Elig_MatchAll_Ct&lt;22,$BC445=(Elig_MatchAll_Ct-1),AW445=0),W445,0)</f>
        <v>0</v>
      </c>
      <c r="CC445" s="271">
        <f>IF(AND(Input_Product=Elig!$C445,Elig_MatchAll_Ct&lt;22,$BC445=(Elig_MatchAll_Ct-1),AX445=0),X445,0)</f>
        <v>0</v>
      </c>
      <c r="CD445" s="272">
        <f>IF(AND(Input_Product=Elig!$C445,Elig_MatchAll_Ct&lt;22,$BC445=(Elig_MatchAll_Ct-1),AX445=0),Y445,0)</f>
        <v>0</v>
      </c>
      <c r="CE445" s="271">
        <f>IF(AND(Input_LTV&lt;=AE445,Input_Product=Elig!$C445,Elig_MatchAll_Ct&lt;22,$BC445=(Elig_MatchAll_Ct-1),AY445=0),Z445,0)</f>
        <v>0</v>
      </c>
      <c r="CF445" s="272">
        <f>IF(AND(Input_LTV&lt;=AE445,Input_Product=Elig!$C445,Elig_MatchAll_Ct&lt;22,$BC445=(Elig_MatchAll_Ct-1),AY445=0),AA445,0)</f>
        <v>0</v>
      </c>
      <c r="CG445" s="271">
        <f>IF(AND(Input_Product=Elig!$C445,Elig_MatchAll_Ct&lt;22,$BC445=(Elig_MatchAll_Ct-1),AZ445=0),AB445,0)</f>
        <v>0</v>
      </c>
      <c r="CH445" s="272">
        <f>IF(AND(Input_Product=Elig!$C445,Elig_MatchAll_Ct&lt;22,$BC445=(Elig_MatchAll_Ct-1),AZ445=0),AC445,0)</f>
        <v>0</v>
      </c>
      <c r="CI445" s="271">
        <f>IF(AND(Input_Product=Elig!$C445,Elig_MatchAll_Ct&lt;22,$BC445=(Elig_MatchAll_Ct-1),BA445=0),AD445,0)</f>
        <v>0</v>
      </c>
      <c r="CJ445" s="272">
        <f>IF(AND(Input_Product=Elig!$C445,Elig_MatchAll_Ct&lt;22,$BC445=(Elig_MatchAll_Ct-1),BA445=0),AE445,0)</f>
        <v>0</v>
      </c>
    </row>
    <row r="446" spans="1:88" ht="10.15" customHeight="1" x14ac:dyDescent="0.25">
      <c r="A446" s="252" t="s">
        <v>76</v>
      </c>
      <c r="B446" s="252" t="s">
        <v>2109</v>
      </c>
      <c r="C446" s="246" t="str">
        <f t="shared" si="140"/>
        <v>NonQM NOO</v>
      </c>
      <c r="D446" s="247" t="s">
        <v>1995</v>
      </c>
      <c r="E446" s="248" t="s">
        <v>166</v>
      </c>
      <c r="F446" s="248" t="s">
        <v>329</v>
      </c>
      <c r="G446" s="248" t="s">
        <v>178</v>
      </c>
      <c r="H446" s="248" t="s">
        <v>135</v>
      </c>
      <c r="I446" s="247" t="s">
        <v>273</v>
      </c>
      <c r="J446" s="247" t="s">
        <v>1130</v>
      </c>
      <c r="K446" s="247" t="s">
        <v>1398</v>
      </c>
      <c r="L446" s="248" t="s">
        <v>311</v>
      </c>
      <c r="M446" s="248" t="s">
        <v>2289</v>
      </c>
      <c r="N446" s="248" t="s">
        <v>1844</v>
      </c>
      <c r="O446" s="248" t="s">
        <v>309</v>
      </c>
      <c r="P446" s="248" t="s">
        <v>2434</v>
      </c>
      <c r="Q446" s="248" t="s">
        <v>293</v>
      </c>
      <c r="R446" s="247">
        <v>2000000.01</v>
      </c>
      <c r="S446" s="247">
        <v>2500000</v>
      </c>
      <c r="T446" s="247">
        <v>0</v>
      </c>
      <c r="U446" s="247">
        <v>0</v>
      </c>
      <c r="V446" s="247">
        <v>0</v>
      </c>
      <c r="W446" s="247">
        <v>50</v>
      </c>
      <c r="X446" s="247">
        <v>0</v>
      </c>
      <c r="Y446" s="247">
        <v>999</v>
      </c>
      <c r="Z446" s="249">
        <v>720</v>
      </c>
      <c r="AA446" s="249">
        <v>999</v>
      </c>
      <c r="AB446" s="1882">
        <v>0</v>
      </c>
      <c r="AC446" s="249">
        <v>999999</v>
      </c>
      <c r="AD446" s="247">
        <v>0</v>
      </c>
      <c r="AE446" s="250">
        <v>65</v>
      </c>
      <c r="AF446" s="144">
        <v>0</v>
      </c>
      <c r="AG446" s="145">
        <v>1</v>
      </c>
      <c r="AH446" s="145">
        <v>1</v>
      </c>
      <c r="AI446" s="145">
        <v>1</v>
      </c>
      <c r="AJ446" s="145">
        <v>0</v>
      </c>
      <c r="AK446" s="145">
        <v>1</v>
      </c>
      <c r="AL446" s="145">
        <v>1</v>
      </c>
      <c r="AM446" s="145">
        <v>1</v>
      </c>
      <c r="AN446" s="145">
        <v>1</v>
      </c>
      <c r="AO446" s="145">
        <v>1</v>
      </c>
      <c r="AP446" s="145">
        <v>1</v>
      </c>
      <c r="AQ446" s="145">
        <v>1</v>
      </c>
      <c r="AR446" s="145">
        <v>1</v>
      </c>
      <c r="AS446" s="145">
        <v>1</v>
      </c>
      <c r="AT446" s="145">
        <v>1</v>
      </c>
      <c r="AU446" s="145">
        <f t="shared" si="148"/>
        <v>0</v>
      </c>
      <c r="AV446" s="145">
        <f t="shared" si="149"/>
        <v>1</v>
      </c>
      <c r="AW446" s="145">
        <f t="shared" si="150"/>
        <v>1</v>
      </c>
      <c r="AX446" s="145">
        <f t="shared" si="161"/>
        <v>1</v>
      </c>
      <c r="AY446" s="145">
        <f t="shared" si="151"/>
        <v>1</v>
      </c>
      <c r="AZ446" s="145">
        <f t="shared" si="152"/>
        <v>1</v>
      </c>
      <c r="BA446" s="146">
        <f t="shared" si="153"/>
        <v>0</v>
      </c>
      <c r="BB446" s="149">
        <f t="shared" si="166"/>
        <v>18</v>
      </c>
      <c r="BC446" s="150">
        <f t="shared" si="167"/>
        <v>18</v>
      </c>
      <c r="BD446" s="150">
        <f t="shared" si="168"/>
        <v>18</v>
      </c>
      <c r="BE446" s="211" t="str">
        <f t="shared" si="169"/>
        <v/>
      </c>
      <c r="BH446" s="184">
        <f>IF(AND(Input_Product=Elig!$C446,Elig_MatchAll_Ct&lt;22,$BC446=(Elig_MatchAll_Ct-1),AF446=0),C446,0)</f>
        <v>0</v>
      </c>
      <c r="BI446" s="184">
        <f>IF(AND(Input_Product=Elig!$C446,Elig_MatchAll_Ct&lt;22,$BC446=(Elig_MatchAll_Ct-1),AG446=0),D446,0)</f>
        <v>0</v>
      </c>
      <c r="BJ446" s="184">
        <f>IF(AND(Input_Product=Elig!$C446,Elig_MatchAll_Ct&lt;22,$BC446=(Elig_MatchAll_Ct-1),AH446=0),E446,0)</f>
        <v>0</v>
      </c>
      <c r="BK446" s="184">
        <f>IF(AND(Input_Product=Elig!$C446,Elig_MatchAll_Ct&lt;22,$BC446=(Elig_MatchAll_Ct-1),AI446=0),F446,0)</f>
        <v>0</v>
      </c>
      <c r="BL446" s="184">
        <f>IF(AND(Input_Product=Elig!$C446,Elig_MatchAll_Ct&lt;22,$BC446=(Elig_MatchAll_Ct-1),AJ446=0),G446,0)</f>
        <v>0</v>
      </c>
      <c r="BM446" s="184">
        <f>IF(AND(Input_Product=Elig!$C446,Elig_MatchAll_Ct&lt;22,$BC446=(Elig_MatchAll_Ct-1),AK446=0),H446,0)</f>
        <v>0</v>
      </c>
      <c r="BN446" s="184">
        <f>IF(AND(Input_Product=Elig!$C446,Elig_MatchAll_Ct&lt;22,$BC446=(Elig_MatchAll_Ct-1),AL446=0),I446,0)</f>
        <v>0</v>
      </c>
      <c r="BO446" s="184">
        <f>IF(AND(Input_Product=Elig!$C446,Elig_MatchAll_Ct&lt;22,$BC446=(Elig_MatchAll_Ct-1),AM446=0),J446,0)</f>
        <v>0</v>
      </c>
      <c r="BP446" s="184">
        <f>IF(AND(Input_Product=Elig!$C446,Elig_MatchAll_Ct&lt;22,$BC446=(Elig_MatchAll_Ct-1),AN446=0),K446,0)</f>
        <v>0</v>
      </c>
      <c r="BQ446" s="184">
        <f>IF(AND(Input_Product=Elig!$C446,Elig_MatchAll_Ct&lt;22,$BC446=(Elig_MatchAll_Ct-1),AP446=0),L446,0)</f>
        <v>0</v>
      </c>
      <c r="BR446" s="184">
        <f>IF(AND(Input_Product=Elig!$C446,Elig_MatchAll_Ct&lt;22,$BC446=(Elig_MatchAll_Ct-1),AO446=0),M446,0)</f>
        <v>0</v>
      </c>
      <c r="BS446" s="184">
        <f>IF(AND(Input_Product=Elig!$C446,Elig_MatchAll_Ct&lt;22,$BC446=(Elig_MatchAll_Ct-1),AQ446=0),N446,0)</f>
        <v>0</v>
      </c>
      <c r="BT446" s="184">
        <f>IF(AND(Input_Product=Elig!$C446,Elig_MatchAll_Ct&lt;22,$BC446=(Elig_MatchAll_Ct-1),AR446=0),O446,0)</f>
        <v>0</v>
      </c>
      <c r="BU446" s="184">
        <f>IF(AND(Input_Product=Elig!$C446,Elig_MatchAll_Ct&lt;22,$BC446=(Elig_MatchAll_Ct-1),AS446=0),P446,0)</f>
        <v>0</v>
      </c>
      <c r="BV446" s="185">
        <f>IF(AND(Input_Product=Elig!$C446,Elig_MatchAll_Ct&lt;22,$BC446=(Elig_MatchAll_Ct-1),AT446=0),Q446,0)</f>
        <v>0</v>
      </c>
      <c r="BW446" s="186">
        <f>IF(AND(Input_Product=Elig!$C446,Elig_MatchAll_Ct&lt;22,$BC446=(Elig_MatchAll_Ct-1),AU446=0),R446,0)</f>
        <v>0</v>
      </c>
      <c r="BX446" s="187">
        <f>IF(AND(Input_Product=Elig!$C446,Elig_MatchAll_Ct&lt;22,$BC446=(Elig_MatchAll_Ct-1),AU446=0),S446,0)</f>
        <v>0</v>
      </c>
      <c r="BY446" s="186">
        <f>IF(AND(Input_Product=Elig!$C446,Elig_MatchAll_Ct&lt;22,$BC446=(Elig_MatchAll_Ct-1),AV446=0),T446,0)</f>
        <v>0</v>
      </c>
      <c r="BZ446" s="187">
        <f>IF(AND(Input_Product=Elig!$C446,Elig_MatchAll_Ct&lt;22,$BC446=(Elig_MatchAll_Ct-1),AV446=0),U446,0)</f>
        <v>0</v>
      </c>
      <c r="CA446" s="186">
        <f>IF(AND(Input_Product=Elig!$C446,Elig_MatchAll_Ct&lt;22,$BC446=(Elig_MatchAll_Ct-1),AW446=0),V446,0)</f>
        <v>0</v>
      </c>
      <c r="CB446" s="187">
        <f>IF(AND(Input_Product=Elig!$C446,Elig_MatchAll_Ct&lt;22,$BC446=(Elig_MatchAll_Ct-1),AW446=0),W446,0)</f>
        <v>0</v>
      </c>
      <c r="CC446" s="186">
        <f>IF(AND(Input_Product=Elig!$C446,Elig_MatchAll_Ct&lt;22,$BC446=(Elig_MatchAll_Ct-1),AX446=0),X446,0)</f>
        <v>0</v>
      </c>
      <c r="CD446" s="187">
        <f>IF(AND(Input_Product=Elig!$C446,Elig_MatchAll_Ct&lt;22,$BC446=(Elig_MatchAll_Ct-1),AX446=0),Y446,0)</f>
        <v>0</v>
      </c>
      <c r="CE446" s="186">
        <f>IF(AND(Input_LTV&lt;=AE446,Input_Product=Elig!$C446,Elig_MatchAll_Ct&lt;22,$BC446=(Elig_MatchAll_Ct-1),AY446=0),Z446,0)</f>
        <v>0</v>
      </c>
      <c r="CF446" s="187">
        <f>IF(AND(Input_LTV&lt;=AE446,Input_Product=Elig!$C446,Elig_MatchAll_Ct&lt;22,$BC446=(Elig_MatchAll_Ct-1),AY446=0),AA446,0)</f>
        <v>0</v>
      </c>
      <c r="CG446" s="186">
        <f>IF(AND(Input_Product=Elig!$C446,Elig_MatchAll_Ct&lt;22,$BC446=(Elig_MatchAll_Ct-1),AZ446=0),AB446,0)</f>
        <v>0</v>
      </c>
      <c r="CH446" s="187">
        <f>IF(AND(Input_Product=Elig!$C446,Elig_MatchAll_Ct&lt;22,$BC446=(Elig_MatchAll_Ct-1),AZ446=0),AC446,0)</f>
        <v>0</v>
      </c>
      <c r="CI446" s="186">
        <f>IF(AND(Input_Product=Elig!$C446,Elig_MatchAll_Ct&lt;22,$BC446=(Elig_MatchAll_Ct-1),BA446=0),AD446,0)</f>
        <v>0</v>
      </c>
      <c r="CJ446" s="187">
        <f>IF(AND(Input_Product=Elig!$C446,Elig_MatchAll_Ct&lt;22,$BC446=(Elig_MatchAll_Ct-1),BA446=0),AE446,0)</f>
        <v>0</v>
      </c>
    </row>
    <row r="447" spans="1:88" ht="10.15" customHeight="1" x14ac:dyDescent="0.25">
      <c r="A447" s="252" t="s">
        <v>76</v>
      </c>
      <c r="B447" s="252" t="s">
        <v>2110</v>
      </c>
      <c r="C447" s="251" t="str">
        <f t="shared" si="140"/>
        <v>NonQM NOO</v>
      </c>
      <c r="D447" s="252" t="s">
        <v>1995</v>
      </c>
      <c r="E447" s="252" t="s">
        <v>166</v>
      </c>
      <c r="F447" s="252" t="s">
        <v>329</v>
      </c>
      <c r="G447" s="252" t="s">
        <v>178</v>
      </c>
      <c r="H447" s="252" t="s">
        <v>135</v>
      </c>
      <c r="I447" s="253" t="s">
        <v>273</v>
      </c>
      <c r="J447" s="253" t="s">
        <v>1130</v>
      </c>
      <c r="K447" s="253" t="s">
        <v>1398</v>
      </c>
      <c r="L447" s="252" t="s">
        <v>311</v>
      </c>
      <c r="M447" s="252" t="s">
        <v>2289</v>
      </c>
      <c r="N447" s="252" t="s">
        <v>1844</v>
      </c>
      <c r="O447" s="252" t="s">
        <v>309</v>
      </c>
      <c r="P447" s="252" t="s">
        <v>2434</v>
      </c>
      <c r="Q447" s="252" t="s">
        <v>293</v>
      </c>
      <c r="R447" s="252">
        <v>2000000.01</v>
      </c>
      <c r="S447" s="252">
        <v>2500000</v>
      </c>
      <c r="T447" s="252">
        <v>0</v>
      </c>
      <c r="U447" s="252">
        <v>0</v>
      </c>
      <c r="V447" s="252">
        <v>0</v>
      </c>
      <c r="W447" s="252">
        <v>50</v>
      </c>
      <c r="X447" s="252">
        <v>0</v>
      </c>
      <c r="Y447" s="252">
        <v>999</v>
      </c>
      <c r="Z447" s="254">
        <v>700</v>
      </c>
      <c r="AA447" s="254">
        <v>719</v>
      </c>
      <c r="AB447" s="1883">
        <v>0</v>
      </c>
      <c r="AC447" s="254">
        <v>999999</v>
      </c>
      <c r="AD447" s="252">
        <v>0</v>
      </c>
      <c r="AE447" s="255">
        <v>65</v>
      </c>
      <c r="AF447" s="144">
        <v>0</v>
      </c>
      <c r="AG447" s="145">
        <v>1</v>
      </c>
      <c r="AH447" s="145">
        <v>1</v>
      </c>
      <c r="AI447" s="145">
        <v>1</v>
      </c>
      <c r="AJ447" s="145">
        <v>0</v>
      </c>
      <c r="AK447" s="145">
        <v>1</v>
      </c>
      <c r="AL447" s="145">
        <v>1</v>
      </c>
      <c r="AM447" s="145">
        <v>1</v>
      </c>
      <c r="AN447" s="145">
        <v>1</v>
      </c>
      <c r="AO447" s="145">
        <v>1</v>
      </c>
      <c r="AP447" s="145">
        <v>1</v>
      </c>
      <c r="AQ447" s="145">
        <v>1</v>
      </c>
      <c r="AR447" s="145">
        <v>1</v>
      </c>
      <c r="AS447" s="145">
        <v>1</v>
      </c>
      <c r="AT447" s="145">
        <v>1</v>
      </c>
      <c r="AU447" s="145">
        <f t="shared" si="148"/>
        <v>0</v>
      </c>
      <c r="AV447" s="145">
        <f t="shared" si="149"/>
        <v>1</v>
      </c>
      <c r="AW447" s="145">
        <f t="shared" si="150"/>
        <v>1</v>
      </c>
      <c r="AX447" s="145">
        <f t="shared" si="161"/>
        <v>1</v>
      </c>
      <c r="AY447" s="145">
        <f t="shared" si="151"/>
        <v>0</v>
      </c>
      <c r="AZ447" s="145">
        <f t="shared" si="152"/>
        <v>1</v>
      </c>
      <c r="BA447" s="146">
        <f t="shared" si="153"/>
        <v>0</v>
      </c>
      <c r="BB447" s="149">
        <f t="shared" si="166"/>
        <v>17</v>
      </c>
      <c r="BC447" s="150">
        <f t="shared" si="167"/>
        <v>17</v>
      </c>
      <c r="BD447" s="150">
        <f t="shared" si="168"/>
        <v>17</v>
      </c>
      <c r="BE447" s="211" t="str">
        <f t="shared" si="169"/>
        <v/>
      </c>
      <c r="BH447" s="173">
        <f>IF(AND(Input_Product=Elig!$C447,Elig_MatchAll_Ct&lt;22,$BC447=(Elig_MatchAll_Ct-1),AF447=0),C447,0)</f>
        <v>0</v>
      </c>
      <c r="BI447" s="173">
        <f>IF(AND(Input_Product=Elig!$C447,Elig_MatchAll_Ct&lt;22,$BC447=(Elig_MatchAll_Ct-1),AG447=0),D447,0)</f>
        <v>0</v>
      </c>
      <c r="BJ447" s="173">
        <f>IF(AND(Input_Product=Elig!$C447,Elig_MatchAll_Ct&lt;22,$BC447=(Elig_MatchAll_Ct-1),AH447=0),E447,0)</f>
        <v>0</v>
      </c>
      <c r="BK447" s="173">
        <f>IF(AND(Input_Product=Elig!$C447,Elig_MatchAll_Ct&lt;22,$BC447=(Elig_MatchAll_Ct-1),AI447=0),F447,0)</f>
        <v>0</v>
      </c>
      <c r="BL447" s="173">
        <f>IF(AND(Input_Product=Elig!$C447,Elig_MatchAll_Ct&lt;22,$BC447=(Elig_MatchAll_Ct-1),AJ447=0),G447,0)</f>
        <v>0</v>
      </c>
      <c r="BM447" s="173">
        <f>IF(AND(Input_Product=Elig!$C447,Elig_MatchAll_Ct&lt;22,$BC447=(Elig_MatchAll_Ct-1),AK447=0),H447,0)</f>
        <v>0</v>
      </c>
      <c r="BN447" s="173">
        <f>IF(AND(Input_Product=Elig!$C447,Elig_MatchAll_Ct&lt;22,$BC447=(Elig_MatchAll_Ct-1),AL447=0),I447,0)</f>
        <v>0</v>
      </c>
      <c r="BO447" s="173">
        <f>IF(AND(Input_Product=Elig!$C447,Elig_MatchAll_Ct&lt;22,$BC447=(Elig_MatchAll_Ct-1),AM447=0),J447,0)</f>
        <v>0</v>
      </c>
      <c r="BP447" s="173">
        <f>IF(AND(Input_Product=Elig!$C447,Elig_MatchAll_Ct&lt;22,$BC447=(Elig_MatchAll_Ct-1),AN447=0),K447,0)</f>
        <v>0</v>
      </c>
      <c r="BQ447" s="173">
        <f>IF(AND(Input_Product=Elig!$C447,Elig_MatchAll_Ct&lt;22,$BC447=(Elig_MatchAll_Ct-1),AP447=0),L447,0)</f>
        <v>0</v>
      </c>
      <c r="BR447" s="173">
        <f>IF(AND(Input_Product=Elig!$C447,Elig_MatchAll_Ct&lt;22,$BC447=(Elig_MatchAll_Ct-1),AO447=0),M447,0)</f>
        <v>0</v>
      </c>
      <c r="BS447" s="173">
        <f>IF(AND(Input_Product=Elig!$C447,Elig_MatchAll_Ct&lt;22,$BC447=(Elig_MatchAll_Ct-1),AQ447=0),N447,0)</f>
        <v>0</v>
      </c>
      <c r="BT447" s="173">
        <f>IF(AND(Input_Product=Elig!$C447,Elig_MatchAll_Ct&lt;22,$BC447=(Elig_MatchAll_Ct-1),AR447=0),O447,0)</f>
        <v>0</v>
      </c>
      <c r="BU447" s="173">
        <f>IF(AND(Input_Product=Elig!$C447,Elig_MatchAll_Ct&lt;22,$BC447=(Elig_MatchAll_Ct-1),AS447=0),P447,0)</f>
        <v>0</v>
      </c>
      <c r="BV447" s="174">
        <f>IF(AND(Input_Product=Elig!$C447,Elig_MatchAll_Ct&lt;22,$BC447=(Elig_MatchAll_Ct-1),AT447=0),Q447,0)</f>
        <v>0</v>
      </c>
      <c r="BW447" s="175">
        <f>IF(AND(Input_Product=Elig!$C447,Elig_MatchAll_Ct&lt;22,$BC447=(Elig_MatchAll_Ct-1),AU447=0),R447,0)</f>
        <v>0</v>
      </c>
      <c r="BX447" s="176">
        <f>IF(AND(Input_Product=Elig!$C447,Elig_MatchAll_Ct&lt;22,$BC447=(Elig_MatchAll_Ct-1),AU447=0),S447,0)</f>
        <v>0</v>
      </c>
      <c r="BY447" s="175">
        <f>IF(AND(Input_Product=Elig!$C447,Elig_MatchAll_Ct&lt;22,$BC447=(Elig_MatchAll_Ct-1),AV447=0),T447,0)</f>
        <v>0</v>
      </c>
      <c r="BZ447" s="176">
        <f>IF(AND(Input_Product=Elig!$C447,Elig_MatchAll_Ct&lt;22,$BC447=(Elig_MatchAll_Ct-1),AV447=0),U447,0)</f>
        <v>0</v>
      </c>
      <c r="CA447" s="175">
        <f>IF(AND(Input_Product=Elig!$C447,Elig_MatchAll_Ct&lt;22,$BC447=(Elig_MatchAll_Ct-1),AW447=0),V447,0)</f>
        <v>0</v>
      </c>
      <c r="CB447" s="176">
        <f>IF(AND(Input_Product=Elig!$C447,Elig_MatchAll_Ct&lt;22,$BC447=(Elig_MatchAll_Ct-1),AW447=0),W447,0)</f>
        <v>0</v>
      </c>
      <c r="CC447" s="175">
        <f>IF(AND(Input_Product=Elig!$C447,Elig_MatchAll_Ct&lt;22,$BC447=(Elig_MatchAll_Ct-1),AX447=0),X447,0)</f>
        <v>0</v>
      </c>
      <c r="CD447" s="176">
        <f>IF(AND(Input_Product=Elig!$C447,Elig_MatchAll_Ct&lt;22,$BC447=(Elig_MatchAll_Ct-1),AX447=0),Y447,0)</f>
        <v>0</v>
      </c>
      <c r="CE447" s="175">
        <f>IF(AND(Input_LTV&lt;=AE447,Input_Product=Elig!$C447,Elig_MatchAll_Ct&lt;22,$BC447=(Elig_MatchAll_Ct-1),AY447=0),Z447,0)</f>
        <v>0</v>
      </c>
      <c r="CF447" s="176">
        <f>IF(AND(Input_LTV&lt;=AE447,Input_Product=Elig!$C447,Elig_MatchAll_Ct&lt;22,$BC447=(Elig_MatchAll_Ct-1),AY447=0),AA447,0)</f>
        <v>0</v>
      </c>
      <c r="CG447" s="175">
        <f>IF(AND(Input_Product=Elig!$C447,Elig_MatchAll_Ct&lt;22,$BC447=(Elig_MatchAll_Ct-1),AZ447=0),AB447,0)</f>
        <v>0</v>
      </c>
      <c r="CH447" s="176">
        <f>IF(AND(Input_Product=Elig!$C447,Elig_MatchAll_Ct&lt;22,$BC447=(Elig_MatchAll_Ct-1),AZ447=0),AC447,0)</f>
        <v>0</v>
      </c>
      <c r="CI447" s="175">
        <f>IF(AND(Input_Product=Elig!$C447,Elig_MatchAll_Ct&lt;22,$BC447=(Elig_MatchAll_Ct-1),BA447=0),AD447,0)</f>
        <v>0</v>
      </c>
      <c r="CJ447" s="176">
        <f>IF(AND(Input_Product=Elig!$C447,Elig_MatchAll_Ct&lt;22,$BC447=(Elig_MatchAll_Ct-1),BA447=0),AE447,0)</f>
        <v>0</v>
      </c>
    </row>
    <row r="448" spans="1:88" ht="10.15" customHeight="1" x14ac:dyDescent="0.25">
      <c r="A448" s="252" t="s">
        <v>76</v>
      </c>
      <c r="B448" s="252" t="s">
        <v>2111</v>
      </c>
      <c r="C448" s="251" t="str">
        <f t="shared" si="140"/>
        <v>NonQM NOO</v>
      </c>
      <c r="D448" s="252" t="s">
        <v>1995</v>
      </c>
      <c r="E448" s="252" t="s">
        <v>166</v>
      </c>
      <c r="F448" s="252" t="s">
        <v>329</v>
      </c>
      <c r="G448" s="252" t="s">
        <v>178</v>
      </c>
      <c r="H448" s="252" t="s">
        <v>135</v>
      </c>
      <c r="I448" s="253" t="s">
        <v>273</v>
      </c>
      <c r="J448" s="253" t="s">
        <v>1130</v>
      </c>
      <c r="K448" s="253" t="s">
        <v>1398</v>
      </c>
      <c r="L448" s="252" t="s">
        <v>311</v>
      </c>
      <c r="M448" s="252" t="s">
        <v>2289</v>
      </c>
      <c r="N448" s="252" t="s">
        <v>1844</v>
      </c>
      <c r="O448" s="252" t="s">
        <v>309</v>
      </c>
      <c r="P448" s="252" t="s">
        <v>2434</v>
      </c>
      <c r="Q448" s="252" t="s">
        <v>293</v>
      </c>
      <c r="R448" s="252">
        <v>2000000.01</v>
      </c>
      <c r="S448" s="252">
        <v>2500000</v>
      </c>
      <c r="T448" s="252">
        <v>0</v>
      </c>
      <c r="U448" s="252">
        <v>0</v>
      </c>
      <c r="V448" s="252">
        <v>0</v>
      </c>
      <c r="W448" s="252">
        <v>50</v>
      </c>
      <c r="X448" s="252">
        <v>0</v>
      </c>
      <c r="Y448" s="252">
        <v>999</v>
      </c>
      <c r="Z448" s="254">
        <v>680</v>
      </c>
      <c r="AA448" s="254">
        <v>699</v>
      </c>
      <c r="AB448" s="1883">
        <v>0</v>
      </c>
      <c r="AC448" s="254">
        <v>999999</v>
      </c>
      <c r="AD448" s="252">
        <v>0</v>
      </c>
      <c r="AE448" s="255">
        <v>65</v>
      </c>
      <c r="AF448" s="144">
        <v>0</v>
      </c>
      <c r="AG448" s="145">
        <v>1</v>
      </c>
      <c r="AH448" s="145">
        <v>1</v>
      </c>
      <c r="AI448" s="145">
        <v>1</v>
      </c>
      <c r="AJ448" s="145">
        <v>0</v>
      </c>
      <c r="AK448" s="145">
        <v>1</v>
      </c>
      <c r="AL448" s="145">
        <v>1</v>
      </c>
      <c r="AM448" s="145">
        <v>1</v>
      </c>
      <c r="AN448" s="145">
        <v>1</v>
      </c>
      <c r="AO448" s="145">
        <v>1</v>
      </c>
      <c r="AP448" s="145">
        <v>1</v>
      </c>
      <c r="AQ448" s="145">
        <v>1</v>
      </c>
      <c r="AR448" s="145">
        <v>1</v>
      </c>
      <c r="AS448" s="145">
        <v>1</v>
      </c>
      <c r="AT448" s="145">
        <v>1</v>
      </c>
      <c r="AU448" s="145">
        <f t="shared" si="148"/>
        <v>0</v>
      </c>
      <c r="AV448" s="145">
        <f t="shared" si="149"/>
        <v>1</v>
      </c>
      <c r="AW448" s="145">
        <f t="shared" si="150"/>
        <v>1</v>
      </c>
      <c r="AX448" s="145">
        <f t="shared" si="161"/>
        <v>1</v>
      </c>
      <c r="AY448" s="145">
        <f t="shared" si="151"/>
        <v>0</v>
      </c>
      <c r="AZ448" s="145">
        <f t="shared" si="152"/>
        <v>1</v>
      </c>
      <c r="BA448" s="146">
        <f t="shared" si="153"/>
        <v>0</v>
      </c>
      <c r="BB448" s="149">
        <f t="shared" si="166"/>
        <v>17</v>
      </c>
      <c r="BC448" s="150">
        <f t="shared" si="167"/>
        <v>17</v>
      </c>
      <c r="BD448" s="150">
        <f t="shared" si="168"/>
        <v>17</v>
      </c>
      <c r="BE448" s="211" t="str">
        <f t="shared" si="169"/>
        <v/>
      </c>
      <c r="BH448" s="173">
        <f>IF(AND(Input_Product=Elig!$C448,Elig_MatchAll_Ct&lt;22,$BC448=(Elig_MatchAll_Ct-1),AF448=0),C448,0)</f>
        <v>0</v>
      </c>
      <c r="BI448" s="173">
        <f>IF(AND(Input_Product=Elig!$C448,Elig_MatchAll_Ct&lt;22,$BC448=(Elig_MatchAll_Ct-1),AG448=0),D448,0)</f>
        <v>0</v>
      </c>
      <c r="BJ448" s="173">
        <f>IF(AND(Input_Product=Elig!$C448,Elig_MatchAll_Ct&lt;22,$BC448=(Elig_MatchAll_Ct-1),AH448=0),E448,0)</f>
        <v>0</v>
      </c>
      <c r="BK448" s="173">
        <f>IF(AND(Input_Product=Elig!$C448,Elig_MatchAll_Ct&lt;22,$BC448=(Elig_MatchAll_Ct-1),AI448=0),F448,0)</f>
        <v>0</v>
      </c>
      <c r="BL448" s="173">
        <f>IF(AND(Input_Product=Elig!$C448,Elig_MatchAll_Ct&lt;22,$BC448=(Elig_MatchAll_Ct-1),AJ448=0),G448,0)</f>
        <v>0</v>
      </c>
      <c r="BM448" s="173">
        <f>IF(AND(Input_Product=Elig!$C448,Elig_MatchAll_Ct&lt;22,$BC448=(Elig_MatchAll_Ct-1),AK448=0),H448,0)</f>
        <v>0</v>
      </c>
      <c r="BN448" s="173">
        <f>IF(AND(Input_Product=Elig!$C448,Elig_MatchAll_Ct&lt;22,$BC448=(Elig_MatchAll_Ct-1),AL448=0),I448,0)</f>
        <v>0</v>
      </c>
      <c r="BO448" s="173">
        <f>IF(AND(Input_Product=Elig!$C448,Elig_MatchAll_Ct&lt;22,$BC448=(Elig_MatchAll_Ct-1),AM448=0),J448,0)</f>
        <v>0</v>
      </c>
      <c r="BP448" s="173">
        <f>IF(AND(Input_Product=Elig!$C448,Elig_MatchAll_Ct&lt;22,$BC448=(Elig_MatchAll_Ct-1),AN448=0),K448,0)</f>
        <v>0</v>
      </c>
      <c r="BQ448" s="173">
        <f>IF(AND(Input_Product=Elig!$C448,Elig_MatchAll_Ct&lt;22,$BC448=(Elig_MatchAll_Ct-1),AP448=0),L448,0)</f>
        <v>0</v>
      </c>
      <c r="BR448" s="173">
        <f>IF(AND(Input_Product=Elig!$C448,Elig_MatchAll_Ct&lt;22,$BC448=(Elig_MatchAll_Ct-1),AO448=0),M448,0)</f>
        <v>0</v>
      </c>
      <c r="BS448" s="173">
        <f>IF(AND(Input_Product=Elig!$C448,Elig_MatchAll_Ct&lt;22,$BC448=(Elig_MatchAll_Ct-1),AQ448=0),N448,0)</f>
        <v>0</v>
      </c>
      <c r="BT448" s="173">
        <f>IF(AND(Input_Product=Elig!$C448,Elig_MatchAll_Ct&lt;22,$BC448=(Elig_MatchAll_Ct-1),AR448=0),O448,0)</f>
        <v>0</v>
      </c>
      <c r="BU448" s="173">
        <f>IF(AND(Input_Product=Elig!$C448,Elig_MatchAll_Ct&lt;22,$BC448=(Elig_MatchAll_Ct-1),AS448=0),P448,0)</f>
        <v>0</v>
      </c>
      <c r="BV448" s="174">
        <f>IF(AND(Input_Product=Elig!$C448,Elig_MatchAll_Ct&lt;22,$BC448=(Elig_MatchAll_Ct-1),AT448=0),Q448,0)</f>
        <v>0</v>
      </c>
      <c r="BW448" s="175">
        <f>IF(AND(Input_Product=Elig!$C448,Elig_MatchAll_Ct&lt;22,$BC448=(Elig_MatchAll_Ct-1),AU448=0),R448,0)</f>
        <v>0</v>
      </c>
      <c r="BX448" s="176">
        <f>IF(AND(Input_Product=Elig!$C448,Elig_MatchAll_Ct&lt;22,$BC448=(Elig_MatchAll_Ct-1),AU448=0),S448,0)</f>
        <v>0</v>
      </c>
      <c r="BY448" s="175">
        <f>IF(AND(Input_Product=Elig!$C448,Elig_MatchAll_Ct&lt;22,$BC448=(Elig_MatchAll_Ct-1),AV448=0),T448,0)</f>
        <v>0</v>
      </c>
      <c r="BZ448" s="176">
        <f>IF(AND(Input_Product=Elig!$C448,Elig_MatchAll_Ct&lt;22,$BC448=(Elig_MatchAll_Ct-1),AV448=0),U448,0)</f>
        <v>0</v>
      </c>
      <c r="CA448" s="175">
        <f>IF(AND(Input_Product=Elig!$C448,Elig_MatchAll_Ct&lt;22,$BC448=(Elig_MatchAll_Ct-1),AW448=0),V448,0)</f>
        <v>0</v>
      </c>
      <c r="CB448" s="176">
        <f>IF(AND(Input_Product=Elig!$C448,Elig_MatchAll_Ct&lt;22,$BC448=(Elig_MatchAll_Ct-1),AW448=0),W448,0)</f>
        <v>0</v>
      </c>
      <c r="CC448" s="175">
        <f>IF(AND(Input_Product=Elig!$C448,Elig_MatchAll_Ct&lt;22,$BC448=(Elig_MatchAll_Ct-1),AX448=0),X448,0)</f>
        <v>0</v>
      </c>
      <c r="CD448" s="176">
        <f>IF(AND(Input_Product=Elig!$C448,Elig_MatchAll_Ct&lt;22,$BC448=(Elig_MatchAll_Ct-1),AX448=0),Y448,0)</f>
        <v>0</v>
      </c>
      <c r="CE448" s="175">
        <f>IF(AND(Input_LTV&lt;=AE448,Input_Product=Elig!$C448,Elig_MatchAll_Ct&lt;22,$BC448=(Elig_MatchAll_Ct-1),AY448=0),Z448,0)</f>
        <v>0</v>
      </c>
      <c r="CF448" s="176">
        <f>IF(AND(Input_LTV&lt;=AE448,Input_Product=Elig!$C448,Elig_MatchAll_Ct&lt;22,$BC448=(Elig_MatchAll_Ct-1),AY448=0),AA448,0)</f>
        <v>0</v>
      </c>
      <c r="CG448" s="175">
        <f>IF(AND(Input_Product=Elig!$C448,Elig_MatchAll_Ct&lt;22,$BC448=(Elig_MatchAll_Ct-1),AZ448=0),AB448,0)</f>
        <v>0</v>
      </c>
      <c r="CH448" s="176">
        <f>IF(AND(Input_Product=Elig!$C448,Elig_MatchAll_Ct&lt;22,$BC448=(Elig_MatchAll_Ct-1),AZ448=0),AC448,0)</f>
        <v>0</v>
      </c>
      <c r="CI448" s="175">
        <f>IF(AND(Input_Product=Elig!$C448,Elig_MatchAll_Ct&lt;22,$BC448=(Elig_MatchAll_Ct-1),BA448=0),AD448,0)</f>
        <v>0</v>
      </c>
      <c r="CJ448" s="176">
        <f>IF(AND(Input_Product=Elig!$C448,Elig_MatchAll_Ct&lt;22,$BC448=(Elig_MatchAll_Ct-1),BA448=0),AE448,0)</f>
        <v>0</v>
      </c>
    </row>
    <row r="449" spans="1:88" ht="10.15" customHeight="1" x14ac:dyDescent="0.25">
      <c r="A449" s="252" t="s">
        <v>76</v>
      </c>
      <c r="B449" s="252" t="s">
        <v>2112</v>
      </c>
      <c r="C449" s="256" t="str">
        <f t="shared" si="140"/>
        <v>NonQM NOO</v>
      </c>
      <c r="D449" s="257" t="s">
        <v>1995</v>
      </c>
      <c r="E449" s="257" t="s">
        <v>166</v>
      </c>
      <c r="F449" s="257" t="s">
        <v>329</v>
      </c>
      <c r="G449" s="257" t="s">
        <v>178</v>
      </c>
      <c r="H449" s="257" t="s">
        <v>135</v>
      </c>
      <c r="I449" s="260" t="s">
        <v>273</v>
      </c>
      <c r="J449" s="260" t="s">
        <v>1130</v>
      </c>
      <c r="K449" s="260" t="s">
        <v>1398</v>
      </c>
      <c r="L449" s="257" t="s">
        <v>311</v>
      </c>
      <c r="M449" s="257" t="s">
        <v>2289</v>
      </c>
      <c r="N449" s="257" t="s">
        <v>1844</v>
      </c>
      <c r="O449" s="257" t="s">
        <v>309</v>
      </c>
      <c r="P449" s="257" t="s">
        <v>2434</v>
      </c>
      <c r="Q449" s="257" t="s">
        <v>293</v>
      </c>
      <c r="R449" s="257">
        <v>2000000.01</v>
      </c>
      <c r="S449" s="257">
        <v>2500000</v>
      </c>
      <c r="T449" s="257">
        <v>0</v>
      </c>
      <c r="U449" s="257">
        <v>0</v>
      </c>
      <c r="V449" s="257">
        <v>0</v>
      </c>
      <c r="W449" s="257">
        <v>50</v>
      </c>
      <c r="X449" s="257">
        <v>0</v>
      </c>
      <c r="Y449" s="257">
        <v>999</v>
      </c>
      <c r="Z449" s="258">
        <v>660</v>
      </c>
      <c r="AA449" s="258">
        <v>679</v>
      </c>
      <c r="AB449" s="1884">
        <v>0</v>
      </c>
      <c r="AC449" s="258">
        <v>999999</v>
      </c>
      <c r="AD449" s="257">
        <v>0</v>
      </c>
      <c r="AE449" s="259">
        <v>65</v>
      </c>
      <c r="AF449" s="144">
        <v>0</v>
      </c>
      <c r="AG449" s="145">
        <v>1</v>
      </c>
      <c r="AH449" s="145">
        <v>1</v>
      </c>
      <c r="AI449" s="145">
        <v>1</v>
      </c>
      <c r="AJ449" s="145">
        <v>0</v>
      </c>
      <c r="AK449" s="145">
        <v>1</v>
      </c>
      <c r="AL449" s="145">
        <v>1</v>
      </c>
      <c r="AM449" s="145">
        <v>1</v>
      </c>
      <c r="AN449" s="145">
        <v>1</v>
      </c>
      <c r="AO449" s="145">
        <v>1</v>
      </c>
      <c r="AP449" s="145">
        <v>1</v>
      </c>
      <c r="AQ449" s="145">
        <v>1</v>
      </c>
      <c r="AR449" s="145">
        <v>1</v>
      </c>
      <c r="AS449" s="145">
        <v>1</v>
      </c>
      <c r="AT449" s="145">
        <v>1</v>
      </c>
      <c r="AU449" s="145">
        <f t="shared" si="148"/>
        <v>0</v>
      </c>
      <c r="AV449" s="145">
        <f t="shared" si="149"/>
        <v>1</v>
      </c>
      <c r="AW449" s="145">
        <f t="shared" si="150"/>
        <v>1</v>
      </c>
      <c r="AX449" s="145">
        <f t="shared" si="161"/>
        <v>1</v>
      </c>
      <c r="AY449" s="145">
        <f t="shared" si="151"/>
        <v>0</v>
      </c>
      <c r="AZ449" s="145">
        <f t="shared" si="152"/>
        <v>1</v>
      </c>
      <c r="BA449" s="146">
        <f t="shared" si="153"/>
        <v>0</v>
      </c>
      <c r="BB449" s="149">
        <f t="shared" si="166"/>
        <v>17</v>
      </c>
      <c r="BC449" s="150">
        <f t="shared" si="167"/>
        <v>17</v>
      </c>
      <c r="BD449" s="150">
        <f t="shared" si="168"/>
        <v>17</v>
      </c>
      <c r="BE449" s="211" t="str">
        <f t="shared" si="169"/>
        <v/>
      </c>
      <c r="BH449" s="188">
        <f>IF(AND(Input_Product=Elig!$C449,Elig_MatchAll_Ct&lt;22,$BC449=(Elig_MatchAll_Ct-1),AF449=0),C449,0)</f>
        <v>0</v>
      </c>
      <c r="BI449" s="188">
        <f>IF(AND(Input_Product=Elig!$C449,Elig_MatchAll_Ct&lt;22,$BC449=(Elig_MatchAll_Ct-1),AG449=0),D449,0)</f>
        <v>0</v>
      </c>
      <c r="BJ449" s="188">
        <f>IF(AND(Input_Product=Elig!$C449,Elig_MatchAll_Ct&lt;22,$BC449=(Elig_MatchAll_Ct-1),AH449=0),E449,0)</f>
        <v>0</v>
      </c>
      <c r="BK449" s="188">
        <f>IF(AND(Input_Product=Elig!$C449,Elig_MatchAll_Ct&lt;22,$BC449=(Elig_MatchAll_Ct-1),AI449=0),F449,0)</f>
        <v>0</v>
      </c>
      <c r="BL449" s="188">
        <f>IF(AND(Input_Product=Elig!$C449,Elig_MatchAll_Ct&lt;22,$BC449=(Elig_MatchAll_Ct-1),AJ449=0),G449,0)</f>
        <v>0</v>
      </c>
      <c r="BM449" s="188">
        <f>IF(AND(Input_Product=Elig!$C449,Elig_MatchAll_Ct&lt;22,$BC449=(Elig_MatchAll_Ct-1),AK449=0),H449,0)</f>
        <v>0</v>
      </c>
      <c r="BN449" s="188">
        <f>IF(AND(Input_Product=Elig!$C449,Elig_MatchAll_Ct&lt;22,$BC449=(Elig_MatchAll_Ct-1),AL449=0),I449,0)</f>
        <v>0</v>
      </c>
      <c r="BO449" s="188">
        <f>IF(AND(Input_Product=Elig!$C449,Elig_MatchAll_Ct&lt;22,$BC449=(Elig_MatchAll_Ct-1),AM449=0),J449,0)</f>
        <v>0</v>
      </c>
      <c r="BP449" s="188">
        <f>IF(AND(Input_Product=Elig!$C449,Elig_MatchAll_Ct&lt;22,$BC449=(Elig_MatchAll_Ct-1),AN449=0),K449,0)</f>
        <v>0</v>
      </c>
      <c r="BQ449" s="188">
        <f>IF(AND(Input_Product=Elig!$C449,Elig_MatchAll_Ct&lt;22,$BC449=(Elig_MatchAll_Ct-1),AP449=0),L449,0)</f>
        <v>0</v>
      </c>
      <c r="BR449" s="188">
        <f>IF(AND(Input_Product=Elig!$C449,Elig_MatchAll_Ct&lt;22,$BC449=(Elig_MatchAll_Ct-1),AO449=0),M449,0)</f>
        <v>0</v>
      </c>
      <c r="BS449" s="188">
        <f>IF(AND(Input_Product=Elig!$C449,Elig_MatchAll_Ct&lt;22,$BC449=(Elig_MatchAll_Ct-1),AQ449=0),N449,0)</f>
        <v>0</v>
      </c>
      <c r="BT449" s="188">
        <f>IF(AND(Input_Product=Elig!$C449,Elig_MatchAll_Ct&lt;22,$BC449=(Elig_MatchAll_Ct-1),AR449=0),O449,0)</f>
        <v>0</v>
      </c>
      <c r="BU449" s="188">
        <f>IF(AND(Input_Product=Elig!$C449,Elig_MatchAll_Ct&lt;22,$BC449=(Elig_MatchAll_Ct-1),AS449=0),P449,0)</f>
        <v>0</v>
      </c>
      <c r="BV449" s="189">
        <f>IF(AND(Input_Product=Elig!$C449,Elig_MatchAll_Ct&lt;22,$BC449=(Elig_MatchAll_Ct-1),AT449=0),Q449,0)</f>
        <v>0</v>
      </c>
      <c r="BW449" s="271">
        <f>IF(AND(Input_Product=Elig!$C449,Elig_MatchAll_Ct&lt;22,$BC449=(Elig_MatchAll_Ct-1),AU449=0),R449,0)</f>
        <v>0</v>
      </c>
      <c r="BX449" s="272">
        <f>IF(AND(Input_Product=Elig!$C449,Elig_MatchAll_Ct&lt;22,$BC449=(Elig_MatchAll_Ct-1),AU449=0),S449,0)</f>
        <v>0</v>
      </c>
      <c r="BY449" s="271">
        <f>IF(AND(Input_Product=Elig!$C449,Elig_MatchAll_Ct&lt;22,$BC449=(Elig_MatchAll_Ct-1),AV449=0),T449,0)</f>
        <v>0</v>
      </c>
      <c r="BZ449" s="272">
        <f>IF(AND(Input_Product=Elig!$C449,Elig_MatchAll_Ct&lt;22,$BC449=(Elig_MatchAll_Ct-1),AV449=0),U449,0)</f>
        <v>0</v>
      </c>
      <c r="CA449" s="271">
        <f>IF(AND(Input_Product=Elig!$C449,Elig_MatchAll_Ct&lt;22,$BC449=(Elig_MatchAll_Ct-1),AW449=0),V449,0)</f>
        <v>0</v>
      </c>
      <c r="CB449" s="272">
        <f>IF(AND(Input_Product=Elig!$C449,Elig_MatchAll_Ct&lt;22,$BC449=(Elig_MatchAll_Ct-1),AW449=0),W449,0)</f>
        <v>0</v>
      </c>
      <c r="CC449" s="271">
        <f>IF(AND(Input_Product=Elig!$C449,Elig_MatchAll_Ct&lt;22,$BC449=(Elig_MatchAll_Ct-1),AX449=0),X449,0)</f>
        <v>0</v>
      </c>
      <c r="CD449" s="272">
        <f>IF(AND(Input_Product=Elig!$C449,Elig_MatchAll_Ct&lt;22,$BC449=(Elig_MatchAll_Ct-1),AX449=0),Y449,0)</f>
        <v>0</v>
      </c>
      <c r="CE449" s="271">
        <f>IF(AND(Input_LTV&lt;=AE449,Input_Product=Elig!$C449,Elig_MatchAll_Ct&lt;22,$BC449=(Elig_MatchAll_Ct-1),AY449=0),Z449,0)</f>
        <v>0</v>
      </c>
      <c r="CF449" s="272">
        <f>IF(AND(Input_LTV&lt;=AE449,Input_Product=Elig!$C449,Elig_MatchAll_Ct&lt;22,$BC449=(Elig_MatchAll_Ct-1),AY449=0),AA449,0)</f>
        <v>0</v>
      </c>
      <c r="CG449" s="271">
        <f>IF(AND(Input_Product=Elig!$C449,Elig_MatchAll_Ct&lt;22,$BC449=(Elig_MatchAll_Ct-1),AZ449=0),AB449,0)</f>
        <v>0</v>
      </c>
      <c r="CH449" s="272">
        <f>IF(AND(Input_Product=Elig!$C449,Elig_MatchAll_Ct&lt;22,$BC449=(Elig_MatchAll_Ct-1),AZ449=0),AC449,0)</f>
        <v>0</v>
      </c>
      <c r="CI449" s="271">
        <f>IF(AND(Input_Product=Elig!$C449,Elig_MatchAll_Ct&lt;22,$BC449=(Elig_MatchAll_Ct-1),BA449=0),AD449,0)</f>
        <v>0</v>
      </c>
      <c r="CJ449" s="272">
        <f>IF(AND(Input_Product=Elig!$C449,Elig_MatchAll_Ct&lt;22,$BC449=(Elig_MatchAll_Ct-1),BA449=0),AE449,0)</f>
        <v>0</v>
      </c>
    </row>
    <row r="450" spans="1:88" ht="10.15" customHeight="1" x14ac:dyDescent="0.25">
      <c r="A450" s="252" t="s">
        <v>76</v>
      </c>
      <c r="B450" s="252" t="s">
        <v>2113</v>
      </c>
      <c r="C450" s="246" t="str">
        <f t="shared" si="140"/>
        <v>NonQM NOO</v>
      </c>
      <c r="D450" s="247" t="s">
        <v>1995</v>
      </c>
      <c r="E450" s="248" t="s">
        <v>166</v>
      </c>
      <c r="F450" s="248" t="s">
        <v>329</v>
      </c>
      <c r="G450" s="248" t="s">
        <v>178</v>
      </c>
      <c r="H450" s="248" t="s">
        <v>135</v>
      </c>
      <c r="I450" s="247" t="s">
        <v>16</v>
      </c>
      <c r="J450" s="247" t="s">
        <v>1130</v>
      </c>
      <c r="K450" s="247" t="s">
        <v>1398</v>
      </c>
      <c r="L450" s="248" t="s">
        <v>311</v>
      </c>
      <c r="M450" s="248" t="s">
        <v>2289</v>
      </c>
      <c r="N450" s="248" t="s">
        <v>1844</v>
      </c>
      <c r="O450" s="248" t="s">
        <v>309</v>
      </c>
      <c r="P450" s="248" t="s">
        <v>2434</v>
      </c>
      <c r="Q450" s="248" t="s">
        <v>293</v>
      </c>
      <c r="R450" s="247">
        <v>2000000.01</v>
      </c>
      <c r="S450" s="247">
        <v>2500000</v>
      </c>
      <c r="T450" s="247">
        <v>0</v>
      </c>
      <c r="U450" s="247">
        <f t="shared" ref="U450:U453" si="171">S450</f>
        <v>2500000</v>
      </c>
      <c r="V450" s="247">
        <v>0</v>
      </c>
      <c r="W450" s="247">
        <v>50</v>
      </c>
      <c r="X450" s="247">
        <v>0</v>
      </c>
      <c r="Y450" s="247">
        <v>999</v>
      </c>
      <c r="Z450" s="249">
        <v>720</v>
      </c>
      <c r="AA450" s="249">
        <v>999</v>
      </c>
      <c r="AB450" s="1882">
        <v>0</v>
      </c>
      <c r="AC450" s="249">
        <v>999999</v>
      </c>
      <c r="AD450" s="247">
        <v>0</v>
      </c>
      <c r="AE450" s="250">
        <v>60</v>
      </c>
      <c r="AF450" s="144">
        <v>0</v>
      </c>
      <c r="AG450" s="145">
        <v>1</v>
      </c>
      <c r="AH450" s="145">
        <v>1</v>
      </c>
      <c r="AI450" s="145">
        <v>1</v>
      </c>
      <c r="AJ450" s="145">
        <v>0</v>
      </c>
      <c r="AK450" s="145">
        <v>1</v>
      </c>
      <c r="AL450" s="145">
        <v>0</v>
      </c>
      <c r="AM450" s="145">
        <v>1</v>
      </c>
      <c r="AN450" s="145">
        <v>1</v>
      </c>
      <c r="AO450" s="145">
        <v>1</v>
      </c>
      <c r="AP450" s="145">
        <v>1</v>
      </c>
      <c r="AQ450" s="145">
        <v>1</v>
      </c>
      <c r="AR450" s="145">
        <v>1</v>
      </c>
      <c r="AS450" s="145">
        <v>1</v>
      </c>
      <c r="AT450" s="145">
        <v>1</v>
      </c>
      <c r="AU450" s="145">
        <f t="shared" si="148"/>
        <v>0</v>
      </c>
      <c r="AV450" s="145">
        <f t="shared" si="149"/>
        <v>1</v>
      </c>
      <c r="AW450" s="145">
        <f t="shared" si="150"/>
        <v>1</v>
      </c>
      <c r="AX450" s="145">
        <f t="shared" si="161"/>
        <v>1</v>
      </c>
      <c r="AY450" s="145">
        <f t="shared" si="151"/>
        <v>1</v>
      </c>
      <c r="AZ450" s="145">
        <f t="shared" si="152"/>
        <v>1</v>
      </c>
      <c r="BA450" s="146">
        <f t="shared" si="153"/>
        <v>0</v>
      </c>
      <c r="BB450" s="149">
        <f t="shared" si="166"/>
        <v>17</v>
      </c>
      <c r="BC450" s="150">
        <f t="shared" si="167"/>
        <v>17</v>
      </c>
      <c r="BD450" s="150">
        <f t="shared" si="168"/>
        <v>17</v>
      </c>
      <c r="BE450" s="211" t="str">
        <f t="shared" si="169"/>
        <v/>
      </c>
      <c r="BH450" s="184">
        <f>IF(AND(Input_Product=Elig!$C450,Elig_MatchAll_Ct&lt;22,$BC450=(Elig_MatchAll_Ct-1),AF450=0),C450,0)</f>
        <v>0</v>
      </c>
      <c r="BI450" s="184">
        <f>IF(AND(Input_Product=Elig!$C450,Elig_MatchAll_Ct&lt;22,$BC450=(Elig_MatchAll_Ct-1),AG450=0),D450,0)</f>
        <v>0</v>
      </c>
      <c r="BJ450" s="184">
        <f>IF(AND(Input_Product=Elig!$C450,Elig_MatchAll_Ct&lt;22,$BC450=(Elig_MatchAll_Ct-1),AH450=0),E450,0)</f>
        <v>0</v>
      </c>
      <c r="BK450" s="184">
        <f>IF(AND(Input_Product=Elig!$C450,Elig_MatchAll_Ct&lt;22,$BC450=(Elig_MatchAll_Ct-1),AI450=0),F450,0)</f>
        <v>0</v>
      </c>
      <c r="BL450" s="184">
        <f>IF(AND(Input_Product=Elig!$C450,Elig_MatchAll_Ct&lt;22,$BC450=(Elig_MatchAll_Ct-1),AJ450=0),G450,0)</f>
        <v>0</v>
      </c>
      <c r="BM450" s="184">
        <f>IF(AND(Input_Product=Elig!$C450,Elig_MatchAll_Ct&lt;22,$BC450=(Elig_MatchAll_Ct-1),AK450=0),H450,0)</f>
        <v>0</v>
      </c>
      <c r="BN450" s="184">
        <f>IF(AND(Input_Product=Elig!$C450,Elig_MatchAll_Ct&lt;22,$BC450=(Elig_MatchAll_Ct-1),AL450=0),I450,0)</f>
        <v>0</v>
      </c>
      <c r="BO450" s="184">
        <f>IF(AND(Input_Product=Elig!$C450,Elig_MatchAll_Ct&lt;22,$BC450=(Elig_MatchAll_Ct-1),AM450=0),J450,0)</f>
        <v>0</v>
      </c>
      <c r="BP450" s="184">
        <f>IF(AND(Input_Product=Elig!$C450,Elig_MatchAll_Ct&lt;22,$BC450=(Elig_MatchAll_Ct-1),AN450=0),K450,0)</f>
        <v>0</v>
      </c>
      <c r="BQ450" s="184">
        <f>IF(AND(Input_Product=Elig!$C450,Elig_MatchAll_Ct&lt;22,$BC450=(Elig_MatchAll_Ct-1),AP450=0),L450,0)</f>
        <v>0</v>
      </c>
      <c r="BR450" s="184">
        <f>IF(AND(Input_Product=Elig!$C450,Elig_MatchAll_Ct&lt;22,$BC450=(Elig_MatchAll_Ct-1),AO450=0),M450,0)</f>
        <v>0</v>
      </c>
      <c r="BS450" s="184">
        <f>IF(AND(Input_Product=Elig!$C450,Elig_MatchAll_Ct&lt;22,$BC450=(Elig_MatchAll_Ct-1),AQ450=0),N450,0)</f>
        <v>0</v>
      </c>
      <c r="BT450" s="184">
        <f>IF(AND(Input_Product=Elig!$C450,Elig_MatchAll_Ct&lt;22,$BC450=(Elig_MatchAll_Ct-1),AR450=0),O450,0)</f>
        <v>0</v>
      </c>
      <c r="BU450" s="184">
        <f>IF(AND(Input_Product=Elig!$C450,Elig_MatchAll_Ct&lt;22,$BC450=(Elig_MatchAll_Ct-1),AS450=0),P450,0)</f>
        <v>0</v>
      </c>
      <c r="BV450" s="185">
        <f>IF(AND(Input_Product=Elig!$C450,Elig_MatchAll_Ct&lt;22,$BC450=(Elig_MatchAll_Ct-1),AT450=0),Q450,0)</f>
        <v>0</v>
      </c>
      <c r="BW450" s="186">
        <f>IF(AND(Input_Product=Elig!$C450,Elig_MatchAll_Ct&lt;22,$BC450=(Elig_MatchAll_Ct-1),AU450=0),R450,0)</f>
        <v>0</v>
      </c>
      <c r="BX450" s="187">
        <f>IF(AND(Input_Product=Elig!$C450,Elig_MatchAll_Ct&lt;22,$BC450=(Elig_MatchAll_Ct-1),AU450=0),S450,0)</f>
        <v>0</v>
      </c>
      <c r="BY450" s="186">
        <f>IF(AND(Input_Product=Elig!$C450,Elig_MatchAll_Ct&lt;22,$BC450=(Elig_MatchAll_Ct-1),AV450=0),T450,0)</f>
        <v>0</v>
      </c>
      <c r="BZ450" s="187">
        <f>IF(AND(Input_Product=Elig!$C450,Elig_MatchAll_Ct&lt;22,$BC450=(Elig_MatchAll_Ct-1),AV450=0),U450,0)</f>
        <v>0</v>
      </c>
      <c r="CA450" s="186">
        <f>IF(AND(Input_Product=Elig!$C450,Elig_MatchAll_Ct&lt;22,$BC450=(Elig_MatchAll_Ct-1),AW450=0),V450,0)</f>
        <v>0</v>
      </c>
      <c r="CB450" s="187">
        <f>IF(AND(Input_Product=Elig!$C450,Elig_MatchAll_Ct&lt;22,$BC450=(Elig_MatchAll_Ct-1),AW450=0),W450,0)</f>
        <v>0</v>
      </c>
      <c r="CC450" s="186">
        <f>IF(AND(Input_Product=Elig!$C450,Elig_MatchAll_Ct&lt;22,$BC450=(Elig_MatchAll_Ct-1),AX450=0),X450,0)</f>
        <v>0</v>
      </c>
      <c r="CD450" s="187">
        <f>IF(AND(Input_Product=Elig!$C450,Elig_MatchAll_Ct&lt;22,$BC450=(Elig_MatchAll_Ct-1),AX450=0),Y450,0)</f>
        <v>0</v>
      </c>
      <c r="CE450" s="186">
        <f>IF(AND(Input_LTV&lt;=AE450,Input_Product=Elig!$C450,Elig_MatchAll_Ct&lt;22,$BC450=(Elig_MatchAll_Ct-1),AY450=0),Z450,0)</f>
        <v>0</v>
      </c>
      <c r="CF450" s="187">
        <f>IF(AND(Input_LTV&lt;=AE450,Input_Product=Elig!$C450,Elig_MatchAll_Ct&lt;22,$BC450=(Elig_MatchAll_Ct-1),AY450=0),AA450,0)</f>
        <v>0</v>
      </c>
      <c r="CG450" s="186">
        <f>IF(AND(Input_Product=Elig!$C450,Elig_MatchAll_Ct&lt;22,$BC450=(Elig_MatchAll_Ct-1),AZ450=0),AB450,0)</f>
        <v>0</v>
      </c>
      <c r="CH450" s="187">
        <f>IF(AND(Input_Product=Elig!$C450,Elig_MatchAll_Ct&lt;22,$BC450=(Elig_MatchAll_Ct-1),AZ450=0),AC450,0)</f>
        <v>0</v>
      </c>
      <c r="CI450" s="186">
        <f>IF(AND(Input_Product=Elig!$C450,Elig_MatchAll_Ct&lt;22,$BC450=(Elig_MatchAll_Ct-1),BA450=0),AD450,0)</f>
        <v>0</v>
      </c>
      <c r="CJ450" s="187">
        <f>IF(AND(Input_Product=Elig!$C450,Elig_MatchAll_Ct&lt;22,$BC450=(Elig_MatchAll_Ct-1),BA450=0),AE450,0)</f>
        <v>0</v>
      </c>
    </row>
    <row r="451" spans="1:88" ht="10.15" customHeight="1" x14ac:dyDescent="0.25">
      <c r="A451" s="252" t="s">
        <v>76</v>
      </c>
      <c r="B451" s="252" t="s">
        <v>2114</v>
      </c>
      <c r="C451" s="251" t="str">
        <f t="shared" si="140"/>
        <v>NonQM NOO</v>
      </c>
      <c r="D451" s="252" t="s">
        <v>1995</v>
      </c>
      <c r="E451" s="252" t="s">
        <v>166</v>
      </c>
      <c r="F451" s="252" t="s">
        <v>329</v>
      </c>
      <c r="G451" s="252" t="s">
        <v>178</v>
      </c>
      <c r="H451" s="252" t="s">
        <v>135</v>
      </c>
      <c r="I451" s="253" t="s">
        <v>16</v>
      </c>
      <c r="J451" s="253" t="s">
        <v>1130</v>
      </c>
      <c r="K451" s="253" t="s">
        <v>1398</v>
      </c>
      <c r="L451" s="252" t="s">
        <v>311</v>
      </c>
      <c r="M451" s="252" t="s">
        <v>2289</v>
      </c>
      <c r="N451" s="252" t="s">
        <v>1844</v>
      </c>
      <c r="O451" s="252" t="s">
        <v>309</v>
      </c>
      <c r="P451" s="252" t="s">
        <v>2434</v>
      </c>
      <c r="Q451" s="252" t="s">
        <v>293</v>
      </c>
      <c r="R451" s="252">
        <v>2000000.01</v>
      </c>
      <c r="S451" s="252">
        <v>2500000</v>
      </c>
      <c r="T451" s="252">
        <v>0</v>
      </c>
      <c r="U451" s="252">
        <f t="shared" si="171"/>
        <v>2500000</v>
      </c>
      <c r="V451" s="252">
        <v>0</v>
      </c>
      <c r="W451" s="252">
        <v>50</v>
      </c>
      <c r="X451" s="252">
        <v>0</v>
      </c>
      <c r="Y451" s="252">
        <v>999</v>
      </c>
      <c r="Z451" s="254">
        <v>700</v>
      </c>
      <c r="AA451" s="254">
        <v>719</v>
      </c>
      <c r="AB451" s="1883">
        <v>0</v>
      </c>
      <c r="AC451" s="254">
        <v>999999</v>
      </c>
      <c r="AD451" s="252">
        <v>0</v>
      </c>
      <c r="AE451" s="255">
        <v>60</v>
      </c>
      <c r="AF451" s="144">
        <v>0</v>
      </c>
      <c r="AG451" s="145">
        <v>1</v>
      </c>
      <c r="AH451" s="145">
        <v>1</v>
      </c>
      <c r="AI451" s="145">
        <v>1</v>
      </c>
      <c r="AJ451" s="145">
        <v>0</v>
      </c>
      <c r="AK451" s="145">
        <v>1</v>
      </c>
      <c r="AL451" s="145">
        <v>0</v>
      </c>
      <c r="AM451" s="145">
        <v>1</v>
      </c>
      <c r="AN451" s="145">
        <v>1</v>
      </c>
      <c r="AO451" s="145">
        <v>1</v>
      </c>
      <c r="AP451" s="145">
        <v>1</v>
      </c>
      <c r="AQ451" s="145">
        <v>1</v>
      </c>
      <c r="AR451" s="145">
        <v>1</v>
      </c>
      <c r="AS451" s="145">
        <v>1</v>
      </c>
      <c r="AT451" s="145">
        <v>1</v>
      </c>
      <c r="AU451" s="145">
        <f t="shared" si="148"/>
        <v>0</v>
      </c>
      <c r="AV451" s="145">
        <f t="shared" si="149"/>
        <v>1</v>
      </c>
      <c r="AW451" s="145">
        <f t="shared" si="150"/>
        <v>1</v>
      </c>
      <c r="AX451" s="145">
        <f t="shared" si="161"/>
        <v>1</v>
      </c>
      <c r="AY451" s="145">
        <f t="shared" si="151"/>
        <v>0</v>
      </c>
      <c r="AZ451" s="145">
        <f t="shared" si="152"/>
        <v>1</v>
      </c>
      <c r="BA451" s="146">
        <f t="shared" si="153"/>
        <v>0</v>
      </c>
      <c r="BB451" s="149">
        <f t="shared" si="166"/>
        <v>16</v>
      </c>
      <c r="BC451" s="150">
        <f t="shared" si="167"/>
        <v>16</v>
      </c>
      <c r="BD451" s="150">
        <f t="shared" si="168"/>
        <v>16</v>
      </c>
      <c r="BE451" s="211" t="str">
        <f t="shared" si="169"/>
        <v/>
      </c>
      <c r="BH451" s="173">
        <f>IF(AND(Input_Product=Elig!$C451,Elig_MatchAll_Ct&lt;22,$BC451=(Elig_MatchAll_Ct-1),AF451=0),C451,0)</f>
        <v>0</v>
      </c>
      <c r="BI451" s="173">
        <f>IF(AND(Input_Product=Elig!$C451,Elig_MatchAll_Ct&lt;22,$BC451=(Elig_MatchAll_Ct-1),AG451=0),D451,0)</f>
        <v>0</v>
      </c>
      <c r="BJ451" s="173">
        <f>IF(AND(Input_Product=Elig!$C451,Elig_MatchAll_Ct&lt;22,$BC451=(Elig_MatchAll_Ct-1),AH451=0),E451,0)</f>
        <v>0</v>
      </c>
      <c r="BK451" s="173">
        <f>IF(AND(Input_Product=Elig!$C451,Elig_MatchAll_Ct&lt;22,$BC451=(Elig_MatchAll_Ct-1),AI451=0),F451,0)</f>
        <v>0</v>
      </c>
      <c r="BL451" s="173">
        <f>IF(AND(Input_Product=Elig!$C451,Elig_MatchAll_Ct&lt;22,$BC451=(Elig_MatchAll_Ct-1),AJ451=0),G451,0)</f>
        <v>0</v>
      </c>
      <c r="BM451" s="173">
        <f>IF(AND(Input_Product=Elig!$C451,Elig_MatchAll_Ct&lt;22,$BC451=(Elig_MatchAll_Ct-1),AK451=0),H451,0)</f>
        <v>0</v>
      </c>
      <c r="BN451" s="173">
        <f>IF(AND(Input_Product=Elig!$C451,Elig_MatchAll_Ct&lt;22,$BC451=(Elig_MatchAll_Ct-1),AL451=0),I451,0)</f>
        <v>0</v>
      </c>
      <c r="BO451" s="173">
        <f>IF(AND(Input_Product=Elig!$C451,Elig_MatchAll_Ct&lt;22,$BC451=(Elig_MatchAll_Ct-1),AM451=0),J451,0)</f>
        <v>0</v>
      </c>
      <c r="BP451" s="173">
        <f>IF(AND(Input_Product=Elig!$C451,Elig_MatchAll_Ct&lt;22,$BC451=(Elig_MatchAll_Ct-1),AN451=0),K451,0)</f>
        <v>0</v>
      </c>
      <c r="BQ451" s="173">
        <f>IF(AND(Input_Product=Elig!$C451,Elig_MatchAll_Ct&lt;22,$BC451=(Elig_MatchAll_Ct-1),AP451=0),L451,0)</f>
        <v>0</v>
      </c>
      <c r="BR451" s="173">
        <f>IF(AND(Input_Product=Elig!$C451,Elig_MatchAll_Ct&lt;22,$BC451=(Elig_MatchAll_Ct-1),AO451=0),M451,0)</f>
        <v>0</v>
      </c>
      <c r="BS451" s="173">
        <f>IF(AND(Input_Product=Elig!$C451,Elig_MatchAll_Ct&lt;22,$BC451=(Elig_MatchAll_Ct-1),AQ451=0),N451,0)</f>
        <v>0</v>
      </c>
      <c r="BT451" s="173">
        <f>IF(AND(Input_Product=Elig!$C451,Elig_MatchAll_Ct&lt;22,$BC451=(Elig_MatchAll_Ct-1),AR451=0),O451,0)</f>
        <v>0</v>
      </c>
      <c r="BU451" s="173">
        <f>IF(AND(Input_Product=Elig!$C451,Elig_MatchAll_Ct&lt;22,$BC451=(Elig_MatchAll_Ct-1),AS451=0),P451,0)</f>
        <v>0</v>
      </c>
      <c r="BV451" s="174">
        <f>IF(AND(Input_Product=Elig!$C451,Elig_MatchAll_Ct&lt;22,$BC451=(Elig_MatchAll_Ct-1),AT451=0),Q451,0)</f>
        <v>0</v>
      </c>
      <c r="BW451" s="175">
        <f>IF(AND(Input_Product=Elig!$C451,Elig_MatchAll_Ct&lt;22,$BC451=(Elig_MatchAll_Ct-1),AU451=0),R451,0)</f>
        <v>0</v>
      </c>
      <c r="BX451" s="176">
        <f>IF(AND(Input_Product=Elig!$C451,Elig_MatchAll_Ct&lt;22,$BC451=(Elig_MatchAll_Ct-1),AU451=0),S451,0)</f>
        <v>0</v>
      </c>
      <c r="BY451" s="175">
        <f>IF(AND(Input_Product=Elig!$C451,Elig_MatchAll_Ct&lt;22,$BC451=(Elig_MatchAll_Ct-1),AV451=0),T451,0)</f>
        <v>0</v>
      </c>
      <c r="BZ451" s="176">
        <f>IF(AND(Input_Product=Elig!$C451,Elig_MatchAll_Ct&lt;22,$BC451=(Elig_MatchAll_Ct-1),AV451=0),U451,0)</f>
        <v>0</v>
      </c>
      <c r="CA451" s="175">
        <f>IF(AND(Input_Product=Elig!$C451,Elig_MatchAll_Ct&lt;22,$BC451=(Elig_MatchAll_Ct-1),AW451=0),V451,0)</f>
        <v>0</v>
      </c>
      <c r="CB451" s="176">
        <f>IF(AND(Input_Product=Elig!$C451,Elig_MatchAll_Ct&lt;22,$BC451=(Elig_MatchAll_Ct-1),AW451=0),W451,0)</f>
        <v>0</v>
      </c>
      <c r="CC451" s="175">
        <f>IF(AND(Input_Product=Elig!$C451,Elig_MatchAll_Ct&lt;22,$BC451=(Elig_MatchAll_Ct-1),AX451=0),X451,0)</f>
        <v>0</v>
      </c>
      <c r="CD451" s="176">
        <f>IF(AND(Input_Product=Elig!$C451,Elig_MatchAll_Ct&lt;22,$BC451=(Elig_MatchAll_Ct-1),AX451=0),Y451,0)</f>
        <v>0</v>
      </c>
      <c r="CE451" s="175">
        <f>IF(AND(Input_LTV&lt;=AE451,Input_Product=Elig!$C451,Elig_MatchAll_Ct&lt;22,$BC451=(Elig_MatchAll_Ct-1),AY451=0),Z451,0)</f>
        <v>0</v>
      </c>
      <c r="CF451" s="176">
        <f>IF(AND(Input_LTV&lt;=AE451,Input_Product=Elig!$C451,Elig_MatchAll_Ct&lt;22,$BC451=(Elig_MatchAll_Ct-1),AY451=0),AA451,0)</f>
        <v>0</v>
      </c>
      <c r="CG451" s="175">
        <f>IF(AND(Input_Product=Elig!$C451,Elig_MatchAll_Ct&lt;22,$BC451=(Elig_MatchAll_Ct-1),AZ451=0),AB451,0)</f>
        <v>0</v>
      </c>
      <c r="CH451" s="176">
        <f>IF(AND(Input_Product=Elig!$C451,Elig_MatchAll_Ct&lt;22,$BC451=(Elig_MatchAll_Ct-1),AZ451=0),AC451,0)</f>
        <v>0</v>
      </c>
      <c r="CI451" s="175">
        <f>IF(AND(Input_Product=Elig!$C451,Elig_MatchAll_Ct&lt;22,$BC451=(Elig_MatchAll_Ct-1),BA451=0),AD451,0)</f>
        <v>0</v>
      </c>
      <c r="CJ451" s="176">
        <f>IF(AND(Input_Product=Elig!$C451,Elig_MatchAll_Ct&lt;22,$BC451=(Elig_MatchAll_Ct-1),BA451=0),AE451,0)</f>
        <v>0</v>
      </c>
    </row>
    <row r="452" spans="1:88" ht="10.15" customHeight="1" x14ac:dyDescent="0.25">
      <c r="A452" s="252" t="s">
        <v>76</v>
      </c>
      <c r="B452" s="252" t="s">
        <v>2115</v>
      </c>
      <c r="C452" s="251" t="str">
        <f t="shared" si="140"/>
        <v>NonQM NOO</v>
      </c>
      <c r="D452" s="252" t="s">
        <v>1995</v>
      </c>
      <c r="E452" s="252" t="s">
        <v>166</v>
      </c>
      <c r="F452" s="252" t="s">
        <v>329</v>
      </c>
      <c r="G452" s="252" t="s">
        <v>178</v>
      </c>
      <c r="H452" s="252" t="s">
        <v>135</v>
      </c>
      <c r="I452" s="253" t="s">
        <v>16</v>
      </c>
      <c r="J452" s="253" t="s">
        <v>1130</v>
      </c>
      <c r="K452" s="253" t="s">
        <v>1398</v>
      </c>
      <c r="L452" s="252" t="s">
        <v>311</v>
      </c>
      <c r="M452" s="252" t="s">
        <v>2289</v>
      </c>
      <c r="N452" s="252" t="s">
        <v>1844</v>
      </c>
      <c r="O452" s="252" t="s">
        <v>309</v>
      </c>
      <c r="P452" s="252" t="s">
        <v>2434</v>
      </c>
      <c r="Q452" s="252" t="s">
        <v>293</v>
      </c>
      <c r="R452" s="252">
        <v>2000000.01</v>
      </c>
      <c r="S452" s="252">
        <v>2500000</v>
      </c>
      <c r="T452" s="252">
        <v>0</v>
      </c>
      <c r="U452" s="252">
        <f t="shared" ref="U452" si="172">S452</f>
        <v>2500000</v>
      </c>
      <c r="V452" s="252">
        <v>0</v>
      </c>
      <c r="W452" s="252">
        <v>50</v>
      </c>
      <c r="X452" s="252">
        <v>0</v>
      </c>
      <c r="Y452" s="252">
        <v>999</v>
      </c>
      <c r="Z452" s="254">
        <v>680</v>
      </c>
      <c r="AA452" s="254">
        <v>699</v>
      </c>
      <c r="AB452" s="1883">
        <v>0</v>
      </c>
      <c r="AC452" s="254">
        <v>999999</v>
      </c>
      <c r="AD452" s="252">
        <v>0</v>
      </c>
      <c r="AE452" s="255">
        <v>60</v>
      </c>
      <c r="AF452" s="144">
        <v>0</v>
      </c>
      <c r="AG452" s="145">
        <v>1</v>
      </c>
      <c r="AH452" s="145">
        <v>1</v>
      </c>
      <c r="AI452" s="145">
        <v>1</v>
      </c>
      <c r="AJ452" s="145">
        <v>0</v>
      </c>
      <c r="AK452" s="145">
        <v>1</v>
      </c>
      <c r="AL452" s="145">
        <v>0</v>
      </c>
      <c r="AM452" s="145">
        <v>1</v>
      </c>
      <c r="AN452" s="145">
        <v>1</v>
      </c>
      <c r="AO452" s="145">
        <v>1</v>
      </c>
      <c r="AP452" s="145">
        <v>1</v>
      </c>
      <c r="AQ452" s="145">
        <v>1</v>
      </c>
      <c r="AR452" s="145">
        <v>1</v>
      </c>
      <c r="AS452" s="145">
        <v>1</v>
      </c>
      <c r="AT452" s="145">
        <v>1</v>
      </c>
      <c r="AU452" s="145">
        <f t="shared" si="148"/>
        <v>0</v>
      </c>
      <c r="AV452" s="145">
        <f t="shared" si="149"/>
        <v>1</v>
      </c>
      <c r="AW452" s="145">
        <f t="shared" si="150"/>
        <v>1</v>
      </c>
      <c r="AX452" s="145">
        <f t="shared" si="161"/>
        <v>1</v>
      </c>
      <c r="AY452" s="145">
        <f t="shared" si="151"/>
        <v>0</v>
      </c>
      <c r="AZ452" s="145">
        <f t="shared" si="152"/>
        <v>1</v>
      </c>
      <c r="BA452" s="146">
        <f t="shared" si="153"/>
        <v>0</v>
      </c>
      <c r="BB452" s="149">
        <f t="shared" si="166"/>
        <v>16</v>
      </c>
      <c r="BC452" s="150">
        <f t="shared" si="167"/>
        <v>16</v>
      </c>
      <c r="BD452" s="150">
        <f t="shared" si="168"/>
        <v>16</v>
      </c>
      <c r="BE452" s="211" t="str">
        <f t="shared" si="169"/>
        <v/>
      </c>
      <c r="BH452" s="173">
        <f>IF(AND(Input_Product=Elig!$C452,Elig_MatchAll_Ct&lt;22,$BC452=(Elig_MatchAll_Ct-1),AF452=0),C452,0)</f>
        <v>0</v>
      </c>
      <c r="BI452" s="173">
        <f>IF(AND(Input_Product=Elig!$C452,Elig_MatchAll_Ct&lt;22,$BC452=(Elig_MatchAll_Ct-1),AG452=0),D452,0)</f>
        <v>0</v>
      </c>
      <c r="BJ452" s="173">
        <f>IF(AND(Input_Product=Elig!$C452,Elig_MatchAll_Ct&lt;22,$BC452=(Elig_MatchAll_Ct-1),AH452=0),E452,0)</f>
        <v>0</v>
      </c>
      <c r="BK452" s="173">
        <f>IF(AND(Input_Product=Elig!$C452,Elig_MatchAll_Ct&lt;22,$BC452=(Elig_MatchAll_Ct-1),AI452=0),F452,0)</f>
        <v>0</v>
      </c>
      <c r="BL452" s="173">
        <f>IF(AND(Input_Product=Elig!$C452,Elig_MatchAll_Ct&lt;22,$BC452=(Elig_MatchAll_Ct-1),AJ452=0),G452,0)</f>
        <v>0</v>
      </c>
      <c r="BM452" s="173">
        <f>IF(AND(Input_Product=Elig!$C452,Elig_MatchAll_Ct&lt;22,$BC452=(Elig_MatchAll_Ct-1),AK452=0),H452,0)</f>
        <v>0</v>
      </c>
      <c r="BN452" s="173">
        <f>IF(AND(Input_Product=Elig!$C452,Elig_MatchAll_Ct&lt;22,$BC452=(Elig_MatchAll_Ct-1),AL452=0),I452,0)</f>
        <v>0</v>
      </c>
      <c r="BO452" s="173">
        <f>IF(AND(Input_Product=Elig!$C452,Elig_MatchAll_Ct&lt;22,$BC452=(Elig_MatchAll_Ct-1),AM452=0),J452,0)</f>
        <v>0</v>
      </c>
      <c r="BP452" s="173">
        <f>IF(AND(Input_Product=Elig!$C452,Elig_MatchAll_Ct&lt;22,$BC452=(Elig_MatchAll_Ct-1),AN452=0),K452,0)</f>
        <v>0</v>
      </c>
      <c r="BQ452" s="173">
        <f>IF(AND(Input_Product=Elig!$C452,Elig_MatchAll_Ct&lt;22,$BC452=(Elig_MatchAll_Ct-1),AP452=0),L452,0)</f>
        <v>0</v>
      </c>
      <c r="BR452" s="173">
        <f>IF(AND(Input_Product=Elig!$C452,Elig_MatchAll_Ct&lt;22,$BC452=(Elig_MatchAll_Ct-1),AO452=0),M452,0)</f>
        <v>0</v>
      </c>
      <c r="BS452" s="173">
        <f>IF(AND(Input_Product=Elig!$C452,Elig_MatchAll_Ct&lt;22,$BC452=(Elig_MatchAll_Ct-1),AQ452=0),N452,0)</f>
        <v>0</v>
      </c>
      <c r="BT452" s="173">
        <f>IF(AND(Input_Product=Elig!$C452,Elig_MatchAll_Ct&lt;22,$BC452=(Elig_MatchAll_Ct-1),AR452=0),O452,0)</f>
        <v>0</v>
      </c>
      <c r="BU452" s="173">
        <f>IF(AND(Input_Product=Elig!$C452,Elig_MatchAll_Ct&lt;22,$BC452=(Elig_MatchAll_Ct-1),AS452=0),P452,0)</f>
        <v>0</v>
      </c>
      <c r="BV452" s="174">
        <f>IF(AND(Input_Product=Elig!$C452,Elig_MatchAll_Ct&lt;22,$BC452=(Elig_MatchAll_Ct-1),AT452=0),Q452,0)</f>
        <v>0</v>
      </c>
      <c r="BW452" s="175">
        <f>IF(AND(Input_Product=Elig!$C452,Elig_MatchAll_Ct&lt;22,$BC452=(Elig_MatchAll_Ct-1),AU452=0),R452,0)</f>
        <v>0</v>
      </c>
      <c r="BX452" s="176">
        <f>IF(AND(Input_Product=Elig!$C452,Elig_MatchAll_Ct&lt;22,$BC452=(Elig_MatchAll_Ct-1),AU452=0),S452,0)</f>
        <v>0</v>
      </c>
      <c r="BY452" s="175">
        <f>IF(AND(Input_Product=Elig!$C452,Elig_MatchAll_Ct&lt;22,$BC452=(Elig_MatchAll_Ct-1),AV452=0),T452,0)</f>
        <v>0</v>
      </c>
      <c r="BZ452" s="176">
        <f>IF(AND(Input_Product=Elig!$C452,Elig_MatchAll_Ct&lt;22,$BC452=(Elig_MatchAll_Ct-1),AV452=0),U452,0)</f>
        <v>0</v>
      </c>
      <c r="CA452" s="175">
        <f>IF(AND(Input_Product=Elig!$C452,Elig_MatchAll_Ct&lt;22,$BC452=(Elig_MatchAll_Ct-1),AW452=0),V452,0)</f>
        <v>0</v>
      </c>
      <c r="CB452" s="176">
        <f>IF(AND(Input_Product=Elig!$C452,Elig_MatchAll_Ct&lt;22,$BC452=(Elig_MatchAll_Ct-1),AW452=0),W452,0)</f>
        <v>0</v>
      </c>
      <c r="CC452" s="175">
        <f>IF(AND(Input_Product=Elig!$C452,Elig_MatchAll_Ct&lt;22,$BC452=(Elig_MatchAll_Ct-1),AX452=0),X452,0)</f>
        <v>0</v>
      </c>
      <c r="CD452" s="176">
        <f>IF(AND(Input_Product=Elig!$C452,Elig_MatchAll_Ct&lt;22,$BC452=(Elig_MatchAll_Ct-1),AX452=0),Y452,0)</f>
        <v>0</v>
      </c>
      <c r="CE452" s="175">
        <f>IF(AND(Input_LTV&lt;=AE452,Input_Product=Elig!$C452,Elig_MatchAll_Ct&lt;22,$BC452=(Elig_MatchAll_Ct-1),AY452=0),Z452,0)</f>
        <v>0</v>
      </c>
      <c r="CF452" s="176">
        <f>IF(AND(Input_LTV&lt;=AE452,Input_Product=Elig!$C452,Elig_MatchAll_Ct&lt;22,$BC452=(Elig_MatchAll_Ct-1),AY452=0),AA452,0)</f>
        <v>0</v>
      </c>
      <c r="CG452" s="175">
        <f>IF(AND(Input_Product=Elig!$C452,Elig_MatchAll_Ct&lt;22,$BC452=(Elig_MatchAll_Ct-1),AZ452=0),AB452,0)</f>
        <v>0</v>
      </c>
      <c r="CH452" s="176">
        <f>IF(AND(Input_Product=Elig!$C452,Elig_MatchAll_Ct&lt;22,$BC452=(Elig_MatchAll_Ct-1),AZ452=0),AC452,0)</f>
        <v>0</v>
      </c>
      <c r="CI452" s="175">
        <f>IF(AND(Input_Product=Elig!$C452,Elig_MatchAll_Ct&lt;22,$BC452=(Elig_MatchAll_Ct-1),BA452=0),AD452,0)</f>
        <v>0</v>
      </c>
      <c r="CJ452" s="176">
        <f>IF(AND(Input_Product=Elig!$C452,Elig_MatchAll_Ct&lt;22,$BC452=(Elig_MatchAll_Ct-1),BA452=0),AE452,0)</f>
        <v>0</v>
      </c>
    </row>
    <row r="453" spans="1:88" ht="10.15" customHeight="1" x14ac:dyDescent="0.25">
      <c r="A453" s="252" t="s">
        <v>76</v>
      </c>
      <c r="B453" s="252" t="s">
        <v>2116</v>
      </c>
      <c r="C453" s="256" t="str">
        <f t="shared" si="140"/>
        <v>NonQM NOO</v>
      </c>
      <c r="D453" s="257" t="s">
        <v>1995</v>
      </c>
      <c r="E453" s="257" t="s">
        <v>166</v>
      </c>
      <c r="F453" s="257" t="s">
        <v>329</v>
      </c>
      <c r="G453" s="257" t="s">
        <v>178</v>
      </c>
      <c r="H453" s="257" t="s">
        <v>135</v>
      </c>
      <c r="I453" s="260" t="s">
        <v>16</v>
      </c>
      <c r="J453" s="260" t="s">
        <v>1130</v>
      </c>
      <c r="K453" s="260" t="s">
        <v>1398</v>
      </c>
      <c r="L453" s="257" t="s">
        <v>311</v>
      </c>
      <c r="M453" s="257" t="s">
        <v>2289</v>
      </c>
      <c r="N453" s="257" t="s">
        <v>1844</v>
      </c>
      <c r="O453" s="257" t="s">
        <v>309</v>
      </c>
      <c r="P453" s="257" t="s">
        <v>2434</v>
      </c>
      <c r="Q453" s="257" t="s">
        <v>293</v>
      </c>
      <c r="R453" s="257">
        <v>2000000.01</v>
      </c>
      <c r="S453" s="257">
        <v>2500000</v>
      </c>
      <c r="T453" s="257">
        <v>0</v>
      </c>
      <c r="U453" s="257">
        <f t="shared" si="171"/>
        <v>2500000</v>
      </c>
      <c r="V453" s="257">
        <v>0</v>
      </c>
      <c r="W453" s="257">
        <v>50</v>
      </c>
      <c r="X453" s="257">
        <v>0</v>
      </c>
      <c r="Y453" s="257">
        <v>999</v>
      </c>
      <c r="Z453" s="258">
        <v>660</v>
      </c>
      <c r="AA453" s="258">
        <v>679</v>
      </c>
      <c r="AB453" s="1884">
        <v>0</v>
      </c>
      <c r="AC453" s="258">
        <v>999999</v>
      </c>
      <c r="AD453" s="257">
        <v>0</v>
      </c>
      <c r="AE453" s="259">
        <v>60</v>
      </c>
      <c r="AF453" s="144">
        <v>0</v>
      </c>
      <c r="AG453" s="145">
        <v>1</v>
      </c>
      <c r="AH453" s="145">
        <v>1</v>
      </c>
      <c r="AI453" s="145">
        <v>1</v>
      </c>
      <c r="AJ453" s="145">
        <v>0</v>
      </c>
      <c r="AK453" s="145">
        <v>1</v>
      </c>
      <c r="AL453" s="145">
        <v>0</v>
      </c>
      <c r="AM453" s="145">
        <v>1</v>
      </c>
      <c r="AN453" s="145">
        <v>1</v>
      </c>
      <c r="AO453" s="145">
        <v>1</v>
      </c>
      <c r="AP453" s="145">
        <v>1</v>
      </c>
      <c r="AQ453" s="145">
        <v>1</v>
      </c>
      <c r="AR453" s="145">
        <v>1</v>
      </c>
      <c r="AS453" s="145">
        <v>1</v>
      </c>
      <c r="AT453" s="145">
        <v>1</v>
      </c>
      <c r="AU453" s="145">
        <f t="shared" si="148"/>
        <v>0</v>
      </c>
      <c r="AV453" s="145">
        <f t="shared" si="149"/>
        <v>1</v>
      </c>
      <c r="AW453" s="145">
        <f t="shared" si="150"/>
        <v>1</v>
      </c>
      <c r="AX453" s="145">
        <f t="shared" si="161"/>
        <v>1</v>
      </c>
      <c r="AY453" s="145">
        <f t="shared" si="151"/>
        <v>0</v>
      </c>
      <c r="AZ453" s="145">
        <f t="shared" si="152"/>
        <v>1</v>
      </c>
      <c r="BA453" s="146">
        <f t="shared" si="153"/>
        <v>0</v>
      </c>
      <c r="BB453" s="149">
        <f t="shared" si="166"/>
        <v>16</v>
      </c>
      <c r="BC453" s="150">
        <f t="shared" si="167"/>
        <v>16</v>
      </c>
      <c r="BD453" s="150">
        <f t="shared" si="168"/>
        <v>16</v>
      </c>
      <c r="BE453" s="211" t="str">
        <f t="shared" si="169"/>
        <v/>
      </c>
      <c r="BH453" s="188">
        <f>IF(AND(Input_Product=Elig!$C453,Elig_MatchAll_Ct&lt;22,$BC453=(Elig_MatchAll_Ct-1),AF453=0),C453,0)</f>
        <v>0</v>
      </c>
      <c r="BI453" s="188">
        <f>IF(AND(Input_Product=Elig!$C453,Elig_MatchAll_Ct&lt;22,$BC453=(Elig_MatchAll_Ct-1),AG453=0),D453,0)</f>
        <v>0</v>
      </c>
      <c r="BJ453" s="188">
        <f>IF(AND(Input_Product=Elig!$C453,Elig_MatchAll_Ct&lt;22,$BC453=(Elig_MatchAll_Ct-1),AH453=0),E453,0)</f>
        <v>0</v>
      </c>
      <c r="BK453" s="188">
        <f>IF(AND(Input_Product=Elig!$C453,Elig_MatchAll_Ct&lt;22,$BC453=(Elig_MatchAll_Ct-1),AI453=0),F453,0)</f>
        <v>0</v>
      </c>
      <c r="BL453" s="188">
        <f>IF(AND(Input_Product=Elig!$C453,Elig_MatchAll_Ct&lt;22,$BC453=(Elig_MatchAll_Ct-1),AJ453=0),G453,0)</f>
        <v>0</v>
      </c>
      <c r="BM453" s="188">
        <f>IF(AND(Input_Product=Elig!$C453,Elig_MatchAll_Ct&lt;22,$BC453=(Elig_MatchAll_Ct-1),AK453=0),H453,0)</f>
        <v>0</v>
      </c>
      <c r="BN453" s="188">
        <f>IF(AND(Input_Product=Elig!$C453,Elig_MatchAll_Ct&lt;22,$BC453=(Elig_MatchAll_Ct-1),AL453=0),I453,0)</f>
        <v>0</v>
      </c>
      <c r="BO453" s="188">
        <f>IF(AND(Input_Product=Elig!$C453,Elig_MatchAll_Ct&lt;22,$BC453=(Elig_MatchAll_Ct-1),AM453=0),J453,0)</f>
        <v>0</v>
      </c>
      <c r="BP453" s="188">
        <f>IF(AND(Input_Product=Elig!$C453,Elig_MatchAll_Ct&lt;22,$BC453=(Elig_MatchAll_Ct-1),AN453=0),K453,0)</f>
        <v>0</v>
      </c>
      <c r="BQ453" s="188">
        <f>IF(AND(Input_Product=Elig!$C453,Elig_MatchAll_Ct&lt;22,$BC453=(Elig_MatchAll_Ct-1),AP453=0),L453,0)</f>
        <v>0</v>
      </c>
      <c r="BR453" s="188">
        <f>IF(AND(Input_Product=Elig!$C453,Elig_MatchAll_Ct&lt;22,$BC453=(Elig_MatchAll_Ct-1),AO453=0),M453,0)</f>
        <v>0</v>
      </c>
      <c r="BS453" s="188">
        <f>IF(AND(Input_Product=Elig!$C453,Elig_MatchAll_Ct&lt;22,$BC453=(Elig_MatchAll_Ct-1),AQ453=0),N453,0)</f>
        <v>0</v>
      </c>
      <c r="BT453" s="188">
        <f>IF(AND(Input_Product=Elig!$C453,Elig_MatchAll_Ct&lt;22,$BC453=(Elig_MatchAll_Ct-1),AR453=0),O453,0)</f>
        <v>0</v>
      </c>
      <c r="BU453" s="188">
        <f>IF(AND(Input_Product=Elig!$C453,Elig_MatchAll_Ct&lt;22,$BC453=(Elig_MatchAll_Ct-1),AS453=0),P453,0)</f>
        <v>0</v>
      </c>
      <c r="BV453" s="189">
        <f>IF(AND(Input_Product=Elig!$C453,Elig_MatchAll_Ct&lt;22,$BC453=(Elig_MatchAll_Ct-1),AT453=0),Q453,0)</f>
        <v>0</v>
      </c>
      <c r="BW453" s="271">
        <f>IF(AND(Input_Product=Elig!$C453,Elig_MatchAll_Ct&lt;22,$BC453=(Elig_MatchAll_Ct-1),AU453=0),R453,0)</f>
        <v>0</v>
      </c>
      <c r="BX453" s="272">
        <f>IF(AND(Input_Product=Elig!$C453,Elig_MatchAll_Ct&lt;22,$BC453=(Elig_MatchAll_Ct-1),AU453=0),S453,0)</f>
        <v>0</v>
      </c>
      <c r="BY453" s="271">
        <f>IF(AND(Input_Product=Elig!$C453,Elig_MatchAll_Ct&lt;22,$BC453=(Elig_MatchAll_Ct-1),AV453=0),T453,0)</f>
        <v>0</v>
      </c>
      <c r="BZ453" s="272">
        <f>IF(AND(Input_Product=Elig!$C453,Elig_MatchAll_Ct&lt;22,$BC453=(Elig_MatchAll_Ct-1),AV453=0),U453,0)</f>
        <v>0</v>
      </c>
      <c r="CA453" s="271">
        <f>IF(AND(Input_Product=Elig!$C453,Elig_MatchAll_Ct&lt;22,$BC453=(Elig_MatchAll_Ct-1),AW453=0),V453,0)</f>
        <v>0</v>
      </c>
      <c r="CB453" s="272">
        <f>IF(AND(Input_Product=Elig!$C453,Elig_MatchAll_Ct&lt;22,$BC453=(Elig_MatchAll_Ct-1),AW453=0),W453,0)</f>
        <v>0</v>
      </c>
      <c r="CC453" s="271">
        <f>IF(AND(Input_Product=Elig!$C453,Elig_MatchAll_Ct&lt;22,$BC453=(Elig_MatchAll_Ct-1),AX453=0),X453,0)</f>
        <v>0</v>
      </c>
      <c r="CD453" s="272">
        <f>IF(AND(Input_Product=Elig!$C453,Elig_MatchAll_Ct&lt;22,$BC453=(Elig_MatchAll_Ct-1),AX453=0),Y453,0)</f>
        <v>0</v>
      </c>
      <c r="CE453" s="271">
        <f>IF(AND(Input_LTV&lt;=AE453,Input_Product=Elig!$C453,Elig_MatchAll_Ct&lt;22,$BC453=(Elig_MatchAll_Ct-1),AY453=0),Z453,0)</f>
        <v>0</v>
      </c>
      <c r="CF453" s="272">
        <f>IF(AND(Input_LTV&lt;=AE453,Input_Product=Elig!$C453,Elig_MatchAll_Ct&lt;22,$BC453=(Elig_MatchAll_Ct-1),AY453=0),AA453,0)</f>
        <v>0</v>
      </c>
      <c r="CG453" s="271">
        <f>IF(AND(Input_Product=Elig!$C453,Elig_MatchAll_Ct&lt;22,$BC453=(Elig_MatchAll_Ct-1),AZ453=0),AB453,0)</f>
        <v>0</v>
      </c>
      <c r="CH453" s="272">
        <f>IF(AND(Input_Product=Elig!$C453,Elig_MatchAll_Ct&lt;22,$BC453=(Elig_MatchAll_Ct-1),AZ453=0),AC453,0)</f>
        <v>0</v>
      </c>
      <c r="CI453" s="271">
        <f>IF(AND(Input_Product=Elig!$C453,Elig_MatchAll_Ct&lt;22,$BC453=(Elig_MatchAll_Ct-1),BA453=0),AD453,0)</f>
        <v>0</v>
      </c>
      <c r="CJ453" s="272">
        <f>IF(AND(Input_Product=Elig!$C453,Elig_MatchAll_Ct&lt;22,$BC453=(Elig_MatchAll_Ct-1),BA453=0),AE453,0)</f>
        <v>0</v>
      </c>
    </row>
    <row r="454" spans="1:88" ht="10.15" customHeight="1" x14ac:dyDescent="0.25">
      <c r="A454" s="252" t="s">
        <v>76</v>
      </c>
      <c r="B454" s="252" t="s">
        <v>2117</v>
      </c>
      <c r="C454" s="246" t="str">
        <f t="shared" si="140"/>
        <v>NonQM NOO</v>
      </c>
      <c r="D454" s="247" t="s">
        <v>1995</v>
      </c>
      <c r="E454" s="248" t="s">
        <v>166</v>
      </c>
      <c r="F454" s="248" t="s">
        <v>329</v>
      </c>
      <c r="G454" s="248" t="s">
        <v>304</v>
      </c>
      <c r="H454" s="248" t="s">
        <v>135</v>
      </c>
      <c r="I454" s="247" t="s">
        <v>273</v>
      </c>
      <c r="J454" s="247" t="s">
        <v>1130</v>
      </c>
      <c r="K454" s="247" t="s">
        <v>1398</v>
      </c>
      <c r="L454" s="248" t="s">
        <v>311</v>
      </c>
      <c r="M454" s="248" t="s">
        <v>2289</v>
      </c>
      <c r="N454" s="248" t="s">
        <v>1844</v>
      </c>
      <c r="O454" s="248" t="s">
        <v>309</v>
      </c>
      <c r="P454" s="248" t="s">
        <v>2434</v>
      </c>
      <c r="Q454" s="248" t="s">
        <v>293</v>
      </c>
      <c r="R454" s="247">
        <v>2000000.01</v>
      </c>
      <c r="S454" s="247">
        <v>2500000</v>
      </c>
      <c r="T454" s="247">
        <v>0</v>
      </c>
      <c r="U454" s="247">
        <v>0</v>
      </c>
      <c r="V454" s="247">
        <v>0</v>
      </c>
      <c r="W454" s="247">
        <v>50</v>
      </c>
      <c r="X454" s="247">
        <v>0</v>
      </c>
      <c r="Y454" s="247">
        <v>999</v>
      </c>
      <c r="Z454" s="249">
        <v>720</v>
      </c>
      <c r="AA454" s="249">
        <v>999</v>
      </c>
      <c r="AB454" s="1882">
        <v>0</v>
      </c>
      <c r="AC454" s="249">
        <v>999999</v>
      </c>
      <c r="AD454" s="247">
        <v>0</v>
      </c>
      <c r="AE454" s="250">
        <v>65</v>
      </c>
      <c r="AF454" s="144">
        <v>0</v>
      </c>
      <c r="AG454" s="145">
        <v>1</v>
      </c>
      <c r="AH454" s="145">
        <v>1</v>
      </c>
      <c r="AI454" s="145">
        <v>1</v>
      </c>
      <c r="AJ454" s="145">
        <v>0</v>
      </c>
      <c r="AK454" s="145">
        <v>1</v>
      </c>
      <c r="AL454" s="145">
        <v>1</v>
      </c>
      <c r="AM454" s="145">
        <v>1</v>
      </c>
      <c r="AN454" s="145">
        <v>1</v>
      </c>
      <c r="AO454" s="145">
        <v>1</v>
      </c>
      <c r="AP454" s="145">
        <v>1</v>
      </c>
      <c r="AQ454" s="145">
        <v>1</v>
      </c>
      <c r="AR454" s="145">
        <v>1</v>
      </c>
      <c r="AS454" s="145">
        <v>1</v>
      </c>
      <c r="AT454" s="145">
        <v>1</v>
      </c>
      <c r="AU454" s="145">
        <f t="shared" si="148"/>
        <v>0</v>
      </c>
      <c r="AV454" s="145">
        <f t="shared" si="149"/>
        <v>1</v>
      </c>
      <c r="AW454" s="145">
        <f t="shared" si="150"/>
        <v>1</v>
      </c>
      <c r="AX454" s="145">
        <f t="shared" si="161"/>
        <v>1</v>
      </c>
      <c r="AY454" s="145">
        <f t="shared" si="151"/>
        <v>1</v>
      </c>
      <c r="AZ454" s="145">
        <f t="shared" si="152"/>
        <v>1</v>
      </c>
      <c r="BA454" s="146">
        <f t="shared" si="153"/>
        <v>0</v>
      </c>
      <c r="BB454" s="149">
        <f t="shared" si="166"/>
        <v>18</v>
      </c>
      <c r="BC454" s="150">
        <f t="shared" si="167"/>
        <v>18</v>
      </c>
      <c r="BD454" s="150">
        <f t="shared" si="168"/>
        <v>18</v>
      </c>
      <c r="BE454" s="211" t="str">
        <f t="shared" si="169"/>
        <v/>
      </c>
      <c r="BH454" s="184">
        <f>IF(AND(Input_Product=Elig!$C454,Elig_MatchAll_Ct&lt;22,$BC454=(Elig_MatchAll_Ct-1),AF454=0),C454,0)</f>
        <v>0</v>
      </c>
      <c r="BI454" s="184">
        <f>IF(AND(Input_Product=Elig!$C454,Elig_MatchAll_Ct&lt;22,$BC454=(Elig_MatchAll_Ct-1),AG454=0),D454,0)</f>
        <v>0</v>
      </c>
      <c r="BJ454" s="184">
        <f>IF(AND(Input_Product=Elig!$C454,Elig_MatchAll_Ct&lt;22,$BC454=(Elig_MatchAll_Ct-1),AH454=0),E454,0)</f>
        <v>0</v>
      </c>
      <c r="BK454" s="184">
        <f>IF(AND(Input_Product=Elig!$C454,Elig_MatchAll_Ct&lt;22,$BC454=(Elig_MatchAll_Ct-1),AI454=0),F454,0)</f>
        <v>0</v>
      </c>
      <c r="BL454" s="184">
        <f>IF(AND(Input_Product=Elig!$C454,Elig_MatchAll_Ct&lt;22,$BC454=(Elig_MatchAll_Ct-1),AJ454=0),G454,0)</f>
        <v>0</v>
      </c>
      <c r="BM454" s="184">
        <f>IF(AND(Input_Product=Elig!$C454,Elig_MatchAll_Ct&lt;22,$BC454=(Elig_MatchAll_Ct-1),AK454=0),H454,0)</f>
        <v>0</v>
      </c>
      <c r="BN454" s="184">
        <f>IF(AND(Input_Product=Elig!$C454,Elig_MatchAll_Ct&lt;22,$BC454=(Elig_MatchAll_Ct-1),AL454=0),I454,0)</f>
        <v>0</v>
      </c>
      <c r="BO454" s="184">
        <f>IF(AND(Input_Product=Elig!$C454,Elig_MatchAll_Ct&lt;22,$BC454=(Elig_MatchAll_Ct-1),AM454=0),J454,0)</f>
        <v>0</v>
      </c>
      <c r="BP454" s="184">
        <f>IF(AND(Input_Product=Elig!$C454,Elig_MatchAll_Ct&lt;22,$BC454=(Elig_MatchAll_Ct-1),AN454=0),K454,0)</f>
        <v>0</v>
      </c>
      <c r="BQ454" s="184">
        <f>IF(AND(Input_Product=Elig!$C454,Elig_MatchAll_Ct&lt;22,$BC454=(Elig_MatchAll_Ct-1),AP454=0),L454,0)</f>
        <v>0</v>
      </c>
      <c r="BR454" s="184">
        <f>IF(AND(Input_Product=Elig!$C454,Elig_MatchAll_Ct&lt;22,$BC454=(Elig_MatchAll_Ct-1),AO454=0),M454,0)</f>
        <v>0</v>
      </c>
      <c r="BS454" s="184">
        <f>IF(AND(Input_Product=Elig!$C454,Elig_MatchAll_Ct&lt;22,$BC454=(Elig_MatchAll_Ct-1),AQ454=0),N454,0)</f>
        <v>0</v>
      </c>
      <c r="BT454" s="184">
        <f>IF(AND(Input_Product=Elig!$C454,Elig_MatchAll_Ct&lt;22,$BC454=(Elig_MatchAll_Ct-1),AR454=0),O454,0)</f>
        <v>0</v>
      </c>
      <c r="BU454" s="184">
        <f>IF(AND(Input_Product=Elig!$C454,Elig_MatchAll_Ct&lt;22,$BC454=(Elig_MatchAll_Ct-1),AS454=0),P454,0)</f>
        <v>0</v>
      </c>
      <c r="BV454" s="185">
        <f>IF(AND(Input_Product=Elig!$C454,Elig_MatchAll_Ct&lt;22,$BC454=(Elig_MatchAll_Ct-1),AT454=0),Q454,0)</f>
        <v>0</v>
      </c>
      <c r="BW454" s="186">
        <f>IF(AND(Input_Product=Elig!$C454,Elig_MatchAll_Ct&lt;22,$BC454=(Elig_MatchAll_Ct-1),AU454=0),R454,0)</f>
        <v>0</v>
      </c>
      <c r="BX454" s="187">
        <f>IF(AND(Input_Product=Elig!$C454,Elig_MatchAll_Ct&lt;22,$BC454=(Elig_MatchAll_Ct-1),AU454=0),S454,0)</f>
        <v>0</v>
      </c>
      <c r="BY454" s="186">
        <f>IF(AND(Input_Product=Elig!$C454,Elig_MatchAll_Ct&lt;22,$BC454=(Elig_MatchAll_Ct-1),AV454=0),T454,0)</f>
        <v>0</v>
      </c>
      <c r="BZ454" s="187">
        <f>IF(AND(Input_Product=Elig!$C454,Elig_MatchAll_Ct&lt;22,$BC454=(Elig_MatchAll_Ct-1),AV454=0),U454,0)</f>
        <v>0</v>
      </c>
      <c r="CA454" s="186">
        <f>IF(AND(Input_Product=Elig!$C454,Elig_MatchAll_Ct&lt;22,$BC454=(Elig_MatchAll_Ct-1),AW454=0),V454,0)</f>
        <v>0</v>
      </c>
      <c r="CB454" s="187">
        <f>IF(AND(Input_Product=Elig!$C454,Elig_MatchAll_Ct&lt;22,$BC454=(Elig_MatchAll_Ct-1),AW454=0),W454,0)</f>
        <v>0</v>
      </c>
      <c r="CC454" s="186">
        <f>IF(AND(Input_Product=Elig!$C454,Elig_MatchAll_Ct&lt;22,$BC454=(Elig_MatchAll_Ct-1),AX454=0),X454,0)</f>
        <v>0</v>
      </c>
      <c r="CD454" s="187">
        <f>IF(AND(Input_Product=Elig!$C454,Elig_MatchAll_Ct&lt;22,$BC454=(Elig_MatchAll_Ct-1),AX454=0),Y454,0)</f>
        <v>0</v>
      </c>
      <c r="CE454" s="186">
        <f>IF(AND(Input_LTV&lt;=AE454,Input_Product=Elig!$C454,Elig_MatchAll_Ct&lt;22,$BC454=(Elig_MatchAll_Ct-1),AY454=0),Z454,0)</f>
        <v>0</v>
      </c>
      <c r="CF454" s="187">
        <f>IF(AND(Input_LTV&lt;=AE454,Input_Product=Elig!$C454,Elig_MatchAll_Ct&lt;22,$BC454=(Elig_MatchAll_Ct-1),AY454=0),AA454,0)</f>
        <v>0</v>
      </c>
      <c r="CG454" s="186">
        <f>IF(AND(Input_Product=Elig!$C454,Elig_MatchAll_Ct&lt;22,$BC454=(Elig_MatchAll_Ct-1),AZ454=0),AB454,0)</f>
        <v>0</v>
      </c>
      <c r="CH454" s="187">
        <f>IF(AND(Input_Product=Elig!$C454,Elig_MatchAll_Ct&lt;22,$BC454=(Elig_MatchAll_Ct-1),AZ454=0),AC454,0)</f>
        <v>0</v>
      </c>
      <c r="CI454" s="186">
        <f>IF(AND(Input_Product=Elig!$C454,Elig_MatchAll_Ct&lt;22,$BC454=(Elig_MatchAll_Ct-1),BA454=0),AD454,0)</f>
        <v>0</v>
      </c>
      <c r="CJ454" s="187">
        <f>IF(AND(Input_Product=Elig!$C454,Elig_MatchAll_Ct&lt;22,$BC454=(Elig_MatchAll_Ct-1),BA454=0),AE454,0)</f>
        <v>0</v>
      </c>
    </row>
    <row r="455" spans="1:88" ht="10.15" customHeight="1" x14ac:dyDescent="0.25">
      <c r="A455" s="252" t="s">
        <v>76</v>
      </c>
      <c r="B455" s="252" t="s">
        <v>2118</v>
      </c>
      <c r="C455" s="251" t="str">
        <f t="shared" si="140"/>
        <v>NonQM NOO</v>
      </c>
      <c r="D455" s="252" t="s">
        <v>1995</v>
      </c>
      <c r="E455" s="252" t="s">
        <v>166</v>
      </c>
      <c r="F455" s="252" t="s">
        <v>329</v>
      </c>
      <c r="G455" s="252" t="s">
        <v>304</v>
      </c>
      <c r="H455" s="252" t="s">
        <v>135</v>
      </c>
      <c r="I455" s="253" t="s">
        <v>273</v>
      </c>
      <c r="J455" s="253" t="s">
        <v>1130</v>
      </c>
      <c r="K455" s="253" t="s">
        <v>1398</v>
      </c>
      <c r="L455" s="252" t="s">
        <v>311</v>
      </c>
      <c r="M455" s="252" t="s">
        <v>2289</v>
      </c>
      <c r="N455" s="252" t="s">
        <v>1844</v>
      </c>
      <c r="O455" s="252" t="s">
        <v>309</v>
      </c>
      <c r="P455" s="252" t="s">
        <v>2434</v>
      </c>
      <c r="Q455" s="252" t="s">
        <v>293</v>
      </c>
      <c r="R455" s="252">
        <v>2000000.01</v>
      </c>
      <c r="S455" s="252">
        <v>2500000</v>
      </c>
      <c r="T455" s="252">
        <v>0</v>
      </c>
      <c r="U455" s="252">
        <v>0</v>
      </c>
      <c r="V455" s="252">
        <v>0</v>
      </c>
      <c r="W455" s="252">
        <v>50</v>
      </c>
      <c r="X455" s="252">
        <v>0</v>
      </c>
      <c r="Y455" s="252">
        <v>999</v>
      </c>
      <c r="Z455" s="254">
        <v>700</v>
      </c>
      <c r="AA455" s="254">
        <v>719</v>
      </c>
      <c r="AB455" s="1883">
        <v>0</v>
      </c>
      <c r="AC455" s="254">
        <v>999999</v>
      </c>
      <c r="AD455" s="252">
        <v>0</v>
      </c>
      <c r="AE455" s="255">
        <v>65</v>
      </c>
      <c r="AF455" s="144">
        <v>0</v>
      </c>
      <c r="AG455" s="145">
        <v>1</v>
      </c>
      <c r="AH455" s="145">
        <v>1</v>
      </c>
      <c r="AI455" s="145">
        <v>1</v>
      </c>
      <c r="AJ455" s="145">
        <v>0</v>
      </c>
      <c r="AK455" s="145">
        <v>1</v>
      </c>
      <c r="AL455" s="145">
        <v>1</v>
      </c>
      <c r="AM455" s="145">
        <v>1</v>
      </c>
      <c r="AN455" s="145">
        <v>1</v>
      </c>
      <c r="AO455" s="145">
        <v>1</v>
      </c>
      <c r="AP455" s="145">
        <v>1</v>
      </c>
      <c r="AQ455" s="145">
        <v>1</v>
      </c>
      <c r="AR455" s="145">
        <v>1</v>
      </c>
      <c r="AS455" s="145">
        <v>1</v>
      </c>
      <c r="AT455" s="145">
        <v>1</v>
      </c>
      <c r="AU455" s="145">
        <f t="shared" si="148"/>
        <v>0</v>
      </c>
      <c r="AV455" s="145">
        <f t="shared" si="149"/>
        <v>1</v>
      </c>
      <c r="AW455" s="145">
        <f t="shared" si="150"/>
        <v>1</v>
      </c>
      <c r="AX455" s="145">
        <f t="shared" si="161"/>
        <v>1</v>
      </c>
      <c r="AY455" s="145">
        <f t="shared" si="151"/>
        <v>0</v>
      </c>
      <c r="AZ455" s="145">
        <f t="shared" si="152"/>
        <v>1</v>
      </c>
      <c r="BA455" s="146">
        <f t="shared" si="153"/>
        <v>0</v>
      </c>
      <c r="BB455" s="149">
        <f t="shared" si="166"/>
        <v>17</v>
      </c>
      <c r="BC455" s="150">
        <f t="shared" si="167"/>
        <v>17</v>
      </c>
      <c r="BD455" s="150">
        <f t="shared" si="168"/>
        <v>17</v>
      </c>
      <c r="BE455" s="211" t="str">
        <f t="shared" si="169"/>
        <v/>
      </c>
      <c r="BH455" s="173">
        <f>IF(AND(Input_Product=Elig!$C455,Elig_MatchAll_Ct&lt;22,$BC455=(Elig_MatchAll_Ct-1),AF455=0),C455,0)</f>
        <v>0</v>
      </c>
      <c r="BI455" s="173">
        <f>IF(AND(Input_Product=Elig!$C455,Elig_MatchAll_Ct&lt;22,$BC455=(Elig_MatchAll_Ct-1),AG455=0),D455,0)</f>
        <v>0</v>
      </c>
      <c r="BJ455" s="173">
        <f>IF(AND(Input_Product=Elig!$C455,Elig_MatchAll_Ct&lt;22,$BC455=(Elig_MatchAll_Ct-1),AH455=0),E455,0)</f>
        <v>0</v>
      </c>
      <c r="BK455" s="173">
        <f>IF(AND(Input_Product=Elig!$C455,Elig_MatchAll_Ct&lt;22,$BC455=(Elig_MatchAll_Ct-1),AI455=0),F455,0)</f>
        <v>0</v>
      </c>
      <c r="BL455" s="173">
        <f>IF(AND(Input_Product=Elig!$C455,Elig_MatchAll_Ct&lt;22,$BC455=(Elig_MatchAll_Ct-1),AJ455=0),G455,0)</f>
        <v>0</v>
      </c>
      <c r="BM455" s="173">
        <f>IF(AND(Input_Product=Elig!$C455,Elig_MatchAll_Ct&lt;22,$BC455=(Elig_MatchAll_Ct-1),AK455=0),H455,0)</f>
        <v>0</v>
      </c>
      <c r="BN455" s="173">
        <f>IF(AND(Input_Product=Elig!$C455,Elig_MatchAll_Ct&lt;22,$BC455=(Elig_MatchAll_Ct-1),AL455=0),I455,0)</f>
        <v>0</v>
      </c>
      <c r="BO455" s="173">
        <f>IF(AND(Input_Product=Elig!$C455,Elig_MatchAll_Ct&lt;22,$BC455=(Elig_MatchAll_Ct-1),AM455=0),J455,0)</f>
        <v>0</v>
      </c>
      <c r="BP455" s="173">
        <f>IF(AND(Input_Product=Elig!$C455,Elig_MatchAll_Ct&lt;22,$BC455=(Elig_MatchAll_Ct-1),AN455=0),K455,0)</f>
        <v>0</v>
      </c>
      <c r="BQ455" s="173">
        <f>IF(AND(Input_Product=Elig!$C455,Elig_MatchAll_Ct&lt;22,$BC455=(Elig_MatchAll_Ct-1),AP455=0),L455,0)</f>
        <v>0</v>
      </c>
      <c r="BR455" s="173">
        <f>IF(AND(Input_Product=Elig!$C455,Elig_MatchAll_Ct&lt;22,$BC455=(Elig_MatchAll_Ct-1),AO455=0),M455,0)</f>
        <v>0</v>
      </c>
      <c r="BS455" s="173">
        <f>IF(AND(Input_Product=Elig!$C455,Elig_MatchAll_Ct&lt;22,$BC455=(Elig_MatchAll_Ct-1),AQ455=0),N455,0)</f>
        <v>0</v>
      </c>
      <c r="BT455" s="173">
        <f>IF(AND(Input_Product=Elig!$C455,Elig_MatchAll_Ct&lt;22,$BC455=(Elig_MatchAll_Ct-1),AR455=0),O455,0)</f>
        <v>0</v>
      </c>
      <c r="BU455" s="173">
        <f>IF(AND(Input_Product=Elig!$C455,Elig_MatchAll_Ct&lt;22,$BC455=(Elig_MatchAll_Ct-1),AS455=0),P455,0)</f>
        <v>0</v>
      </c>
      <c r="BV455" s="174">
        <f>IF(AND(Input_Product=Elig!$C455,Elig_MatchAll_Ct&lt;22,$BC455=(Elig_MatchAll_Ct-1),AT455=0),Q455,0)</f>
        <v>0</v>
      </c>
      <c r="BW455" s="175">
        <f>IF(AND(Input_Product=Elig!$C455,Elig_MatchAll_Ct&lt;22,$BC455=(Elig_MatchAll_Ct-1),AU455=0),R455,0)</f>
        <v>0</v>
      </c>
      <c r="BX455" s="176">
        <f>IF(AND(Input_Product=Elig!$C455,Elig_MatchAll_Ct&lt;22,$BC455=(Elig_MatchAll_Ct-1),AU455=0),S455,0)</f>
        <v>0</v>
      </c>
      <c r="BY455" s="175">
        <f>IF(AND(Input_Product=Elig!$C455,Elig_MatchAll_Ct&lt;22,$BC455=(Elig_MatchAll_Ct-1),AV455=0),T455,0)</f>
        <v>0</v>
      </c>
      <c r="BZ455" s="176">
        <f>IF(AND(Input_Product=Elig!$C455,Elig_MatchAll_Ct&lt;22,$BC455=(Elig_MatchAll_Ct-1),AV455=0),U455,0)</f>
        <v>0</v>
      </c>
      <c r="CA455" s="175">
        <f>IF(AND(Input_Product=Elig!$C455,Elig_MatchAll_Ct&lt;22,$BC455=(Elig_MatchAll_Ct-1),AW455=0),V455,0)</f>
        <v>0</v>
      </c>
      <c r="CB455" s="176">
        <f>IF(AND(Input_Product=Elig!$C455,Elig_MatchAll_Ct&lt;22,$BC455=(Elig_MatchAll_Ct-1),AW455=0),W455,0)</f>
        <v>0</v>
      </c>
      <c r="CC455" s="175">
        <f>IF(AND(Input_Product=Elig!$C455,Elig_MatchAll_Ct&lt;22,$BC455=(Elig_MatchAll_Ct-1),AX455=0),X455,0)</f>
        <v>0</v>
      </c>
      <c r="CD455" s="176">
        <f>IF(AND(Input_Product=Elig!$C455,Elig_MatchAll_Ct&lt;22,$BC455=(Elig_MatchAll_Ct-1),AX455=0),Y455,0)</f>
        <v>0</v>
      </c>
      <c r="CE455" s="175">
        <f>IF(AND(Input_LTV&lt;=AE455,Input_Product=Elig!$C455,Elig_MatchAll_Ct&lt;22,$BC455=(Elig_MatchAll_Ct-1),AY455=0),Z455,0)</f>
        <v>0</v>
      </c>
      <c r="CF455" s="176">
        <f>IF(AND(Input_LTV&lt;=AE455,Input_Product=Elig!$C455,Elig_MatchAll_Ct&lt;22,$BC455=(Elig_MatchAll_Ct-1),AY455=0),AA455,0)</f>
        <v>0</v>
      </c>
      <c r="CG455" s="175">
        <f>IF(AND(Input_Product=Elig!$C455,Elig_MatchAll_Ct&lt;22,$BC455=(Elig_MatchAll_Ct-1),AZ455=0),AB455,0)</f>
        <v>0</v>
      </c>
      <c r="CH455" s="176">
        <f>IF(AND(Input_Product=Elig!$C455,Elig_MatchAll_Ct&lt;22,$BC455=(Elig_MatchAll_Ct-1),AZ455=0),AC455,0)</f>
        <v>0</v>
      </c>
      <c r="CI455" s="175">
        <f>IF(AND(Input_Product=Elig!$C455,Elig_MatchAll_Ct&lt;22,$BC455=(Elig_MatchAll_Ct-1),BA455=0),AD455,0)</f>
        <v>0</v>
      </c>
      <c r="CJ455" s="176">
        <f>IF(AND(Input_Product=Elig!$C455,Elig_MatchAll_Ct&lt;22,$BC455=(Elig_MatchAll_Ct-1),BA455=0),AE455,0)</f>
        <v>0</v>
      </c>
    </row>
    <row r="456" spans="1:88" ht="10.15" customHeight="1" x14ac:dyDescent="0.25">
      <c r="A456" s="252" t="s">
        <v>76</v>
      </c>
      <c r="B456" s="252" t="s">
        <v>2119</v>
      </c>
      <c r="C456" s="251" t="str">
        <f t="shared" si="140"/>
        <v>NonQM NOO</v>
      </c>
      <c r="D456" s="252" t="s">
        <v>1995</v>
      </c>
      <c r="E456" s="252" t="s">
        <v>166</v>
      </c>
      <c r="F456" s="252" t="s">
        <v>329</v>
      </c>
      <c r="G456" s="252" t="s">
        <v>304</v>
      </c>
      <c r="H456" s="252" t="s">
        <v>135</v>
      </c>
      <c r="I456" s="253" t="s">
        <v>273</v>
      </c>
      <c r="J456" s="253" t="s">
        <v>1130</v>
      </c>
      <c r="K456" s="253" t="s">
        <v>1398</v>
      </c>
      <c r="L456" s="252" t="s">
        <v>311</v>
      </c>
      <c r="M456" s="252" t="s">
        <v>2289</v>
      </c>
      <c r="N456" s="252" t="s">
        <v>1844</v>
      </c>
      <c r="O456" s="252" t="s">
        <v>309</v>
      </c>
      <c r="P456" s="252" t="s">
        <v>2434</v>
      </c>
      <c r="Q456" s="252" t="s">
        <v>293</v>
      </c>
      <c r="R456" s="252">
        <v>2000000.01</v>
      </c>
      <c r="S456" s="252">
        <v>2500000</v>
      </c>
      <c r="T456" s="252">
        <v>0</v>
      </c>
      <c r="U456" s="252">
        <v>0</v>
      </c>
      <c r="V456" s="252">
        <v>0</v>
      </c>
      <c r="W456" s="252">
        <v>50</v>
      </c>
      <c r="X456" s="252">
        <v>0</v>
      </c>
      <c r="Y456" s="252">
        <v>999</v>
      </c>
      <c r="Z456" s="254">
        <v>680</v>
      </c>
      <c r="AA456" s="254">
        <v>699</v>
      </c>
      <c r="AB456" s="1883">
        <v>0</v>
      </c>
      <c r="AC456" s="254">
        <v>999999</v>
      </c>
      <c r="AD456" s="252">
        <v>0</v>
      </c>
      <c r="AE456" s="255">
        <v>65</v>
      </c>
      <c r="AF456" s="144">
        <v>0</v>
      </c>
      <c r="AG456" s="145">
        <v>1</v>
      </c>
      <c r="AH456" s="145">
        <v>1</v>
      </c>
      <c r="AI456" s="145">
        <v>1</v>
      </c>
      <c r="AJ456" s="145">
        <v>0</v>
      </c>
      <c r="AK456" s="145">
        <v>1</v>
      </c>
      <c r="AL456" s="145">
        <v>1</v>
      </c>
      <c r="AM456" s="145">
        <v>1</v>
      </c>
      <c r="AN456" s="145">
        <v>1</v>
      </c>
      <c r="AO456" s="145">
        <v>1</v>
      </c>
      <c r="AP456" s="145">
        <v>1</v>
      </c>
      <c r="AQ456" s="145">
        <v>1</v>
      </c>
      <c r="AR456" s="145">
        <v>1</v>
      </c>
      <c r="AS456" s="145">
        <v>1</v>
      </c>
      <c r="AT456" s="145">
        <v>1</v>
      </c>
      <c r="AU456" s="145">
        <f t="shared" si="148"/>
        <v>0</v>
      </c>
      <c r="AV456" s="145">
        <f t="shared" si="149"/>
        <v>1</v>
      </c>
      <c r="AW456" s="145">
        <f t="shared" si="150"/>
        <v>1</v>
      </c>
      <c r="AX456" s="145">
        <f t="shared" si="161"/>
        <v>1</v>
      </c>
      <c r="AY456" s="145">
        <f t="shared" si="151"/>
        <v>0</v>
      </c>
      <c r="AZ456" s="145">
        <f t="shared" si="152"/>
        <v>1</v>
      </c>
      <c r="BA456" s="146">
        <f t="shared" si="153"/>
        <v>0</v>
      </c>
      <c r="BB456" s="149">
        <f t="shared" si="166"/>
        <v>17</v>
      </c>
      <c r="BC456" s="150">
        <f t="shared" si="167"/>
        <v>17</v>
      </c>
      <c r="BD456" s="150">
        <f t="shared" si="168"/>
        <v>17</v>
      </c>
      <c r="BE456" s="211" t="str">
        <f t="shared" si="169"/>
        <v/>
      </c>
      <c r="BH456" s="173">
        <f>IF(AND(Input_Product=Elig!$C456,Elig_MatchAll_Ct&lt;22,$BC456=(Elig_MatchAll_Ct-1),AF456=0),C456,0)</f>
        <v>0</v>
      </c>
      <c r="BI456" s="173">
        <f>IF(AND(Input_Product=Elig!$C456,Elig_MatchAll_Ct&lt;22,$BC456=(Elig_MatchAll_Ct-1),AG456=0),D456,0)</f>
        <v>0</v>
      </c>
      <c r="BJ456" s="173">
        <f>IF(AND(Input_Product=Elig!$C456,Elig_MatchAll_Ct&lt;22,$BC456=(Elig_MatchAll_Ct-1),AH456=0),E456,0)</f>
        <v>0</v>
      </c>
      <c r="BK456" s="173">
        <f>IF(AND(Input_Product=Elig!$C456,Elig_MatchAll_Ct&lt;22,$BC456=(Elig_MatchAll_Ct-1),AI456=0),F456,0)</f>
        <v>0</v>
      </c>
      <c r="BL456" s="173">
        <f>IF(AND(Input_Product=Elig!$C456,Elig_MatchAll_Ct&lt;22,$BC456=(Elig_MatchAll_Ct-1),AJ456=0),G456,0)</f>
        <v>0</v>
      </c>
      <c r="BM456" s="173">
        <f>IF(AND(Input_Product=Elig!$C456,Elig_MatchAll_Ct&lt;22,$BC456=(Elig_MatchAll_Ct-1),AK456=0),H456,0)</f>
        <v>0</v>
      </c>
      <c r="BN456" s="173">
        <f>IF(AND(Input_Product=Elig!$C456,Elig_MatchAll_Ct&lt;22,$BC456=(Elig_MatchAll_Ct-1),AL456=0),I456,0)</f>
        <v>0</v>
      </c>
      <c r="BO456" s="173">
        <f>IF(AND(Input_Product=Elig!$C456,Elig_MatchAll_Ct&lt;22,$BC456=(Elig_MatchAll_Ct-1),AM456=0),J456,0)</f>
        <v>0</v>
      </c>
      <c r="BP456" s="173">
        <f>IF(AND(Input_Product=Elig!$C456,Elig_MatchAll_Ct&lt;22,$BC456=(Elig_MatchAll_Ct-1),AN456=0),K456,0)</f>
        <v>0</v>
      </c>
      <c r="BQ456" s="173">
        <f>IF(AND(Input_Product=Elig!$C456,Elig_MatchAll_Ct&lt;22,$BC456=(Elig_MatchAll_Ct-1),AP456=0),L456,0)</f>
        <v>0</v>
      </c>
      <c r="BR456" s="173">
        <f>IF(AND(Input_Product=Elig!$C456,Elig_MatchAll_Ct&lt;22,$BC456=(Elig_MatchAll_Ct-1),AO456=0),M456,0)</f>
        <v>0</v>
      </c>
      <c r="BS456" s="173">
        <f>IF(AND(Input_Product=Elig!$C456,Elig_MatchAll_Ct&lt;22,$BC456=(Elig_MatchAll_Ct-1),AQ456=0),N456,0)</f>
        <v>0</v>
      </c>
      <c r="BT456" s="173">
        <f>IF(AND(Input_Product=Elig!$C456,Elig_MatchAll_Ct&lt;22,$BC456=(Elig_MatchAll_Ct-1),AR456=0),O456,0)</f>
        <v>0</v>
      </c>
      <c r="BU456" s="173">
        <f>IF(AND(Input_Product=Elig!$C456,Elig_MatchAll_Ct&lt;22,$BC456=(Elig_MatchAll_Ct-1),AS456=0),P456,0)</f>
        <v>0</v>
      </c>
      <c r="BV456" s="174">
        <f>IF(AND(Input_Product=Elig!$C456,Elig_MatchAll_Ct&lt;22,$BC456=(Elig_MatchAll_Ct-1),AT456=0),Q456,0)</f>
        <v>0</v>
      </c>
      <c r="BW456" s="175">
        <f>IF(AND(Input_Product=Elig!$C456,Elig_MatchAll_Ct&lt;22,$BC456=(Elig_MatchAll_Ct-1),AU456=0),R456,0)</f>
        <v>0</v>
      </c>
      <c r="BX456" s="176">
        <f>IF(AND(Input_Product=Elig!$C456,Elig_MatchAll_Ct&lt;22,$BC456=(Elig_MatchAll_Ct-1),AU456=0),S456,0)</f>
        <v>0</v>
      </c>
      <c r="BY456" s="175">
        <f>IF(AND(Input_Product=Elig!$C456,Elig_MatchAll_Ct&lt;22,$BC456=(Elig_MatchAll_Ct-1),AV456=0),T456,0)</f>
        <v>0</v>
      </c>
      <c r="BZ456" s="176">
        <f>IF(AND(Input_Product=Elig!$C456,Elig_MatchAll_Ct&lt;22,$BC456=(Elig_MatchAll_Ct-1),AV456=0),U456,0)</f>
        <v>0</v>
      </c>
      <c r="CA456" s="175">
        <f>IF(AND(Input_Product=Elig!$C456,Elig_MatchAll_Ct&lt;22,$BC456=(Elig_MatchAll_Ct-1),AW456=0),V456,0)</f>
        <v>0</v>
      </c>
      <c r="CB456" s="176">
        <f>IF(AND(Input_Product=Elig!$C456,Elig_MatchAll_Ct&lt;22,$BC456=(Elig_MatchAll_Ct-1),AW456=0),W456,0)</f>
        <v>0</v>
      </c>
      <c r="CC456" s="175">
        <f>IF(AND(Input_Product=Elig!$C456,Elig_MatchAll_Ct&lt;22,$BC456=(Elig_MatchAll_Ct-1),AX456=0),X456,0)</f>
        <v>0</v>
      </c>
      <c r="CD456" s="176">
        <f>IF(AND(Input_Product=Elig!$C456,Elig_MatchAll_Ct&lt;22,$BC456=(Elig_MatchAll_Ct-1),AX456=0),Y456,0)</f>
        <v>0</v>
      </c>
      <c r="CE456" s="175">
        <f>IF(AND(Input_LTV&lt;=AE456,Input_Product=Elig!$C456,Elig_MatchAll_Ct&lt;22,$BC456=(Elig_MatchAll_Ct-1),AY456=0),Z456,0)</f>
        <v>0</v>
      </c>
      <c r="CF456" s="176">
        <f>IF(AND(Input_LTV&lt;=AE456,Input_Product=Elig!$C456,Elig_MatchAll_Ct&lt;22,$BC456=(Elig_MatchAll_Ct-1),AY456=0),AA456,0)</f>
        <v>0</v>
      </c>
      <c r="CG456" s="175">
        <f>IF(AND(Input_Product=Elig!$C456,Elig_MatchAll_Ct&lt;22,$BC456=(Elig_MatchAll_Ct-1),AZ456=0),AB456,0)</f>
        <v>0</v>
      </c>
      <c r="CH456" s="176">
        <f>IF(AND(Input_Product=Elig!$C456,Elig_MatchAll_Ct&lt;22,$BC456=(Elig_MatchAll_Ct-1),AZ456=0),AC456,0)</f>
        <v>0</v>
      </c>
      <c r="CI456" s="175">
        <f>IF(AND(Input_Product=Elig!$C456,Elig_MatchAll_Ct&lt;22,$BC456=(Elig_MatchAll_Ct-1),BA456=0),AD456,0)</f>
        <v>0</v>
      </c>
      <c r="CJ456" s="176">
        <f>IF(AND(Input_Product=Elig!$C456,Elig_MatchAll_Ct&lt;22,$BC456=(Elig_MatchAll_Ct-1),BA456=0),AE456,0)</f>
        <v>0</v>
      </c>
    </row>
    <row r="457" spans="1:88" ht="10.15" customHeight="1" x14ac:dyDescent="0.25">
      <c r="A457" s="252" t="s">
        <v>76</v>
      </c>
      <c r="B457" s="252" t="s">
        <v>2120</v>
      </c>
      <c r="C457" s="256" t="str">
        <f t="shared" si="140"/>
        <v>NonQM NOO</v>
      </c>
      <c r="D457" s="257" t="s">
        <v>1995</v>
      </c>
      <c r="E457" s="257" t="s">
        <v>166</v>
      </c>
      <c r="F457" s="257" t="s">
        <v>329</v>
      </c>
      <c r="G457" s="257" t="s">
        <v>304</v>
      </c>
      <c r="H457" s="257" t="s">
        <v>135</v>
      </c>
      <c r="I457" s="260" t="s">
        <v>273</v>
      </c>
      <c r="J457" s="260" t="s">
        <v>1130</v>
      </c>
      <c r="K457" s="260" t="s">
        <v>1398</v>
      </c>
      <c r="L457" s="257" t="s">
        <v>311</v>
      </c>
      <c r="M457" s="257" t="s">
        <v>2289</v>
      </c>
      <c r="N457" s="257" t="s">
        <v>1844</v>
      </c>
      <c r="O457" s="257" t="s">
        <v>309</v>
      </c>
      <c r="P457" s="257" t="s">
        <v>2434</v>
      </c>
      <c r="Q457" s="257" t="s">
        <v>293</v>
      </c>
      <c r="R457" s="257">
        <v>2000000.01</v>
      </c>
      <c r="S457" s="257">
        <v>2500000</v>
      </c>
      <c r="T457" s="257">
        <v>0</v>
      </c>
      <c r="U457" s="257">
        <v>0</v>
      </c>
      <c r="V457" s="257">
        <v>0</v>
      </c>
      <c r="W457" s="257">
        <v>50</v>
      </c>
      <c r="X457" s="257">
        <v>0</v>
      </c>
      <c r="Y457" s="257">
        <v>999</v>
      </c>
      <c r="Z457" s="258">
        <v>660</v>
      </c>
      <c r="AA457" s="258">
        <v>679</v>
      </c>
      <c r="AB457" s="1884">
        <v>0</v>
      </c>
      <c r="AC457" s="258">
        <v>999999</v>
      </c>
      <c r="AD457" s="257">
        <v>0</v>
      </c>
      <c r="AE457" s="259">
        <v>65</v>
      </c>
      <c r="AF457" s="144">
        <v>0</v>
      </c>
      <c r="AG457" s="145">
        <v>1</v>
      </c>
      <c r="AH457" s="145">
        <v>1</v>
      </c>
      <c r="AI457" s="145">
        <v>1</v>
      </c>
      <c r="AJ457" s="145">
        <v>0</v>
      </c>
      <c r="AK457" s="145">
        <v>1</v>
      </c>
      <c r="AL457" s="145">
        <v>1</v>
      </c>
      <c r="AM457" s="145">
        <v>1</v>
      </c>
      <c r="AN457" s="145">
        <v>1</v>
      </c>
      <c r="AO457" s="145">
        <v>1</v>
      </c>
      <c r="AP457" s="145">
        <v>1</v>
      </c>
      <c r="AQ457" s="145">
        <v>1</v>
      </c>
      <c r="AR457" s="145">
        <v>1</v>
      </c>
      <c r="AS457" s="145">
        <v>1</v>
      </c>
      <c r="AT457" s="145">
        <v>1</v>
      </c>
      <c r="AU457" s="145">
        <f t="shared" si="148"/>
        <v>0</v>
      </c>
      <c r="AV457" s="145">
        <f t="shared" si="149"/>
        <v>1</v>
      </c>
      <c r="AW457" s="145">
        <f t="shared" si="150"/>
        <v>1</v>
      </c>
      <c r="AX457" s="145">
        <f t="shared" si="161"/>
        <v>1</v>
      </c>
      <c r="AY457" s="145">
        <f t="shared" si="151"/>
        <v>0</v>
      </c>
      <c r="AZ457" s="145">
        <f t="shared" si="152"/>
        <v>1</v>
      </c>
      <c r="BA457" s="146">
        <f t="shared" si="153"/>
        <v>0</v>
      </c>
      <c r="BB457" s="149">
        <f t="shared" si="166"/>
        <v>17</v>
      </c>
      <c r="BC457" s="150">
        <f t="shared" si="167"/>
        <v>17</v>
      </c>
      <c r="BD457" s="150">
        <f t="shared" si="168"/>
        <v>17</v>
      </c>
      <c r="BE457" s="211" t="str">
        <f t="shared" si="169"/>
        <v/>
      </c>
      <c r="BH457" s="188">
        <f>IF(AND(Input_Product=Elig!$C457,Elig_MatchAll_Ct&lt;22,$BC457=(Elig_MatchAll_Ct-1),AF457=0),C457,0)</f>
        <v>0</v>
      </c>
      <c r="BI457" s="188">
        <f>IF(AND(Input_Product=Elig!$C457,Elig_MatchAll_Ct&lt;22,$BC457=(Elig_MatchAll_Ct-1),AG457=0),D457,0)</f>
        <v>0</v>
      </c>
      <c r="BJ457" s="188">
        <f>IF(AND(Input_Product=Elig!$C457,Elig_MatchAll_Ct&lt;22,$BC457=(Elig_MatchAll_Ct-1),AH457=0),E457,0)</f>
        <v>0</v>
      </c>
      <c r="BK457" s="188">
        <f>IF(AND(Input_Product=Elig!$C457,Elig_MatchAll_Ct&lt;22,$BC457=(Elig_MatchAll_Ct-1),AI457=0),F457,0)</f>
        <v>0</v>
      </c>
      <c r="BL457" s="188">
        <f>IF(AND(Input_Product=Elig!$C457,Elig_MatchAll_Ct&lt;22,$BC457=(Elig_MatchAll_Ct-1),AJ457=0),G457,0)</f>
        <v>0</v>
      </c>
      <c r="BM457" s="188">
        <f>IF(AND(Input_Product=Elig!$C457,Elig_MatchAll_Ct&lt;22,$BC457=(Elig_MatchAll_Ct-1),AK457=0),H457,0)</f>
        <v>0</v>
      </c>
      <c r="BN457" s="188">
        <f>IF(AND(Input_Product=Elig!$C457,Elig_MatchAll_Ct&lt;22,$BC457=(Elig_MatchAll_Ct-1),AL457=0),I457,0)</f>
        <v>0</v>
      </c>
      <c r="BO457" s="188">
        <f>IF(AND(Input_Product=Elig!$C457,Elig_MatchAll_Ct&lt;22,$BC457=(Elig_MatchAll_Ct-1),AM457=0),J457,0)</f>
        <v>0</v>
      </c>
      <c r="BP457" s="188">
        <f>IF(AND(Input_Product=Elig!$C457,Elig_MatchAll_Ct&lt;22,$BC457=(Elig_MatchAll_Ct-1),AN457=0),K457,0)</f>
        <v>0</v>
      </c>
      <c r="BQ457" s="188">
        <f>IF(AND(Input_Product=Elig!$C457,Elig_MatchAll_Ct&lt;22,$BC457=(Elig_MatchAll_Ct-1),AP457=0),L457,0)</f>
        <v>0</v>
      </c>
      <c r="BR457" s="188">
        <f>IF(AND(Input_Product=Elig!$C457,Elig_MatchAll_Ct&lt;22,$BC457=(Elig_MatchAll_Ct-1),AO457=0),M457,0)</f>
        <v>0</v>
      </c>
      <c r="BS457" s="188">
        <f>IF(AND(Input_Product=Elig!$C457,Elig_MatchAll_Ct&lt;22,$BC457=(Elig_MatchAll_Ct-1),AQ457=0),N457,0)</f>
        <v>0</v>
      </c>
      <c r="BT457" s="188">
        <f>IF(AND(Input_Product=Elig!$C457,Elig_MatchAll_Ct&lt;22,$BC457=(Elig_MatchAll_Ct-1),AR457=0),O457,0)</f>
        <v>0</v>
      </c>
      <c r="BU457" s="188">
        <f>IF(AND(Input_Product=Elig!$C457,Elig_MatchAll_Ct&lt;22,$BC457=(Elig_MatchAll_Ct-1),AS457=0),P457,0)</f>
        <v>0</v>
      </c>
      <c r="BV457" s="189">
        <f>IF(AND(Input_Product=Elig!$C457,Elig_MatchAll_Ct&lt;22,$BC457=(Elig_MatchAll_Ct-1),AT457=0),Q457,0)</f>
        <v>0</v>
      </c>
      <c r="BW457" s="271">
        <f>IF(AND(Input_Product=Elig!$C457,Elig_MatchAll_Ct&lt;22,$BC457=(Elig_MatchAll_Ct-1),AU457=0),R457,0)</f>
        <v>0</v>
      </c>
      <c r="BX457" s="272">
        <f>IF(AND(Input_Product=Elig!$C457,Elig_MatchAll_Ct&lt;22,$BC457=(Elig_MatchAll_Ct-1),AU457=0),S457,0)</f>
        <v>0</v>
      </c>
      <c r="BY457" s="271">
        <f>IF(AND(Input_Product=Elig!$C457,Elig_MatchAll_Ct&lt;22,$BC457=(Elig_MatchAll_Ct-1),AV457=0),T457,0)</f>
        <v>0</v>
      </c>
      <c r="BZ457" s="272">
        <f>IF(AND(Input_Product=Elig!$C457,Elig_MatchAll_Ct&lt;22,$BC457=(Elig_MatchAll_Ct-1),AV457=0),U457,0)</f>
        <v>0</v>
      </c>
      <c r="CA457" s="271">
        <f>IF(AND(Input_Product=Elig!$C457,Elig_MatchAll_Ct&lt;22,$BC457=(Elig_MatchAll_Ct-1),AW457=0),V457,0)</f>
        <v>0</v>
      </c>
      <c r="CB457" s="272">
        <f>IF(AND(Input_Product=Elig!$C457,Elig_MatchAll_Ct&lt;22,$BC457=(Elig_MatchAll_Ct-1),AW457=0),W457,0)</f>
        <v>0</v>
      </c>
      <c r="CC457" s="271">
        <f>IF(AND(Input_Product=Elig!$C457,Elig_MatchAll_Ct&lt;22,$BC457=(Elig_MatchAll_Ct-1),AX457=0),X457,0)</f>
        <v>0</v>
      </c>
      <c r="CD457" s="272">
        <f>IF(AND(Input_Product=Elig!$C457,Elig_MatchAll_Ct&lt;22,$BC457=(Elig_MatchAll_Ct-1),AX457=0),Y457,0)</f>
        <v>0</v>
      </c>
      <c r="CE457" s="271">
        <f>IF(AND(Input_LTV&lt;=AE457,Input_Product=Elig!$C457,Elig_MatchAll_Ct&lt;22,$BC457=(Elig_MatchAll_Ct-1),AY457=0),Z457,0)</f>
        <v>0</v>
      </c>
      <c r="CF457" s="272">
        <f>IF(AND(Input_LTV&lt;=AE457,Input_Product=Elig!$C457,Elig_MatchAll_Ct&lt;22,$BC457=(Elig_MatchAll_Ct-1),AY457=0),AA457,0)</f>
        <v>0</v>
      </c>
      <c r="CG457" s="271">
        <f>IF(AND(Input_Product=Elig!$C457,Elig_MatchAll_Ct&lt;22,$BC457=(Elig_MatchAll_Ct-1),AZ457=0),AB457,0)</f>
        <v>0</v>
      </c>
      <c r="CH457" s="272">
        <f>IF(AND(Input_Product=Elig!$C457,Elig_MatchAll_Ct&lt;22,$BC457=(Elig_MatchAll_Ct-1),AZ457=0),AC457,0)</f>
        <v>0</v>
      </c>
      <c r="CI457" s="271">
        <f>IF(AND(Input_Product=Elig!$C457,Elig_MatchAll_Ct&lt;22,$BC457=(Elig_MatchAll_Ct-1),BA457=0),AD457,0)</f>
        <v>0</v>
      </c>
      <c r="CJ457" s="272">
        <f>IF(AND(Input_Product=Elig!$C457,Elig_MatchAll_Ct&lt;22,$BC457=(Elig_MatchAll_Ct-1),BA457=0),AE457,0)</f>
        <v>0</v>
      </c>
    </row>
    <row r="458" spans="1:88" ht="10.15" customHeight="1" x14ac:dyDescent="0.25">
      <c r="A458" s="252" t="s">
        <v>76</v>
      </c>
      <c r="B458" s="252" t="s">
        <v>2121</v>
      </c>
      <c r="C458" s="246" t="str">
        <f t="shared" si="140"/>
        <v>NonQM NOO</v>
      </c>
      <c r="D458" s="247" t="s">
        <v>1995</v>
      </c>
      <c r="E458" s="248" t="s">
        <v>166</v>
      </c>
      <c r="F458" s="248" t="s">
        <v>329</v>
      </c>
      <c r="G458" s="248" t="s">
        <v>304</v>
      </c>
      <c r="H458" s="248" t="s">
        <v>135</v>
      </c>
      <c r="I458" s="247" t="s">
        <v>16</v>
      </c>
      <c r="J458" s="247" t="s">
        <v>1130</v>
      </c>
      <c r="K458" s="247" t="s">
        <v>1398</v>
      </c>
      <c r="L458" s="248" t="s">
        <v>311</v>
      </c>
      <c r="M458" s="248" t="s">
        <v>2289</v>
      </c>
      <c r="N458" s="248" t="s">
        <v>1844</v>
      </c>
      <c r="O458" s="248" t="s">
        <v>309</v>
      </c>
      <c r="P458" s="248" t="s">
        <v>2434</v>
      </c>
      <c r="Q458" s="248" t="s">
        <v>293</v>
      </c>
      <c r="R458" s="247">
        <v>2000000.01</v>
      </c>
      <c r="S458" s="247">
        <v>2500000</v>
      </c>
      <c r="T458" s="247">
        <v>0</v>
      </c>
      <c r="U458" s="247">
        <f t="shared" ref="U458:U461" si="173">S458</f>
        <v>2500000</v>
      </c>
      <c r="V458" s="247">
        <v>0</v>
      </c>
      <c r="W458" s="247">
        <v>50</v>
      </c>
      <c r="X458" s="247">
        <v>0</v>
      </c>
      <c r="Y458" s="247">
        <v>999</v>
      </c>
      <c r="Z458" s="249">
        <v>720</v>
      </c>
      <c r="AA458" s="249">
        <v>999</v>
      </c>
      <c r="AB458" s="1882">
        <v>0</v>
      </c>
      <c r="AC458" s="249">
        <v>999999</v>
      </c>
      <c r="AD458" s="247">
        <v>0</v>
      </c>
      <c r="AE458" s="250">
        <v>60</v>
      </c>
      <c r="AF458" s="144">
        <v>0</v>
      </c>
      <c r="AG458" s="145">
        <v>1</v>
      </c>
      <c r="AH458" s="145">
        <v>1</v>
      </c>
      <c r="AI458" s="145">
        <v>1</v>
      </c>
      <c r="AJ458" s="145">
        <v>0</v>
      </c>
      <c r="AK458" s="145">
        <v>1</v>
      </c>
      <c r="AL458" s="145">
        <v>0</v>
      </c>
      <c r="AM458" s="145">
        <v>1</v>
      </c>
      <c r="AN458" s="145">
        <v>1</v>
      </c>
      <c r="AO458" s="145">
        <v>1</v>
      </c>
      <c r="AP458" s="145">
        <v>1</v>
      </c>
      <c r="AQ458" s="145">
        <v>1</v>
      </c>
      <c r="AR458" s="145">
        <v>1</v>
      </c>
      <c r="AS458" s="145">
        <v>1</v>
      </c>
      <c r="AT458" s="145">
        <v>1</v>
      </c>
      <c r="AU458" s="145">
        <f t="shared" si="148"/>
        <v>0</v>
      </c>
      <c r="AV458" s="145">
        <f t="shared" si="149"/>
        <v>1</v>
      </c>
      <c r="AW458" s="145">
        <f t="shared" si="150"/>
        <v>1</v>
      </c>
      <c r="AX458" s="145">
        <f t="shared" si="161"/>
        <v>1</v>
      </c>
      <c r="AY458" s="145">
        <f t="shared" si="151"/>
        <v>1</v>
      </c>
      <c r="AZ458" s="145">
        <f t="shared" si="152"/>
        <v>1</v>
      </c>
      <c r="BA458" s="146">
        <f t="shared" si="153"/>
        <v>0</v>
      </c>
      <c r="BB458" s="149">
        <f t="shared" si="166"/>
        <v>17</v>
      </c>
      <c r="BC458" s="150">
        <f t="shared" si="167"/>
        <v>17</v>
      </c>
      <c r="BD458" s="150">
        <f t="shared" si="168"/>
        <v>17</v>
      </c>
      <c r="BE458" s="211" t="str">
        <f t="shared" si="169"/>
        <v/>
      </c>
      <c r="BH458" s="184">
        <f>IF(AND(Input_Product=Elig!$C458,Elig_MatchAll_Ct&lt;22,$BC458=(Elig_MatchAll_Ct-1),AF458=0),C458,0)</f>
        <v>0</v>
      </c>
      <c r="BI458" s="184">
        <f>IF(AND(Input_Product=Elig!$C458,Elig_MatchAll_Ct&lt;22,$BC458=(Elig_MatchAll_Ct-1),AG458=0),D458,0)</f>
        <v>0</v>
      </c>
      <c r="BJ458" s="184">
        <f>IF(AND(Input_Product=Elig!$C458,Elig_MatchAll_Ct&lt;22,$BC458=(Elig_MatchAll_Ct-1),AH458=0),E458,0)</f>
        <v>0</v>
      </c>
      <c r="BK458" s="184">
        <f>IF(AND(Input_Product=Elig!$C458,Elig_MatchAll_Ct&lt;22,$BC458=(Elig_MatchAll_Ct-1),AI458=0),F458,0)</f>
        <v>0</v>
      </c>
      <c r="BL458" s="184">
        <f>IF(AND(Input_Product=Elig!$C458,Elig_MatchAll_Ct&lt;22,$BC458=(Elig_MatchAll_Ct-1),AJ458=0),G458,0)</f>
        <v>0</v>
      </c>
      <c r="BM458" s="184">
        <f>IF(AND(Input_Product=Elig!$C458,Elig_MatchAll_Ct&lt;22,$BC458=(Elig_MatchAll_Ct-1),AK458=0),H458,0)</f>
        <v>0</v>
      </c>
      <c r="BN458" s="184">
        <f>IF(AND(Input_Product=Elig!$C458,Elig_MatchAll_Ct&lt;22,$BC458=(Elig_MatchAll_Ct-1),AL458=0),I458,0)</f>
        <v>0</v>
      </c>
      <c r="BO458" s="184">
        <f>IF(AND(Input_Product=Elig!$C458,Elig_MatchAll_Ct&lt;22,$BC458=(Elig_MatchAll_Ct-1),AM458=0),J458,0)</f>
        <v>0</v>
      </c>
      <c r="BP458" s="184">
        <f>IF(AND(Input_Product=Elig!$C458,Elig_MatchAll_Ct&lt;22,$BC458=(Elig_MatchAll_Ct-1),AN458=0),K458,0)</f>
        <v>0</v>
      </c>
      <c r="BQ458" s="184">
        <f>IF(AND(Input_Product=Elig!$C458,Elig_MatchAll_Ct&lt;22,$BC458=(Elig_MatchAll_Ct-1),AP458=0),L458,0)</f>
        <v>0</v>
      </c>
      <c r="BR458" s="184">
        <f>IF(AND(Input_Product=Elig!$C458,Elig_MatchAll_Ct&lt;22,$BC458=(Elig_MatchAll_Ct-1),AO458=0),M458,0)</f>
        <v>0</v>
      </c>
      <c r="BS458" s="184">
        <f>IF(AND(Input_Product=Elig!$C458,Elig_MatchAll_Ct&lt;22,$BC458=(Elig_MatchAll_Ct-1),AQ458=0),N458,0)</f>
        <v>0</v>
      </c>
      <c r="BT458" s="184">
        <f>IF(AND(Input_Product=Elig!$C458,Elig_MatchAll_Ct&lt;22,$BC458=(Elig_MatchAll_Ct-1),AR458=0),O458,0)</f>
        <v>0</v>
      </c>
      <c r="BU458" s="184">
        <f>IF(AND(Input_Product=Elig!$C458,Elig_MatchAll_Ct&lt;22,$BC458=(Elig_MatchAll_Ct-1),AS458=0),P458,0)</f>
        <v>0</v>
      </c>
      <c r="BV458" s="185">
        <f>IF(AND(Input_Product=Elig!$C458,Elig_MatchAll_Ct&lt;22,$BC458=(Elig_MatchAll_Ct-1),AT458=0),Q458,0)</f>
        <v>0</v>
      </c>
      <c r="BW458" s="186">
        <f>IF(AND(Input_Product=Elig!$C458,Elig_MatchAll_Ct&lt;22,$BC458=(Elig_MatchAll_Ct-1),AU458=0),R458,0)</f>
        <v>0</v>
      </c>
      <c r="BX458" s="187">
        <f>IF(AND(Input_Product=Elig!$C458,Elig_MatchAll_Ct&lt;22,$BC458=(Elig_MatchAll_Ct-1),AU458=0),S458,0)</f>
        <v>0</v>
      </c>
      <c r="BY458" s="186">
        <f>IF(AND(Input_Product=Elig!$C458,Elig_MatchAll_Ct&lt;22,$BC458=(Elig_MatchAll_Ct-1),AV458=0),T458,0)</f>
        <v>0</v>
      </c>
      <c r="BZ458" s="187">
        <f>IF(AND(Input_Product=Elig!$C458,Elig_MatchAll_Ct&lt;22,$BC458=(Elig_MatchAll_Ct-1),AV458=0),U458,0)</f>
        <v>0</v>
      </c>
      <c r="CA458" s="186">
        <f>IF(AND(Input_Product=Elig!$C458,Elig_MatchAll_Ct&lt;22,$BC458=(Elig_MatchAll_Ct-1),AW458=0),V458,0)</f>
        <v>0</v>
      </c>
      <c r="CB458" s="187">
        <f>IF(AND(Input_Product=Elig!$C458,Elig_MatchAll_Ct&lt;22,$BC458=(Elig_MatchAll_Ct-1),AW458=0),W458,0)</f>
        <v>0</v>
      </c>
      <c r="CC458" s="186">
        <f>IF(AND(Input_Product=Elig!$C458,Elig_MatchAll_Ct&lt;22,$BC458=(Elig_MatchAll_Ct-1),AX458=0),X458,0)</f>
        <v>0</v>
      </c>
      <c r="CD458" s="187">
        <f>IF(AND(Input_Product=Elig!$C458,Elig_MatchAll_Ct&lt;22,$BC458=(Elig_MatchAll_Ct-1),AX458=0),Y458,0)</f>
        <v>0</v>
      </c>
      <c r="CE458" s="186">
        <f>IF(AND(Input_LTV&lt;=AE458,Input_Product=Elig!$C458,Elig_MatchAll_Ct&lt;22,$BC458=(Elig_MatchAll_Ct-1),AY458=0),Z458,0)</f>
        <v>0</v>
      </c>
      <c r="CF458" s="187">
        <f>IF(AND(Input_LTV&lt;=AE458,Input_Product=Elig!$C458,Elig_MatchAll_Ct&lt;22,$BC458=(Elig_MatchAll_Ct-1),AY458=0),AA458,0)</f>
        <v>0</v>
      </c>
      <c r="CG458" s="186">
        <f>IF(AND(Input_Product=Elig!$C458,Elig_MatchAll_Ct&lt;22,$BC458=(Elig_MatchAll_Ct-1),AZ458=0),AB458,0)</f>
        <v>0</v>
      </c>
      <c r="CH458" s="187">
        <f>IF(AND(Input_Product=Elig!$C458,Elig_MatchAll_Ct&lt;22,$BC458=(Elig_MatchAll_Ct-1),AZ458=0),AC458,0)</f>
        <v>0</v>
      </c>
      <c r="CI458" s="186">
        <f>IF(AND(Input_Product=Elig!$C458,Elig_MatchAll_Ct&lt;22,$BC458=(Elig_MatchAll_Ct-1),BA458=0),AD458,0)</f>
        <v>0</v>
      </c>
      <c r="CJ458" s="187">
        <f>IF(AND(Input_Product=Elig!$C458,Elig_MatchAll_Ct&lt;22,$BC458=(Elig_MatchAll_Ct-1),BA458=0),AE458,0)</f>
        <v>0</v>
      </c>
    </row>
    <row r="459" spans="1:88" ht="10.15" customHeight="1" x14ac:dyDescent="0.25">
      <c r="A459" s="252" t="s">
        <v>76</v>
      </c>
      <c r="B459" s="252" t="s">
        <v>2122</v>
      </c>
      <c r="C459" s="251" t="str">
        <f t="shared" si="140"/>
        <v>NonQM NOO</v>
      </c>
      <c r="D459" s="252" t="s">
        <v>1995</v>
      </c>
      <c r="E459" s="252" t="s">
        <v>166</v>
      </c>
      <c r="F459" s="252" t="s">
        <v>329</v>
      </c>
      <c r="G459" s="252" t="s">
        <v>304</v>
      </c>
      <c r="H459" s="252" t="s">
        <v>135</v>
      </c>
      <c r="I459" s="253" t="s">
        <v>16</v>
      </c>
      <c r="J459" s="253" t="s">
        <v>1130</v>
      </c>
      <c r="K459" s="253" t="s">
        <v>1398</v>
      </c>
      <c r="L459" s="252" t="s">
        <v>311</v>
      </c>
      <c r="M459" s="252" t="s">
        <v>2289</v>
      </c>
      <c r="N459" s="252" t="s">
        <v>1844</v>
      </c>
      <c r="O459" s="252" t="s">
        <v>309</v>
      </c>
      <c r="P459" s="252" t="s">
        <v>2434</v>
      </c>
      <c r="Q459" s="252" t="s">
        <v>293</v>
      </c>
      <c r="R459" s="252">
        <v>2000000.01</v>
      </c>
      <c r="S459" s="252">
        <v>2500000</v>
      </c>
      <c r="T459" s="252">
        <v>0</v>
      </c>
      <c r="U459" s="252">
        <f t="shared" si="173"/>
        <v>2500000</v>
      </c>
      <c r="V459" s="252">
        <v>0</v>
      </c>
      <c r="W459" s="252">
        <v>50</v>
      </c>
      <c r="X459" s="252">
        <v>0</v>
      </c>
      <c r="Y459" s="252">
        <v>999</v>
      </c>
      <c r="Z459" s="254">
        <v>700</v>
      </c>
      <c r="AA459" s="254">
        <v>719</v>
      </c>
      <c r="AB459" s="1883">
        <v>0</v>
      </c>
      <c r="AC459" s="254">
        <v>999999</v>
      </c>
      <c r="AD459" s="252">
        <v>0</v>
      </c>
      <c r="AE459" s="255">
        <v>60</v>
      </c>
      <c r="AF459" s="144">
        <v>0</v>
      </c>
      <c r="AG459" s="145">
        <v>1</v>
      </c>
      <c r="AH459" s="145">
        <v>1</v>
      </c>
      <c r="AI459" s="145">
        <v>1</v>
      </c>
      <c r="AJ459" s="145">
        <v>0</v>
      </c>
      <c r="AK459" s="145">
        <v>1</v>
      </c>
      <c r="AL459" s="145">
        <v>0</v>
      </c>
      <c r="AM459" s="145">
        <v>1</v>
      </c>
      <c r="AN459" s="145">
        <v>1</v>
      </c>
      <c r="AO459" s="145">
        <v>1</v>
      </c>
      <c r="AP459" s="145">
        <v>1</v>
      </c>
      <c r="AQ459" s="145">
        <v>1</v>
      </c>
      <c r="AR459" s="145">
        <v>1</v>
      </c>
      <c r="AS459" s="145">
        <v>1</v>
      </c>
      <c r="AT459" s="145">
        <v>1</v>
      </c>
      <c r="AU459" s="145">
        <f t="shared" si="148"/>
        <v>0</v>
      </c>
      <c r="AV459" s="145">
        <f t="shared" si="149"/>
        <v>1</v>
      </c>
      <c r="AW459" s="145">
        <f t="shared" si="150"/>
        <v>1</v>
      </c>
      <c r="AX459" s="145">
        <f t="shared" si="161"/>
        <v>1</v>
      </c>
      <c r="AY459" s="145">
        <f t="shared" si="151"/>
        <v>0</v>
      </c>
      <c r="AZ459" s="145">
        <f t="shared" si="152"/>
        <v>1</v>
      </c>
      <c r="BA459" s="146">
        <f t="shared" si="153"/>
        <v>0</v>
      </c>
      <c r="BB459" s="149">
        <f t="shared" si="166"/>
        <v>16</v>
      </c>
      <c r="BC459" s="150">
        <f t="shared" si="167"/>
        <v>16</v>
      </c>
      <c r="BD459" s="150">
        <f t="shared" si="168"/>
        <v>16</v>
      </c>
      <c r="BE459" s="211" t="str">
        <f t="shared" si="169"/>
        <v/>
      </c>
      <c r="BH459" s="173">
        <f>IF(AND(Input_Product=Elig!$C459,Elig_MatchAll_Ct&lt;22,$BC459=(Elig_MatchAll_Ct-1),AF459=0),C459,0)</f>
        <v>0</v>
      </c>
      <c r="BI459" s="173">
        <f>IF(AND(Input_Product=Elig!$C459,Elig_MatchAll_Ct&lt;22,$BC459=(Elig_MatchAll_Ct-1),AG459=0),D459,0)</f>
        <v>0</v>
      </c>
      <c r="BJ459" s="173">
        <f>IF(AND(Input_Product=Elig!$C459,Elig_MatchAll_Ct&lt;22,$BC459=(Elig_MatchAll_Ct-1),AH459=0),E459,0)</f>
        <v>0</v>
      </c>
      <c r="BK459" s="173">
        <f>IF(AND(Input_Product=Elig!$C459,Elig_MatchAll_Ct&lt;22,$BC459=(Elig_MatchAll_Ct-1),AI459=0),F459,0)</f>
        <v>0</v>
      </c>
      <c r="BL459" s="173">
        <f>IF(AND(Input_Product=Elig!$C459,Elig_MatchAll_Ct&lt;22,$BC459=(Elig_MatchAll_Ct-1),AJ459=0),G459,0)</f>
        <v>0</v>
      </c>
      <c r="BM459" s="173">
        <f>IF(AND(Input_Product=Elig!$C459,Elig_MatchAll_Ct&lt;22,$BC459=(Elig_MatchAll_Ct-1),AK459=0),H459,0)</f>
        <v>0</v>
      </c>
      <c r="BN459" s="173">
        <f>IF(AND(Input_Product=Elig!$C459,Elig_MatchAll_Ct&lt;22,$BC459=(Elig_MatchAll_Ct-1),AL459=0),I459,0)</f>
        <v>0</v>
      </c>
      <c r="BO459" s="173">
        <f>IF(AND(Input_Product=Elig!$C459,Elig_MatchAll_Ct&lt;22,$BC459=(Elig_MatchAll_Ct-1),AM459=0),J459,0)</f>
        <v>0</v>
      </c>
      <c r="BP459" s="173">
        <f>IF(AND(Input_Product=Elig!$C459,Elig_MatchAll_Ct&lt;22,$BC459=(Elig_MatchAll_Ct-1),AN459=0),K459,0)</f>
        <v>0</v>
      </c>
      <c r="BQ459" s="173">
        <f>IF(AND(Input_Product=Elig!$C459,Elig_MatchAll_Ct&lt;22,$BC459=(Elig_MatchAll_Ct-1),AP459=0),L459,0)</f>
        <v>0</v>
      </c>
      <c r="BR459" s="173">
        <f>IF(AND(Input_Product=Elig!$C459,Elig_MatchAll_Ct&lt;22,$BC459=(Elig_MatchAll_Ct-1),AO459=0),M459,0)</f>
        <v>0</v>
      </c>
      <c r="BS459" s="173">
        <f>IF(AND(Input_Product=Elig!$C459,Elig_MatchAll_Ct&lt;22,$BC459=(Elig_MatchAll_Ct-1),AQ459=0),N459,0)</f>
        <v>0</v>
      </c>
      <c r="BT459" s="173">
        <f>IF(AND(Input_Product=Elig!$C459,Elig_MatchAll_Ct&lt;22,$BC459=(Elig_MatchAll_Ct-1),AR459=0),O459,0)</f>
        <v>0</v>
      </c>
      <c r="BU459" s="173">
        <f>IF(AND(Input_Product=Elig!$C459,Elig_MatchAll_Ct&lt;22,$BC459=(Elig_MatchAll_Ct-1),AS459=0),P459,0)</f>
        <v>0</v>
      </c>
      <c r="BV459" s="174">
        <f>IF(AND(Input_Product=Elig!$C459,Elig_MatchAll_Ct&lt;22,$BC459=(Elig_MatchAll_Ct-1),AT459=0),Q459,0)</f>
        <v>0</v>
      </c>
      <c r="BW459" s="175">
        <f>IF(AND(Input_Product=Elig!$C459,Elig_MatchAll_Ct&lt;22,$BC459=(Elig_MatchAll_Ct-1),AU459=0),R459,0)</f>
        <v>0</v>
      </c>
      <c r="BX459" s="176">
        <f>IF(AND(Input_Product=Elig!$C459,Elig_MatchAll_Ct&lt;22,$BC459=(Elig_MatchAll_Ct-1),AU459=0),S459,0)</f>
        <v>0</v>
      </c>
      <c r="BY459" s="175">
        <f>IF(AND(Input_Product=Elig!$C459,Elig_MatchAll_Ct&lt;22,$BC459=(Elig_MatchAll_Ct-1),AV459=0),T459,0)</f>
        <v>0</v>
      </c>
      <c r="BZ459" s="176">
        <f>IF(AND(Input_Product=Elig!$C459,Elig_MatchAll_Ct&lt;22,$BC459=(Elig_MatchAll_Ct-1),AV459=0),U459,0)</f>
        <v>0</v>
      </c>
      <c r="CA459" s="175">
        <f>IF(AND(Input_Product=Elig!$C459,Elig_MatchAll_Ct&lt;22,$BC459=(Elig_MatchAll_Ct-1),AW459=0),V459,0)</f>
        <v>0</v>
      </c>
      <c r="CB459" s="176">
        <f>IF(AND(Input_Product=Elig!$C459,Elig_MatchAll_Ct&lt;22,$BC459=(Elig_MatchAll_Ct-1),AW459=0),W459,0)</f>
        <v>0</v>
      </c>
      <c r="CC459" s="175">
        <f>IF(AND(Input_Product=Elig!$C459,Elig_MatchAll_Ct&lt;22,$BC459=(Elig_MatchAll_Ct-1),AX459=0),X459,0)</f>
        <v>0</v>
      </c>
      <c r="CD459" s="176">
        <f>IF(AND(Input_Product=Elig!$C459,Elig_MatchAll_Ct&lt;22,$BC459=(Elig_MatchAll_Ct-1),AX459=0),Y459,0)</f>
        <v>0</v>
      </c>
      <c r="CE459" s="175">
        <f>IF(AND(Input_LTV&lt;=AE459,Input_Product=Elig!$C459,Elig_MatchAll_Ct&lt;22,$BC459=(Elig_MatchAll_Ct-1),AY459=0),Z459,0)</f>
        <v>0</v>
      </c>
      <c r="CF459" s="176">
        <f>IF(AND(Input_LTV&lt;=AE459,Input_Product=Elig!$C459,Elig_MatchAll_Ct&lt;22,$BC459=(Elig_MatchAll_Ct-1),AY459=0),AA459,0)</f>
        <v>0</v>
      </c>
      <c r="CG459" s="175">
        <f>IF(AND(Input_Product=Elig!$C459,Elig_MatchAll_Ct&lt;22,$BC459=(Elig_MatchAll_Ct-1),AZ459=0),AB459,0)</f>
        <v>0</v>
      </c>
      <c r="CH459" s="176">
        <f>IF(AND(Input_Product=Elig!$C459,Elig_MatchAll_Ct&lt;22,$BC459=(Elig_MatchAll_Ct-1),AZ459=0),AC459,0)</f>
        <v>0</v>
      </c>
      <c r="CI459" s="175">
        <f>IF(AND(Input_Product=Elig!$C459,Elig_MatchAll_Ct&lt;22,$BC459=(Elig_MatchAll_Ct-1),BA459=0),AD459,0)</f>
        <v>0</v>
      </c>
      <c r="CJ459" s="176">
        <f>IF(AND(Input_Product=Elig!$C459,Elig_MatchAll_Ct&lt;22,$BC459=(Elig_MatchAll_Ct-1),BA459=0),AE459,0)</f>
        <v>0</v>
      </c>
    </row>
    <row r="460" spans="1:88" ht="10.15" customHeight="1" x14ac:dyDescent="0.25">
      <c r="A460" s="252" t="s">
        <v>76</v>
      </c>
      <c r="B460" s="252" t="s">
        <v>2123</v>
      </c>
      <c r="C460" s="251" t="str">
        <f t="shared" si="140"/>
        <v>NonQM NOO</v>
      </c>
      <c r="D460" s="252" t="s">
        <v>1995</v>
      </c>
      <c r="E460" s="252" t="s">
        <v>166</v>
      </c>
      <c r="F460" s="252" t="s">
        <v>329</v>
      </c>
      <c r="G460" s="252" t="s">
        <v>304</v>
      </c>
      <c r="H460" s="252" t="s">
        <v>135</v>
      </c>
      <c r="I460" s="253" t="s">
        <v>16</v>
      </c>
      <c r="J460" s="253" t="s">
        <v>1130</v>
      </c>
      <c r="K460" s="253" t="s">
        <v>1398</v>
      </c>
      <c r="L460" s="252" t="s">
        <v>311</v>
      </c>
      <c r="M460" s="252" t="s">
        <v>2289</v>
      </c>
      <c r="N460" s="252" t="s">
        <v>1844</v>
      </c>
      <c r="O460" s="252" t="s">
        <v>309</v>
      </c>
      <c r="P460" s="252" t="s">
        <v>2434</v>
      </c>
      <c r="Q460" s="252" t="s">
        <v>293</v>
      </c>
      <c r="R460" s="252">
        <v>2000000.01</v>
      </c>
      <c r="S460" s="252">
        <v>2500000</v>
      </c>
      <c r="T460" s="252">
        <v>0</v>
      </c>
      <c r="U460" s="252">
        <f t="shared" ref="U460" si="174">S460</f>
        <v>2500000</v>
      </c>
      <c r="V460" s="252">
        <v>0</v>
      </c>
      <c r="W460" s="252">
        <v>50</v>
      </c>
      <c r="X460" s="252">
        <v>0</v>
      </c>
      <c r="Y460" s="252">
        <v>999</v>
      </c>
      <c r="Z460" s="254">
        <v>680</v>
      </c>
      <c r="AA460" s="254">
        <v>699</v>
      </c>
      <c r="AB460" s="1883">
        <v>0</v>
      </c>
      <c r="AC460" s="254">
        <v>999999</v>
      </c>
      <c r="AD460" s="252">
        <v>0</v>
      </c>
      <c r="AE460" s="255">
        <v>60</v>
      </c>
      <c r="AF460" s="144">
        <v>0</v>
      </c>
      <c r="AG460" s="145">
        <v>1</v>
      </c>
      <c r="AH460" s="145">
        <v>1</v>
      </c>
      <c r="AI460" s="145">
        <v>1</v>
      </c>
      <c r="AJ460" s="145">
        <v>0</v>
      </c>
      <c r="AK460" s="145">
        <v>1</v>
      </c>
      <c r="AL460" s="145">
        <v>0</v>
      </c>
      <c r="AM460" s="145">
        <v>1</v>
      </c>
      <c r="AN460" s="145">
        <v>1</v>
      </c>
      <c r="AO460" s="145">
        <v>1</v>
      </c>
      <c r="AP460" s="145">
        <v>1</v>
      </c>
      <c r="AQ460" s="145">
        <v>1</v>
      </c>
      <c r="AR460" s="145">
        <v>1</v>
      </c>
      <c r="AS460" s="145">
        <v>1</v>
      </c>
      <c r="AT460" s="145">
        <v>1</v>
      </c>
      <c r="AU460" s="145">
        <f t="shared" si="148"/>
        <v>0</v>
      </c>
      <c r="AV460" s="145">
        <f t="shared" si="149"/>
        <v>1</v>
      </c>
      <c r="AW460" s="145">
        <f t="shared" si="150"/>
        <v>1</v>
      </c>
      <c r="AX460" s="145">
        <f t="shared" si="161"/>
        <v>1</v>
      </c>
      <c r="AY460" s="145">
        <f t="shared" si="151"/>
        <v>0</v>
      </c>
      <c r="AZ460" s="145">
        <f t="shared" si="152"/>
        <v>1</v>
      </c>
      <c r="BA460" s="146">
        <f t="shared" si="153"/>
        <v>0</v>
      </c>
      <c r="BB460" s="149">
        <f t="shared" si="166"/>
        <v>16</v>
      </c>
      <c r="BC460" s="150">
        <f t="shared" si="167"/>
        <v>16</v>
      </c>
      <c r="BD460" s="150">
        <f t="shared" si="168"/>
        <v>16</v>
      </c>
      <c r="BE460" s="211" t="str">
        <f t="shared" si="169"/>
        <v/>
      </c>
      <c r="BH460" s="173">
        <f>IF(AND(Input_Product=Elig!$C460,Elig_MatchAll_Ct&lt;22,$BC460=(Elig_MatchAll_Ct-1),AF460=0),C460,0)</f>
        <v>0</v>
      </c>
      <c r="BI460" s="173">
        <f>IF(AND(Input_Product=Elig!$C460,Elig_MatchAll_Ct&lt;22,$BC460=(Elig_MatchAll_Ct-1),AG460=0),D460,0)</f>
        <v>0</v>
      </c>
      <c r="BJ460" s="173">
        <f>IF(AND(Input_Product=Elig!$C460,Elig_MatchAll_Ct&lt;22,$BC460=(Elig_MatchAll_Ct-1),AH460=0),E460,0)</f>
        <v>0</v>
      </c>
      <c r="BK460" s="173">
        <f>IF(AND(Input_Product=Elig!$C460,Elig_MatchAll_Ct&lt;22,$BC460=(Elig_MatchAll_Ct-1),AI460=0),F460,0)</f>
        <v>0</v>
      </c>
      <c r="BL460" s="173">
        <f>IF(AND(Input_Product=Elig!$C460,Elig_MatchAll_Ct&lt;22,$BC460=(Elig_MatchAll_Ct-1),AJ460=0),G460,0)</f>
        <v>0</v>
      </c>
      <c r="BM460" s="173">
        <f>IF(AND(Input_Product=Elig!$C460,Elig_MatchAll_Ct&lt;22,$BC460=(Elig_MatchAll_Ct-1),AK460=0),H460,0)</f>
        <v>0</v>
      </c>
      <c r="BN460" s="173">
        <f>IF(AND(Input_Product=Elig!$C460,Elig_MatchAll_Ct&lt;22,$BC460=(Elig_MatchAll_Ct-1),AL460=0),I460,0)</f>
        <v>0</v>
      </c>
      <c r="BO460" s="173">
        <f>IF(AND(Input_Product=Elig!$C460,Elig_MatchAll_Ct&lt;22,$BC460=(Elig_MatchAll_Ct-1),AM460=0),J460,0)</f>
        <v>0</v>
      </c>
      <c r="BP460" s="173">
        <f>IF(AND(Input_Product=Elig!$C460,Elig_MatchAll_Ct&lt;22,$BC460=(Elig_MatchAll_Ct-1),AN460=0),K460,0)</f>
        <v>0</v>
      </c>
      <c r="BQ460" s="173">
        <f>IF(AND(Input_Product=Elig!$C460,Elig_MatchAll_Ct&lt;22,$BC460=(Elig_MatchAll_Ct-1),AP460=0),L460,0)</f>
        <v>0</v>
      </c>
      <c r="BR460" s="173">
        <f>IF(AND(Input_Product=Elig!$C460,Elig_MatchAll_Ct&lt;22,$BC460=(Elig_MatchAll_Ct-1),AO460=0),M460,0)</f>
        <v>0</v>
      </c>
      <c r="BS460" s="173">
        <f>IF(AND(Input_Product=Elig!$C460,Elig_MatchAll_Ct&lt;22,$BC460=(Elig_MatchAll_Ct-1),AQ460=0),N460,0)</f>
        <v>0</v>
      </c>
      <c r="BT460" s="173">
        <f>IF(AND(Input_Product=Elig!$C460,Elig_MatchAll_Ct&lt;22,$BC460=(Elig_MatchAll_Ct-1),AR460=0),O460,0)</f>
        <v>0</v>
      </c>
      <c r="BU460" s="173">
        <f>IF(AND(Input_Product=Elig!$C460,Elig_MatchAll_Ct&lt;22,$BC460=(Elig_MatchAll_Ct-1),AS460=0),P460,0)</f>
        <v>0</v>
      </c>
      <c r="BV460" s="174">
        <f>IF(AND(Input_Product=Elig!$C460,Elig_MatchAll_Ct&lt;22,$BC460=(Elig_MatchAll_Ct-1),AT460=0),Q460,0)</f>
        <v>0</v>
      </c>
      <c r="BW460" s="175">
        <f>IF(AND(Input_Product=Elig!$C460,Elig_MatchAll_Ct&lt;22,$BC460=(Elig_MatchAll_Ct-1),AU460=0),R460,0)</f>
        <v>0</v>
      </c>
      <c r="BX460" s="176">
        <f>IF(AND(Input_Product=Elig!$C460,Elig_MatchAll_Ct&lt;22,$BC460=(Elig_MatchAll_Ct-1),AU460=0),S460,0)</f>
        <v>0</v>
      </c>
      <c r="BY460" s="175">
        <f>IF(AND(Input_Product=Elig!$C460,Elig_MatchAll_Ct&lt;22,$BC460=(Elig_MatchAll_Ct-1),AV460=0),T460,0)</f>
        <v>0</v>
      </c>
      <c r="BZ460" s="176">
        <f>IF(AND(Input_Product=Elig!$C460,Elig_MatchAll_Ct&lt;22,$BC460=(Elig_MatchAll_Ct-1),AV460=0),U460,0)</f>
        <v>0</v>
      </c>
      <c r="CA460" s="175">
        <f>IF(AND(Input_Product=Elig!$C460,Elig_MatchAll_Ct&lt;22,$BC460=(Elig_MatchAll_Ct-1),AW460=0),V460,0)</f>
        <v>0</v>
      </c>
      <c r="CB460" s="176">
        <f>IF(AND(Input_Product=Elig!$C460,Elig_MatchAll_Ct&lt;22,$BC460=(Elig_MatchAll_Ct-1),AW460=0),W460,0)</f>
        <v>0</v>
      </c>
      <c r="CC460" s="175">
        <f>IF(AND(Input_Product=Elig!$C460,Elig_MatchAll_Ct&lt;22,$BC460=(Elig_MatchAll_Ct-1),AX460=0),X460,0)</f>
        <v>0</v>
      </c>
      <c r="CD460" s="176">
        <f>IF(AND(Input_Product=Elig!$C460,Elig_MatchAll_Ct&lt;22,$BC460=(Elig_MatchAll_Ct-1),AX460=0),Y460,0)</f>
        <v>0</v>
      </c>
      <c r="CE460" s="175">
        <f>IF(AND(Input_LTV&lt;=AE460,Input_Product=Elig!$C460,Elig_MatchAll_Ct&lt;22,$BC460=(Elig_MatchAll_Ct-1),AY460=0),Z460,0)</f>
        <v>0</v>
      </c>
      <c r="CF460" s="176">
        <f>IF(AND(Input_LTV&lt;=AE460,Input_Product=Elig!$C460,Elig_MatchAll_Ct&lt;22,$BC460=(Elig_MatchAll_Ct-1),AY460=0),AA460,0)</f>
        <v>0</v>
      </c>
      <c r="CG460" s="175">
        <f>IF(AND(Input_Product=Elig!$C460,Elig_MatchAll_Ct&lt;22,$BC460=(Elig_MatchAll_Ct-1),AZ460=0),AB460,0)</f>
        <v>0</v>
      </c>
      <c r="CH460" s="176">
        <f>IF(AND(Input_Product=Elig!$C460,Elig_MatchAll_Ct&lt;22,$BC460=(Elig_MatchAll_Ct-1),AZ460=0),AC460,0)</f>
        <v>0</v>
      </c>
      <c r="CI460" s="175">
        <f>IF(AND(Input_Product=Elig!$C460,Elig_MatchAll_Ct&lt;22,$BC460=(Elig_MatchAll_Ct-1),BA460=0),AD460,0)</f>
        <v>0</v>
      </c>
      <c r="CJ460" s="176">
        <f>IF(AND(Input_Product=Elig!$C460,Elig_MatchAll_Ct&lt;22,$BC460=(Elig_MatchAll_Ct-1),BA460=0),AE460,0)</f>
        <v>0</v>
      </c>
    </row>
    <row r="461" spans="1:88" ht="10.15" customHeight="1" x14ac:dyDescent="0.25">
      <c r="A461" s="252" t="s">
        <v>76</v>
      </c>
      <c r="B461" s="252" t="s">
        <v>2124</v>
      </c>
      <c r="C461" s="256" t="str">
        <f t="shared" si="140"/>
        <v>NonQM NOO</v>
      </c>
      <c r="D461" s="257" t="s">
        <v>1995</v>
      </c>
      <c r="E461" s="257" t="s">
        <v>166</v>
      </c>
      <c r="F461" s="257" t="s">
        <v>329</v>
      </c>
      <c r="G461" s="257" t="s">
        <v>304</v>
      </c>
      <c r="H461" s="257" t="s">
        <v>135</v>
      </c>
      <c r="I461" s="260" t="s">
        <v>16</v>
      </c>
      <c r="J461" s="260" t="s">
        <v>1130</v>
      </c>
      <c r="K461" s="260" t="s">
        <v>1398</v>
      </c>
      <c r="L461" s="257" t="s">
        <v>311</v>
      </c>
      <c r="M461" s="257" t="s">
        <v>2289</v>
      </c>
      <c r="N461" s="257" t="s">
        <v>1844</v>
      </c>
      <c r="O461" s="257" t="s">
        <v>309</v>
      </c>
      <c r="P461" s="257" t="s">
        <v>2434</v>
      </c>
      <c r="Q461" s="257" t="s">
        <v>293</v>
      </c>
      <c r="R461" s="257">
        <v>2000000.01</v>
      </c>
      <c r="S461" s="257">
        <v>2500000</v>
      </c>
      <c r="T461" s="257">
        <v>0</v>
      </c>
      <c r="U461" s="257">
        <f t="shared" si="173"/>
        <v>2500000</v>
      </c>
      <c r="V461" s="257">
        <v>0</v>
      </c>
      <c r="W461" s="257">
        <v>50</v>
      </c>
      <c r="X461" s="257">
        <v>0</v>
      </c>
      <c r="Y461" s="257">
        <v>999</v>
      </c>
      <c r="Z461" s="258">
        <v>660</v>
      </c>
      <c r="AA461" s="258">
        <v>679</v>
      </c>
      <c r="AB461" s="1884">
        <v>0</v>
      </c>
      <c r="AC461" s="258">
        <v>999999</v>
      </c>
      <c r="AD461" s="257">
        <v>0</v>
      </c>
      <c r="AE461" s="259">
        <v>60</v>
      </c>
      <c r="AF461" s="144">
        <v>0</v>
      </c>
      <c r="AG461" s="145">
        <v>1</v>
      </c>
      <c r="AH461" s="145">
        <v>1</v>
      </c>
      <c r="AI461" s="145">
        <v>1</v>
      </c>
      <c r="AJ461" s="145">
        <v>0</v>
      </c>
      <c r="AK461" s="145">
        <v>1</v>
      </c>
      <c r="AL461" s="145">
        <v>0</v>
      </c>
      <c r="AM461" s="145">
        <v>1</v>
      </c>
      <c r="AN461" s="145">
        <v>1</v>
      </c>
      <c r="AO461" s="145">
        <v>1</v>
      </c>
      <c r="AP461" s="145">
        <v>1</v>
      </c>
      <c r="AQ461" s="145">
        <v>1</v>
      </c>
      <c r="AR461" s="145">
        <v>1</v>
      </c>
      <c r="AS461" s="145">
        <v>1</v>
      </c>
      <c r="AT461" s="145">
        <v>1</v>
      </c>
      <c r="AU461" s="145">
        <f t="shared" si="148"/>
        <v>0</v>
      </c>
      <c r="AV461" s="145">
        <f t="shared" si="149"/>
        <v>1</v>
      </c>
      <c r="AW461" s="145">
        <f t="shared" si="150"/>
        <v>1</v>
      </c>
      <c r="AX461" s="145">
        <f t="shared" si="161"/>
        <v>1</v>
      </c>
      <c r="AY461" s="145">
        <f t="shared" si="151"/>
        <v>0</v>
      </c>
      <c r="AZ461" s="145">
        <f t="shared" si="152"/>
        <v>1</v>
      </c>
      <c r="BA461" s="146">
        <f t="shared" si="153"/>
        <v>0</v>
      </c>
      <c r="BB461" s="149">
        <f t="shared" si="166"/>
        <v>16</v>
      </c>
      <c r="BC461" s="150">
        <f t="shared" si="167"/>
        <v>16</v>
      </c>
      <c r="BD461" s="150">
        <f t="shared" si="168"/>
        <v>16</v>
      </c>
      <c r="BE461" s="211" t="str">
        <f t="shared" si="169"/>
        <v/>
      </c>
      <c r="BH461" s="188">
        <f>IF(AND(Input_Product=Elig!$C461,Elig_MatchAll_Ct&lt;22,$BC461=(Elig_MatchAll_Ct-1),AF461=0),C461,0)</f>
        <v>0</v>
      </c>
      <c r="BI461" s="188">
        <f>IF(AND(Input_Product=Elig!$C461,Elig_MatchAll_Ct&lt;22,$BC461=(Elig_MatchAll_Ct-1),AG461=0),D461,0)</f>
        <v>0</v>
      </c>
      <c r="BJ461" s="188">
        <f>IF(AND(Input_Product=Elig!$C461,Elig_MatchAll_Ct&lt;22,$BC461=(Elig_MatchAll_Ct-1),AH461=0),E461,0)</f>
        <v>0</v>
      </c>
      <c r="BK461" s="188">
        <f>IF(AND(Input_Product=Elig!$C461,Elig_MatchAll_Ct&lt;22,$BC461=(Elig_MatchAll_Ct-1),AI461=0),F461,0)</f>
        <v>0</v>
      </c>
      <c r="BL461" s="188">
        <f>IF(AND(Input_Product=Elig!$C461,Elig_MatchAll_Ct&lt;22,$BC461=(Elig_MatchAll_Ct-1),AJ461=0),G461,0)</f>
        <v>0</v>
      </c>
      <c r="BM461" s="188">
        <f>IF(AND(Input_Product=Elig!$C461,Elig_MatchAll_Ct&lt;22,$BC461=(Elig_MatchAll_Ct-1),AK461=0),H461,0)</f>
        <v>0</v>
      </c>
      <c r="BN461" s="188">
        <f>IF(AND(Input_Product=Elig!$C461,Elig_MatchAll_Ct&lt;22,$BC461=(Elig_MatchAll_Ct-1),AL461=0),I461,0)</f>
        <v>0</v>
      </c>
      <c r="BO461" s="188">
        <f>IF(AND(Input_Product=Elig!$C461,Elig_MatchAll_Ct&lt;22,$BC461=(Elig_MatchAll_Ct-1),AM461=0),J461,0)</f>
        <v>0</v>
      </c>
      <c r="BP461" s="188">
        <f>IF(AND(Input_Product=Elig!$C461,Elig_MatchAll_Ct&lt;22,$BC461=(Elig_MatchAll_Ct-1),AN461=0),K461,0)</f>
        <v>0</v>
      </c>
      <c r="BQ461" s="188">
        <f>IF(AND(Input_Product=Elig!$C461,Elig_MatchAll_Ct&lt;22,$BC461=(Elig_MatchAll_Ct-1),AP461=0),L461,0)</f>
        <v>0</v>
      </c>
      <c r="BR461" s="188">
        <f>IF(AND(Input_Product=Elig!$C461,Elig_MatchAll_Ct&lt;22,$BC461=(Elig_MatchAll_Ct-1),AO461=0),M461,0)</f>
        <v>0</v>
      </c>
      <c r="BS461" s="188">
        <f>IF(AND(Input_Product=Elig!$C461,Elig_MatchAll_Ct&lt;22,$BC461=(Elig_MatchAll_Ct-1),AQ461=0),N461,0)</f>
        <v>0</v>
      </c>
      <c r="BT461" s="188">
        <f>IF(AND(Input_Product=Elig!$C461,Elig_MatchAll_Ct&lt;22,$BC461=(Elig_MatchAll_Ct-1),AR461=0),O461,0)</f>
        <v>0</v>
      </c>
      <c r="BU461" s="188">
        <f>IF(AND(Input_Product=Elig!$C461,Elig_MatchAll_Ct&lt;22,$BC461=(Elig_MatchAll_Ct-1),AS461=0),P461,0)</f>
        <v>0</v>
      </c>
      <c r="BV461" s="189">
        <f>IF(AND(Input_Product=Elig!$C461,Elig_MatchAll_Ct&lt;22,$BC461=(Elig_MatchAll_Ct-1),AT461=0),Q461,0)</f>
        <v>0</v>
      </c>
      <c r="BW461" s="271">
        <f>IF(AND(Input_Product=Elig!$C461,Elig_MatchAll_Ct&lt;22,$BC461=(Elig_MatchAll_Ct-1),AU461=0),R461,0)</f>
        <v>0</v>
      </c>
      <c r="BX461" s="272">
        <f>IF(AND(Input_Product=Elig!$C461,Elig_MatchAll_Ct&lt;22,$BC461=(Elig_MatchAll_Ct-1),AU461=0),S461,0)</f>
        <v>0</v>
      </c>
      <c r="BY461" s="271">
        <f>IF(AND(Input_Product=Elig!$C461,Elig_MatchAll_Ct&lt;22,$BC461=(Elig_MatchAll_Ct-1),AV461=0),T461,0)</f>
        <v>0</v>
      </c>
      <c r="BZ461" s="272">
        <f>IF(AND(Input_Product=Elig!$C461,Elig_MatchAll_Ct&lt;22,$BC461=(Elig_MatchAll_Ct-1),AV461=0),U461,0)</f>
        <v>0</v>
      </c>
      <c r="CA461" s="271">
        <f>IF(AND(Input_Product=Elig!$C461,Elig_MatchAll_Ct&lt;22,$BC461=(Elig_MatchAll_Ct-1),AW461=0),V461,0)</f>
        <v>0</v>
      </c>
      <c r="CB461" s="272">
        <f>IF(AND(Input_Product=Elig!$C461,Elig_MatchAll_Ct&lt;22,$BC461=(Elig_MatchAll_Ct-1),AW461=0),W461,0)</f>
        <v>0</v>
      </c>
      <c r="CC461" s="271">
        <f>IF(AND(Input_Product=Elig!$C461,Elig_MatchAll_Ct&lt;22,$BC461=(Elig_MatchAll_Ct-1),AX461=0),X461,0)</f>
        <v>0</v>
      </c>
      <c r="CD461" s="272">
        <f>IF(AND(Input_Product=Elig!$C461,Elig_MatchAll_Ct&lt;22,$BC461=(Elig_MatchAll_Ct-1),AX461=0),Y461,0)</f>
        <v>0</v>
      </c>
      <c r="CE461" s="271">
        <f>IF(AND(Input_LTV&lt;=AE461,Input_Product=Elig!$C461,Elig_MatchAll_Ct&lt;22,$BC461=(Elig_MatchAll_Ct-1),AY461=0),Z461,0)</f>
        <v>0</v>
      </c>
      <c r="CF461" s="272">
        <f>IF(AND(Input_LTV&lt;=AE461,Input_Product=Elig!$C461,Elig_MatchAll_Ct&lt;22,$BC461=(Elig_MatchAll_Ct-1),AY461=0),AA461,0)</f>
        <v>0</v>
      </c>
      <c r="CG461" s="271">
        <f>IF(AND(Input_Product=Elig!$C461,Elig_MatchAll_Ct&lt;22,$BC461=(Elig_MatchAll_Ct-1),AZ461=0),AB461,0)</f>
        <v>0</v>
      </c>
      <c r="CH461" s="272">
        <f>IF(AND(Input_Product=Elig!$C461,Elig_MatchAll_Ct&lt;22,$BC461=(Elig_MatchAll_Ct-1),AZ461=0),AC461,0)</f>
        <v>0</v>
      </c>
      <c r="CI461" s="271">
        <f>IF(AND(Input_Product=Elig!$C461,Elig_MatchAll_Ct&lt;22,$BC461=(Elig_MatchAll_Ct-1),BA461=0),AD461,0)</f>
        <v>0</v>
      </c>
      <c r="CJ461" s="272">
        <f>IF(AND(Input_Product=Elig!$C461,Elig_MatchAll_Ct&lt;22,$BC461=(Elig_MatchAll_Ct-1),BA461=0),AE461,0)</f>
        <v>0</v>
      </c>
    </row>
    <row r="462" spans="1:88" ht="10.15" customHeight="1" x14ac:dyDescent="0.25">
      <c r="A462" s="252" t="s">
        <v>76</v>
      </c>
      <c r="B462" s="252" t="s">
        <v>2125</v>
      </c>
      <c r="C462" s="246" t="str">
        <f t="shared" ref="C462:C473" si="175">Input_Name_Product2</f>
        <v>NonQM NOO</v>
      </c>
      <c r="D462" s="247" t="s">
        <v>1995</v>
      </c>
      <c r="E462" s="248" t="s">
        <v>166</v>
      </c>
      <c r="F462" s="248" t="s">
        <v>329</v>
      </c>
      <c r="G462" s="248" t="s">
        <v>180</v>
      </c>
      <c r="H462" s="248" t="s">
        <v>135</v>
      </c>
      <c r="I462" s="247" t="s">
        <v>273</v>
      </c>
      <c r="J462" s="247" t="s">
        <v>1130</v>
      </c>
      <c r="K462" s="247" t="s">
        <v>1398</v>
      </c>
      <c r="L462" s="248" t="s">
        <v>311</v>
      </c>
      <c r="M462" s="248" t="s">
        <v>2289</v>
      </c>
      <c r="N462" s="248" t="s">
        <v>1844</v>
      </c>
      <c r="O462" s="248" t="s">
        <v>309</v>
      </c>
      <c r="P462" s="248" t="s">
        <v>2434</v>
      </c>
      <c r="Q462" s="248" t="s">
        <v>293</v>
      </c>
      <c r="R462" s="247">
        <v>2000000.01</v>
      </c>
      <c r="S462" s="247">
        <v>2500000</v>
      </c>
      <c r="T462" s="247">
        <v>0</v>
      </c>
      <c r="U462" s="247">
        <v>0</v>
      </c>
      <c r="V462" s="247">
        <v>0</v>
      </c>
      <c r="W462" s="247">
        <v>50</v>
      </c>
      <c r="X462" s="247">
        <v>0.75</v>
      </c>
      <c r="Y462" s="247">
        <v>999</v>
      </c>
      <c r="Z462" s="249">
        <v>720</v>
      </c>
      <c r="AA462" s="249">
        <v>999</v>
      </c>
      <c r="AB462" s="1882">
        <v>0</v>
      </c>
      <c r="AC462" s="249">
        <v>999999</v>
      </c>
      <c r="AD462" s="247">
        <v>0</v>
      </c>
      <c r="AE462" s="250">
        <v>70</v>
      </c>
      <c r="AF462" s="144">
        <v>0</v>
      </c>
      <c r="AG462" s="145">
        <v>1</v>
      </c>
      <c r="AH462" s="145">
        <v>1</v>
      </c>
      <c r="AI462" s="145">
        <v>1</v>
      </c>
      <c r="AJ462" s="145">
        <v>1</v>
      </c>
      <c r="AK462" s="145">
        <v>1</v>
      </c>
      <c r="AL462" s="145">
        <v>1</v>
      </c>
      <c r="AM462" s="145">
        <v>1</v>
      </c>
      <c r="AN462" s="145">
        <v>1</v>
      </c>
      <c r="AO462" s="145">
        <v>1</v>
      </c>
      <c r="AP462" s="145">
        <v>1</v>
      </c>
      <c r="AQ462" s="145">
        <v>1</v>
      </c>
      <c r="AR462" s="145">
        <v>1</v>
      </c>
      <c r="AS462" s="145">
        <v>1</v>
      </c>
      <c r="AT462" s="145">
        <v>1</v>
      </c>
      <c r="AU462" s="145">
        <f t="shared" si="148"/>
        <v>0</v>
      </c>
      <c r="AV462" s="145">
        <f t="shared" si="149"/>
        <v>1</v>
      </c>
      <c r="AW462" s="145">
        <f t="shared" si="150"/>
        <v>1</v>
      </c>
      <c r="AX462" s="145">
        <f t="shared" si="161"/>
        <v>1</v>
      </c>
      <c r="AY462" s="145">
        <f t="shared" si="151"/>
        <v>1</v>
      </c>
      <c r="AZ462" s="145">
        <f t="shared" si="152"/>
        <v>1</v>
      </c>
      <c r="BA462" s="146">
        <f t="shared" si="153"/>
        <v>1</v>
      </c>
      <c r="BB462" s="149">
        <f t="shared" si="166"/>
        <v>20</v>
      </c>
      <c r="BC462" s="150">
        <f t="shared" si="167"/>
        <v>19</v>
      </c>
      <c r="BD462" s="150">
        <f t="shared" si="168"/>
        <v>20</v>
      </c>
      <c r="BE462" s="211" t="str">
        <f t="shared" si="169"/>
        <v/>
      </c>
      <c r="BH462" s="184">
        <f>IF(AND(Input_Product=Elig!$C462,Elig_MatchAll_Ct&lt;22,$BC462=(Elig_MatchAll_Ct-1),AF462=0),C462,0)</f>
        <v>0</v>
      </c>
      <c r="BI462" s="184">
        <f>IF(AND(Input_Product=Elig!$C462,Elig_MatchAll_Ct&lt;22,$BC462=(Elig_MatchAll_Ct-1),AG462=0),D462,0)</f>
        <v>0</v>
      </c>
      <c r="BJ462" s="184">
        <f>IF(AND(Input_Product=Elig!$C462,Elig_MatchAll_Ct&lt;22,$BC462=(Elig_MatchAll_Ct-1),AH462=0),E462,0)</f>
        <v>0</v>
      </c>
      <c r="BK462" s="184">
        <f>IF(AND(Input_Product=Elig!$C462,Elig_MatchAll_Ct&lt;22,$BC462=(Elig_MatchAll_Ct-1),AI462=0),F462,0)</f>
        <v>0</v>
      </c>
      <c r="BL462" s="184">
        <f>IF(AND(Input_Product=Elig!$C462,Elig_MatchAll_Ct&lt;22,$BC462=(Elig_MatchAll_Ct-1),AJ462=0),G462,0)</f>
        <v>0</v>
      </c>
      <c r="BM462" s="184">
        <f>IF(AND(Input_Product=Elig!$C462,Elig_MatchAll_Ct&lt;22,$BC462=(Elig_MatchAll_Ct-1),AK462=0),H462,0)</f>
        <v>0</v>
      </c>
      <c r="BN462" s="184">
        <f>IF(AND(Input_Product=Elig!$C462,Elig_MatchAll_Ct&lt;22,$BC462=(Elig_MatchAll_Ct-1),AL462=0),I462,0)</f>
        <v>0</v>
      </c>
      <c r="BO462" s="184">
        <f>IF(AND(Input_Product=Elig!$C462,Elig_MatchAll_Ct&lt;22,$BC462=(Elig_MatchAll_Ct-1),AM462=0),J462,0)</f>
        <v>0</v>
      </c>
      <c r="BP462" s="184">
        <f>IF(AND(Input_Product=Elig!$C462,Elig_MatchAll_Ct&lt;22,$BC462=(Elig_MatchAll_Ct-1),AN462=0),K462,0)</f>
        <v>0</v>
      </c>
      <c r="BQ462" s="184">
        <f>IF(AND(Input_Product=Elig!$C462,Elig_MatchAll_Ct&lt;22,$BC462=(Elig_MatchAll_Ct-1),AP462=0),L462,0)</f>
        <v>0</v>
      </c>
      <c r="BR462" s="184">
        <f>IF(AND(Input_Product=Elig!$C462,Elig_MatchAll_Ct&lt;22,$BC462=(Elig_MatchAll_Ct-1),AO462=0),M462,0)</f>
        <v>0</v>
      </c>
      <c r="BS462" s="184">
        <f>IF(AND(Input_Product=Elig!$C462,Elig_MatchAll_Ct&lt;22,$BC462=(Elig_MatchAll_Ct-1),AQ462=0),N462,0)</f>
        <v>0</v>
      </c>
      <c r="BT462" s="184">
        <f>IF(AND(Input_Product=Elig!$C462,Elig_MatchAll_Ct&lt;22,$BC462=(Elig_MatchAll_Ct-1),AR462=0),O462,0)</f>
        <v>0</v>
      </c>
      <c r="BU462" s="184">
        <f>IF(AND(Input_Product=Elig!$C462,Elig_MatchAll_Ct&lt;22,$BC462=(Elig_MatchAll_Ct-1),AS462=0),P462,0)</f>
        <v>0</v>
      </c>
      <c r="BV462" s="185">
        <f>IF(AND(Input_Product=Elig!$C462,Elig_MatchAll_Ct&lt;22,$BC462=(Elig_MatchAll_Ct-1),AT462=0),Q462,0)</f>
        <v>0</v>
      </c>
      <c r="BW462" s="186">
        <f>IF(AND(Input_Product=Elig!$C462,Elig_MatchAll_Ct&lt;22,$BC462=(Elig_MatchAll_Ct-1),AU462=0),R462,0)</f>
        <v>0</v>
      </c>
      <c r="BX462" s="187">
        <f>IF(AND(Input_Product=Elig!$C462,Elig_MatchAll_Ct&lt;22,$BC462=(Elig_MatchAll_Ct-1),AU462=0),S462,0)</f>
        <v>0</v>
      </c>
      <c r="BY462" s="186">
        <f>IF(AND(Input_Product=Elig!$C462,Elig_MatchAll_Ct&lt;22,$BC462=(Elig_MatchAll_Ct-1),AV462=0),T462,0)</f>
        <v>0</v>
      </c>
      <c r="BZ462" s="187">
        <f>IF(AND(Input_Product=Elig!$C462,Elig_MatchAll_Ct&lt;22,$BC462=(Elig_MatchAll_Ct-1),AV462=0),U462,0)</f>
        <v>0</v>
      </c>
      <c r="CA462" s="186">
        <f>IF(AND(Input_Product=Elig!$C462,Elig_MatchAll_Ct&lt;22,$BC462=(Elig_MatchAll_Ct-1),AW462=0),V462,0)</f>
        <v>0</v>
      </c>
      <c r="CB462" s="187">
        <f>IF(AND(Input_Product=Elig!$C462,Elig_MatchAll_Ct&lt;22,$BC462=(Elig_MatchAll_Ct-1),AW462=0),W462,0)</f>
        <v>0</v>
      </c>
      <c r="CC462" s="186">
        <f>IF(AND(Input_Product=Elig!$C462,Elig_MatchAll_Ct&lt;22,$BC462=(Elig_MatchAll_Ct-1),AX462=0),X462,0)</f>
        <v>0</v>
      </c>
      <c r="CD462" s="187">
        <f>IF(AND(Input_Product=Elig!$C462,Elig_MatchAll_Ct&lt;22,$BC462=(Elig_MatchAll_Ct-1),AX462=0),Y462,0)</f>
        <v>0</v>
      </c>
      <c r="CE462" s="186">
        <f>IF(AND(Input_LTV&lt;=AE462,Input_Product=Elig!$C462,Elig_MatchAll_Ct&lt;22,$BC462=(Elig_MatchAll_Ct-1),AY462=0),Z462,0)</f>
        <v>0</v>
      </c>
      <c r="CF462" s="187">
        <f>IF(AND(Input_LTV&lt;=AE462,Input_Product=Elig!$C462,Elig_MatchAll_Ct&lt;22,$BC462=(Elig_MatchAll_Ct-1),AY462=0),AA462,0)</f>
        <v>0</v>
      </c>
      <c r="CG462" s="186">
        <f>IF(AND(Input_Product=Elig!$C462,Elig_MatchAll_Ct&lt;22,$BC462=(Elig_MatchAll_Ct-1),AZ462=0),AB462,0)</f>
        <v>0</v>
      </c>
      <c r="CH462" s="187">
        <f>IF(AND(Input_Product=Elig!$C462,Elig_MatchAll_Ct&lt;22,$BC462=(Elig_MatchAll_Ct-1),AZ462=0),AC462,0)</f>
        <v>0</v>
      </c>
      <c r="CI462" s="186">
        <f>IF(AND(Input_Product=Elig!$C462,Elig_MatchAll_Ct&lt;22,$BC462=(Elig_MatchAll_Ct-1),BA462=0),AD462,0)</f>
        <v>0</v>
      </c>
      <c r="CJ462" s="187">
        <f>IF(AND(Input_Product=Elig!$C462,Elig_MatchAll_Ct&lt;22,$BC462=(Elig_MatchAll_Ct-1),BA462=0),AE462,0)</f>
        <v>0</v>
      </c>
    </row>
    <row r="463" spans="1:88" ht="10.15" customHeight="1" x14ac:dyDescent="0.25">
      <c r="A463" s="252" t="s">
        <v>76</v>
      </c>
      <c r="B463" s="252" t="s">
        <v>2126</v>
      </c>
      <c r="C463" s="251" t="str">
        <f t="shared" si="140"/>
        <v>NonQM NOO</v>
      </c>
      <c r="D463" s="252" t="s">
        <v>1995</v>
      </c>
      <c r="E463" s="252" t="s">
        <v>166</v>
      </c>
      <c r="F463" s="252" t="s">
        <v>329</v>
      </c>
      <c r="G463" s="252" t="s">
        <v>180</v>
      </c>
      <c r="H463" s="252" t="s">
        <v>135</v>
      </c>
      <c r="I463" s="253" t="s">
        <v>273</v>
      </c>
      <c r="J463" s="253" t="s">
        <v>1130</v>
      </c>
      <c r="K463" s="253" t="s">
        <v>1398</v>
      </c>
      <c r="L463" s="252" t="s">
        <v>311</v>
      </c>
      <c r="M463" s="252" t="s">
        <v>2289</v>
      </c>
      <c r="N463" s="252" t="s">
        <v>1844</v>
      </c>
      <c r="O463" s="252" t="s">
        <v>309</v>
      </c>
      <c r="P463" s="252" t="s">
        <v>2434</v>
      </c>
      <c r="Q463" s="252" t="s">
        <v>293</v>
      </c>
      <c r="R463" s="252">
        <v>2000000.01</v>
      </c>
      <c r="S463" s="252">
        <v>2500000</v>
      </c>
      <c r="T463" s="252">
        <v>0</v>
      </c>
      <c r="U463" s="252">
        <v>0</v>
      </c>
      <c r="V463" s="252">
        <v>0</v>
      </c>
      <c r="W463" s="252">
        <v>50</v>
      </c>
      <c r="X463" s="252">
        <v>0.75</v>
      </c>
      <c r="Y463" s="252">
        <v>999</v>
      </c>
      <c r="Z463" s="254">
        <v>700</v>
      </c>
      <c r="AA463" s="254">
        <v>719</v>
      </c>
      <c r="AB463" s="1883">
        <v>0</v>
      </c>
      <c r="AC463" s="254">
        <v>999999</v>
      </c>
      <c r="AD463" s="252">
        <v>0</v>
      </c>
      <c r="AE463" s="255">
        <v>70</v>
      </c>
      <c r="AF463" s="144">
        <v>0</v>
      </c>
      <c r="AG463" s="145">
        <v>1</v>
      </c>
      <c r="AH463" s="145">
        <v>1</v>
      </c>
      <c r="AI463" s="145">
        <v>1</v>
      </c>
      <c r="AJ463" s="145">
        <v>1</v>
      </c>
      <c r="AK463" s="145">
        <v>1</v>
      </c>
      <c r="AL463" s="145">
        <v>1</v>
      </c>
      <c r="AM463" s="145">
        <v>1</v>
      </c>
      <c r="AN463" s="145">
        <v>1</v>
      </c>
      <c r="AO463" s="145">
        <v>1</v>
      </c>
      <c r="AP463" s="145">
        <v>1</v>
      </c>
      <c r="AQ463" s="145">
        <v>1</v>
      </c>
      <c r="AR463" s="145">
        <v>1</v>
      </c>
      <c r="AS463" s="145">
        <v>1</v>
      </c>
      <c r="AT463" s="145">
        <v>1</v>
      </c>
      <c r="AU463" s="145">
        <f t="shared" si="148"/>
        <v>0</v>
      </c>
      <c r="AV463" s="145">
        <f t="shared" si="149"/>
        <v>1</v>
      </c>
      <c r="AW463" s="145">
        <f t="shared" si="150"/>
        <v>1</v>
      </c>
      <c r="AX463" s="145">
        <f t="shared" si="161"/>
        <v>1</v>
      </c>
      <c r="AY463" s="145">
        <f t="shared" si="151"/>
        <v>0</v>
      </c>
      <c r="AZ463" s="145">
        <f t="shared" si="152"/>
        <v>1</v>
      </c>
      <c r="BA463" s="146">
        <f t="shared" si="153"/>
        <v>1</v>
      </c>
      <c r="BB463" s="149">
        <f t="shared" si="166"/>
        <v>19</v>
      </c>
      <c r="BC463" s="150">
        <f t="shared" si="167"/>
        <v>18</v>
      </c>
      <c r="BD463" s="150">
        <f t="shared" si="168"/>
        <v>19</v>
      </c>
      <c r="BE463" s="211" t="str">
        <f t="shared" si="169"/>
        <v/>
      </c>
      <c r="BH463" s="173">
        <f>IF(AND(Input_Product=Elig!$C463,Elig_MatchAll_Ct&lt;22,$BC463=(Elig_MatchAll_Ct-1),AF463=0),C463,0)</f>
        <v>0</v>
      </c>
      <c r="BI463" s="173">
        <f>IF(AND(Input_Product=Elig!$C463,Elig_MatchAll_Ct&lt;22,$BC463=(Elig_MatchAll_Ct-1),AG463=0),D463,0)</f>
        <v>0</v>
      </c>
      <c r="BJ463" s="173">
        <f>IF(AND(Input_Product=Elig!$C463,Elig_MatchAll_Ct&lt;22,$BC463=(Elig_MatchAll_Ct-1),AH463=0),E463,0)</f>
        <v>0</v>
      </c>
      <c r="BK463" s="173">
        <f>IF(AND(Input_Product=Elig!$C463,Elig_MatchAll_Ct&lt;22,$BC463=(Elig_MatchAll_Ct-1),AI463=0),F463,0)</f>
        <v>0</v>
      </c>
      <c r="BL463" s="173">
        <f>IF(AND(Input_Product=Elig!$C463,Elig_MatchAll_Ct&lt;22,$BC463=(Elig_MatchAll_Ct-1),AJ463=0),G463,0)</f>
        <v>0</v>
      </c>
      <c r="BM463" s="173">
        <f>IF(AND(Input_Product=Elig!$C463,Elig_MatchAll_Ct&lt;22,$BC463=(Elig_MatchAll_Ct-1),AK463=0),H463,0)</f>
        <v>0</v>
      </c>
      <c r="BN463" s="173">
        <f>IF(AND(Input_Product=Elig!$C463,Elig_MatchAll_Ct&lt;22,$BC463=(Elig_MatchAll_Ct-1),AL463=0),I463,0)</f>
        <v>0</v>
      </c>
      <c r="BO463" s="173">
        <f>IF(AND(Input_Product=Elig!$C463,Elig_MatchAll_Ct&lt;22,$BC463=(Elig_MatchAll_Ct-1),AM463=0),J463,0)</f>
        <v>0</v>
      </c>
      <c r="BP463" s="173">
        <f>IF(AND(Input_Product=Elig!$C463,Elig_MatchAll_Ct&lt;22,$BC463=(Elig_MatchAll_Ct-1),AN463=0),K463,0)</f>
        <v>0</v>
      </c>
      <c r="BQ463" s="173">
        <f>IF(AND(Input_Product=Elig!$C463,Elig_MatchAll_Ct&lt;22,$BC463=(Elig_MatchAll_Ct-1),AP463=0),L463,0)</f>
        <v>0</v>
      </c>
      <c r="BR463" s="173">
        <f>IF(AND(Input_Product=Elig!$C463,Elig_MatchAll_Ct&lt;22,$BC463=(Elig_MatchAll_Ct-1),AO463=0),M463,0)</f>
        <v>0</v>
      </c>
      <c r="BS463" s="173">
        <f>IF(AND(Input_Product=Elig!$C463,Elig_MatchAll_Ct&lt;22,$BC463=(Elig_MatchAll_Ct-1),AQ463=0),N463,0)</f>
        <v>0</v>
      </c>
      <c r="BT463" s="173">
        <f>IF(AND(Input_Product=Elig!$C463,Elig_MatchAll_Ct&lt;22,$BC463=(Elig_MatchAll_Ct-1),AR463=0),O463,0)</f>
        <v>0</v>
      </c>
      <c r="BU463" s="173">
        <f>IF(AND(Input_Product=Elig!$C463,Elig_MatchAll_Ct&lt;22,$BC463=(Elig_MatchAll_Ct-1),AS463=0),P463,0)</f>
        <v>0</v>
      </c>
      <c r="BV463" s="174">
        <f>IF(AND(Input_Product=Elig!$C463,Elig_MatchAll_Ct&lt;22,$BC463=(Elig_MatchAll_Ct-1),AT463=0),Q463,0)</f>
        <v>0</v>
      </c>
      <c r="BW463" s="175">
        <f>IF(AND(Input_Product=Elig!$C463,Elig_MatchAll_Ct&lt;22,$BC463=(Elig_MatchAll_Ct-1),AU463=0),R463,0)</f>
        <v>0</v>
      </c>
      <c r="BX463" s="176">
        <f>IF(AND(Input_Product=Elig!$C463,Elig_MatchAll_Ct&lt;22,$BC463=(Elig_MatchAll_Ct-1),AU463=0),S463,0)</f>
        <v>0</v>
      </c>
      <c r="BY463" s="175">
        <f>IF(AND(Input_Product=Elig!$C463,Elig_MatchAll_Ct&lt;22,$BC463=(Elig_MatchAll_Ct-1),AV463=0),T463,0)</f>
        <v>0</v>
      </c>
      <c r="BZ463" s="176">
        <f>IF(AND(Input_Product=Elig!$C463,Elig_MatchAll_Ct&lt;22,$BC463=(Elig_MatchAll_Ct-1),AV463=0),U463,0)</f>
        <v>0</v>
      </c>
      <c r="CA463" s="175">
        <f>IF(AND(Input_Product=Elig!$C463,Elig_MatchAll_Ct&lt;22,$BC463=(Elig_MatchAll_Ct-1),AW463=0),V463,0)</f>
        <v>0</v>
      </c>
      <c r="CB463" s="176">
        <f>IF(AND(Input_Product=Elig!$C463,Elig_MatchAll_Ct&lt;22,$BC463=(Elig_MatchAll_Ct-1),AW463=0),W463,0)</f>
        <v>0</v>
      </c>
      <c r="CC463" s="175">
        <f>IF(AND(Input_Product=Elig!$C463,Elig_MatchAll_Ct&lt;22,$BC463=(Elig_MatchAll_Ct-1),AX463=0),X463,0)</f>
        <v>0</v>
      </c>
      <c r="CD463" s="176">
        <f>IF(AND(Input_Product=Elig!$C463,Elig_MatchAll_Ct&lt;22,$BC463=(Elig_MatchAll_Ct-1),AX463=0),Y463,0)</f>
        <v>0</v>
      </c>
      <c r="CE463" s="175">
        <f>IF(AND(Input_LTV&lt;=AE463,Input_Product=Elig!$C463,Elig_MatchAll_Ct&lt;22,$BC463=(Elig_MatchAll_Ct-1),AY463=0),Z463,0)</f>
        <v>0</v>
      </c>
      <c r="CF463" s="176">
        <f>IF(AND(Input_LTV&lt;=AE463,Input_Product=Elig!$C463,Elig_MatchAll_Ct&lt;22,$BC463=(Elig_MatchAll_Ct-1),AY463=0),AA463,0)</f>
        <v>0</v>
      </c>
      <c r="CG463" s="175">
        <f>IF(AND(Input_Product=Elig!$C463,Elig_MatchAll_Ct&lt;22,$BC463=(Elig_MatchAll_Ct-1),AZ463=0),AB463,0)</f>
        <v>0</v>
      </c>
      <c r="CH463" s="176">
        <f>IF(AND(Input_Product=Elig!$C463,Elig_MatchAll_Ct&lt;22,$BC463=(Elig_MatchAll_Ct-1),AZ463=0),AC463,0)</f>
        <v>0</v>
      </c>
      <c r="CI463" s="175">
        <f>IF(AND(Input_Product=Elig!$C463,Elig_MatchAll_Ct&lt;22,$BC463=(Elig_MatchAll_Ct-1),BA463=0),AD463,0)</f>
        <v>0</v>
      </c>
      <c r="CJ463" s="176">
        <f>IF(AND(Input_Product=Elig!$C463,Elig_MatchAll_Ct&lt;22,$BC463=(Elig_MatchAll_Ct-1),BA463=0),AE463,0)</f>
        <v>0</v>
      </c>
    </row>
    <row r="464" spans="1:88" ht="10.15" customHeight="1" x14ac:dyDescent="0.25">
      <c r="A464" s="252" t="s">
        <v>76</v>
      </c>
      <c r="B464" s="252" t="s">
        <v>2127</v>
      </c>
      <c r="C464" s="251" t="str">
        <f t="shared" si="140"/>
        <v>NonQM NOO</v>
      </c>
      <c r="D464" s="252" t="s">
        <v>1995</v>
      </c>
      <c r="E464" s="252" t="s">
        <v>166</v>
      </c>
      <c r="F464" s="252" t="s">
        <v>329</v>
      </c>
      <c r="G464" s="252" t="s">
        <v>180</v>
      </c>
      <c r="H464" s="252" t="s">
        <v>135</v>
      </c>
      <c r="I464" s="253" t="s">
        <v>273</v>
      </c>
      <c r="J464" s="253" t="s">
        <v>1130</v>
      </c>
      <c r="K464" s="253" t="s">
        <v>1398</v>
      </c>
      <c r="L464" s="252" t="s">
        <v>311</v>
      </c>
      <c r="M464" s="252" t="s">
        <v>2289</v>
      </c>
      <c r="N464" s="252" t="s">
        <v>1844</v>
      </c>
      <c r="O464" s="252" t="s">
        <v>309</v>
      </c>
      <c r="P464" s="252" t="s">
        <v>2434</v>
      </c>
      <c r="Q464" s="252" t="s">
        <v>293</v>
      </c>
      <c r="R464" s="252">
        <v>2000000.01</v>
      </c>
      <c r="S464" s="252">
        <v>2500000</v>
      </c>
      <c r="T464" s="252">
        <v>0</v>
      </c>
      <c r="U464" s="252">
        <v>0</v>
      </c>
      <c r="V464" s="252">
        <v>0</v>
      </c>
      <c r="W464" s="252">
        <v>50</v>
      </c>
      <c r="X464" s="252">
        <v>0.75</v>
      </c>
      <c r="Y464" s="252">
        <v>999</v>
      </c>
      <c r="Z464" s="254">
        <v>680</v>
      </c>
      <c r="AA464" s="254">
        <v>699</v>
      </c>
      <c r="AB464" s="1883">
        <v>0</v>
      </c>
      <c r="AC464" s="254">
        <v>999999</v>
      </c>
      <c r="AD464" s="252">
        <v>0</v>
      </c>
      <c r="AE464" s="255">
        <v>70</v>
      </c>
      <c r="AF464" s="144">
        <v>0</v>
      </c>
      <c r="AG464" s="145">
        <v>1</v>
      </c>
      <c r="AH464" s="145">
        <v>1</v>
      </c>
      <c r="AI464" s="145">
        <v>1</v>
      </c>
      <c r="AJ464" s="145">
        <v>1</v>
      </c>
      <c r="AK464" s="145">
        <v>1</v>
      </c>
      <c r="AL464" s="145">
        <v>1</v>
      </c>
      <c r="AM464" s="145">
        <v>1</v>
      </c>
      <c r="AN464" s="145">
        <v>1</v>
      </c>
      <c r="AO464" s="145">
        <v>1</v>
      </c>
      <c r="AP464" s="145">
        <v>1</v>
      </c>
      <c r="AQ464" s="145">
        <v>1</v>
      </c>
      <c r="AR464" s="145">
        <v>1</v>
      </c>
      <c r="AS464" s="145">
        <v>1</v>
      </c>
      <c r="AT464" s="145">
        <v>1</v>
      </c>
      <c r="AU464" s="145">
        <f t="shared" si="148"/>
        <v>0</v>
      </c>
      <c r="AV464" s="145">
        <f t="shared" si="149"/>
        <v>1</v>
      </c>
      <c r="AW464" s="145">
        <f t="shared" si="150"/>
        <v>1</v>
      </c>
      <c r="AX464" s="145">
        <f t="shared" si="161"/>
        <v>1</v>
      </c>
      <c r="AY464" s="145">
        <f t="shared" si="151"/>
        <v>0</v>
      </c>
      <c r="AZ464" s="145">
        <f t="shared" si="152"/>
        <v>1</v>
      </c>
      <c r="BA464" s="146">
        <f t="shared" si="153"/>
        <v>1</v>
      </c>
      <c r="BB464" s="149">
        <f t="shared" si="166"/>
        <v>19</v>
      </c>
      <c r="BC464" s="150">
        <f t="shared" si="167"/>
        <v>18</v>
      </c>
      <c r="BD464" s="150">
        <f t="shared" si="168"/>
        <v>19</v>
      </c>
      <c r="BE464" s="211" t="str">
        <f t="shared" si="169"/>
        <v/>
      </c>
      <c r="BH464" s="173">
        <f>IF(AND(Input_Product=Elig!$C464,Elig_MatchAll_Ct&lt;22,$BC464=(Elig_MatchAll_Ct-1),AF464=0),C464,0)</f>
        <v>0</v>
      </c>
      <c r="BI464" s="173">
        <f>IF(AND(Input_Product=Elig!$C464,Elig_MatchAll_Ct&lt;22,$BC464=(Elig_MatchAll_Ct-1),AG464=0),D464,0)</f>
        <v>0</v>
      </c>
      <c r="BJ464" s="173">
        <f>IF(AND(Input_Product=Elig!$C464,Elig_MatchAll_Ct&lt;22,$BC464=(Elig_MatchAll_Ct-1),AH464=0),E464,0)</f>
        <v>0</v>
      </c>
      <c r="BK464" s="173">
        <f>IF(AND(Input_Product=Elig!$C464,Elig_MatchAll_Ct&lt;22,$BC464=(Elig_MatchAll_Ct-1),AI464=0),F464,0)</f>
        <v>0</v>
      </c>
      <c r="BL464" s="173">
        <f>IF(AND(Input_Product=Elig!$C464,Elig_MatchAll_Ct&lt;22,$BC464=(Elig_MatchAll_Ct-1),AJ464=0),G464,0)</f>
        <v>0</v>
      </c>
      <c r="BM464" s="173">
        <f>IF(AND(Input_Product=Elig!$C464,Elig_MatchAll_Ct&lt;22,$BC464=(Elig_MatchAll_Ct-1),AK464=0),H464,0)</f>
        <v>0</v>
      </c>
      <c r="BN464" s="173">
        <f>IF(AND(Input_Product=Elig!$C464,Elig_MatchAll_Ct&lt;22,$BC464=(Elig_MatchAll_Ct-1),AL464=0),I464,0)</f>
        <v>0</v>
      </c>
      <c r="BO464" s="173">
        <f>IF(AND(Input_Product=Elig!$C464,Elig_MatchAll_Ct&lt;22,$BC464=(Elig_MatchAll_Ct-1),AM464=0),J464,0)</f>
        <v>0</v>
      </c>
      <c r="BP464" s="173">
        <f>IF(AND(Input_Product=Elig!$C464,Elig_MatchAll_Ct&lt;22,$BC464=(Elig_MatchAll_Ct-1),AN464=0),K464,0)</f>
        <v>0</v>
      </c>
      <c r="BQ464" s="173">
        <f>IF(AND(Input_Product=Elig!$C464,Elig_MatchAll_Ct&lt;22,$BC464=(Elig_MatchAll_Ct-1),AP464=0),L464,0)</f>
        <v>0</v>
      </c>
      <c r="BR464" s="173">
        <f>IF(AND(Input_Product=Elig!$C464,Elig_MatchAll_Ct&lt;22,$BC464=(Elig_MatchAll_Ct-1),AO464=0),M464,0)</f>
        <v>0</v>
      </c>
      <c r="BS464" s="173">
        <f>IF(AND(Input_Product=Elig!$C464,Elig_MatchAll_Ct&lt;22,$BC464=(Elig_MatchAll_Ct-1),AQ464=0),N464,0)</f>
        <v>0</v>
      </c>
      <c r="BT464" s="173">
        <f>IF(AND(Input_Product=Elig!$C464,Elig_MatchAll_Ct&lt;22,$BC464=(Elig_MatchAll_Ct-1),AR464=0),O464,0)</f>
        <v>0</v>
      </c>
      <c r="BU464" s="173">
        <f>IF(AND(Input_Product=Elig!$C464,Elig_MatchAll_Ct&lt;22,$BC464=(Elig_MatchAll_Ct-1),AS464=0),P464,0)</f>
        <v>0</v>
      </c>
      <c r="BV464" s="174">
        <f>IF(AND(Input_Product=Elig!$C464,Elig_MatchAll_Ct&lt;22,$BC464=(Elig_MatchAll_Ct-1),AT464=0),Q464,0)</f>
        <v>0</v>
      </c>
      <c r="BW464" s="175">
        <f>IF(AND(Input_Product=Elig!$C464,Elig_MatchAll_Ct&lt;22,$BC464=(Elig_MatchAll_Ct-1),AU464=0),R464,0)</f>
        <v>0</v>
      </c>
      <c r="BX464" s="176">
        <f>IF(AND(Input_Product=Elig!$C464,Elig_MatchAll_Ct&lt;22,$BC464=(Elig_MatchAll_Ct-1),AU464=0),S464,0)</f>
        <v>0</v>
      </c>
      <c r="BY464" s="175">
        <f>IF(AND(Input_Product=Elig!$C464,Elig_MatchAll_Ct&lt;22,$BC464=(Elig_MatchAll_Ct-1),AV464=0),T464,0)</f>
        <v>0</v>
      </c>
      <c r="BZ464" s="176">
        <f>IF(AND(Input_Product=Elig!$C464,Elig_MatchAll_Ct&lt;22,$BC464=(Elig_MatchAll_Ct-1),AV464=0),U464,0)</f>
        <v>0</v>
      </c>
      <c r="CA464" s="175">
        <f>IF(AND(Input_Product=Elig!$C464,Elig_MatchAll_Ct&lt;22,$BC464=(Elig_MatchAll_Ct-1),AW464=0),V464,0)</f>
        <v>0</v>
      </c>
      <c r="CB464" s="176">
        <f>IF(AND(Input_Product=Elig!$C464,Elig_MatchAll_Ct&lt;22,$BC464=(Elig_MatchAll_Ct-1),AW464=0),W464,0)</f>
        <v>0</v>
      </c>
      <c r="CC464" s="175">
        <f>IF(AND(Input_Product=Elig!$C464,Elig_MatchAll_Ct&lt;22,$BC464=(Elig_MatchAll_Ct-1),AX464=0),X464,0)</f>
        <v>0</v>
      </c>
      <c r="CD464" s="176">
        <f>IF(AND(Input_Product=Elig!$C464,Elig_MatchAll_Ct&lt;22,$BC464=(Elig_MatchAll_Ct-1),AX464=0),Y464,0)</f>
        <v>0</v>
      </c>
      <c r="CE464" s="175">
        <f>IF(AND(Input_LTV&lt;=AE464,Input_Product=Elig!$C464,Elig_MatchAll_Ct&lt;22,$BC464=(Elig_MatchAll_Ct-1),AY464=0),Z464,0)</f>
        <v>0</v>
      </c>
      <c r="CF464" s="176">
        <f>IF(AND(Input_LTV&lt;=AE464,Input_Product=Elig!$C464,Elig_MatchAll_Ct&lt;22,$BC464=(Elig_MatchAll_Ct-1),AY464=0),AA464,0)</f>
        <v>0</v>
      </c>
      <c r="CG464" s="175">
        <f>IF(AND(Input_Product=Elig!$C464,Elig_MatchAll_Ct&lt;22,$BC464=(Elig_MatchAll_Ct-1),AZ464=0),AB464,0)</f>
        <v>0</v>
      </c>
      <c r="CH464" s="176">
        <f>IF(AND(Input_Product=Elig!$C464,Elig_MatchAll_Ct&lt;22,$BC464=(Elig_MatchAll_Ct-1),AZ464=0),AC464,0)</f>
        <v>0</v>
      </c>
      <c r="CI464" s="175">
        <f>IF(AND(Input_Product=Elig!$C464,Elig_MatchAll_Ct&lt;22,$BC464=(Elig_MatchAll_Ct-1),BA464=0),AD464,0)</f>
        <v>0</v>
      </c>
      <c r="CJ464" s="176">
        <f>IF(AND(Input_Product=Elig!$C464,Elig_MatchAll_Ct&lt;22,$BC464=(Elig_MatchAll_Ct-1),BA464=0),AE464,0)</f>
        <v>0</v>
      </c>
    </row>
    <row r="465" spans="1:88" ht="10.15" customHeight="1" x14ac:dyDescent="0.25">
      <c r="A465" s="252" t="s">
        <v>76</v>
      </c>
      <c r="B465" s="252" t="s">
        <v>2128</v>
      </c>
      <c r="C465" s="256" t="str">
        <f t="shared" si="175"/>
        <v>NonQM NOO</v>
      </c>
      <c r="D465" s="257" t="s">
        <v>1995</v>
      </c>
      <c r="E465" s="257" t="s">
        <v>166</v>
      </c>
      <c r="F465" s="257" t="s">
        <v>329</v>
      </c>
      <c r="G465" s="257" t="s">
        <v>180</v>
      </c>
      <c r="H465" s="257" t="s">
        <v>135</v>
      </c>
      <c r="I465" s="260" t="s">
        <v>273</v>
      </c>
      <c r="J465" s="260" t="s">
        <v>1130</v>
      </c>
      <c r="K465" s="260" t="s">
        <v>1398</v>
      </c>
      <c r="L465" s="257" t="s">
        <v>311</v>
      </c>
      <c r="M465" s="257" t="s">
        <v>2289</v>
      </c>
      <c r="N465" s="257" t="s">
        <v>1844</v>
      </c>
      <c r="O465" s="257" t="s">
        <v>309</v>
      </c>
      <c r="P465" s="257" t="s">
        <v>2434</v>
      </c>
      <c r="Q465" s="257" t="s">
        <v>293</v>
      </c>
      <c r="R465" s="257">
        <v>2000000.01</v>
      </c>
      <c r="S465" s="257">
        <v>2500000</v>
      </c>
      <c r="T465" s="257">
        <v>0</v>
      </c>
      <c r="U465" s="257">
        <v>0</v>
      </c>
      <c r="V465" s="257">
        <v>0</v>
      </c>
      <c r="W465" s="257">
        <v>50</v>
      </c>
      <c r="X465" s="277">
        <v>1</v>
      </c>
      <c r="Y465" s="257">
        <v>999</v>
      </c>
      <c r="Z465" s="258">
        <v>660</v>
      </c>
      <c r="AA465" s="258">
        <v>679</v>
      </c>
      <c r="AB465" s="1884">
        <v>0</v>
      </c>
      <c r="AC465" s="258">
        <v>999999</v>
      </c>
      <c r="AD465" s="257">
        <v>0</v>
      </c>
      <c r="AE465" s="259">
        <v>70</v>
      </c>
      <c r="AF465" s="144">
        <v>0</v>
      </c>
      <c r="AG465" s="145">
        <v>1</v>
      </c>
      <c r="AH465" s="145">
        <v>1</v>
      </c>
      <c r="AI465" s="145">
        <v>1</v>
      </c>
      <c r="AJ465" s="145">
        <v>1</v>
      </c>
      <c r="AK465" s="145">
        <v>1</v>
      </c>
      <c r="AL465" s="145">
        <v>1</v>
      </c>
      <c r="AM465" s="145">
        <v>1</v>
      </c>
      <c r="AN465" s="145">
        <v>1</v>
      </c>
      <c r="AO465" s="145">
        <v>1</v>
      </c>
      <c r="AP465" s="145">
        <v>1</v>
      </c>
      <c r="AQ465" s="145">
        <v>1</v>
      </c>
      <c r="AR465" s="145">
        <v>1</v>
      </c>
      <c r="AS465" s="145">
        <v>1</v>
      </c>
      <c r="AT465" s="145">
        <v>1</v>
      </c>
      <c r="AU465" s="145">
        <f t="shared" si="148"/>
        <v>0</v>
      </c>
      <c r="AV465" s="145">
        <f t="shared" si="149"/>
        <v>1</v>
      </c>
      <c r="AW465" s="145">
        <f t="shared" si="150"/>
        <v>1</v>
      </c>
      <c r="AX465" s="145">
        <f t="shared" si="161"/>
        <v>1</v>
      </c>
      <c r="AY465" s="145">
        <f t="shared" si="151"/>
        <v>0</v>
      </c>
      <c r="AZ465" s="145">
        <f t="shared" si="152"/>
        <v>1</v>
      </c>
      <c r="BA465" s="146">
        <f t="shared" si="153"/>
        <v>1</v>
      </c>
      <c r="BB465" s="149">
        <f t="shared" si="166"/>
        <v>19</v>
      </c>
      <c r="BC465" s="150">
        <f t="shared" si="167"/>
        <v>18</v>
      </c>
      <c r="BD465" s="150">
        <f t="shared" si="168"/>
        <v>19</v>
      </c>
      <c r="BE465" s="211" t="str">
        <f t="shared" si="169"/>
        <v/>
      </c>
      <c r="BH465" s="188">
        <f>IF(AND(Input_Product=Elig!$C465,Elig_MatchAll_Ct&lt;22,$BC465=(Elig_MatchAll_Ct-1),AF465=0),C465,0)</f>
        <v>0</v>
      </c>
      <c r="BI465" s="188">
        <f>IF(AND(Input_Product=Elig!$C465,Elig_MatchAll_Ct&lt;22,$BC465=(Elig_MatchAll_Ct-1),AG465=0),D465,0)</f>
        <v>0</v>
      </c>
      <c r="BJ465" s="188">
        <f>IF(AND(Input_Product=Elig!$C465,Elig_MatchAll_Ct&lt;22,$BC465=(Elig_MatchAll_Ct-1),AH465=0),E465,0)</f>
        <v>0</v>
      </c>
      <c r="BK465" s="188">
        <f>IF(AND(Input_Product=Elig!$C465,Elig_MatchAll_Ct&lt;22,$BC465=(Elig_MatchAll_Ct-1),AI465=0),F465,0)</f>
        <v>0</v>
      </c>
      <c r="BL465" s="188">
        <f>IF(AND(Input_Product=Elig!$C465,Elig_MatchAll_Ct&lt;22,$BC465=(Elig_MatchAll_Ct-1),AJ465=0),G465,0)</f>
        <v>0</v>
      </c>
      <c r="BM465" s="188">
        <f>IF(AND(Input_Product=Elig!$C465,Elig_MatchAll_Ct&lt;22,$BC465=(Elig_MatchAll_Ct-1),AK465=0),H465,0)</f>
        <v>0</v>
      </c>
      <c r="BN465" s="188">
        <f>IF(AND(Input_Product=Elig!$C465,Elig_MatchAll_Ct&lt;22,$BC465=(Elig_MatchAll_Ct-1),AL465=0),I465,0)</f>
        <v>0</v>
      </c>
      <c r="BO465" s="188">
        <f>IF(AND(Input_Product=Elig!$C465,Elig_MatchAll_Ct&lt;22,$BC465=(Elig_MatchAll_Ct-1),AM465=0),J465,0)</f>
        <v>0</v>
      </c>
      <c r="BP465" s="188">
        <f>IF(AND(Input_Product=Elig!$C465,Elig_MatchAll_Ct&lt;22,$BC465=(Elig_MatchAll_Ct-1),AN465=0),K465,0)</f>
        <v>0</v>
      </c>
      <c r="BQ465" s="188">
        <f>IF(AND(Input_Product=Elig!$C465,Elig_MatchAll_Ct&lt;22,$BC465=(Elig_MatchAll_Ct-1),AP465=0),L465,0)</f>
        <v>0</v>
      </c>
      <c r="BR465" s="188">
        <f>IF(AND(Input_Product=Elig!$C465,Elig_MatchAll_Ct&lt;22,$BC465=(Elig_MatchAll_Ct-1),AO465=0),M465,0)</f>
        <v>0</v>
      </c>
      <c r="BS465" s="188">
        <f>IF(AND(Input_Product=Elig!$C465,Elig_MatchAll_Ct&lt;22,$BC465=(Elig_MatchAll_Ct-1),AQ465=0),N465,0)</f>
        <v>0</v>
      </c>
      <c r="BT465" s="188">
        <f>IF(AND(Input_Product=Elig!$C465,Elig_MatchAll_Ct&lt;22,$BC465=(Elig_MatchAll_Ct-1),AR465=0),O465,0)</f>
        <v>0</v>
      </c>
      <c r="BU465" s="188">
        <f>IF(AND(Input_Product=Elig!$C465,Elig_MatchAll_Ct&lt;22,$BC465=(Elig_MatchAll_Ct-1),AS465=0),P465,0)</f>
        <v>0</v>
      </c>
      <c r="BV465" s="189">
        <f>IF(AND(Input_Product=Elig!$C465,Elig_MatchAll_Ct&lt;22,$BC465=(Elig_MatchAll_Ct-1),AT465=0),Q465,0)</f>
        <v>0</v>
      </c>
      <c r="BW465" s="271">
        <f>IF(AND(Input_Product=Elig!$C465,Elig_MatchAll_Ct&lt;22,$BC465=(Elig_MatchAll_Ct-1),AU465=0),R465,0)</f>
        <v>0</v>
      </c>
      <c r="BX465" s="272">
        <f>IF(AND(Input_Product=Elig!$C465,Elig_MatchAll_Ct&lt;22,$BC465=(Elig_MatchAll_Ct-1),AU465=0),S465,0)</f>
        <v>0</v>
      </c>
      <c r="BY465" s="271">
        <f>IF(AND(Input_Product=Elig!$C465,Elig_MatchAll_Ct&lt;22,$BC465=(Elig_MatchAll_Ct-1),AV465=0),T465,0)</f>
        <v>0</v>
      </c>
      <c r="BZ465" s="272">
        <f>IF(AND(Input_Product=Elig!$C465,Elig_MatchAll_Ct&lt;22,$BC465=(Elig_MatchAll_Ct-1),AV465=0),U465,0)</f>
        <v>0</v>
      </c>
      <c r="CA465" s="271">
        <f>IF(AND(Input_Product=Elig!$C465,Elig_MatchAll_Ct&lt;22,$BC465=(Elig_MatchAll_Ct-1),AW465=0),V465,0)</f>
        <v>0</v>
      </c>
      <c r="CB465" s="272">
        <f>IF(AND(Input_Product=Elig!$C465,Elig_MatchAll_Ct&lt;22,$BC465=(Elig_MatchAll_Ct-1),AW465=0),W465,0)</f>
        <v>0</v>
      </c>
      <c r="CC465" s="271">
        <f>IF(AND(Input_Product=Elig!$C465,Elig_MatchAll_Ct&lt;22,$BC465=(Elig_MatchAll_Ct-1),AX465=0),X465,0)</f>
        <v>0</v>
      </c>
      <c r="CD465" s="272">
        <f>IF(AND(Input_Product=Elig!$C465,Elig_MatchAll_Ct&lt;22,$BC465=(Elig_MatchAll_Ct-1),AX465=0),Y465,0)</f>
        <v>0</v>
      </c>
      <c r="CE465" s="271">
        <f>IF(AND(Input_LTV&lt;=AE465,Input_Product=Elig!$C465,Elig_MatchAll_Ct&lt;22,$BC465=(Elig_MatchAll_Ct-1),AY465=0),Z465,0)</f>
        <v>0</v>
      </c>
      <c r="CF465" s="272">
        <f>IF(AND(Input_LTV&lt;=AE465,Input_Product=Elig!$C465,Elig_MatchAll_Ct&lt;22,$BC465=(Elig_MatchAll_Ct-1),AY465=0),AA465,0)</f>
        <v>0</v>
      </c>
      <c r="CG465" s="271">
        <f>IF(AND(Input_Product=Elig!$C465,Elig_MatchAll_Ct&lt;22,$BC465=(Elig_MatchAll_Ct-1),AZ465=0),AB465,0)</f>
        <v>0</v>
      </c>
      <c r="CH465" s="272">
        <f>IF(AND(Input_Product=Elig!$C465,Elig_MatchAll_Ct&lt;22,$BC465=(Elig_MatchAll_Ct-1),AZ465=0),AC465,0)</f>
        <v>0</v>
      </c>
      <c r="CI465" s="271">
        <f>IF(AND(Input_Product=Elig!$C465,Elig_MatchAll_Ct&lt;22,$BC465=(Elig_MatchAll_Ct-1),BA465=0),AD465,0)</f>
        <v>0</v>
      </c>
      <c r="CJ465" s="272">
        <f>IF(AND(Input_Product=Elig!$C465,Elig_MatchAll_Ct&lt;22,$BC465=(Elig_MatchAll_Ct-1),BA465=0),AE465,0)</f>
        <v>0</v>
      </c>
    </row>
    <row r="466" spans="1:88" ht="10.15" customHeight="1" x14ac:dyDescent="0.25">
      <c r="A466" s="252" t="s">
        <v>76</v>
      </c>
      <c r="B466" s="252" t="s">
        <v>2129</v>
      </c>
      <c r="C466" s="246" t="str">
        <f t="shared" si="175"/>
        <v>NonQM NOO</v>
      </c>
      <c r="D466" s="247" t="s">
        <v>1995</v>
      </c>
      <c r="E466" s="248" t="s">
        <v>166</v>
      </c>
      <c r="F466" s="248" t="s">
        <v>329</v>
      </c>
      <c r="G466" s="248" t="s">
        <v>180</v>
      </c>
      <c r="H466" s="248" t="s">
        <v>135</v>
      </c>
      <c r="I466" s="248" t="s">
        <v>16</v>
      </c>
      <c r="J466" s="247" t="s">
        <v>1130</v>
      </c>
      <c r="K466" s="247" t="s">
        <v>1398</v>
      </c>
      <c r="L466" s="248" t="s">
        <v>311</v>
      </c>
      <c r="M466" s="248" t="s">
        <v>2289</v>
      </c>
      <c r="N466" s="248" t="s">
        <v>1844</v>
      </c>
      <c r="O466" s="248" t="s">
        <v>309</v>
      </c>
      <c r="P466" s="248" t="s">
        <v>2434</v>
      </c>
      <c r="Q466" s="248" t="s">
        <v>293</v>
      </c>
      <c r="R466" s="247">
        <v>2000000.01</v>
      </c>
      <c r="S466" s="247">
        <v>2500000</v>
      </c>
      <c r="T466" s="247">
        <v>0</v>
      </c>
      <c r="U466" s="247">
        <f t="shared" ref="U466:U469" si="176">S466</f>
        <v>2500000</v>
      </c>
      <c r="V466" s="247">
        <v>0</v>
      </c>
      <c r="W466" s="247">
        <v>50</v>
      </c>
      <c r="X466" s="276">
        <v>0.75</v>
      </c>
      <c r="Y466" s="247">
        <v>999</v>
      </c>
      <c r="Z466" s="249">
        <v>720</v>
      </c>
      <c r="AA466" s="249">
        <v>999</v>
      </c>
      <c r="AB466" s="1882">
        <v>0</v>
      </c>
      <c r="AC466" s="249">
        <v>999999</v>
      </c>
      <c r="AD466" s="247">
        <v>0</v>
      </c>
      <c r="AE466" s="250">
        <v>65</v>
      </c>
      <c r="AF466" s="144">
        <v>0</v>
      </c>
      <c r="AG466" s="145">
        <v>1</v>
      </c>
      <c r="AH466" s="145">
        <v>1</v>
      </c>
      <c r="AI466" s="145">
        <v>1</v>
      </c>
      <c r="AJ466" s="145">
        <v>1</v>
      </c>
      <c r="AK466" s="145">
        <v>1</v>
      </c>
      <c r="AL466" s="145">
        <v>0</v>
      </c>
      <c r="AM466" s="145">
        <v>1</v>
      </c>
      <c r="AN466" s="145">
        <v>1</v>
      </c>
      <c r="AO466" s="145">
        <v>1</v>
      </c>
      <c r="AP466" s="145">
        <v>1</v>
      </c>
      <c r="AQ466" s="145">
        <v>1</v>
      </c>
      <c r="AR466" s="145">
        <v>1</v>
      </c>
      <c r="AS466" s="145">
        <v>1</v>
      </c>
      <c r="AT466" s="145">
        <v>1</v>
      </c>
      <c r="AU466" s="145">
        <f t="shared" si="148"/>
        <v>0</v>
      </c>
      <c r="AV466" s="145">
        <f t="shared" si="149"/>
        <v>1</v>
      </c>
      <c r="AW466" s="145">
        <f t="shared" si="150"/>
        <v>1</v>
      </c>
      <c r="AX466" s="145">
        <f t="shared" si="161"/>
        <v>1</v>
      </c>
      <c r="AY466" s="145">
        <f t="shared" si="151"/>
        <v>1</v>
      </c>
      <c r="AZ466" s="145">
        <f t="shared" si="152"/>
        <v>1</v>
      </c>
      <c r="BA466" s="146">
        <f t="shared" si="153"/>
        <v>0</v>
      </c>
      <c r="BB466" s="149">
        <f t="shared" si="166"/>
        <v>18</v>
      </c>
      <c r="BC466" s="150">
        <f t="shared" si="167"/>
        <v>18</v>
      </c>
      <c r="BD466" s="150">
        <f t="shared" si="168"/>
        <v>18</v>
      </c>
      <c r="BE466" s="211" t="str">
        <f t="shared" si="169"/>
        <v/>
      </c>
      <c r="BH466" s="190">
        <f>IF(AND(Input_Product=Elig!$C466,Elig_MatchAll_Ct&lt;22,$BC466=(Elig_MatchAll_Ct-1),AF466=0),C466,0)</f>
        <v>0</v>
      </c>
      <c r="BI466" s="190">
        <f>IF(AND(Input_Product=Elig!$C466,Elig_MatchAll_Ct&lt;22,$BC466=(Elig_MatchAll_Ct-1),AG466=0),D466,0)</f>
        <v>0</v>
      </c>
      <c r="BJ466" s="190">
        <f>IF(AND(Input_Product=Elig!$C466,Elig_MatchAll_Ct&lt;22,$BC466=(Elig_MatchAll_Ct-1),AH466=0),E466,0)</f>
        <v>0</v>
      </c>
      <c r="BK466" s="190">
        <f>IF(AND(Input_Product=Elig!$C466,Elig_MatchAll_Ct&lt;22,$BC466=(Elig_MatchAll_Ct-1),AI466=0),F466,0)</f>
        <v>0</v>
      </c>
      <c r="BL466" s="190">
        <f>IF(AND(Input_Product=Elig!$C466,Elig_MatchAll_Ct&lt;22,$BC466=(Elig_MatchAll_Ct-1),AJ466=0),G466,0)</f>
        <v>0</v>
      </c>
      <c r="BM466" s="190">
        <f>IF(AND(Input_Product=Elig!$C466,Elig_MatchAll_Ct&lt;22,$BC466=(Elig_MatchAll_Ct-1),AK466=0),H466,0)</f>
        <v>0</v>
      </c>
      <c r="BN466" s="190">
        <f>IF(AND(Input_Product=Elig!$C466,Elig_MatchAll_Ct&lt;22,$BC466=(Elig_MatchAll_Ct-1),AL466=0),I466,0)</f>
        <v>0</v>
      </c>
      <c r="BO466" s="190">
        <f>IF(AND(Input_Product=Elig!$C466,Elig_MatchAll_Ct&lt;22,$BC466=(Elig_MatchAll_Ct-1),AM466=0),J466,0)</f>
        <v>0</v>
      </c>
      <c r="BP466" s="190">
        <f>IF(AND(Input_Product=Elig!$C466,Elig_MatchAll_Ct&lt;22,$BC466=(Elig_MatchAll_Ct-1),AN466=0),K466,0)</f>
        <v>0</v>
      </c>
      <c r="BQ466" s="190">
        <f>IF(AND(Input_Product=Elig!$C466,Elig_MatchAll_Ct&lt;22,$BC466=(Elig_MatchAll_Ct-1),AP466=0),L466,0)</f>
        <v>0</v>
      </c>
      <c r="BR466" s="190">
        <f>IF(AND(Input_Product=Elig!$C466,Elig_MatchAll_Ct&lt;22,$BC466=(Elig_MatchAll_Ct-1),AO466=0),M466,0)</f>
        <v>0</v>
      </c>
      <c r="BS466" s="190">
        <f>IF(AND(Input_Product=Elig!$C466,Elig_MatchAll_Ct&lt;22,$BC466=(Elig_MatchAll_Ct-1),AQ466=0),N466,0)</f>
        <v>0</v>
      </c>
      <c r="BT466" s="190">
        <f>IF(AND(Input_Product=Elig!$C466,Elig_MatchAll_Ct&lt;22,$BC466=(Elig_MatchAll_Ct-1),AR466=0),O466,0)</f>
        <v>0</v>
      </c>
      <c r="BU466" s="190">
        <f>IF(AND(Input_Product=Elig!$C466,Elig_MatchAll_Ct&lt;22,$BC466=(Elig_MatchAll_Ct-1),AS466=0),P466,0)</f>
        <v>0</v>
      </c>
      <c r="BV466" s="191">
        <f>IF(AND(Input_Product=Elig!$C466,Elig_MatchAll_Ct&lt;22,$BC466=(Elig_MatchAll_Ct-1),AT466=0),Q466,0)</f>
        <v>0</v>
      </c>
      <c r="BW466" s="273">
        <f>IF(AND(Input_Product=Elig!$C466,Elig_MatchAll_Ct&lt;22,$BC466=(Elig_MatchAll_Ct-1),AU466=0),R466,0)</f>
        <v>0</v>
      </c>
      <c r="BX466" s="274">
        <f>IF(AND(Input_Product=Elig!$C466,Elig_MatchAll_Ct&lt;22,$BC466=(Elig_MatchAll_Ct-1),AU466=0),S466,0)</f>
        <v>0</v>
      </c>
      <c r="BY466" s="273">
        <f>IF(AND(Input_Product=Elig!$C466,Elig_MatchAll_Ct&lt;22,$BC466=(Elig_MatchAll_Ct-1),AV466=0),T466,0)</f>
        <v>0</v>
      </c>
      <c r="BZ466" s="274">
        <f>IF(AND(Input_Product=Elig!$C466,Elig_MatchAll_Ct&lt;22,$BC466=(Elig_MatchAll_Ct-1),AV466=0),U466,0)</f>
        <v>0</v>
      </c>
      <c r="CA466" s="273">
        <f>IF(AND(Input_Product=Elig!$C466,Elig_MatchAll_Ct&lt;22,$BC466=(Elig_MatchAll_Ct-1),AW466=0),V466,0)</f>
        <v>0</v>
      </c>
      <c r="CB466" s="274">
        <f>IF(AND(Input_Product=Elig!$C466,Elig_MatchAll_Ct&lt;22,$BC466=(Elig_MatchAll_Ct-1),AW466=0),W466,0)</f>
        <v>0</v>
      </c>
      <c r="CC466" s="273">
        <f>IF(AND(Input_Product=Elig!$C466,Elig_MatchAll_Ct&lt;22,$BC466=(Elig_MatchAll_Ct-1),AX466=0),X466,0)</f>
        <v>0</v>
      </c>
      <c r="CD466" s="274">
        <f>IF(AND(Input_Product=Elig!$C466,Elig_MatchAll_Ct&lt;22,$BC466=(Elig_MatchAll_Ct-1),AX466=0),Y466,0)</f>
        <v>0</v>
      </c>
      <c r="CE466" s="273">
        <f>IF(AND(Input_LTV&lt;=AE466,Input_Product=Elig!$C466,Elig_MatchAll_Ct&lt;22,$BC466=(Elig_MatchAll_Ct-1),AY466=0),Z466,0)</f>
        <v>0</v>
      </c>
      <c r="CF466" s="274">
        <f>IF(AND(Input_LTV&lt;=AE466,Input_Product=Elig!$C466,Elig_MatchAll_Ct&lt;22,$BC466=(Elig_MatchAll_Ct-1),AY466=0),AA466,0)</f>
        <v>0</v>
      </c>
      <c r="CG466" s="273">
        <f>IF(AND(Input_Product=Elig!$C466,Elig_MatchAll_Ct&lt;22,$BC466=(Elig_MatchAll_Ct-1),AZ466=0),AB466,0)</f>
        <v>0</v>
      </c>
      <c r="CH466" s="274">
        <f>IF(AND(Input_Product=Elig!$C466,Elig_MatchAll_Ct&lt;22,$BC466=(Elig_MatchAll_Ct-1),AZ466=0),AC466,0)</f>
        <v>0</v>
      </c>
      <c r="CI466" s="273">
        <f>IF(AND(Input_Product=Elig!$C466,Elig_MatchAll_Ct&lt;22,$BC466=(Elig_MatchAll_Ct-1),BA466=0),AD466,0)</f>
        <v>0</v>
      </c>
      <c r="CJ466" s="274">
        <f>IF(AND(Input_Product=Elig!$C466,Elig_MatchAll_Ct&lt;22,$BC466=(Elig_MatchAll_Ct-1),BA466=0),AE466,0)</f>
        <v>0</v>
      </c>
    </row>
    <row r="467" spans="1:88" ht="10.15" customHeight="1" x14ac:dyDescent="0.25">
      <c r="A467" s="252" t="s">
        <v>76</v>
      </c>
      <c r="B467" s="252" t="s">
        <v>2130</v>
      </c>
      <c r="C467" s="251" t="str">
        <f t="shared" si="175"/>
        <v>NonQM NOO</v>
      </c>
      <c r="D467" s="252" t="s">
        <v>1995</v>
      </c>
      <c r="E467" s="252" t="s">
        <v>166</v>
      </c>
      <c r="F467" s="252" t="s">
        <v>329</v>
      </c>
      <c r="G467" s="252" t="s">
        <v>180</v>
      </c>
      <c r="H467" s="252" t="s">
        <v>135</v>
      </c>
      <c r="I467" s="253" t="s">
        <v>16</v>
      </c>
      <c r="J467" s="253" t="s">
        <v>1130</v>
      </c>
      <c r="K467" s="253" t="s">
        <v>1398</v>
      </c>
      <c r="L467" s="252" t="s">
        <v>311</v>
      </c>
      <c r="M467" s="252" t="s">
        <v>2289</v>
      </c>
      <c r="N467" s="252" t="s">
        <v>1844</v>
      </c>
      <c r="O467" s="252" t="s">
        <v>309</v>
      </c>
      <c r="P467" s="252" t="s">
        <v>2434</v>
      </c>
      <c r="Q467" s="252" t="s">
        <v>293</v>
      </c>
      <c r="R467" s="252">
        <v>2000000.01</v>
      </c>
      <c r="S467" s="252">
        <v>2500000</v>
      </c>
      <c r="T467" s="252">
        <v>0</v>
      </c>
      <c r="U467" s="252">
        <f t="shared" si="176"/>
        <v>2500000</v>
      </c>
      <c r="V467" s="252">
        <v>0</v>
      </c>
      <c r="W467" s="252">
        <v>50</v>
      </c>
      <c r="X467" s="261">
        <v>0.75</v>
      </c>
      <c r="Y467" s="252">
        <v>999</v>
      </c>
      <c r="Z467" s="254">
        <v>700</v>
      </c>
      <c r="AA467" s="254">
        <v>719</v>
      </c>
      <c r="AB467" s="1883">
        <v>0</v>
      </c>
      <c r="AC467" s="254">
        <v>999999</v>
      </c>
      <c r="AD467" s="252">
        <v>0</v>
      </c>
      <c r="AE467" s="255">
        <v>65</v>
      </c>
      <c r="AF467" s="144">
        <v>0</v>
      </c>
      <c r="AG467" s="145">
        <v>1</v>
      </c>
      <c r="AH467" s="145">
        <v>1</v>
      </c>
      <c r="AI467" s="145">
        <v>1</v>
      </c>
      <c r="AJ467" s="145">
        <v>1</v>
      </c>
      <c r="AK467" s="145">
        <v>1</v>
      </c>
      <c r="AL467" s="145">
        <v>0</v>
      </c>
      <c r="AM467" s="145">
        <v>1</v>
      </c>
      <c r="AN467" s="145">
        <v>1</v>
      </c>
      <c r="AO467" s="145">
        <v>1</v>
      </c>
      <c r="AP467" s="145">
        <v>1</v>
      </c>
      <c r="AQ467" s="145">
        <v>1</v>
      </c>
      <c r="AR467" s="145">
        <v>1</v>
      </c>
      <c r="AS467" s="145">
        <v>1</v>
      </c>
      <c r="AT467" s="145">
        <v>1</v>
      </c>
      <c r="AU467" s="145">
        <f t="shared" si="148"/>
        <v>0</v>
      </c>
      <c r="AV467" s="145">
        <f t="shared" si="149"/>
        <v>1</v>
      </c>
      <c r="AW467" s="145">
        <f t="shared" si="150"/>
        <v>1</v>
      </c>
      <c r="AX467" s="145">
        <f t="shared" si="161"/>
        <v>1</v>
      </c>
      <c r="AY467" s="145">
        <f t="shared" si="151"/>
        <v>0</v>
      </c>
      <c r="AZ467" s="145">
        <f t="shared" si="152"/>
        <v>1</v>
      </c>
      <c r="BA467" s="146">
        <f t="shared" si="153"/>
        <v>0</v>
      </c>
      <c r="BB467" s="149">
        <f t="shared" si="166"/>
        <v>17</v>
      </c>
      <c r="BC467" s="150">
        <f t="shared" si="167"/>
        <v>17</v>
      </c>
      <c r="BD467" s="150">
        <f t="shared" si="168"/>
        <v>17</v>
      </c>
      <c r="BE467" s="211" t="str">
        <f t="shared" si="169"/>
        <v/>
      </c>
      <c r="BH467" s="184">
        <f>IF(AND(Input_Product=Elig!$C467,Elig_MatchAll_Ct&lt;22,$BC467=(Elig_MatchAll_Ct-1),AF467=0),C467,0)</f>
        <v>0</v>
      </c>
      <c r="BI467" s="184">
        <f>IF(AND(Input_Product=Elig!$C467,Elig_MatchAll_Ct&lt;22,$BC467=(Elig_MatchAll_Ct-1),AG467=0),D467,0)</f>
        <v>0</v>
      </c>
      <c r="BJ467" s="184">
        <f>IF(AND(Input_Product=Elig!$C467,Elig_MatchAll_Ct&lt;22,$BC467=(Elig_MatchAll_Ct-1),AH467=0),E467,0)</f>
        <v>0</v>
      </c>
      <c r="BK467" s="184">
        <f>IF(AND(Input_Product=Elig!$C467,Elig_MatchAll_Ct&lt;22,$BC467=(Elig_MatchAll_Ct-1),AI467=0),F467,0)</f>
        <v>0</v>
      </c>
      <c r="BL467" s="184">
        <f>IF(AND(Input_Product=Elig!$C467,Elig_MatchAll_Ct&lt;22,$BC467=(Elig_MatchAll_Ct-1),AJ467=0),G467,0)</f>
        <v>0</v>
      </c>
      <c r="BM467" s="184">
        <f>IF(AND(Input_Product=Elig!$C467,Elig_MatchAll_Ct&lt;22,$BC467=(Elig_MatchAll_Ct-1),AK467=0),H467,0)</f>
        <v>0</v>
      </c>
      <c r="BN467" s="184">
        <f>IF(AND(Input_Product=Elig!$C467,Elig_MatchAll_Ct&lt;22,$BC467=(Elig_MatchAll_Ct-1),AL467=0),I467,0)</f>
        <v>0</v>
      </c>
      <c r="BO467" s="184">
        <f>IF(AND(Input_Product=Elig!$C467,Elig_MatchAll_Ct&lt;22,$BC467=(Elig_MatchAll_Ct-1),AM467=0),J467,0)</f>
        <v>0</v>
      </c>
      <c r="BP467" s="184">
        <f>IF(AND(Input_Product=Elig!$C467,Elig_MatchAll_Ct&lt;22,$BC467=(Elig_MatchAll_Ct-1),AN467=0),K467,0)</f>
        <v>0</v>
      </c>
      <c r="BQ467" s="184">
        <f>IF(AND(Input_Product=Elig!$C467,Elig_MatchAll_Ct&lt;22,$BC467=(Elig_MatchAll_Ct-1),AP467=0),L467,0)</f>
        <v>0</v>
      </c>
      <c r="BR467" s="184">
        <f>IF(AND(Input_Product=Elig!$C467,Elig_MatchAll_Ct&lt;22,$BC467=(Elig_MatchAll_Ct-1),AO467=0),M467,0)</f>
        <v>0</v>
      </c>
      <c r="BS467" s="184">
        <f>IF(AND(Input_Product=Elig!$C467,Elig_MatchAll_Ct&lt;22,$BC467=(Elig_MatchAll_Ct-1),AQ467=0),N467,0)</f>
        <v>0</v>
      </c>
      <c r="BT467" s="184">
        <f>IF(AND(Input_Product=Elig!$C467,Elig_MatchAll_Ct&lt;22,$BC467=(Elig_MatchAll_Ct-1),AR467=0),O467,0)</f>
        <v>0</v>
      </c>
      <c r="BU467" s="184">
        <f>IF(AND(Input_Product=Elig!$C467,Elig_MatchAll_Ct&lt;22,$BC467=(Elig_MatchAll_Ct-1),AS467=0),P467,0)</f>
        <v>0</v>
      </c>
      <c r="BV467" s="185">
        <f>IF(AND(Input_Product=Elig!$C467,Elig_MatchAll_Ct&lt;22,$BC467=(Elig_MatchAll_Ct-1),AT467=0),Q467,0)</f>
        <v>0</v>
      </c>
      <c r="BW467" s="186">
        <f>IF(AND(Input_Product=Elig!$C467,Elig_MatchAll_Ct&lt;22,$BC467=(Elig_MatchAll_Ct-1),AU467=0),R467,0)</f>
        <v>0</v>
      </c>
      <c r="BX467" s="187">
        <f>IF(AND(Input_Product=Elig!$C467,Elig_MatchAll_Ct&lt;22,$BC467=(Elig_MatchAll_Ct-1),AU467=0),S467,0)</f>
        <v>0</v>
      </c>
      <c r="BY467" s="186">
        <f>IF(AND(Input_Product=Elig!$C467,Elig_MatchAll_Ct&lt;22,$BC467=(Elig_MatchAll_Ct-1),AV467=0),T467,0)</f>
        <v>0</v>
      </c>
      <c r="BZ467" s="187">
        <f>IF(AND(Input_Product=Elig!$C467,Elig_MatchAll_Ct&lt;22,$BC467=(Elig_MatchAll_Ct-1),AV467=0),U467,0)</f>
        <v>0</v>
      </c>
      <c r="CA467" s="186">
        <f>IF(AND(Input_Product=Elig!$C467,Elig_MatchAll_Ct&lt;22,$BC467=(Elig_MatchAll_Ct-1),AW467=0),V467,0)</f>
        <v>0</v>
      </c>
      <c r="CB467" s="187">
        <f>IF(AND(Input_Product=Elig!$C467,Elig_MatchAll_Ct&lt;22,$BC467=(Elig_MatchAll_Ct-1),AW467=0),W467,0)</f>
        <v>0</v>
      </c>
      <c r="CC467" s="186">
        <f>IF(AND(Input_Product=Elig!$C467,Elig_MatchAll_Ct&lt;22,$BC467=(Elig_MatchAll_Ct-1),AX467=0),X467,0)</f>
        <v>0</v>
      </c>
      <c r="CD467" s="187">
        <f>IF(AND(Input_Product=Elig!$C467,Elig_MatchAll_Ct&lt;22,$BC467=(Elig_MatchAll_Ct-1),AX467=0),Y467,0)</f>
        <v>0</v>
      </c>
      <c r="CE467" s="186">
        <f>IF(AND(Input_LTV&lt;=AE467,Input_Product=Elig!$C467,Elig_MatchAll_Ct&lt;22,$BC467=(Elig_MatchAll_Ct-1),AY467=0),Z467,0)</f>
        <v>0</v>
      </c>
      <c r="CF467" s="187">
        <f>IF(AND(Input_LTV&lt;=AE467,Input_Product=Elig!$C467,Elig_MatchAll_Ct&lt;22,$BC467=(Elig_MatchAll_Ct-1),AY467=0),AA467,0)</f>
        <v>0</v>
      </c>
      <c r="CG467" s="186">
        <f>IF(AND(Input_Product=Elig!$C467,Elig_MatchAll_Ct&lt;22,$BC467=(Elig_MatchAll_Ct-1),AZ467=0),AB467,0)</f>
        <v>0</v>
      </c>
      <c r="CH467" s="187">
        <f>IF(AND(Input_Product=Elig!$C467,Elig_MatchAll_Ct&lt;22,$BC467=(Elig_MatchAll_Ct-1),AZ467=0),AC467,0)</f>
        <v>0</v>
      </c>
      <c r="CI467" s="186">
        <f>IF(AND(Input_Product=Elig!$C467,Elig_MatchAll_Ct&lt;22,$BC467=(Elig_MatchAll_Ct-1),BA467=0),AD467,0)</f>
        <v>0</v>
      </c>
      <c r="CJ467" s="187">
        <f>IF(AND(Input_Product=Elig!$C467,Elig_MatchAll_Ct&lt;22,$BC467=(Elig_MatchAll_Ct-1),BA467=0),AE467,0)</f>
        <v>0</v>
      </c>
    </row>
    <row r="468" spans="1:88" ht="10.15" customHeight="1" x14ac:dyDescent="0.25">
      <c r="A468" s="252" t="s">
        <v>76</v>
      </c>
      <c r="B468" s="252" t="s">
        <v>2131</v>
      </c>
      <c r="C468" s="251" t="str">
        <f t="shared" si="175"/>
        <v>NonQM NOO</v>
      </c>
      <c r="D468" s="252" t="s">
        <v>1995</v>
      </c>
      <c r="E468" s="252" t="s">
        <v>166</v>
      </c>
      <c r="F468" s="252" t="s">
        <v>329</v>
      </c>
      <c r="G468" s="252" t="s">
        <v>180</v>
      </c>
      <c r="H468" s="252" t="s">
        <v>135</v>
      </c>
      <c r="I468" s="253" t="s">
        <v>16</v>
      </c>
      <c r="J468" s="253" t="s">
        <v>1130</v>
      </c>
      <c r="K468" s="253" t="s">
        <v>1398</v>
      </c>
      <c r="L468" s="252" t="s">
        <v>311</v>
      </c>
      <c r="M468" s="252" t="s">
        <v>2289</v>
      </c>
      <c r="N468" s="252" t="s">
        <v>1844</v>
      </c>
      <c r="O468" s="252" t="s">
        <v>309</v>
      </c>
      <c r="P468" s="252" t="s">
        <v>2434</v>
      </c>
      <c r="Q468" s="252" t="s">
        <v>293</v>
      </c>
      <c r="R468" s="252">
        <v>2000000.01</v>
      </c>
      <c r="S468" s="252">
        <v>2500000</v>
      </c>
      <c r="T468" s="252">
        <v>0</v>
      </c>
      <c r="U468" s="252">
        <f t="shared" ref="U468" si="177">S468</f>
        <v>2500000</v>
      </c>
      <c r="V468" s="252">
        <v>0</v>
      </c>
      <c r="W468" s="252">
        <v>50</v>
      </c>
      <c r="X468" s="261">
        <v>0.75</v>
      </c>
      <c r="Y468" s="252">
        <v>999</v>
      </c>
      <c r="Z468" s="254">
        <v>680</v>
      </c>
      <c r="AA468" s="254">
        <v>699</v>
      </c>
      <c r="AB468" s="1883">
        <v>0</v>
      </c>
      <c r="AC468" s="254">
        <v>999999</v>
      </c>
      <c r="AD468" s="252">
        <v>0</v>
      </c>
      <c r="AE468" s="255">
        <v>65</v>
      </c>
      <c r="AF468" s="144">
        <v>0</v>
      </c>
      <c r="AG468" s="145">
        <v>1</v>
      </c>
      <c r="AH468" s="145">
        <v>1</v>
      </c>
      <c r="AI468" s="145">
        <v>1</v>
      </c>
      <c r="AJ468" s="145">
        <v>1</v>
      </c>
      <c r="AK468" s="145">
        <v>1</v>
      </c>
      <c r="AL468" s="145">
        <v>0</v>
      </c>
      <c r="AM468" s="145">
        <v>1</v>
      </c>
      <c r="AN468" s="145">
        <v>1</v>
      </c>
      <c r="AO468" s="145">
        <v>1</v>
      </c>
      <c r="AP468" s="145">
        <v>1</v>
      </c>
      <c r="AQ468" s="145">
        <v>1</v>
      </c>
      <c r="AR468" s="145">
        <v>1</v>
      </c>
      <c r="AS468" s="145">
        <v>1</v>
      </c>
      <c r="AT468" s="145">
        <v>1</v>
      </c>
      <c r="AU468" s="145">
        <f t="shared" si="148"/>
        <v>0</v>
      </c>
      <c r="AV468" s="145">
        <f t="shared" si="149"/>
        <v>1</v>
      </c>
      <c r="AW468" s="145">
        <f t="shared" si="150"/>
        <v>1</v>
      </c>
      <c r="AX468" s="145">
        <f t="shared" si="161"/>
        <v>1</v>
      </c>
      <c r="AY468" s="145">
        <f t="shared" si="151"/>
        <v>0</v>
      </c>
      <c r="AZ468" s="145">
        <f t="shared" si="152"/>
        <v>1</v>
      </c>
      <c r="BA468" s="146">
        <f t="shared" si="153"/>
        <v>0</v>
      </c>
      <c r="BB468" s="149">
        <f t="shared" si="166"/>
        <v>17</v>
      </c>
      <c r="BC468" s="150">
        <f t="shared" si="167"/>
        <v>17</v>
      </c>
      <c r="BD468" s="150">
        <f t="shared" si="168"/>
        <v>17</v>
      </c>
      <c r="BE468" s="211" t="str">
        <f t="shared" si="169"/>
        <v/>
      </c>
      <c r="BH468" s="184">
        <f>IF(AND(Input_Product=Elig!$C468,Elig_MatchAll_Ct&lt;22,$BC468=(Elig_MatchAll_Ct-1),AF468=0),C468,0)</f>
        <v>0</v>
      </c>
      <c r="BI468" s="184">
        <f>IF(AND(Input_Product=Elig!$C468,Elig_MatchAll_Ct&lt;22,$BC468=(Elig_MatchAll_Ct-1),AG468=0),D468,0)</f>
        <v>0</v>
      </c>
      <c r="BJ468" s="184">
        <f>IF(AND(Input_Product=Elig!$C468,Elig_MatchAll_Ct&lt;22,$BC468=(Elig_MatchAll_Ct-1),AH468=0),E468,0)</f>
        <v>0</v>
      </c>
      <c r="BK468" s="184">
        <f>IF(AND(Input_Product=Elig!$C468,Elig_MatchAll_Ct&lt;22,$BC468=(Elig_MatchAll_Ct-1),AI468=0),F468,0)</f>
        <v>0</v>
      </c>
      <c r="BL468" s="184">
        <f>IF(AND(Input_Product=Elig!$C468,Elig_MatchAll_Ct&lt;22,$BC468=(Elig_MatchAll_Ct-1),AJ468=0),G468,0)</f>
        <v>0</v>
      </c>
      <c r="BM468" s="184">
        <f>IF(AND(Input_Product=Elig!$C468,Elig_MatchAll_Ct&lt;22,$BC468=(Elig_MatchAll_Ct-1),AK468=0),H468,0)</f>
        <v>0</v>
      </c>
      <c r="BN468" s="184">
        <f>IF(AND(Input_Product=Elig!$C468,Elig_MatchAll_Ct&lt;22,$BC468=(Elig_MatchAll_Ct-1),AL468=0),I468,0)</f>
        <v>0</v>
      </c>
      <c r="BO468" s="184">
        <f>IF(AND(Input_Product=Elig!$C468,Elig_MatchAll_Ct&lt;22,$BC468=(Elig_MatchAll_Ct-1),AM468=0),J468,0)</f>
        <v>0</v>
      </c>
      <c r="BP468" s="184">
        <f>IF(AND(Input_Product=Elig!$C468,Elig_MatchAll_Ct&lt;22,$BC468=(Elig_MatchAll_Ct-1),AN468=0),K468,0)</f>
        <v>0</v>
      </c>
      <c r="BQ468" s="184">
        <f>IF(AND(Input_Product=Elig!$C468,Elig_MatchAll_Ct&lt;22,$BC468=(Elig_MatchAll_Ct-1),AP468=0),L468,0)</f>
        <v>0</v>
      </c>
      <c r="BR468" s="184">
        <f>IF(AND(Input_Product=Elig!$C468,Elig_MatchAll_Ct&lt;22,$BC468=(Elig_MatchAll_Ct-1),AO468=0),M468,0)</f>
        <v>0</v>
      </c>
      <c r="BS468" s="184">
        <f>IF(AND(Input_Product=Elig!$C468,Elig_MatchAll_Ct&lt;22,$BC468=(Elig_MatchAll_Ct-1),AQ468=0),N468,0)</f>
        <v>0</v>
      </c>
      <c r="BT468" s="184">
        <f>IF(AND(Input_Product=Elig!$C468,Elig_MatchAll_Ct&lt;22,$BC468=(Elig_MatchAll_Ct-1),AR468=0),O468,0)</f>
        <v>0</v>
      </c>
      <c r="BU468" s="184">
        <f>IF(AND(Input_Product=Elig!$C468,Elig_MatchAll_Ct&lt;22,$BC468=(Elig_MatchAll_Ct-1),AS468=0),P468,0)</f>
        <v>0</v>
      </c>
      <c r="BV468" s="185">
        <f>IF(AND(Input_Product=Elig!$C468,Elig_MatchAll_Ct&lt;22,$BC468=(Elig_MatchAll_Ct-1),AT468=0),Q468,0)</f>
        <v>0</v>
      </c>
      <c r="BW468" s="186">
        <f>IF(AND(Input_Product=Elig!$C468,Elig_MatchAll_Ct&lt;22,$BC468=(Elig_MatchAll_Ct-1),AU468=0),R468,0)</f>
        <v>0</v>
      </c>
      <c r="BX468" s="187">
        <f>IF(AND(Input_Product=Elig!$C468,Elig_MatchAll_Ct&lt;22,$BC468=(Elig_MatchAll_Ct-1),AU468=0),S468,0)</f>
        <v>0</v>
      </c>
      <c r="BY468" s="186">
        <f>IF(AND(Input_Product=Elig!$C468,Elig_MatchAll_Ct&lt;22,$BC468=(Elig_MatchAll_Ct-1),AV468=0),T468,0)</f>
        <v>0</v>
      </c>
      <c r="BZ468" s="187">
        <f>IF(AND(Input_Product=Elig!$C468,Elig_MatchAll_Ct&lt;22,$BC468=(Elig_MatchAll_Ct-1),AV468=0),U468,0)</f>
        <v>0</v>
      </c>
      <c r="CA468" s="186">
        <f>IF(AND(Input_Product=Elig!$C468,Elig_MatchAll_Ct&lt;22,$BC468=(Elig_MatchAll_Ct-1),AW468=0),V468,0)</f>
        <v>0</v>
      </c>
      <c r="CB468" s="187">
        <f>IF(AND(Input_Product=Elig!$C468,Elig_MatchAll_Ct&lt;22,$BC468=(Elig_MatchAll_Ct-1),AW468=0),W468,0)</f>
        <v>0</v>
      </c>
      <c r="CC468" s="186">
        <f>IF(AND(Input_Product=Elig!$C468,Elig_MatchAll_Ct&lt;22,$BC468=(Elig_MatchAll_Ct-1),AX468=0),X468,0)</f>
        <v>0</v>
      </c>
      <c r="CD468" s="187">
        <f>IF(AND(Input_Product=Elig!$C468,Elig_MatchAll_Ct&lt;22,$BC468=(Elig_MatchAll_Ct-1),AX468=0),Y468,0)</f>
        <v>0</v>
      </c>
      <c r="CE468" s="186">
        <f>IF(AND(Input_LTV&lt;=AE468,Input_Product=Elig!$C468,Elig_MatchAll_Ct&lt;22,$BC468=(Elig_MatchAll_Ct-1),AY468=0),Z468,0)</f>
        <v>0</v>
      </c>
      <c r="CF468" s="187">
        <f>IF(AND(Input_LTV&lt;=AE468,Input_Product=Elig!$C468,Elig_MatchAll_Ct&lt;22,$BC468=(Elig_MatchAll_Ct-1),AY468=0),AA468,0)</f>
        <v>0</v>
      </c>
      <c r="CG468" s="186">
        <f>IF(AND(Input_Product=Elig!$C468,Elig_MatchAll_Ct&lt;22,$BC468=(Elig_MatchAll_Ct-1),AZ468=0),AB468,0)</f>
        <v>0</v>
      </c>
      <c r="CH468" s="187">
        <f>IF(AND(Input_Product=Elig!$C468,Elig_MatchAll_Ct&lt;22,$BC468=(Elig_MatchAll_Ct-1),AZ468=0),AC468,0)</f>
        <v>0</v>
      </c>
      <c r="CI468" s="186">
        <f>IF(AND(Input_Product=Elig!$C468,Elig_MatchAll_Ct&lt;22,$BC468=(Elig_MatchAll_Ct-1),BA468=0),AD468,0)</f>
        <v>0</v>
      </c>
      <c r="CJ468" s="187">
        <f>IF(AND(Input_Product=Elig!$C468,Elig_MatchAll_Ct&lt;22,$BC468=(Elig_MatchAll_Ct-1),BA468=0),AE468,0)</f>
        <v>0</v>
      </c>
    </row>
    <row r="469" spans="1:88" ht="10.15" customHeight="1" x14ac:dyDescent="0.25">
      <c r="A469" s="252" t="s">
        <v>76</v>
      </c>
      <c r="B469" s="252" t="s">
        <v>2199</v>
      </c>
      <c r="C469" s="256" t="str">
        <f t="shared" si="175"/>
        <v>NonQM NOO</v>
      </c>
      <c r="D469" s="257" t="s">
        <v>1995</v>
      </c>
      <c r="E469" s="257" t="s">
        <v>166</v>
      </c>
      <c r="F469" s="257" t="s">
        <v>329</v>
      </c>
      <c r="G469" s="257" t="s">
        <v>180</v>
      </c>
      <c r="H469" s="257" t="s">
        <v>135</v>
      </c>
      <c r="I469" s="260" t="s">
        <v>16</v>
      </c>
      <c r="J469" s="260" t="s">
        <v>1130</v>
      </c>
      <c r="K469" s="260" t="s">
        <v>1398</v>
      </c>
      <c r="L469" s="257" t="s">
        <v>311</v>
      </c>
      <c r="M469" s="257" t="s">
        <v>2289</v>
      </c>
      <c r="N469" s="257" t="s">
        <v>1844</v>
      </c>
      <c r="O469" s="257" t="s">
        <v>309</v>
      </c>
      <c r="P469" s="257" t="s">
        <v>2434</v>
      </c>
      <c r="Q469" s="257" t="s">
        <v>293</v>
      </c>
      <c r="R469" s="257">
        <v>2000000.01</v>
      </c>
      <c r="S469" s="257">
        <v>2500000</v>
      </c>
      <c r="T469" s="257">
        <v>0</v>
      </c>
      <c r="U469" s="257">
        <f t="shared" si="176"/>
        <v>2500000</v>
      </c>
      <c r="V469" s="257">
        <v>0</v>
      </c>
      <c r="W469" s="257">
        <v>50</v>
      </c>
      <c r="X469" s="257">
        <v>1</v>
      </c>
      <c r="Y469" s="257">
        <v>999</v>
      </c>
      <c r="Z469" s="258">
        <v>660</v>
      </c>
      <c r="AA469" s="258">
        <v>679</v>
      </c>
      <c r="AB469" s="1884">
        <v>0</v>
      </c>
      <c r="AC469" s="258">
        <v>999999</v>
      </c>
      <c r="AD469" s="257">
        <v>0</v>
      </c>
      <c r="AE469" s="259">
        <v>65</v>
      </c>
      <c r="AF469" s="144">
        <v>0</v>
      </c>
      <c r="AG469" s="145">
        <v>1</v>
      </c>
      <c r="AH469" s="145">
        <v>1</v>
      </c>
      <c r="AI469" s="145">
        <v>1</v>
      </c>
      <c r="AJ469" s="145">
        <v>1</v>
      </c>
      <c r="AK469" s="145">
        <v>1</v>
      </c>
      <c r="AL469" s="145">
        <v>0</v>
      </c>
      <c r="AM469" s="145">
        <v>1</v>
      </c>
      <c r="AN469" s="145">
        <v>1</v>
      </c>
      <c r="AO469" s="145">
        <v>1</v>
      </c>
      <c r="AP469" s="145">
        <v>1</v>
      </c>
      <c r="AQ469" s="145">
        <v>1</v>
      </c>
      <c r="AR469" s="145">
        <v>1</v>
      </c>
      <c r="AS469" s="145">
        <v>1</v>
      </c>
      <c r="AT469" s="145">
        <v>1</v>
      </c>
      <c r="AU469" s="145">
        <f t="shared" si="148"/>
        <v>0</v>
      </c>
      <c r="AV469" s="145">
        <f t="shared" si="149"/>
        <v>1</v>
      </c>
      <c r="AW469" s="145">
        <f t="shared" si="150"/>
        <v>1</v>
      </c>
      <c r="AX469" s="145">
        <f t="shared" si="161"/>
        <v>1</v>
      </c>
      <c r="AY469" s="145">
        <f t="shared" si="151"/>
        <v>0</v>
      </c>
      <c r="AZ469" s="145">
        <f t="shared" si="152"/>
        <v>1</v>
      </c>
      <c r="BA469" s="146">
        <f t="shared" si="153"/>
        <v>0</v>
      </c>
      <c r="BB469" s="149">
        <f t="shared" si="166"/>
        <v>17</v>
      </c>
      <c r="BC469" s="150">
        <f t="shared" si="167"/>
        <v>17</v>
      </c>
      <c r="BD469" s="150">
        <f t="shared" si="168"/>
        <v>17</v>
      </c>
      <c r="BE469" s="211" t="str">
        <f t="shared" si="169"/>
        <v/>
      </c>
      <c r="BH469" s="188">
        <f>IF(AND(Input_Product=Elig!$C469,Elig_MatchAll_Ct&lt;22,$BC469=(Elig_MatchAll_Ct-1),AF469=0),C469,0)</f>
        <v>0</v>
      </c>
      <c r="BI469" s="188">
        <f>IF(AND(Input_Product=Elig!$C469,Elig_MatchAll_Ct&lt;22,$BC469=(Elig_MatchAll_Ct-1),AG469=0),D469,0)</f>
        <v>0</v>
      </c>
      <c r="BJ469" s="188">
        <f>IF(AND(Input_Product=Elig!$C469,Elig_MatchAll_Ct&lt;22,$BC469=(Elig_MatchAll_Ct-1),AH469=0),E469,0)</f>
        <v>0</v>
      </c>
      <c r="BK469" s="188">
        <f>IF(AND(Input_Product=Elig!$C469,Elig_MatchAll_Ct&lt;22,$BC469=(Elig_MatchAll_Ct-1),AI469=0),F469,0)</f>
        <v>0</v>
      </c>
      <c r="BL469" s="188">
        <f>IF(AND(Input_Product=Elig!$C469,Elig_MatchAll_Ct&lt;22,$BC469=(Elig_MatchAll_Ct-1),AJ469=0),G469,0)</f>
        <v>0</v>
      </c>
      <c r="BM469" s="188">
        <f>IF(AND(Input_Product=Elig!$C469,Elig_MatchAll_Ct&lt;22,$BC469=(Elig_MatchAll_Ct-1),AK469=0),H469,0)</f>
        <v>0</v>
      </c>
      <c r="BN469" s="188">
        <f>IF(AND(Input_Product=Elig!$C469,Elig_MatchAll_Ct&lt;22,$BC469=(Elig_MatchAll_Ct-1),AL469=0),I469,0)</f>
        <v>0</v>
      </c>
      <c r="BO469" s="188">
        <f>IF(AND(Input_Product=Elig!$C469,Elig_MatchAll_Ct&lt;22,$BC469=(Elig_MatchAll_Ct-1),AM469=0),J469,0)</f>
        <v>0</v>
      </c>
      <c r="BP469" s="188">
        <f>IF(AND(Input_Product=Elig!$C469,Elig_MatchAll_Ct&lt;22,$BC469=(Elig_MatchAll_Ct-1),AN469=0),K469,0)</f>
        <v>0</v>
      </c>
      <c r="BQ469" s="188">
        <f>IF(AND(Input_Product=Elig!$C469,Elig_MatchAll_Ct&lt;22,$BC469=(Elig_MatchAll_Ct-1),AP469=0),L469,0)</f>
        <v>0</v>
      </c>
      <c r="BR469" s="188">
        <f>IF(AND(Input_Product=Elig!$C469,Elig_MatchAll_Ct&lt;22,$BC469=(Elig_MatchAll_Ct-1),AO469=0),M469,0)</f>
        <v>0</v>
      </c>
      <c r="BS469" s="188">
        <f>IF(AND(Input_Product=Elig!$C469,Elig_MatchAll_Ct&lt;22,$BC469=(Elig_MatchAll_Ct-1),AQ469=0),N469,0)</f>
        <v>0</v>
      </c>
      <c r="BT469" s="188">
        <f>IF(AND(Input_Product=Elig!$C469,Elig_MatchAll_Ct&lt;22,$BC469=(Elig_MatchAll_Ct-1),AR469=0),O469,0)</f>
        <v>0</v>
      </c>
      <c r="BU469" s="188">
        <f>IF(AND(Input_Product=Elig!$C469,Elig_MatchAll_Ct&lt;22,$BC469=(Elig_MatchAll_Ct-1),AS469=0),P469,0)</f>
        <v>0</v>
      </c>
      <c r="BV469" s="189">
        <f>IF(AND(Input_Product=Elig!$C469,Elig_MatchAll_Ct&lt;22,$BC469=(Elig_MatchAll_Ct-1),AT469=0),Q469,0)</f>
        <v>0</v>
      </c>
      <c r="BW469" s="271">
        <f>IF(AND(Input_Product=Elig!$C469,Elig_MatchAll_Ct&lt;22,$BC469=(Elig_MatchAll_Ct-1),AU469=0),R469,0)</f>
        <v>0</v>
      </c>
      <c r="BX469" s="272">
        <f>IF(AND(Input_Product=Elig!$C469,Elig_MatchAll_Ct&lt;22,$BC469=(Elig_MatchAll_Ct-1),AU469=0),S469,0)</f>
        <v>0</v>
      </c>
      <c r="BY469" s="271">
        <f>IF(AND(Input_Product=Elig!$C469,Elig_MatchAll_Ct&lt;22,$BC469=(Elig_MatchAll_Ct-1),AV469=0),T469,0)</f>
        <v>0</v>
      </c>
      <c r="BZ469" s="272">
        <f>IF(AND(Input_Product=Elig!$C469,Elig_MatchAll_Ct&lt;22,$BC469=(Elig_MatchAll_Ct-1),AV469=0),U469,0)</f>
        <v>0</v>
      </c>
      <c r="CA469" s="271">
        <f>IF(AND(Input_Product=Elig!$C469,Elig_MatchAll_Ct&lt;22,$BC469=(Elig_MatchAll_Ct-1),AW469=0),V469,0)</f>
        <v>0</v>
      </c>
      <c r="CB469" s="272">
        <f>IF(AND(Input_Product=Elig!$C469,Elig_MatchAll_Ct&lt;22,$BC469=(Elig_MatchAll_Ct-1),AW469=0),W469,0)</f>
        <v>0</v>
      </c>
      <c r="CC469" s="271">
        <f>IF(AND(Input_Product=Elig!$C469,Elig_MatchAll_Ct&lt;22,$BC469=(Elig_MatchAll_Ct-1),AX469=0),X469,0)</f>
        <v>0</v>
      </c>
      <c r="CD469" s="272">
        <f>IF(AND(Input_Product=Elig!$C469,Elig_MatchAll_Ct&lt;22,$BC469=(Elig_MatchAll_Ct-1),AX469=0),Y469,0)</f>
        <v>0</v>
      </c>
      <c r="CE469" s="271">
        <f>IF(AND(Input_LTV&lt;=AE469,Input_Product=Elig!$C469,Elig_MatchAll_Ct&lt;22,$BC469=(Elig_MatchAll_Ct-1),AY469=0),Z469,0)</f>
        <v>0</v>
      </c>
      <c r="CF469" s="272">
        <f>IF(AND(Input_LTV&lt;=AE469,Input_Product=Elig!$C469,Elig_MatchAll_Ct&lt;22,$BC469=(Elig_MatchAll_Ct-1),AY469=0),AA469,0)</f>
        <v>0</v>
      </c>
      <c r="CG469" s="271">
        <f>IF(AND(Input_Product=Elig!$C469,Elig_MatchAll_Ct&lt;22,$BC469=(Elig_MatchAll_Ct-1),AZ469=0),AB469,0)</f>
        <v>0</v>
      </c>
      <c r="CH469" s="272">
        <f>IF(AND(Input_Product=Elig!$C469,Elig_MatchAll_Ct&lt;22,$BC469=(Elig_MatchAll_Ct-1),AZ469=0),AC469,0)</f>
        <v>0</v>
      </c>
      <c r="CI469" s="271">
        <f>IF(AND(Input_Product=Elig!$C469,Elig_MatchAll_Ct&lt;22,$BC469=(Elig_MatchAll_Ct-1),BA469=0),AD469,0)</f>
        <v>0</v>
      </c>
      <c r="CJ469" s="272">
        <f>IF(AND(Input_Product=Elig!$C469,Elig_MatchAll_Ct&lt;22,$BC469=(Elig_MatchAll_Ct-1),BA469=0),AE469,0)</f>
        <v>0</v>
      </c>
    </row>
    <row r="470" spans="1:88" ht="10.15" customHeight="1" x14ac:dyDescent="0.25">
      <c r="A470" s="261" t="s">
        <v>2507</v>
      </c>
      <c r="B470" s="261" t="s">
        <v>2499</v>
      </c>
      <c r="C470" s="1930" t="str">
        <f t="shared" si="175"/>
        <v>NonQM NOO</v>
      </c>
      <c r="D470" s="276" t="s">
        <v>1995</v>
      </c>
      <c r="E470" s="1537" t="s">
        <v>166</v>
      </c>
      <c r="F470" s="1537" t="s">
        <v>329</v>
      </c>
      <c r="G470" s="1537" t="s">
        <v>180</v>
      </c>
      <c r="H470" s="1537" t="s">
        <v>135</v>
      </c>
      <c r="I470" s="276" t="s">
        <v>273</v>
      </c>
      <c r="J470" s="276" t="s">
        <v>1130</v>
      </c>
      <c r="K470" s="1930" t="s">
        <v>2516</v>
      </c>
      <c r="L470" s="261" t="s">
        <v>311</v>
      </c>
      <c r="M470" s="261" t="s">
        <v>2289</v>
      </c>
      <c r="N470" s="261" t="s">
        <v>1844</v>
      </c>
      <c r="O470" s="1985" t="s">
        <v>2196</v>
      </c>
      <c r="P470" s="1985" t="s">
        <v>2422</v>
      </c>
      <c r="Q470" s="1985" t="s">
        <v>49</v>
      </c>
      <c r="R470" s="261">
        <v>2000000.01</v>
      </c>
      <c r="S470" s="276">
        <v>2500000</v>
      </c>
      <c r="T470" s="276">
        <v>0</v>
      </c>
      <c r="U470" s="276">
        <v>0</v>
      </c>
      <c r="V470" s="276">
        <v>0</v>
      </c>
      <c r="W470" s="276">
        <v>50</v>
      </c>
      <c r="X470" s="276">
        <v>0.01</v>
      </c>
      <c r="Y470" s="261">
        <v>0.74999999999989997</v>
      </c>
      <c r="Z470" s="1882">
        <v>720</v>
      </c>
      <c r="AA470" s="1882">
        <v>999</v>
      </c>
      <c r="AB470" s="1882">
        <v>0</v>
      </c>
      <c r="AC470" s="1882">
        <v>999999</v>
      </c>
      <c r="AD470" s="276">
        <v>0</v>
      </c>
      <c r="AE470" s="1538">
        <v>70</v>
      </c>
      <c r="AF470" s="144">
        <v>0</v>
      </c>
      <c r="AG470" s="145">
        <v>1</v>
      </c>
      <c r="AH470" s="145">
        <v>1</v>
      </c>
      <c r="AI470" s="145">
        <v>1</v>
      </c>
      <c r="AJ470" s="145">
        <v>1</v>
      </c>
      <c r="AK470" s="145">
        <v>1</v>
      </c>
      <c r="AL470" s="145">
        <v>1</v>
      </c>
      <c r="AM470" s="145">
        <v>1</v>
      </c>
      <c r="AN470" s="145">
        <v>1</v>
      </c>
      <c r="AO470" s="145">
        <v>1</v>
      </c>
      <c r="AP470" s="145">
        <v>1</v>
      </c>
      <c r="AQ470" s="145">
        <v>1</v>
      </c>
      <c r="AR470" s="145">
        <v>1</v>
      </c>
      <c r="AS470" s="145">
        <v>1</v>
      </c>
      <c r="AT470" s="145">
        <v>0</v>
      </c>
      <c r="AU470" s="145">
        <f t="shared" si="148"/>
        <v>0</v>
      </c>
      <c r="AV470" s="145">
        <f t="shared" si="149"/>
        <v>1</v>
      </c>
      <c r="AW470" s="145">
        <f t="shared" si="150"/>
        <v>1</v>
      </c>
      <c r="AX470" s="145">
        <f t="shared" si="161"/>
        <v>0</v>
      </c>
      <c r="AY470" s="145">
        <f t="shared" si="151"/>
        <v>1</v>
      </c>
      <c r="AZ470" s="145">
        <f t="shared" si="152"/>
        <v>1</v>
      </c>
      <c r="BA470" s="146">
        <f t="shared" si="153"/>
        <v>1</v>
      </c>
      <c r="BB470" s="149">
        <f t="shared" ref="BB470:BB473" si="178">SUM(AF470:BA470)</f>
        <v>18</v>
      </c>
      <c r="BC470" s="150">
        <f t="shared" ref="BC470:BC473" si="179">SUM(AF470:AZ470)</f>
        <v>17</v>
      </c>
      <c r="BD470" s="150">
        <f t="shared" ref="BD470:BD473" si="180">SUM(AG470:BA470)</f>
        <v>18</v>
      </c>
      <c r="BE470" s="211" t="str">
        <f t="shared" ref="BE470:BE473" si="181">IF(BD470=21,C470,"")</f>
        <v/>
      </c>
      <c r="BH470" s="184">
        <f>IF(AND(Input_Product=Elig!$C470,Elig_MatchAll_Ct&lt;22,$BC470=(Elig_MatchAll_Ct-1),AF470=0),C470,0)</f>
        <v>0</v>
      </c>
      <c r="BI470" s="184">
        <f>IF(AND(Input_Product=Elig!$C470,Elig_MatchAll_Ct&lt;22,$BC470=(Elig_MatchAll_Ct-1),AG470=0),D470,0)</f>
        <v>0</v>
      </c>
      <c r="BJ470" s="184">
        <f>IF(AND(Input_Product=Elig!$C470,Elig_MatchAll_Ct&lt;22,$BC470=(Elig_MatchAll_Ct-1),AH470=0),E470,0)</f>
        <v>0</v>
      </c>
      <c r="BK470" s="184">
        <f>IF(AND(Input_Product=Elig!$C470,Elig_MatchAll_Ct&lt;22,$BC470=(Elig_MatchAll_Ct-1),AI470=0),F470,0)</f>
        <v>0</v>
      </c>
      <c r="BL470" s="184">
        <f>IF(AND(Input_Product=Elig!$C470,Elig_MatchAll_Ct&lt;22,$BC470=(Elig_MatchAll_Ct-1),AJ470=0),G470,0)</f>
        <v>0</v>
      </c>
      <c r="BM470" s="184">
        <f>IF(AND(Input_Product=Elig!$C470,Elig_MatchAll_Ct&lt;22,$BC470=(Elig_MatchAll_Ct-1),AK470=0),H470,0)</f>
        <v>0</v>
      </c>
      <c r="BN470" s="184">
        <f>IF(AND(Input_Product=Elig!$C470,Elig_MatchAll_Ct&lt;22,$BC470=(Elig_MatchAll_Ct-1),AL470=0),I470,0)</f>
        <v>0</v>
      </c>
      <c r="BO470" s="184">
        <f>IF(AND(Input_Product=Elig!$C470,Elig_MatchAll_Ct&lt;22,$BC470=(Elig_MatchAll_Ct-1),AM470=0),J470,0)</f>
        <v>0</v>
      </c>
      <c r="BP470" s="184">
        <f>IF(AND(Input_Product=Elig!$C470,Elig_MatchAll_Ct&lt;22,$BC470=(Elig_MatchAll_Ct-1),AN470=0),K470,0)</f>
        <v>0</v>
      </c>
      <c r="BQ470" s="184">
        <f>IF(AND(Input_Product=Elig!$C470,Elig_MatchAll_Ct&lt;22,$BC470=(Elig_MatchAll_Ct-1),AP470=0),L470,0)</f>
        <v>0</v>
      </c>
      <c r="BR470" s="184">
        <f>IF(AND(Input_Product=Elig!$C470,Elig_MatchAll_Ct&lt;22,$BC470=(Elig_MatchAll_Ct-1),AO470=0),M470,0)</f>
        <v>0</v>
      </c>
      <c r="BS470" s="184">
        <f>IF(AND(Input_Product=Elig!$C470,Elig_MatchAll_Ct&lt;22,$BC470=(Elig_MatchAll_Ct-1),AQ470=0),N470,0)</f>
        <v>0</v>
      </c>
      <c r="BT470" s="184">
        <f>IF(AND(Input_Product=Elig!$C470,Elig_MatchAll_Ct&lt;22,$BC470=(Elig_MatchAll_Ct-1),AR470=0),O470,0)</f>
        <v>0</v>
      </c>
      <c r="BU470" s="184">
        <f>IF(AND(Input_Product=Elig!$C470,Elig_MatchAll_Ct&lt;22,$BC470=(Elig_MatchAll_Ct-1),AS470=0),P470,0)</f>
        <v>0</v>
      </c>
      <c r="BV470" s="185">
        <f>IF(AND(Input_Product=Elig!$C470,Elig_MatchAll_Ct&lt;22,$BC470=(Elig_MatchAll_Ct-1),AT470=0),Q470,0)</f>
        <v>0</v>
      </c>
      <c r="BW470" s="186">
        <f>IF(AND(Input_Product=Elig!$C470,Elig_MatchAll_Ct&lt;22,$BC470=(Elig_MatchAll_Ct-1),AU470=0),R470,0)</f>
        <v>0</v>
      </c>
      <c r="BX470" s="187">
        <f>IF(AND(Input_Product=Elig!$C470,Elig_MatchAll_Ct&lt;22,$BC470=(Elig_MatchAll_Ct-1),AU470=0),S470,0)</f>
        <v>0</v>
      </c>
      <c r="BY470" s="186">
        <f>IF(AND(Input_Product=Elig!$C470,Elig_MatchAll_Ct&lt;22,$BC470=(Elig_MatchAll_Ct-1),AV470=0),T470,0)</f>
        <v>0</v>
      </c>
      <c r="BZ470" s="187">
        <f>IF(AND(Input_Product=Elig!$C470,Elig_MatchAll_Ct&lt;22,$BC470=(Elig_MatchAll_Ct-1),AV470=0),U470,0)</f>
        <v>0</v>
      </c>
      <c r="CA470" s="186">
        <f>IF(AND(Input_Product=Elig!$C470,Elig_MatchAll_Ct&lt;22,$BC470=(Elig_MatchAll_Ct-1),AW470=0),V470,0)</f>
        <v>0</v>
      </c>
      <c r="CB470" s="187">
        <f>IF(AND(Input_Product=Elig!$C470,Elig_MatchAll_Ct&lt;22,$BC470=(Elig_MatchAll_Ct-1),AW470=0),W470,0)</f>
        <v>0</v>
      </c>
      <c r="CC470" s="186">
        <f>IF(AND(Input_Product=Elig!$C470,Elig_MatchAll_Ct&lt;22,$BC470=(Elig_MatchAll_Ct-1),AX470=0),X470,0)</f>
        <v>0</v>
      </c>
      <c r="CD470" s="187">
        <f>IF(AND(Input_Product=Elig!$C470,Elig_MatchAll_Ct&lt;22,$BC470=(Elig_MatchAll_Ct-1),AX470=0),Y470,0)</f>
        <v>0</v>
      </c>
      <c r="CE470" s="186">
        <f>IF(AND(Input_LTV&lt;=AE470,Input_Product=Elig!$C470,Elig_MatchAll_Ct&lt;22,$BC470=(Elig_MatchAll_Ct-1),AY470=0),Z470,0)</f>
        <v>0</v>
      </c>
      <c r="CF470" s="187">
        <f>IF(AND(Input_LTV&lt;=AE470,Input_Product=Elig!$C470,Elig_MatchAll_Ct&lt;22,$BC470=(Elig_MatchAll_Ct-1),AY470=0),AA470,0)</f>
        <v>0</v>
      </c>
      <c r="CG470" s="186">
        <f>IF(AND(Input_Product=Elig!$C470,Elig_MatchAll_Ct&lt;22,$BC470=(Elig_MatchAll_Ct-1),AZ470=0),AB470,0)</f>
        <v>0</v>
      </c>
      <c r="CH470" s="187">
        <f>IF(AND(Input_Product=Elig!$C470,Elig_MatchAll_Ct&lt;22,$BC470=(Elig_MatchAll_Ct-1),AZ470=0),AC470,0)</f>
        <v>0</v>
      </c>
      <c r="CI470" s="186">
        <f>IF(AND(Input_Product=Elig!$C470,Elig_MatchAll_Ct&lt;22,$BC470=(Elig_MatchAll_Ct-1),BA470=0),AD470,0)</f>
        <v>0</v>
      </c>
      <c r="CJ470" s="187">
        <f>IF(AND(Input_Product=Elig!$C470,Elig_MatchAll_Ct&lt;22,$BC470=(Elig_MatchAll_Ct-1),BA470=0),AE470,0)</f>
        <v>0</v>
      </c>
    </row>
    <row r="471" spans="1:88" ht="10.15" customHeight="1" x14ac:dyDescent="0.25">
      <c r="A471" s="261" t="s">
        <v>2507</v>
      </c>
      <c r="B471" s="261" t="s">
        <v>2500</v>
      </c>
      <c r="C471" s="1970" t="str">
        <f t="shared" si="175"/>
        <v>NonQM NOO</v>
      </c>
      <c r="D471" s="261" t="s">
        <v>1995</v>
      </c>
      <c r="E471" s="261" t="s">
        <v>166</v>
      </c>
      <c r="F471" s="261" t="s">
        <v>329</v>
      </c>
      <c r="G471" s="261" t="s">
        <v>180</v>
      </c>
      <c r="H471" s="261" t="s">
        <v>135</v>
      </c>
      <c r="I471" s="1544" t="s">
        <v>273</v>
      </c>
      <c r="J471" s="1544" t="s">
        <v>1130</v>
      </c>
      <c r="K471" s="1930" t="s">
        <v>2516</v>
      </c>
      <c r="L471" s="261" t="s">
        <v>311</v>
      </c>
      <c r="M471" s="261" t="s">
        <v>2289</v>
      </c>
      <c r="N471" s="261" t="s">
        <v>1844</v>
      </c>
      <c r="O471" s="1985" t="s">
        <v>2196</v>
      </c>
      <c r="P471" s="1985" t="s">
        <v>2422</v>
      </c>
      <c r="Q471" s="1985" t="s">
        <v>49</v>
      </c>
      <c r="R471" s="261">
        <v>2000000.01</v>
      </c>
      <c r="S471" s="261">
        <v>2500000</v>
      </c>
      <c r="T471" s="261">
        <v>0</v>
      </c>
      <c r="U471" s="261">
        <v>0</v>
      </c>
      <c r="V471" s="261">
        <v>0</v>
      </c>
      <c r="W471" s="261">
        <v>50</v>
      </c>
      <c r="X471" s="276">
        <v>0.01</v>
      </c>
      <c r="Y471" s="261">
        <v>0.74999999999989997</v>
      </c>
      <c r="Z471" s="1883">
        <v>700</v>
      </c>
      <c r="AA471" s="1883">
        <v>719</v>
      </c>
      <c r="AB471" s="1883">
        <v>0</v>
      </c>
      <c r="AC471" s="1883">
        <v>999999</v>
      </c>
      <c r="AD471" s="261">
        <v>0</v>
      </c>
      <c r="AE471" s="1539">
        <v>70</v>
      </c>
      <c r="AF471" s="144">
        <v>0</v>
      </c>
      <c r="AG471" s="145">
        <v>1</v>
      </c>
      <c r="AH471" s="145">
        <v>1</v>
      </c>
      <c r="AI471" s="145">
        <v>1</v>
      </c>
      <c r="AJ471" s="145">
        <v>1</v>
      </c>
      <c r="AK471" s="145">
        <v>1</v>
      </c>
      <c r="AL471" s="145">
        <v>1</v>
      </c>
      <c r="AM471" s="145">
        <v>1</v>
      </c>
      <c r="AN471" s="145">
        <v>1</v>
      </c>
      <c r="AO471" s="145">
        <v>1</v>
      </c>
      <c r="AP471" s="145">
        <v>1</v>
      </c>
      <c r="AQ471" s="145">
        <v>1</v>
      </c>
      <c r="AR471" s="145">
        <v>1</v>
      </c>
      <c r="AS471" s="145">
        <v>1</v>
      </c>
      <c r="AT471" s="145">
        <v>0</v>
      </c>
      <c r="AU471" s="145">
        <f t="shared" si="148"/>
        <v>0</v>
      </c>
      <c r="AV471" s="145">
        <f t="shared" si="149"/>
        <v>1</v>
      </c>
      <c r="AW471" s="145">
        <f t="shared" si="150"/>
        <v>1</v>
      </c>
      <c r="AX471" s="145">
        <f t="shared" si="161"/>
        <v>0</v>
      </c>
      <c r="AY471" s="145">
        <f t="shared" si="151"/>
        <v>0</v>
      </c>
      <c r="AZ471" s="145">
        <f t="shared" si="152"/>
        <v>1</v>
      </c>
      <c r="BA471" s="146">
        <f t="shared" si="153"/>
        <v>1</v>
      </c>
      <c r="BB471" s="149">
        <f t="shared" si="178"/>
        <v>17</v>
      </c>
      <c r="BC471" s="150">
        <f t="shared" si="179"/>
        <v>16</v>
      </c>
      <c r="BD471" s="150">
        <f t="shared" si="180"/>
        <v>17</v>
      </c>
      <c r="BE471" s="211" t="str">
        <f t="shared" si="181"/>
        <v/>
      </c>
      <c r="BH471" s="173">
        <f>IF(AND(Input_Product=Elig!$C471,Elig_MatchAll_Ct&lt;22,$BC471=(Elig_MatchAll_Ct-1),AF471=0),C471,0)</f>
        <v>0</v>
      </c>
      <c r="BI471" s="173">
        <f>IF(AND(Input_Product=Elig!$C471,Elig_MatchAll_Ct&lt;22,$BC471=(Elig_MatchAll_Ct-1),AG471=0),D471,0)</f>
        <v>0</v>
      </c>
      <c r="BJ471" s="173">
        <f>IF(AND(Input_Product=Elig!$C471,Elig_MatchAll_Ct&lt;22,$BC471=(Elig_MatchAll_Ct-1),AH471=0),E471,0)</f>
        <v>0</v>
      </c>
      <c r="BK471" s="173">
        <f>IF(AND(Input_Product=Elig!$C471,Elig_MatchAll_Ct&lt;22,$BC471=(Elig_MatchAll_Ct-1),AI471=0),F471,0)</f>
        <v>0</v>
      </c>
      <c r="BL471" s="173">
        <f>IF(AND(Input_Product=Elig!$C471,Elig_MatchAll_Ct&lt;22,$BC471=(Elig_MatchAll_Ct-1),AJ471=0),G471,0)</f>
        <v>0</v>
      </c>
      <c r="BM471" s="173">
        <f>IF(AND(Input_Product=Elig!$C471,Elig_MatchAll_Ct&lt;22,$BC471=(Elig_MatchAll_Ct-1),AK471=0),H471,0)</f>
        <v>0</v>
      </c>
      <c r="BN471" s="173">
        <f>IF(AND(Input_Product=Elig!$C471,Elig_MatchAll_Ct&lt;22,$BC471=(Elig_MatchAll_Ct-1),AL471=0),I471,0)</f>
        <v>0</v>
      </c>
      <c r="BO471" s="173">
        <f>IF(AND(Input_Product=Elig!$C471,Elig_MatchAll_Ct&lt;22,$BC471=(Elig_MatchAll_Ct-1),AM471=0),J471,0)</f>
        <v>0</v>
      </c>
      <c r="BP471" s="173">
        <f>IF(AND(Input_Product=Elig!$C471,Elig_MatchAll_Ct&lt;22,$BC471=(Elig_MatchAll_Ct-1),AN471=0),K471,0)</f>
        <v>0</v>
      </c>
      <c r="BQ471" s="173">
        <f>IF(AND(Input_Product=Elig!$C471,Elig_MatchAll_Ct&lt;22,$BC471=(Elig_MatchAll_Ct-1),AP471=0),L471,0)</f>
        <v>0</v>
      </c>
      <c r="BR471" s="173">
        <f>IF(AND(Input_Product=Elig!$C471,Elig_MatchAll_Ct&lt;22,$BC471=(Elig_MatchAll_Ct-1),AO471=0),M471,0)</f>
        <v>0</v>
      </c>
      <c r="BS471" s="173">
        <f>IF(AND(Input_Product=Elig!$C471,Elig_MatchAll_Ct&lt;22,$BC471=(Elig_MatchAll_Ct-1),AQ471=0),N471,0)</f>
        <v>0</v>
      </c>
      <c r="BT471" s="173">
        <f>IF(AND(Input_Product=Elig!$C471,Elig_MatchAll_Ct&lt;22,$BC471=(Elig_MatchAll_Ct-1),AR471=0),O471,0)</f>
        <v>0</v>
      </c>
      <c r="BU471" s="173">
        <f>IF(AND(Input_Product=Elig!$C471,Elig_MatchAll_Ct&lt;22,$BC471=(Elig_MatchAll_Ct-1),AS471=0),P471,0)</f>
        <v>0</v>
      </c>
      <c r="BV471" s="174">
        <f>IF(AND(Input_Product=Elig!$C471,Elig_MatchAll_Ct&lt;22,$BC471=(Elig_MatchAll_Ct-1),AT471=0),Q471,0)</f>
        <v>0</v>
      </c>
      <c r="BW471" s="175">
        <f>IF(AND(Input_Product=Elig!$C471,Elig_MatchAll_Ct&lt;22,$BC471=(Elig_MatchAll_Ct-1),AU471=0),R471,0)</f>
        <v>0</v>
      </c>
      <c r="BX471" s="176">
        <f>IF(AND(Input_Product=Elig!$C471,Elig_MatchAll_Ct&lt;22,$BC471=(Elig_MatchAll_Ct-1),AU471=0),S471,0)</f>
        <v>0</v>
      </c>
      <c r="BY471" s="175">
        <f>IF(AND(Input_Product=Elig!$C471,Elig_MatchAll_Ct&lt;22,$BC471=(Elig_MatchAll_Ct-1),AV471=0),T471,0)</f>
        <v>0</v>
      </c>
      <c r="BZ471" s="176">
        <f>IF(AND(Input_Product=Elig!$C471,Elig_MatchAll_Ct&lt;22,$BC471=(Elig_MatchAll_Ct-1),AV471=0),U471,0)</f>
        <v>0</v>
      </c>
      <c r="CA471" s="175">
        <f>IF(AND(Input_Product=Elig!$C471,Elig_MatchAll_Ct&lt;22,$BC471=(Elig_MatchAll_Ct-1),AW471=0),V471,0)</f>
        <v>0</v>
      </c>
      <c r="CB471" s="176">
        <f>IF(AND(Input_Product=Elig!$C471,Elig_MatchAll_Ct&lt;22,$BC471=(Elig_MatchAll_Ct-1),AW471=0),W471,0)</f>
        <v>0</v>
      </c>
      <c r="CC471" s="175">
        <f>IF(AND(Input_Product=Elig!$C471,Elig_MatchAll_Ct&lt;22,$BC471=(Elig_MatchAll_Ct-1),AX471=0),X471,0)</f>
        <v>0</v>
      </c>
      <c r="CD471" s="176">
        <f>IF(AND(Input_Product=Elig!$C471,Elig_MatchAll_Ct&lt;22,$BC471=(Elig_MatchAll_Ct-1),AX471=0),Y471,0)</f>
        <v>0</v>
      </c>
      <c r="CE471" s="175">
        <f>IF(AND(Input_LTV&lt;=AE471,Input_Product=Elig!$C471,Elig_MatchAll_Ct&lt;22,$BC471=(Elig_MatchAll_Ct-1),AY471=0),Z471,0)</f>
        <v>0</v>
      </c>
      <c r="CF471" s="176">
        <f>IF(AND(Input_LTV&lt;=AE471,Input_Product=Elig!$C471,Elig_MatchAll_Ct&lt;22,$BC471=(Elig_MatchAll_Ct-1),AY471=0),AA471,0)</f>
        <v>0</v>
      </c>
      <c r="CG471" s="175">
        <f>IF(AND(Input_Product=Elig!$C471,Elig_MatchAll_Ct&lt;22,$BC471=(Elig_MatchAll_Ct-1),AZ471=0),AB471,0)</f>
        <v>0</v>
      </c>
      <c r="CH471" s="176">
        <f>IF(AND(Input_Product=Elig!$C471,Elig_MatchAll_Ct&lt;22,$BC471=(Elig_MatchAll_Ct-1),AZ471=0),AC471,0)</f>
        <v>0</v>
      </c>
      <c r="CI471" s="175">
        <f>IF(AND(Input_Product=Elig!$C471,Elig_MatchAll_Ct&lt;22,$BC471=(Elig_MatchAll_Ct-1),BA471=0),AD471,0)</f>
        <v>0</v>
      </c>
      <c r="CJ471" s="176">
        <f>IF(AND(Input_Product=Elig!$C471,Elig_MatchAll_Ct&lt;22,$BC471=(Elig_MatchAll_Ct-1),BA471=0),AE471,0)</f>
        <v>0</v>
      </c>
    </row>
    <row r="472" spans="1:88" ht="10.15" customHeight="1" x14ac:dyDescent="0.25">
      <c r="A472" s="261" t="s">
        <v>2507</v>
      </c>
      <c r="B472" s="261" t="s">
        <v>2501</v>
      </c>
      <c r="C472" s="1930" t="str">
        <f t="shared" si="175"/>
        <v>NonQM NOO</v>
      </c>
      <c r="D472" s="276" t="s">
        <v>1995</v>
      </c>
      <c r="E472" s="1537" t="s">
        <v>166</v>
      </c>
      <c r="F472" s="1537" t="s">
        <v>329</v>
      </c>
      <c r="G472" s="1537" t="s">
        <v>180</v>
      </c>
      <c r="H472" s="1537" t="s">
        <v>135</v>
      </c>
      <c r="I472" s="1537" t="s">
        <v>16</v>
      </c>
      <c r="J472" s="276" t="s">
        <v>1130</v>
      </c>
      <c r="K472" s="1930" t="s">
        <v>2516</v>
      </c>
      <c r="L472" s="261" t="s">
        <v>311</v>
      </c>
      <c r="M472" s="261" t="s">
        <v>2289</v>
      </c>
      <c r="N472" s="261" t="s">
        <v>1844</v>
      </c>
      <c r="O472" s="1985" t="s">
        <v>2196</v>
      </c>
      <c r="P472" s="1985" t="s">
        <v>2422</v>
      </c>
      <c r="Q472" s="1985" t="s">
        <v>49</v>
      </c>
      <c r="R472" s="261">
        <v>2000000.01</v>
      </c>
      <c r="S472" s="276">
        <v>2500000</v>
      </c>
      <c r="T472" s="276">
        <v>0</v>
      </c>
      <c r="U472" s="276">
        <f t="shared" ref="U472:U473" si="182">S472</f>
        <v>2500000</v>
      </c>
      <c r="V472" s="276">
        <v>0</v>
      </c>
      <c r="W472" s="276">
        <v>50</v>
      </c>
      <c r="X472" s="276">
        <v>0.01</v>
      </c>
      <c r="Y472" s="261">
        <v>0.74999999999989997</v>
      </c>
      <c r="Z472" s="1882">
        <v>720</v>
      </c>
      <c r="AA472" s="1882">
        <v>999</v>
      </c>
      <c r="AB472" s="1882">
        <v>0</v>
      </c>
      <c r="AC472" s="1882">
        <v>999999</v>
      </c>
      <c r="AD472" s="276">
        <v>0</v>
      </c>
      <c r="AE472" s="1538">
        <v>65</v>
      </c>
      <c r="AF472" s="144">
        <v>0</v>
      </c>
      <c r="AG472" s="145">
        <v>1</v>
      </c>
      <c r="AH472" s="145">
        <v>1</v>
      </c>
      <c r="AI472" s="145">
        <v>1</v>
      </c>
      <c r="AJ472" s="145">
        <v>1</v>
      </c>
      <c r="AK472" s="145">
        <v>1</v>
      </c>
      <c r="AL472" s="145">
        <v>0</v>
      </c>
      <c r="AM472" s="145">
        <v>1</v>
      </c>
      <c r="AN472" s="145">
        <v>1</v>
      </c>
      <c r="AO472" s="145">
        <v>1</v>
      </c>
      <c r="AP472" s="145">
        <v>1</v>
      </c>
      <c r="AQ472" s="145">
        <v>1</v>
      </c>
      <c r="AR472" s="145">
        <v>1</v>
      </c>
      <c r="AS472" s="145">
        <v>1</v>
      </c>
      <c r="AT472" s="145">
        <v>0</v>
      </c>
      <c r="AU472" s="145">
        <f t="shared" si="148"/>
        <v>0</v>
      </c>
      <c r="AV472" s="145">
        <f t="shared" si="149"/>
        <v>1</v>
      </c>
      <c r="AW472" s="145">
        <f t="shared" si="150"/>
        <v>1</v>
      </c>
      <c r="AX472" s="145">
        <f t="shared" si="161"/>
        <v>0</v>
      </c>
      <c r="AY472" s="145">
        <f t="shared" si="151"/>
        <v>1</v>
      </c>
      <c r="AZ472" s="145">
        <f t="shared" si="152"/>
        <v>1</v>
      </c>
      <c r="BA472" s="146">
        <f t="shared" si="153"/>
        <v>0</v>
      </c>
      <c r="BB472" s="149">
        <f t="shared" si="178"/>
        <v>16</v>
      </c>
      <c r="BC472" s="150">
        <f t="shared" si="179"/>
        <v>16</v>
      </c>
      <c r="BD472" s="150">
        <f t="shared" si="180"/>
        <v>16</v>
      </c>
      <c r="BE472" s="211" t="str">
        <f t="shared" si="181"/>
        <v/>
      </c>
      <c r="BH472" s="190">
        <f>IF(AND(Input_Product=Elig!$C472,Elig_MatchAll_Ct&lt;22,$BC472=(Elig_MatchAll_Ct-1),AF472=0),C472,0)</f>
        <v>0</v>
      </c>
      <c r="BI472" s="190">
        <f>IF(AND(Input_Product=Elig!$C472,Elig_MatchAll_Ct&lt;22,$BC472=(Elig_MatchAll_Ct-1),AG472=0),D472,0)</f>
        <v>0</v>
      </c>
      <c r="BJ472" s="190">
        <f>IF(AND(Input_Product=Elig!$C472,Elig_MatchAll_Ct&lt;22,$BC472=(Elig_MatchAll_Ct-1),AH472=0),E472,0)</f>
        <v>0</v>
      </c>
      <c r="BK472" s="190">
        <f>IF(AND(Input_Product=Elig!$C472,Elig_MatchAll_Ct&lt;22,$BC472=(Elig_MatchAll_Ct-1),AI472=0),F472,0)</f>
        <v>0</v>
      </c>
      <c r="BL472" s="190">
        <f>IF(AND(Input_Product=Elig!$C472,Elig_MatchAll_Ct&lt;22,$BC472=(Elig_MatchAll_Ct-1),AJ472=0),G472,0)</f>
        <v>0</v>
      </c>
      <c r="BM472" s="190">
        <f>IF(AND(Input_Product=Elig!$C472,Elig_MatchAll_Ct&lt;22,$BC472=(Elig_MatchAll_Ct-1),AK472=0),H472,0)</f>
        <v>0</v>
      </c>
      <c r="BN472" s="190">
        <f>IF(AND(Input_Product=Elig!$C472,Elig_MatchAll_Ct&lt;22,$BC472=(Elig_MatchAll_Ct-1),AL472=0),I472,0)</f>
        <v>0</v>
      </c>
      <c r="BO472" s="190">
        <f>IF(AND(Input_Product=Elig!$C472,Elig_MatchAll_Ct&lt;22,$BC472=(Elig_MatchAll_Ct-1),AM472=0),J472,0)</f>
        <v>0</v>
      </c>
      <c r="BP472" s="190">
        <f>IF(AND(Input_Product=Elig!$C472,Elig_MatchAll_Ct&lt;22,$BC472=(Elig_MatchAll_Ct-1),AN472=0),K472,0)</f>
        <v>0</v>
      </c>
      <c r="BQ472" s="190">
        <f>IF(AND(Input_Product=Elig!$C472,Elig_MatchAll_Ct&lt;22,$BC472=(Elig_MatchAll_Ct-1),AP472=0),L472,0)</f>
        <v>0</v>
      </c>
      <c r="BR472" s="190">
        <f>IF(AND(Input_Product=Elig!$C472,Elig_MatchAll_Ct&lt;22,$BC472=(Elig_MatchAll_Ct-1),AO472=0),M472,0)</f>
        <v>0</v>
      </c>
      <c r="BS472" s="190">
        <f>IF(AND(Input_Product=Elig!$C472,Elig_MatchAll_Ct&lt;22,$BC472=(Elig_MatchAll_Ct-1),AQ472=0),N472,0)</f>
        <v>0</v>
      </c>
      <c r="BT472" s="190">
        <f>IF(AND(Input_Product=Elig!$C472,Elig_MatchAll_Ct&lt;22,$BC472=(Elig_MatchAll_Ct-1),AR472=0),O472,0)</f>
        <v>0</v>
      </c>
      <c r="BU472" s="190">
        <f>IF(AND(Input_Product=Elig!$C472,Elig_MatchAll_Ct&lt;22,$BC472=(Elig_MatchAll_Ct-1),AS472=0),P472,0)</f>
        <v>0</v>
      </c>
      <c r="BV472" s="191">
        <f>IF(AND(Input_Product=Elig!$C472,Elig_MatchAll_Ct&lt;22,$BC472=(Elig_MatchAll_Ct-1),AT472=0),Q472,0)</f>
        <v>0</v>
      </c>
      <c r="BW472" s="273">
        <f>IF(AND(Input_Product=Elig!$C472,Elig_MatchAll_Ct&lt;22,$BC472=(Elig_MatchAll_Ct-1),AU472=0),R472,0)</f>
        <v>0</v>
      </c>
      <c r="BX472" s="274">
        <f>IF(AND(Input_Product=Elig!$C472,Elig_MatchAll_Ct&lt;22,$BC472=(Elig_MatchAll_Ct-1),AU472=0),S472,0)</f>
        <v>0</v>
      </c>
      <c r="BY472" s="273">
        <f>IF(AND(Input_Product=Elig!$C472,Elig_MatchAll_Ct&lt;22,$BC472=(Elig_MatchAll_Ct-1),AV472=0),T472,0)</f>
        <v>0</v>
      </c>
      <c r="BZ472" s="274">
        <f>IF(AND(Input_Product=Elig!$C472,Elig_MatchAll_Ct&lt;22,$BC472=(Elig_MatchAll_Ct-1),AV472=0),U472,0)</f>
        <v>0</v>
      </c>
      <c r="CA472" s="273">
        <f>IF(AND(Input_Product=Elig!$C472,Elig_MatchAll_Ct&lt;22,$BC472=(Elig_MatchAll_Ct-1),AW472=0),V472,0)</f>
        <v>0</v>
      </c>
      <c r="CB472" s="274">
        <f>IF(AND(Input_Product=Elig!$C472,Elig_MatchAll_Ct&lt;22,$BC472=(Elig_MatchAll_Ct-1),AW472=0),W472,0)</f>
        <v>0</v>
      </c>
      <c r="CC472" s="273">
        <f>IF(AND(Input_Product=Elig!$C472,Elig_MatchAll_Ct&lt;22,$BC472=(Elig_MatchAll_Ct-1),AX472=0),X472,0)</f>
        <v>0</v>
      </c>
      <c r="CD472" s="274">
        <f>IF(AND(Input_Product=Elig!$C472,Elig_MatchAll_Ct&lt;22,$BC472=(Elig_MatchAll_Ct-1),AX472=0),Y472,0)</f>
        <v>0</v>
      </c>
      <c r="CE472" s="273">
        <f>IF(AND(Input_LTV&lt;=AE472,Input_Product=Elig!$C472,Elig_MatchAll_Ct&lt;22,$BC472=(Elig_MatchAll_Ct-1),AY472=0),Z472,0)</f>
        <v>0</v>
      </c>
      <c r="CF472" s="274">
        <f>IF(AND(Input_LTV&lt;=AE472,Input_Product=Elig!$C472,Elig_MatchAll_Ct&lt;22,$BC472=(Elig_MatchAll_Ct-1),AY472=0),AA472,0)</f>
        <v>0</v>
      </c>
      <c r="CG472" s="273">
        <f>IF(AND(Input_Product=Elig!$C472,Elig_MatchAll_Ct&lt;22,$BC472=(Elig_MatchAll_Ct-1),AZ472=0),AB472,0)</f>
        <v>0</v>
      </c>
      <c r="CH472" s="274">
        <f>IF(AND(Input_Product=Elig!$C472,Elig_MatchAll_Ct&lt;22,$BC472=(Elig_MatchAll_Ct-1),AZ472=0),AC472,0)</f>
        <v>0</v>
      </c>
      <c r="CI472" s="273">
        <f>IF(AND(Input_Product=Elig!$C472,Elig_MatchAll_Ct&lt;22,$BC472=(Elig_MatchAll_Ct-1),BA472=0),AD472,0)</f>
        <v>0</v>
      </c>
      <c r="CJ472" s="274">
        <f>IF(AND(Input_Product=Elig!$C472,Elig_MatchAll_Ct&lt;22,$BC472=(Elig_MatchAll_Ct-1),BA472=0),AE472,0)</f>
        <v>0</v>
      </c>
    </row>
    <row r="473" spans="1:88" ht="10.15" customHeight="1" x14ac:dyDescent="0.25">
      <c r="A473" s="261" t="s">
        <v>2507</v>
      </c>
      <c r="B473" s="261" t="s">
        <v>2502</v>
      </c>
      <c r="C473" s="1970" t="str">
        <f t="shared" si="175"/>
        <v>NonQM NOO</v>
      </c>
      <c r="D473" s="261" t="s">
        <v>1995</v>
      </c>
      <c r="E473" s="261" t="s">
        <v>166</v>
      </c>
      <c r="F473" s="261" t="s">
        <v>329</v>
      </c>
      <c r="G473" s="261" t="s">
        <v>180</v>
      </c>
      <c r="H473" s="261" t="s">
        <v>135</v>
      </c>
      <c r="I473" s="1544" t="s">
        <v>16</v>
      </c>
      <c r="J473" s="1544" t="s">
        <v>1130</v>
      </c>
      <c r="K473" s="1930" t="s">
        <v>2516</v>
      </c>
      <c r="L473" s="261" t="s">
        <v>311</v>
      </c>
      <c r="M473" s="261" t="s">
        <v>2289</v>
      </c>
      <c r="N473" s="261" t="s">
        <v>1844</v>
      </c>
      <c r="O473" s="1985" t="s">
        <v>2196</v>
      </c>
      <c r="P473" s="1985" t="s">
        <v>2422</v>
      </c>
      <c r="Q473" s="1985" t="s">
        <v>49</v>
      </c>
      <c r="R473" s="261">
        <v>2000000.01</v>
      </c>
      <c r="S473" s="261">
        <v>2500000</v>
      </c>
      <c r="T473" s="261">
        <v>0</v>
      </c>
      <c r="U473" s="261">
        <f t="shared" si="182"/>
        <v>2500000</v>
      </c>
      <c r="V473" s="261">
        <v>0</v>
      </c>
      <c r="W473" s="261">
        <v>50</v>
      </c>
      <c r="X473" s="276">
        <v>0.01</v>
      </c>
      <c r="Y473" s="261">
        <v>0.74999999999989997</v>
      </c>
      <c r="Z473" s="1883">
        <v>700</v>
      </c>
      <c r="AA473" s="1883">
        <v>719</v>
      </c>
      <c r="AB473" s="1883">
        <v>0</v>
      </c>
      <c r="AC473" s="1883">
        <v>999999</v>
      </c>
      <c r="AD473" s="261">
        <v>0</v>
      </c>
      <c r="AE473" s="1539">
        <v>65</v>
      </c>
      <c r="AF473" s="144">
        <v>0</v>
      </c>
      <c r="AG473" s="145">
        <v>1</v>
      </c>
      <c r="AH473" s="145">
        <v>1</v>
      </c>
      <c r="AI473" s="145">
        <v>1</v>
      </c>
      <c r="AJ473" s="145">
        <v>1</v>
      </c>
      <c r="AK473" s="145">
        <v>1</v>
      </c>
      <c r="AL473" s="145">
        <v>0</v>
      </c>
      <c r="AM473" s="145">
        <v>1</v>
      </c>
      <c r="AN473" s="145">
        <v>1</v>
      </c>
      <c r="AO473" s="145">
        <v>1</v>
      </c>
      <c r="AP473" s="145">
        <v>1</v>
      </c>
      <c r="AQ473" s="145">
        <v>1</v>
      </c>
      <c r="AR473" s="145">
        <v>1</v>
      </c>
      <c r="AS473" s="145">
        <v>1</v>
      </c>
      <c r="AT473" s="145">
        <v>0</v>
      </c>
      <c r="AU473" s="145">
        <f t="shared" si="148"/>
        <v>0</v>
      </c>
      <c r="AV473" s="145">
        <f t="shared" si="149"/>
        <v>1</v>
      </c>
      <c r="AW473" s="145">
        <f t="shared" si="150"/>
        <v>1</v>
      </c>
      <c r="AX473" s="145">
        <f t="shared" si="161"/>
        <v>0</v>
      </c>
      <c r="AY473" s="145">
        <f t="shared" si="151"/>
        <v>0</v>
      </c>
      <c r="AZ473" s="145">
        <f t="shared" si="152"/>
        <v>1</v>
      </c>
      <c r="BA473" s="146">
        <f t="shared" si="153"/>
        <v>0</v>
      </c>
      <c r="BB473" s="149">
        <f t="shared" si="178"/>
        <v>15</v>
      </c>
      <c r="BC473" s="150">
        <f t="shared" si="179"/>
        <v>15</v>
      </c>
      <c r="BD473" s="150">
        <f t="shared" si="180"/>
        <v>15</v>
      </c>
      <c r="BE473" s="211" t="str">
        <f t="shared" si="181"/>
        <v/>
      </c>
      <c r="BH473" s="184">
        <f>IF(AND(Input_Product=Elig!$C473,Elig_MatchAll_Ct&lt;22,$BC473=(Elig_MatchAll_Ct-1),AF473=0),C473,0)</f>
        <v>0</v>
      </c>
      <c r="BI473" s="184">
        <f>IF(AND(Input_Product=Elig!$C473,Elig_MatchAll_Ct&lt;22,$BC473=(Elig_MatchAll_Ct-1),AG473=0),D473,0)</f>
        <v>0</v>
      </c>
      <c r="BJ473" s="184">
        <f>IF(AND(Input_Product=Elig!$C473,Elig_MatchAll_Ct&lt;22,$BC473=(Elig_MatchAll_Ct-1),AH473=0),E473,0)</f>
        <v>0</v>
      </c>
      <c r="BK473" s="184">
        <f>IF(AND(Input_Product=Elig!$C473,Elig_MatchAll_Ct&lt;22,$BC473=(Elig_MatchAll_Ct-1),AI473=0),F473,0)</f>
        <v>0</v>
      </c>
      <c r="BL473" s="184">
        <f>IF(AND(Input_Product=Elig!$C473,Elig_MatchAll_Ct&lt;22,$BC473=(Elig_MatchAll_Ct-1),AJ473=0),G473,0)</f>
        <v>0</v>
      </c>
      <c r="BM473" s="184">
        <f>IF(AND(Input_Product=Elig!$C473,Elig_MatchAll_Ct&lt;22,$BC473=(Elig_MatchAll_Ct-1),AK473=0),H473,0)</f>
        <v>0</v>
      </c>
      <c r="BN473" s="184">
        <f>IF(AND(Input_Product=Elig!$C473,Elig_MatchAll_Ct&lt;22,$BC473=(Elig_MatchAll_Ct-1),AL473=0),I473,0)</f>
        <v>0</v>
      </c>
      <c r="BO473" s="184">
        <f>IF(AND(Input_Product=Elig!$C473,Elig_MatchAll_Ct&lt;22,$BC473=(Elig_MatchAll_Ct-1),AM473=0),J473,0)</f>
        <v>0</v>
      </c>
      <c r="BP473" s="184">
        <f>IF(AND(Input_Product=Elig!$C473,Elig_MatchAll_Ct&lt;22,$BC473=(Elig_MatchAll_Ct-1),AN473=0),K473,0)</f>
        <v>0</v>
      </c>
      <c r="BQ473" s="184">
        <f>IF(AND(Input_Product=Elig!$C473,Elig_MatchAll_Ct&lt;22,$BC473=(Elig_MatchAll_Ct-1),AP473=0),L473,0)</f>
        <v>0</v>
      </c>
      <c r="BR473" s="184">
        <f>IF(AND(Input_Product=Elig!$C473,Elig_MatchAll_Ct&lt;22,$BC473=(Elig_MatchAll_Ct-1),AO473=0),M473,0)</f>
        <v>0</v>
      </c>
      <c r="BS473" s="184">
        <f>IF(AND(Input_Product=Elig!$C473,Elig_MatchAll_Ct&lt;22,$BC473=(Elig_MatchAll_Ct-1),AQ473=0),N473,0)</f>
        <v>0</v>
      </c>
      <c r="BT473" s="184">
        <f>IF(AND(Input_Product=Elig!$C473,Elig_MatchAll_Ct&lt;22,$BC473=(Elig_MatchAll_Ct-1),AR473=0),O473,0)</f>
        <v>0</v>
      </c>
      <c r="BU473" s="184">
        <f>IF(AND(Input_Product=Elig!$C473,Elig_MatchAll_Ct&lt;22,$BC473=(Elig_MatchAll_Ct-1),AS473=0),P473,0)</f>
        <v>0</v>
      </c>
      <c r="BV473" s="185">
        <f>IF(AND(Input_Product=Elig!$C473,Elig_MatchAll_Ct&lt;22,$BC473=(Elig_MatchAll_Ct-1),AT473=0),Q473,0)</f>
        <v>0</v>
      </c>
      <c r="BW473" s="186">
        <f>IF(AND(Input_Product=Elig!$C473,Elig_MatchAll_Ct&lt;22,$BC473=(Elig_MatchAll_Ct-1),AU473=0),R473,0)</f>
        <v>0</v>
      </c>
      <c r="BX473" s="187">
        <f>IF(AND(Input_Product=Elig!$C473,Elig_MatchAll_Ct&lt;22,$BC473=(Elig_MatchAll_Ct-1),AU473=0),S473,0)</f>
        <v>0</v>
      </c>
      <c r="BY473" s="186">
        <f>IF(AND(Input_Product=Elig!$C473,Elig_MatchAll_Ct&lt;22,$BC473=(Elig_MatchAll_Ct-1),AV473=0),T473,0)</f>
        <v>0</v>
      </c>
      <c r="BZ473" s="187">
        <f>IF(AND(Input_Product=Elig!$C473,Elig_MatchAll_Ct&lt;22,$BC473=(Elig_MatchAll_Ct-1),AV473=0),U473,0)</f>
        <v>0</v>
      </c>
      <c r="CA473" s="186">
        <f>IF(AND(Input_Product=Elig!$C473,Elig_MatchAll_Ct&lt;22,$BC473=(Elig_MatchAll_Ct-1),AW473=0),V473,0)</f>
        <v>0</v>
      </c>
      <c r="CB473" s="187">
        <f>IF(AND(Input_Product=Elig!$C473,Elig_MatchAll_Ct&lt;22,$BC473=(Elig_MatchAll_Ct-1),AW473=0),W473,0)</f>
        <v>0</v>
      </c>
      <c r="CC473" s="186">
        <f>IF(AND(Input_Product=Elig!$C473,Elig_MatchAll_Ct&lt;22,$BC473=(Elig_MatchAll_Ct-1),AX473=0),X473,0)</f>
        <v>0</v>
      </c>
      <c r="CD473" s="187">
        <f>IF(AND(Input_Product=Elig!$C473,Elig_MatchAll_Ct&lt;22,$BC473=(Elig_MatchAll_Ct-1),AX473=0),Y473,0)</f>
        <v>0</v>
      </c>
      <c r="CE473" s="186">
        <f>IF(AND(Input_LTV&lt;=AE473,Input_Product=Elig!$C473,Elig_MatchAll_Ct&lt;22,$BC473=(Elig_MatchAll_Ct-1),AY473=0),Z473,0)</f>
        <v>0</v>
      </c>
      <c r="CF473" s="187">
        <f>IF(AND(Input_LTV&lt;=AE473,Input_Product=Elig!$C473,Elig_MatchAll_Ct&lt;22,$BC473=(Elig_MatchAll_Ct-1),AY473=0),AA473,0)</f>
        <v>0</v>
      </c>
      <c r="CG473" s="186">
        <f>IF(AND(Input_Product=Elig!$C473,Elig_MatchAll_Ct&lt;22,$BC473=(Elig_MatchAll_Ct-1),AZ473=0),AB473,0)</f>
        <v>0</v>
      </c>
      <c r="CH473" s="187">
        <f>IF(AND(Input_Product=Elig!$C473,Elig_MatchAll_Ct&lt;22,$BC473=(Elig_MatchAll_Ct-1),AZ473=0),AC473,0)</f>
        <v>0</v>
      </c>
      <c r="CI473" s="186">
        <f>IF(AND(Input_Product=Elig!$C473,Elig_MatchAll_Ct&lt;22,$BC473=(Elig_MatchAll_Ct-1),BA473=0),AD473,0)</f>
        <v>0</v>
      </c>
      <c r="CJ473" s="187">
        <f>IF(AND(Input_Product=Elig!$C473,Elig_MatchAll_Ct&lt;22,$BC473=(Elig_MatchAll_Ct-1),BA473=0),AE473,0)</f>
        <v>0</v>
      </c>
    </row>
    <row r="474" spans="1:88" ht="10.15" customHeight="1" x14ac:dyDescent="0.25">
      <c r="A474" s="252" t="s">
        <v>76</v>
      </c>
      <c r="B474" s="252" t="s">
        <v>2200</v>
      </c>
      <c r="C474" s="246" t="str">
        <f t="shared" ref="C474:C530" si="183">Input_Name_Product2</f>
        <v>NonQM NOO</v>
      </c>
      <c r="D474" s="247" t="s">
        <v>1995</v>
      </c>
      <c r="E474" s="248" t="s">
        <v>166</v>
      </c>
      <c r="F474" s="248" t="s">
        <v>329</v>
      </c>
      <c r="G474" s="248" t="s">
        <v>302</v>
      </c>
      <c r="H474" s="248" t="s">
        <v>135</v>
      </c>
      <c r="I474" s="247" t="s">
        <v>273</v>
      </c>
      <c r="J474" s="247" t="s">
        <v>1130</v>
      </c>
      <c r="K474" s="247" t="s">
        <v>1398</v>
      </c>
      <c r="L474" s="248" t="s">
        <v>311</v>
      </c>
      <c r="M474" s="248" t="s">
        <v>2289</v>
      </c>
      <c r="N474" s="248" t="s">
        <v>1844</v>
      </c>
      <c r="O474" s="248" t="s">
        <v>309</v>
      </c>
      <c r="P474" s="248" t="s">
        <v>2434</v>
      </c>
      <c r="Q474" s="248" t="s">
        <v>293</v>
      </c>
      <c r="R474" s="247">
        <v>2500000.0099999998</v>
      </c>
      <c r="S474" s="247">
        <v>3000000</v>
      </c>
      <c r="T474" s="247">
        <v>0</v>
      </c>
      <c r="U474" s="247">
        <v>0</v>
      </c>
      <c r="V474" s="247">
        <v>0</v>
      </c>
      <c r="W474" s="247">
        <v>50</v>
      </c>
      <c r="X474" s="247">
        <v>0</v>
      </c>
      <c r="Y474" s="247">
        <v>999</v>
      </c>
      <c r="Z474" s="249">
        <v>720</v>
      </c>
      <c r="AA474" s="249">
        <v>999</v>
      </c>
      <c r="AB474" s="1882">
        <v>0</v>
      </c>
      <c r="AC474" s="249">
        <v>999999</v>
      </c>
      <c r="AD474" s="247">
        <v>0</v>
      </c>
      <c r="AE474" s="250">
        <v>75</v>
      </c>
      <c r="AF474" s="144">
        <v>0</v>
      </c>
      <c r="AG474" s="145">
        <v>1</v>
      </c>
      <c r="AH474" s="145">
        <v>1</v>
      </c>
      <c r="AI474" s="145">
        <v>1</v>
      </c>
      <c r="AJ474" s="145">
        <v>0</v>
      </c>
      <c r="AK474" s="145">
        <v>1</v>
      </c>
      <c r="AL474" s="145">
        <v>1</v>
      </c>
      <c r="AM474" s="145">
        <v>1</v>
      </c>
      <c r="AN474" s="145">
        <v>1</v>
      </c>
      <c r="AO474" s="145">
        <v>1</v>
      </c>
      <c r="AP474" s="145">
        <v>1</v>
      </c>
      <c r="AQ474" s="145">
        <v>1</v>
      </c>
      <c r="AR474" s="145">
        <v>1</v>
      </c>
      <c r="AS474" s="145">
        <v>1</v>
      </c>
      <c r="AT474" s="145">
        <v>1</v>
      </c>
      <c r="AU474" s="145">
        <f t="shared" si="148"/>
        <v>0</v>
      </c>
      <c r="AV474" s="145">
        <f t="shared" si="149"/>
        <v>1</v>
      </c>
      <c r="AW474" s="145">
        <f t="shared" si="150"/>
        <v>1</v>
      </c>
      <c r="AX474" s="145">
        <f t="shared" ref="AX474:AX515" si="184">IF(AND(Input_DSCR&gt;=Elig_DSCR_Min,Input_DSCR&lt;=Elig_DSCR_Max),1,0)</f>
        <v>1</v>
      </c>
      <c r="AY474" s="145">
        <f t="shared" si="151"/>
        <v>1</v>
      </c>
      <c r="AZ474" s="145">
        <f t="shared" si="152"/>
        <v>1</v>
      </c>
      <c r="BA474" s="146">
        <f t="shared" si="153"/>
        <v>1</v>
      </c>
      <c r="BB474" s="149">
        <f t="shared" si="166"/>
        <v>19</v>
      </c>
      <c r="BC474" s="150">
        <f t="shared" si="167"/>
        <v>18</v>
      </c>
      <c r="BD474" s="150">
        <f t="shared" si="168"/>
        <v>19</v>
      </c>
      <c r="BE474" s="211" t="str">
        <f t="shared" si="169"/>
        <v/>
      </c>
      <c r="BH474" s="184">
        <f>IF(AND(Input_Product=Elig!$C474,Elig_MatchAll_Ct&lt;22,$BC474=(Elig_MatchAll_Ct-1),AF474=0),C474,0)</f>
        <v>0</v>
      </c>
      <c r="BI474" s="184">
        <f>IF(AND(Input_Product=Elig!$C474,Elig_MatchAll_Ct&lt;22,$BC474=(Elig_MatchAll_Ct-1),AG474=0),D474,0)</f>
        <v>0</v>
      </c>
      <c r="BJ474" s="184">
        <f>IF(AND(Input_Product=Elig!$C474,Elig_MatchAll_Ct&lt;22,$BC474=(Elig_MatchAll_Ct-1),AH474=0),E474,0)</f>
        <v>0</v>
      </c>
      <c r="BK474" s="184">
        <f>IF(AND(Input_Product=Elig!$C474,Elig_MatchAll_Ct&lt;22,$BC474=(Elig_MatchAll_Ct-1),AI474=0),F474,0)</f>
        <v>0</v>
      </c>
      <c r="BL474" s="184">
        <f>IF(AND(Input_Product=Elig!$C474,Elig_MatchAll_Ct&lt;22,$BC474=(Elig_MatchAll_Ct-1),AJ474=0),G474,0)</f>
        <v>0</v>
      </c>
      <c r="BM474" s="184">
        <f>IF(AND(Input_Product=Elig!$C474,Elig_MatchAll_Ct&lt;22,$BC474=(Elig_MatchAll_Ct-1),AK474=0),H474,0)</f>
        <v>0</v>
      </c>
      <c r="BN474" s="184">
        <f>IF(AND(Input_Product=Elig!$C474,Elig_MatchAll_Ct&lt;22,$BC474=(Elig_MatchAll_Ct-1),AL474=0),I474,0)</f>
        <v>0</v>
      </c>
      <c r="BO474" s="184">
        <f>IF(AND(Input_Product=Elig!$C474,Elig_MatchAll_Ct&lt;22,$BC474=(Elig_MatchAll_Ct-1),AM474=0),J474,0)</f>
        <v>0</v>
      </c>
      <c r="BP474" s="184">
        <f>IF(AND(Input_Product=Elig!$C474,Elig_MatchAll_Ct&lt;22,$BC474=(Elig_MatchAll_Ct-1),AN474=0),K474,0)</f>
        <v>0</v>
      </c>
      <c r="BQ474" s="184">
        <f>IF(AND(Input_Product=Elig!$C474,Elig_MatchAll_Ct&lt;22,$BC474=(Elig_MatchAll_Ct-1),AP474=0),L474,0)</f>
        <v>0</v>
      </c>
      <c r="BR474" s="184">
        <f>IF(AND(Input_Product=Elig!$C474,Elig_MatchAll_Ct&lt;22,$BC474=(Elig_MatchAll_Ct-1),AO474=0),M474,0)</f>
        <v>0</v>
      </c>
      <c r="BS474" s="184">
        <f>IF(AND(Input_Product=Elig!$C474,Elig_MatchAll_Ct&lt;22,$BC474=(Elig_MatchAll_Ct-1),AQ474=0),N474,0)</f>
        <v>0</v>
      </c>
      <c r="BT474" s="184">
        <f>IF(AND(Input_Product=Elig!$C474,Elig_MatchAll_Ct&lt;22,$BC474=(Elig_MatchAll_Ct-1),AR474=0),O474,0)</f>
        <v>0</v>
      </c>
      <c r="BU474" s="184">
        <f>IF(AND(Input_Product=Elig!$C474,Elig_MatchAll_Ct&lt;22,$BC474=(Elig_MatchAll_Ct-1),AS474=0),P474,0)</f>
        <v>0</v>
      </c>
      <c r="BV474" s="185">
        <f>IF(AND(Input_Product=Elig!$C474,Elig_MatchAll_Ct&lt;22,$BC474=(Elig_MatchAll_Ct-1),AT474=0),Q474,0)</f>
        <v>0</v>
      </c>
      <c r="BW474" s="186">
        <f>IF(AND(Input_Product=Elig!$C474,Elig_MatchAll_Ct&lt;22,$BC474=(Elig_MatchAll_Ct-1),AU474=0),R474,0)</f>
        <v>0</v>
      </c>
      <c r="BX474" s="187">
        <f>IF(AND(Input_Product=Elig!$C474,Elig_MatchAll_Ct&lt;22,$BC474=(Elig_MatchAll_Ct-1),AU474=0),S474,0)</f>
        <v>0</v>
      </c>
      <c r="BY474" s="186">
        <f>IF(AND(Input_Product=Elig!$C474,Elig_MatchAll_Ct&lt;22,$BC474=(Elig_MatchAll_Ct-1),AV474=0),T474,0)</f>
        <v>0</v>
      </c>
      <c r="BZ474" s="187">
        <f>IF(AND(Input_Product=Elig!$C474,Elig_MatchAll_Ct&lt;22,$BC474=(Elig_MatchAll_Ct-1),AV474=0),U474,0)</f>
        <v>0</v>
      </c>
      <c r="CA474" s="186">
        <f>IF(AND(Input_Product=Elig!$C474,Elig_MatchAll_Ct&lt;22,$BC474=(Elig_MatchAll_Ct-1),AW474=0),V474,0)</f>
        <v>0</v>
      </c>
      <c r="CB474" s="187">
        <f>IF(AND(Input_Product=Elig!$C474,Elig_MatchAll_Ct&lt;22,$BC474=(Elig_MatchAll_Ct-1),AW474=0),W474,0)</f>
        <v>0</v>
      </c>
      <c r="CC474" s="186">
        <f>IF(AND(Input_Product=Elig!$C474,Elig_MatchAll_Ct&lt;22,$BC474=(Elig_MatchAll_Ct-1),AX474=0),X474,0)</f>
        <v>0</v>
      </c>
      <c r="CD474" s="187">
        <f>IF(AND(Input_Product=Elig!$C474,Elig_MatchAll_Ct&lt;22,$BC474=(Elig_MatchAll_Ct-1),AX474=0),Y474,0)</f>
        <v>0</v>
      </c>
      <c r="CE474" s="186">
        <f>IF(AND(Input_LTV&lt;=AE474,Input_Product=Elig!$C474,Elig_MatchAll_Ct&lt;22,$BC474=(Elig_MatchAll_Ct-1),AY474=0),Z474,0)</f>
        <v>0</v>
      </c>
      <c r="CF474" s="187">
        <f>IF(AND(Input_LTV&lt;=AE474,Input_Product=Elig!$C474,Elig_MatchAll_Ct&lt;22,$BC474=(Elig_MatchAll_Ct-1),AY474=0),AA474,0)</f>
        <v>0</v>
      </c>
      <c r="CG474" s="186">
        <f>IF(AND(Input_Product=Elig!$C474,Elig_MatchAll_Ct&lt;22,$BC474=(Elig_MatchAll_Ct-1),AZ474=0),AB474,0)</f>
        <v>0</v>
      </c>
      <c r="CH474" s="187">
        <f>IF(AND(Input_Product=Elig!$C474,Elig_MatchAll_Ct&lt;22,$BC474=(Elig_MatchAll_Ct-1),AZ474=0),AC474,0)</f>
        <v>0</v>
      </c>
      <c r="CI474" s="186">
        <f>IF(AND(Input_Product=Elig!$C474,Elig_MatchAll_Ct&lt;22,$BC474=(Elig_MatchAll_Ct-1),BA474=0),AD474,0)</f>
        <v>0</v>
      </c>
      <c r="CJ474" s="187">
        <f>IF(AND(Input_Product=Elig!$C474,Elig_MatchAll_Ct&lt;22,$BC474=(Elig_MatchAll_Ct-1),BA474=0),AE474,0)</f>
        <v>0</v>
      </c>
    </row>
    <row r="475" spans="1:88" ht="10.15" customHeight="1" x14ac:dyDescent="0.25">
      <c r="A475" s="252" t="s">
        <v>76</v>
      </c>
      <c r="B475" s="252" t="s">
        <v>2201</v>
      </c>
      <c r="C475" s="251" t="str">
        <f t="shared" si="183"/>
        <v>NonQM NOO</v>
      </c>
      <c r="D475" s="252" t="s">
        <v>1995</v>
      </c>
      <c r="E475" s="252" t="s">
        <v>166</v>
      </c>
      <c r="F475" s="252" t="s">
        <v>329</v>
      </c>
      <c r="G475" s="252" t="s">
        <v>302</v>
      </c>
      <c r="H475" s="252" t="s">
        <v>135</v>
      </c>
      <c r="I475" s="253" t="s">
        <v>273</v>
      </c>
      <c r="J475" s="253" t="s">
        <v>1130</v>
      </c>
      <c r="K475" s="253" t="s">
        <v>1398</v>
      </c>
      <c r="L475" s="252" t="s">
        <v>311</v>
      </c>
      <c r="M475" s="252" t="s">
        <v>2289</v>
      </c>
      <c r="N475" s="252" t="s">
        <v>1844</v>
      </c>
      <c r="O475" s="252" t="s">
        <v>309</v>
      </c>
      <c r="P475" s="252" t="s">
        <v>2434</v>
      </c>
      <c r="Q475" s="252" t="s">
        <v>293</v>
      </c>
      <c r="R475" s="252">
        <v>2500000.0099999998</v>
      </c>
      <c r="S475" s="252">
        <v>3000000</v>
      </c>
      <c r="T475" s="252">
        <v>0</v>
      </c>
      <c r="U475" s="252">
        <v>0</v>
      </c>
      <c r="V475" s="252">
        <v>0</v>
      </c>
      <c r="W475" s="252">
        <v>50</v>
      </c>
      <c r="X475" s="252">
        <v>0</v>
      </c>
      <c r="Y475" s="252">
        <v>999</v>
      </c>
      <c r="Z475" s="254">
        <v>700</v>
      </c>
      <c r="AA475" s="254">
        <v>719</v>
      </c>
      <c r="AB475" s="1883">
        <v>0</v>
      </c>
      <c r="AC475" s="254">
        <v>999999</v>
      </c>
      <c r="AD475" s="252">
        <v>0</v>
      </c>
      <c r="AE475" s="255">
        <v>70</v>
      </c>
      <c r="AF475" s="144">
        <v>0</v>
      </c>
      <c r="AG475" s="145">
        <v>1</v>
      </c>
      <c r="AH475" s="145">
        <v>1</v>
      </c>
      <c r="AI475" s="145">
        <v>1</v>
      </c>
      <c r="AJ475" s="145">
        <v>0</v>
      </c>
      <c r="AK475" s="145">
        <v>1</v>
      </c>
      <c r="AL475" s="145">
        <v>1</v>
      </c>
      <c r="AM475" s="145">
        <v>1</v>
      </c>
      <c r="AN475" s="145">
        <v>1</v>
      </c>
      <c r="AO475" s="145">
        <v>1</v>
      </c>
      <c r="AP475" s="145">
        <v>1</v>
      </c>
      <c r="AQ475" s="145">
        <v>1</v>
      </c>
      <c r="AR475" s="145">
        <v>1</v>
      </c>
      <c r="AS475" s="145">
        <v>1</v>
      </c>
      <c r="AT475" s="145">
        <v>1</v>
      </c>
      <c r="AU475" s="145">
        <f t="shared" si="148"/>
        <v>0</v>
      </c>
      <c r="AV475" s="145">
        <f t="shared" si="149"/>
        <v>1</v>
      </c>
      <c r="AW475" s="145">
        <f t="shared" si="150"/>
        <v>1</v>
      </c>
      <c r="AX475" s="145">
        <f t="shared" si="184"/>
        <v>1</v>
      </c>
      <c r="AY475" s="145">
        <f t="shared" si="151"/>
        <v>0</v>
      </c>
      <c r="AZ475" s="145">
        <f t="shared" si="152"/>
        <v>1</v>
      </c>
      <c r="BA475" s="146">
        <f t="shared" si="153"/>
        <v>1</v>
      </c>
      <c r="BB475" s="149">
        <f t="shared" si="166"/>
        <v>18</v>
      </c>
      <c r="BC475" s="150">
        <f t="shared" si="167"/>
        <v>17</v>
      </c>
      <c r="BD475" s="150">
        <f t="shared" si="168"/>
        <v>18</v>
      </c>
      <c r="BE475" s="211" t="str">
        <f t="shared" si="169"/>
        <v/>
      </c>
      <c r="BH475" s="173">
        <f>IF(AND(Input_Product=Elig!$C475,Elig_MatchAll_Ct&lt;22,$BC475=(Elig_MatchAll_Ct-1),AF475=0),C475,0)</f>
        <v>0</v>
      </c>
      <c r="BI475" s="173">
        <f>IF(AND(Input_Product=Elig!$C475,Elig_MatchAll_Ct&lt;22,$BC475=(Elig_MatchAll_Ct-1),AG475=0),D475,0)</f>
        <v>0</v>
      </c>
      <c r="BJ475" s="173">
        <f>IF(AND(Input_Product=Elig!$C475,Elig_MatchAll_Ct&lt;22,$BC475=(Elig_MatchAll_Ct-1),AH475=0),E475,0)</f>
        <v>0</v>
      </c>
      <c r="BK475" s="173">
        <f>IF(AND(Input_Product=Elig!$C475,Elig_MatchAll_Ct&lt;22,$BC475=(Elig_MatchAll_Ct-1),AI475=0),F475,0)</f>
        <v>0</v>
      </c>
      <c r="BL475" s="173">
        <f>IF(AND(Input_Product=Elig!$C475,Elig_MatchAll_Ct&lt;22,$BC475=(Elig_MatchAll_Ct-1),AJ475=0),G475,0)</f>
        <v>0</v>
      </c>
      <c r="BM475" s="173">
        <f>IF(AND(Input_Product=Elig!$C475,Elig_MatchAll_Ct&lt;22,$BC475=(Elig_MatchAll_Ct-1),AK475=0),H475,0)</f>
        <v>0</v>
      </c>
      <c r="BN475" s="173">
        <f>IF(AND(Input_Product=Elig!$C475,Elig_MatchAll_Ct&lt;22,$BC475=(Elig_MatchAll_Ct-1),AL475=0),I475,0)</f>
        <v>0</v>
      </c>
      <c r="BO475" s="173">
        <f>IF(AND(Input_Product=Elig!$C475,Elig_MatchAll_Ct&lt;22,$BC475=(Elig_MatchAll_Ct-1),AM475=0),J475,0)</f>
        <v>0</v>
      </c>
      <c r="BP475" s="173">
        <f>IF(AND(Input_Product=Elig!$C475,Elig_MatchAll_Ct&lt;22,$BC475=(Elig_MatchAll_Ct-1),AN475=0),K475,0)</f>
        <v>0</v>
      </c>
      <c r="BQ475" s="173">
        <f>IF(AND(Input_Product=Elig!$C475,Elig_MatchAll_Ct&lt;22,$BC475=(Elig_MatchAll_Ct-1),AP475=0),L475,0)</f>
        <v>0</v>
      </c>
      <c r="BR475" s="173">
        <f>IF(AND(Input_Product=Elig!$C475,Elig_MatchAll_Ct&lt;22,$BC475=(Elig_MatchAll_Ct-1),AO475=0),M475,0)</f>
        <v>0</v>
      </c>
      <c r="BS475" s="173">
        <f>IF(AND(Input_Product=Elig!$C475,Elig_MatchAll_Ct&lt;22,$BC475=(Elig_MatchAll_Ct-1),AQ475=0),N475,0)</f>
        <v>0</v>
      </c>
      <c r="BT475" s="173">
        <f>IF(AND(Input_Product=Elig!$C475,Elig_MatchAll_Ct&lt;22,$BC475=(Elig_MatchAll_Ct-1),AR475=0),O475,0)</f>
        <v>0</v>
      </c>
      <c r="BU475" s="173">
        <f>IF(AND(Input_Product=Elig!$C475,Elig_MatchAll_Ct&lt;22,$BC475=(Elig_MatchAll_Ct-1),AS475=0),P475,0)</f>
        <v>0</v>
      </c>
      <c r="BV475" s="174">
        <f>IF(AND(Input_Product=Elig!$C475,Elig_MatchAll_Ct&lt;22,$BC475=(Elig_MatchAll_Ct-1),AT475=0),Q475,0)</f>
        <v>0</v>
      </c>
      <c r="BW475" s="175">
        <f>IF(AND(Input_Product=Elig!$C475,Elig_MatchAll_Ct&lt;22,$BC475=(Elig_MatchAll_Ct-1),AU475=0),R475,0)</f>
        <v>0</v>
      </c>
      <c r="BX475" s="176">
        <f>IF(AND(Input_Product=Elig!$C475,Elig_MatchAll_Ct&lt;22,$BC475=(Elig_MatchAll_Ct-1),AU475=0),S475,0)</f>
        <v>0</v>
      </c>
      <c r="BY475" s="175">
        <f>IF(AND(Input_Product=Elig!$C475,Elig_MatchAll_Ct&lt;22,$BC475=(Elig_MatchAll_Ct-1),AV475=0),T475,0)</f>
        <v>0</v>
      </c>
      <c r="BZ475" s="176">
        <f>IF(AND(Input_Product=Elig!$C475,Elig_MatchAll_Ct&lt;22,$BC475=(Elig_MatchAll_Ct-1),AV475=0),U475,0)</f>
        <v>0</v>
      </c>
      <c r="CA475" s="175">
        <f>IF(AND(Input_Product=Elig!$C475,Elig_MatchAll_Ct&lt;22,$BC475=(Elig_MatchAll_Ct-1),AW475=0),V475,0)</f>
        <v>0</v>
      </c>
      <c r="CB475" s="176">
        <f>IF(AND(Input_Product=Elig!$C475,Elig_MatchAll_Ct&lt;22,$BC475=(Elig_MatchAll_Ct-1),AW475=0),W475,0)</f>
        <v>0</v>
      </c>
      <c r="CC475" s="175">
        <f>IF(AND(Input_Product=Elig!$C475,Elig_MatchAll_Ct&lt;22,$BC475=(Elig_MatchAll_Ct-1),AX475=0),X475,0)</f>
        <v>0</v>
      </c>
      <c r="CD475" s="176">
        <f>IF(AND(Input_Product=Elig!$C475,Elig_MatchAll_Ct&lt;22,$BC475=(Elig_MatchAll_Ct-1),AX475=0),Y475,0)</f>
        <v>0</v>
      </c>
      <c r="CE475" s="175">
        <f>IF(AND(Input_LTV&lt;=AE475,Input_Product=Elig!$C475,Elig_MatchAll_Ct&lt;22,$BC475=(Elig_MatchAll_Ct-1),AY475=0),Z475,0)</f>
        <v>0</v>
      </c>
      <c r="CF475" s="176">
        <f>IF(AND(Input_LTV&lt;=AE475,Input_Product=Elig!$C475,Elig_MatchAll_Ct&lt;22,$BC475=(Elig_MatchAll_Ct-1),AY475=0),AA475,0)</f>
        <v>0</v>
      </c>
      <c r="CG475" s="175">
        <f>IF(AND(Input_Product=Elig!$C475,Elig_MatchAll_Ct&lt;22,$BC475=(Elig_MatchAll_Ct-1),AZ475=0),AB475,0)</f>
        <v>0</v>
      </c>
      <c r="CH475" s="176">
        <f>IF(AND(Input_Product=Elig!$C475,Elig_MatchAll_Ct&lt;22,$BC475=(Elig_MatchAll_Ct-1),AZ475=0),AC475,0)</f>
        <v>0</v>
      </c>
      <c r="CI475" s="175">
        <f>IF(AND(Input_Product=Elig!$C475,Elig_MatchAll_Ct&lt;22,$BC475=(Elig_MatchAll_Ct-1),BA475=0),AD475,0)</f>
        <v>0</v>
      </c>
      <c r="CJ475" s="176">
        <f>IF(AND(Input_Product=Elig!$C475,Elig_MatchAll_Ct&lt;22,$BC475=(Elig_MatchAll_Ct-1),BA475=0),AE475,0)</f>
        <v>0</v>
      </c>
    </row>
    <row r="476" spans="1:88" ht="10.15" customHeight="1" x14ac:dyDescent="0.25">
      <c r="A476" s="252" t="s">
        <v>76</v>
      </c>
      <c r="B476" s="252" t="s">
        <v>2202</v>
      </c>
      <c r="C476" s="256" t="str">
        <f t="shared" si="183"/>
        <v>NonQM NOO</v>
      </c>
      <c r="D476" s="257" t="s">
        <v>1995</v>
      </c>
      <c r="E476" s="257" t="s">
        <v>166</v>
      </c>
      <c r="F476" s="257" t="s">
        <v>329</v>
      </c>
      <c r="G476" s="257" t="s">
        <v>302</v>
      </c>
      <c r="H476" s="257" t="s">
        <v>135</v>
      </c>
      <c r="I476" s="260" t="s">
        <v>273</v>
      </c>
      <c r="J476" s="260" t="s">
        <v>1130</v>
      </c>
      <c r="K476" s="260" t="s">
        <v>1398</v>
      </c>
      <c r="L476" s="257" t="s">
        <v>311</v>
      </c>
      <c r="M476" s="257" t="s">
        <v>2289</v>
      </c>
      <c r="N476" s="257" t="s">
        <v>1844</v>
      </c>
      <c r="O476" s="257" t="s">
        <v>309</v>
      </c>
      <c r="P476" s="257" t="s">
        <v>2434</v>
      </c>
      <c r="Q476" s="257" t="s">
        <v>293</v>
      </c>
      <c r="R476" s="257">
        <v>2500000.0099999998</v>
      </c>
      <c r="S476" s="257">
        <v>3000000</v>
      </c>
      <c r="T476" s="257">
        <v>0</v>
      </c>
      <c r="U476" s="257">
        <v>0</v>
      </c>
      <c r="V476" s="257">
        <v>0</v>
      </c>
      <c r="W476" s="257">
        <v>50</v>
      </c>
      <c r="X476" s="257">
        <v>0</v>
      </c>
      <c r="Y476" s="257">
        <v>999</v>
      </c>
      <c r="Z476" s="258">
        <v>680</v>
      </c>
      <c r="AA476" s="258">
        <v>699</v>
      </c>
      <c r="AB476" s="1884">
        <v>0</v>
      </c>
      <c r="AC476" s="258">
        <v>999999</v>
      </c>
      <c r="AD476" s="257">
        <v>0</v>
      </c>
      <c r="AE476" s="259">
        <v>70</v>
      </c>
      <c r="AF476" s="144">
        <v>0</v>
      </c>
      <c r="AG476" s="145">
        <v>1</v>
      </c>
      <c r="AH476" s="145">
        <v>1</v>
      </c>
      <c r="AI476" s="145">
        <v>1</v>
      </c>
      <c r="AJ476" s="145">
        <v>0</v>
      </c>
      <c r="AK476" s="145">
        <v>1</v>
      </c>
      <c r="AL476" s="145">
        <v>1</v>
      </c>
      <c r="AM476" s="145">
        <v>1</v>
      </c>
      <c r="AN476" s="145">
        <v>1</v>
      </c>
      <c r="AO476" s="145">
        <v>1</v>
      </c>
      <c r="AP476" s="145">
        <v>1</v>
      </c>
      <c r="AQ476" s="145">
        <v>1</v>
      </c>
      <c r="AR476" s="145">
        <v>1</v>
      </c>
      <c r="AS476" s="145">
        <v>1</v>
      </c>
      <c r="AT476" s="145">
        <v>1</v>
      </c>
      <c r="AU476" s="145">
        <f t="shared" si="148"/>
        <v>0</v>
      </c>
      <c r="AV476" s="145">
        <f t="shared" si="149"/>
        <v>1</v>
      </c>
      <c r="AW476" s="145">
        <f t="shared" si="150"/>
        <v>1</v>
      </c>
      <c r="AX476" s="145">
        <f t="shared" si="161"/>
        <v>1</v>
      </c>
      <c r="AY476" s="145">
        <f t="shared" si="151"/>
        <v>0</v>
      </c>
      <c r="AZ476" s="145">
        <f t="shared" si="152"/>
        <v>1</v>
      </c>
      <c r="BA476" s="146">
        <f t="shared" si="153"/>
        <v>1</v>
      </c>
      <c r="BB476" s="149">
        <f t="shared" si="166"/>
        <v>18</v>
      </c>
      <c r="BC476" s="150">
        <f t="shared" si="167"/>
        <v>17</v>
      </c>
      <c r="BD476" s="150">
        <f t="shared" si="168"/>
        <v>18</v>
      </c>
      <c r="BE476" s="211" t="str">
        <f t="shared" si="169"/>
        <v/>
      </c>
      <c r="BH476" s="188">
        <f>IF(AND(Input_Product=Elig!$C476,Elig_MatchAll_Ct&lt;22,$BC476=(Elig_MatchAll_Ct-1),AF476=0),C476,0)</f>
        <v>0</v>
      </c>
      <c r="BI476" s="188">
        <f>IF(AND(Input_Product=Elig!$C476,Elig_MatchAll_Ct&lt;22,$BC476=(Elig_MatchAll_Ct-1),AG476=0),D476,0)</f>
        <v>0</v>
      </c>
      <c r="BJ476" s="188">
        <f>IF(AND(Input_Product=Elig!$C476,Elig_MatchAll_Ct&lt;22,$BC476=(Elig_MatchAll_Ct-1),AH476=0),E476,0)</f>
        <v>0</v>
      </c>
      <c r="BK476" s="188">
        <f>IF(AND(Input_Product=Elig!$C476,Elig_MatchAll_Ct&lt;22,$BC476=(Elig_MatchAll_Ct-1),AI476=0),F476,0)</f>
        <v>0</v>
      </c>
      <c r="BL476" s="188">
        <f>IF(AND(Input_Product=Elig!$C476,Elig_MatchAll_Ct&lt;22,$BC476=(Elig_MatchAll_Ct-1),AJ476=0),G476,0)</f>
        <v>0</v>
      </c>
      <c r="BM476" s="188">
        <f>IF(AND(Input_Product=Elig!$C476,Elig_MatchAll_Ct&lt;22,$BC476=(Elig_MatchAll_Ct-1),AK476=0),H476,0)</f>
        <v>0</v>
      </c>
      <c r="BN476" s="188">
        <f>IF(AND(Input_Product=Elig!$C476,Elig_MatchAll_Ct&lt;22,$BC476=(Elig_MatchAll_Ct-1),AL476=0),I476,0)</f>
        <v>0</v>
      </c>
      <c r="BO476" s="188">
        <f>IF(AND(Input_Product=Elig!$C476,Elig_MatchAll_Ct&lt;22,$BC476=(Elig_MatchAll_Ct-1),AM476=0),J476,0)</f>
        <v>0</v>
      </c>
      <c r="BP476" s="188">
        <f>IF(AND(Input_Product=Elig!$C476,Elig_MatchAll_Ct&lt;22,$BC476=(Elig_MatchAll_Ct-1),AN476=0),K476,0)</f>
        <v>0</v>
      </c>
      <c r="BQ476" s="188">
        <f>IF(AND(Input_Product=Elig!$C476,Elig_MatchAll_Ct&lt;22,$BC476=(Elig_MatchAll_Ct-1),AP476=0),L476,0)</f>
        <v>0</v>
      </c>
      <c r="BR476" s="188">
        <f>IF(AND(Input_Product=Elig!$C476,Elig_MatchAll_Ct&lt;22,$BC476=(Elig_MatchAll_Ct-1),AO476=0),M476,0)</f>
        <v>0</v>
      </c>
      <c r="BS476" s="188">
        <f>IF(AND(Input_Product=Elig!$C476,Elig_MatchAll_Ct&lt;22,$BC476=(Elig_MatchAll_Ct-1),AQ476=0),N476,0)</f>
        <v>0</v>
      </c>
      <c r="BT476" s="188">
        <f>IF(AND(Input_Product=Elig!$C476,Elig_MatchAll_Ct&lt;22,$BC476=(Elig_MatchAll_Ct-1),AR476=0),O476,0)</f>
        <v>0</v>
      </c>
      <c r="BU476" s="188">
        <f>IF(AND(Input_Product=Elig!$C476,Elig_MatchAll_Ct&lt;22,$BC476=(Elig_MatchAll_Ct-1),AS476=0),P476,0)</f>
        <v>0</v>
      </c>
      <c r="BV476" s="189">
        <f>IF(AND(Input_Product=Elig!$C476,Elig_MatchAll_Ct&lt;22,$BC476=(Elig_MatchAll_Ct-1),AT476=0),Q476,0)</f>
        <v>0</v>
      </c>
      <c r="BW476" s="271">
        <f>IF(AND(Input_Product=Elig!$C476,Elig_MatchAll_Ct&lt;22,$BC476=(Elig_MatchAll_Ct-1),AU476=0),R476,0)</f>
        <v>0</v>
      </c>
      <c r="BX476" s="272">
        <f>IF(AND(Input_Product=Elig!$C476,Elig_MatchAll_Ct&lt;22,$BC476=(Elig_MatchAll_Ct-1),AU476=0),S476,0)</f>
        <v>0</v>
      </c>
      <c r="BY476" s="271">
        <f>IF(AND(Input_Product=Elig!$C476,Elig_MatchAll_Ct&lt;22,$BC476=(Elig_MatchAll_Ct-1),AV476=0),T476,0)</f>
        <v>0</v>
      </c>
      <c r="BZ476" s="272">
        <f>IF(AND(Input_Product=Elig!$C476,Elig_MatchAll_Ct&lt;22,$BC476=(Elig_MatchAll_Ct-1),AV476=0),U476,0)</f>
        <v>0</v>
      </c>
      <c r="CA476" s="271">
        <f>IF(AND(Input_Product=Elig!$C476,Elig_MatchAll_Ct&lt;22,$BC476=(Elig_MatchAll_Ct-1),AW476=0),V476,0)</f>
        <v>0</v>
      </c>
      <c r="CB476" s="272">
        <f>IF(AND(Input_Product=Elig!$C476,Elig_MatchAll_Ct&lt;22,$BC476=(Elig_MatchAll_Ct-1),AW476=0),W476,0)</f>
        <v>0</v>
      </c>
      <c r="CC476" s="271">
        <f>IF(AND(Input_Product=Elig!$C476,Elig_MatchAll_Ct&lt;22,$BC476=(Elig_MatchAll_Ct-1),AX476=0),X476,0)</f>
        <v>0</v>
      </c>
      <c r="CD476" s="272">
        <f>IF(AND(Input_Product=Elig!$C476,Elig_MatchAll_Ct&lt;22,$BC476=(Elig_MatchAll_Ct-1),AX476=0),Y476,0)</f>
        <v>0</v>
      </c>
      <c r="CE476" s="271">
        <f>IF(AND(Input_LTV&lt;=AE476,Input_Product=Elig!$C476,Elig_MatchAll_Ct&lt;22,$BC476=(Elig_MatchAll_Ct-1),AY476=0),Z476,0)</f>
        <v>0</v>
      </c>
      <c r="CF476" s="272">
        <f>IF(AND(Input_LTV&lt;=AE476,Input_Product=Elig!$C476,Elig_MatchAll_Ct&lt;22,$BC476=(Elig_MatchAll_Ct-1),AY476=0),AA476,0)</f>
        <v>0</v>
      </c>
      <c r="CG476" s="271">
        <f>IF(AND(Input_Product=Elig!$C476,Elig_MatchAll_Ct&lt;22,$BC476=(Elig_MatchAll_Ct-1),AZ476=0),AB476,0)</f>
        <v>0</v>
      </c>
      <c r="CH476" s="272">
        <f>IF(AND(Input_Product=Elig!$C476,Elig_MatchAll_Ct&lt;22,$BC476=(Elig_MatchAll_Ct-1),AZ476=0),AC476,0)</f>
        <v>0</v>
      </c>
      <c r="CI476" s="271">
        <f>IF(AND(Input_Product=Elig!$C476,Elig_MatchAll_Ct&lt;22,$BC476=(Elig_MatchAll_Ct-1),BA476=0),AD476,0)</f>
        <v>0</v>
      </c>
      <c r="CJ476" s="272">
        <f>IF(AND(Input_Product=Elig!$C476,Elig_MatchAll_Ct&lt;22,$BC476=(Elig_MatchAll_Ct-1),BA476=0),AE476,0)</f>
        <v>0</v>
      </c>
    </row>
    <row r="477" spans="1:88" ht="10.15" customHeight="1" x14ac:dyDescent="0.25">
      <c r="A477" s="252" t="s">
        <v>76</v>
      </c>
      <c r="B477" s="252" t="s">
        <v>2203</v>
      </c>
      <c r="C477" s="246" t="str">
        <f t="shared" si="183"/>
        <v>NonQM NOO</v>
      </c>
      <c r="D477" s="247" t="s">
        <v>1995</v>
      </c>
      <c r="E477" s="248" t="s">
        <v>166</v>
      </c>
      <c r="F477" s="248" t="s">
        <v>329</v>
      </c>
      <c r="G477" s="248" t="s">
        <v>302</v>
      </c>
      <c r="H477" s="248" t="s">
        <v>135</v>
      </c>
      <c r="I477" s="247" t="s">
        <v>16</v>
      </c>
      <c r="J477" s="247" t="s">
        <v>1130</v>
      </c>
      <c r="K477" s="247" t="s">
        <v>1398</v>
      </c>
      <c r="L477" s="248" t="s">
        <v>311</v>
      </c>
      <c r="M477" s="248" t="s">
        <v>2289</v>
      </c>
      <c r="N477" s="248" t="s">
        <v>1844</v>
      </c>
      <c r="O477" s="248" t="s">
        <v>309</v>
      </c>
      <c r="P477" s="248" t="s">
        <v>2434</v>
      </c>
      <c r="Q477" s="248" t="s">
        <v>293</v>
      </c>
      <c r="R477" s="247">
        <v>2500000.0099999998</v>
      </c>
      <c r="S477" s="247">
        <v>3000000</v>
      </c>
      <c r="T477" s="247">
        <v>0</v>
      </c>
      <c r="U477" s="247">
        <f t="shared" ref="U477:U479" si="185">S477</f>
        <v>3000000</v>
      </c>
      <c r="V477" s="247">
        <v>0</v>
      </c>
      <c r="W477" s="247">
        <v>50</v>
      </c>
      <c r="X477" s="247">
        <v>0</v>
      </c>
      <c r="Y477" s="247">
        <v>999</v>
      </c>
      <c r="Z477" s="249">
        <v>720</v>
      </c>
      <c r="AA477" s="249">
        <v>999</v>
      </c>
      <c r="AB477" s="1882">
        <v>0</v>
      </c>
      <c r="AC477" s="249">
        <v>999999</v>
      </c>
      <c r="AD477" s="247">
        <v>0</v>
      </c>
      <c r="AE477" s="250">
        <v>65</v>
      </c>
      <c r="AF477" s="144">
        <v>0</v>
      </c>
      <c r="AG477" s="145">
        <v>1</v>
      </c>
      <c r="AH477" s="145">
        <v>1</v>
      </c>
      <c r="AI477" s="145">
        <v>1</v>
      </c>
      <c r="AJ477" s="145">
        <v>0</v>
      </c>
      <c r="AK477" s="145">
        <v>1</v>
      </c>
      <c r="AL477" s="145">
        <v>0</v>
      </c>
      <c r="AM477" s="145">
        <v>1</v>
      </c>
      <c r="AN477" s="145">
        <v>1</v>
      </c>
      <c r="AO477" s="145">
        <v>1</v>
      </c>
      <c r="AP477" s="145">
        <v>1</v>
      </c>
      <c r="AQ477" s="145">
        <v>1</v>
      </c>
      <c r="AR477" s="145">
        <v>1</v>
      </c>
      <c r="AS477" s="145">
        <v>1</v>
      </c>
      <c r="AT477" s="145">
        <v>1</v>
      </c>
      <c r="AU477" s="145">
        <f t="shared" si="148"/>
        <v>0</v>
      </c>
      <c r="AV477" s="145">
        <f t="shared" si="149"/>
        <v>1</v>
      </c>
      <c r="AW477" s="145">
        <f t="shared" si="150"/>
        <v>1</v>
      </c>
      <c r="AX477" s="145">
        <f t="shared" si="161"/>
        <v>1</v>
      </c>
      <c r="AY477" s="145">
        <f t="shared" si="151"/>
        <v>1</v>
      </c>
      <c r="AZ477" s="145">
        <f t="shared" si="152"/>
        <v>1</v>
      </c>
      <c r="BA477" s="146">
        <f t="shared" si="153"/>
        <v>0</v>
      </c>
      <c r="BB477" s="149">
        <f t="shared" si="166"/>
        <v>17</v>
      </c>
      <c r="BC477" s="150">
        <f t="shared" si="167"/>
        <v>17</v>
      </c>
      <c r="BD477" s="150">
        <f t="shared" si="168"/>
        <v>17</v>
      </c>
      <c r="BE477" s="211" t="str">
        <f t="shared" si="169"/>
        <v/>
      </c>
      <c r="BH477" s="184">
        <f>IF(AND(Input_Product=Elig!$C477,Elig_MatchAll_Ct&lt;22,$BC477=(Elig_MatchAll_Ct-1),AF477=0),C477,0)</f>
        <v>0</v>
      </c>
      <c r="BI477" s="184">
        <f>IF(AND(Input_Product=Elig!$C477,Elig_MatchAll_Ct&lt;22,$BC477=(Elig_MatchAll_Ct-1),AG477=0),D477,0)</f>
        <v>0</v>
      </c>
      <c r="BJ477" s="184">
        <f>IF(AND(Input_Product=Elig!$C477,Elig_MatchAll_Ct&lt;22,$BC477=(Elig_MatchAll_Ct-1),AH477=0),E477,0)</f>
        <v>0</v>
      </c>
      <c r="BK477" s="184">
        <f>IF(AND(Input_Product=Elig!$C477,Elig_MatchAll_Ct&lt;22,$BC477=(Elig_MatchAll_Ct-1),AI477=0),F477,0)</f>
        <v>0</v>
      </c>
      <c r="BL477" s="184">
        <f>IF(AND(Input_Product=Elig!$C477,Elig_MatchAll_Ct&lt;22,$BC477=(Elig_MatchAll_Ct-1),AJ477=0),G477,0)</f>
        <v>0</v>
      </c>
      <c r="BM477" s="184">
        <f>IF(AND(Input_Product=Elig!$C477,Elig_MatchAll_Ct&lt;22,$BC477=(Elig_MatchAll_Ct-1),AK477=0),H477,0)</f>
        <v>0</v>
      </c>
      <c r="BN477" s="184">
        <f>IF(AND(Input_Product=Elig!$C477,Elig_MatchAll_Ct&lt;22,$BC477=(Elig_MatchAll_Ct-1),AL477=0),I477,0)</f>
        <v>0</v>
      </c>
      <c r="BO477" s="184">
        <f>IF(AND(Input_Product=Elig!$C477,Elig_MatchAll_Ct&lt;22,$BC477=(Elig_MatchAll_Ct-1),AM477=0),J477,0)</f>
        <v>0</v>
      </c>
      <c r="BP477" s="184">
        <f>IF(AND(Input_Product=Elig!$C477,Elig_MatchAll_Ct&lt;22,$BC477=(Elig_MatchAll_Ct-1),AN477=0),K477,0)</f>
        <v>0</v>
      </c>
      <c r="BQ477" s="184">
        <f>IF(AND(Input_Product=Elig!$C477,Elig_MatchAll_Ct&lt;22,$BC477=(Elig_MatchAll_Ct-1),AP477=0),L477,0)</f>
        <v>0</v>
      </c>
      <c r="BR477" s="184">
        <f>IF(AND(Input_Product=Elig!$C477,Elig_MatchAll_Ct&lt;22,$BC477=(Elig_MatchAll_Ct-1),AO477=0),M477,0)</f>
        <v>0</v>
      </c>
      <c r="BS477" s="184">
        <f>IF(AND(Input_Product=Elig!$C477,Elig_MatchAll_Ct&lt;22,$BC477=(Elig_MatchAll_Ct-1),AQ477=0),N477,0)</f>
        <v>0</v>
      </c>
      <c r="BT477" s="184">
        <f>IF(AND(Input_Product=Elig!$C477,Elig_MatchAll_Ct&lt;22,$BC477=(Elig_MatchAll_Ct-1),AR477=0),O477,0)</f>
        <v>0</v>
      </c>
      <c r="BU477" s="184">
        <f>IF(AND(Input_Product=Elig!$C477,Elig_MatchAll_Ct&lt;22,$BC477=(Elig_MatchAll_Ct-1),AS477=0),P477,0)</f>
        <v>0</v>
      </c>
      <c r="BV477" s="185">
        <f>IF(AND(Input_Product=Elig!$C477,Elig_MatchAll_Ct&lt;22,$BC477=(Elig_MatchAll_Ct-1),AT477=0),Q477,0)</f>
        <v>0</v>
      </c>
      <c r="BW477" s="186">
        <f>IF(AND(Input_Product=Elig!$C477,Elig_MatchAll_Ct&lt;22,$BC477=(Elig_MatchAll_Ct-1),AU477=0),R477,0)</f>
        <v>0</v>
      </c>
      <c r="BX477" s="187">
        <f>IF(AND(Input_Product=Elig!$C477,Elig_MatchAll_Ct&lt;22,$BC477=(Elig_MatchAll_Ct-1),AU477=0),S477,0)</f>
        <v>0</v>
      </c>
      <c r="BY477" s="186">
        <f>IF(AND(Input_Product=Elig!$C477,Elig_MatchAll_Ct&lt;22,$BC477=(Elig_MatchAll_Ct-1),AV477=0),T477,0)</f>
        <v>0</v>
      </c>
      <c r="BZ477" s="187">
        <f>IF(AND(Input_Product=Elig!$C477,Elig_MatchAll_Ct&lt;22,$BC477=(Elig_MatchAll_Ct-1),AV477=0),U477,0)</f>
        <v>0</v>
      </c>
      <c r="CA477" s="186">
        <f>IF(AND(Input_Product=Elig!$C477,Elig_MatchAll_Ct&lt;22,$BC477=(Elig_MatchAll_Ct-1),AW477=0),V477,0)</f>
        <v>0</v>
      </c>
      <c r="CB477" s="187">
        <f>IF(AND(Input_Product=Elig!$C477,Elig_MatchAll_Ct&lt;22,$BC477=(Elig_MatchAll_Ct-1),AW477=0),W477,0)</f>
        <v>0</v>
      </c>
      <c r="CC477" s="186">
        <f>IF(AND(Input_Product=Elig!$C477,Elig_MatchAll_Ct&lt;22,$BC477=(Elig_MatchAll_Ct-1),AX477=0),X477,0)</f>
        <v>0</v>
      </c>
      <c r="CD477" s="187">
        <f>IF(AND(Input_Product=Elig!$C477,Elig_MatchAll_Ct&lt;22,$BC477=(Elig_MatchAll_Ct-1),AX477=0),Y477,0)</f>
        <v>0</v>
      </c>
      <c r="CE477" s="186">
        <f>IF(AND(Input_LTV&lt;=AE477,Input_Product=Elig!$C477,Elig_MatchAll_Ct&lt;22,$BC477=(Elig_MatchAll_Ct-1),AY477=0),Z477,0)</f>
        <v>0</v>
      </c>
      <c r="CF477" s="187">
        <f>IF(AND(Input_LTV&lt;=AE477,Input_Product=Elig!$C477,Elig_MatchAll_Ct&lt;22,$BC477=(Elig_MatchAll_Ct-1),AY477=0),AA477,0)</f>
        <v>0</v>
      </c>
      <c r="CG477" s="186">
        <f>IF(AND(Input_Product=Elig!$C477,Elig_MatchAll_Ct&lt;22,$BC477=(Elig_MatchAll_Ct-1),AZ477=0),AB477,0)</f>
        <v>0</v>
      </c>
      <c r="CH477" s="187">
        <f>IF(AND(Input_Product=Elig!$C477,Elig_MatchAll_Ct&lt;22,$BC477=(Elig_MatchAll_Ct-1),AZ477=0),AC477,0)</f>
        <v>0</v>
      </c>
      <c r="CI477" s="186">
        <f>IF(AND(Input_Product=Elig!$C477,Elig_MatchAll_Ct&lt;22,$BC477=(Elig_MatchAll_Ct-1),BA477=0),AD477,0)</f>
        <v>0</v>
      </c>
      <c r="CJ477" s="187">
        <f>IF(AND(Input_Product=Elig!$C477,Elig_MatchAll_Ct&lt;22,$BC477=(Elig_MatchAll_Ct-1),BA477=0),AE477,0)</f>
        <v>0</v>
      </c>
    </row>
    <row r="478" spans="1:88" ht="10.15" customHeight="1" x14ac:dyDescent="0.25">
      <c r="A478" s="252" t="s">
        <v>76</v>
      </c>
      <c r="B478" s="252" t="s">
        <v>2204</v>
      </c>
      <c r="C478" s="251" t="str">
        <f t="shared" si="183"/>
        <v>NonQM NOO</v>
      </c>
      <c r="D478" s="252" t="s">
        <v>1995</v>
      </c>
      <c r="E478" s="252" t="s">
        <v>166</v>
      </c>
      <c r="F478" s="252" t="s">
        <v>329</v>
      </c>
      <c r="G478" s="252" t="s">
        <v>302</v>
      </c>
      <c r="H478" s="252" t="s">
        <v>135</v>
      </c>
      <c r="I478" s="253" t="s">
        <v>16</v>
      </c>
      <c r="J478" s="253" t="s">
        <v>1130</v>
      </c>
      <c r="K478" s="253" t="s">
        <v>1398</v>
      </c>
      <c r="L478" s="252" t="s">
        <v>311</v>
      </c>
      <c r="M478" s="252" t="s">
        <v>2289</v>
      </c>
      <c r="N478" s="252" t="s">
        <v>1844</v>
      </c>
      <c r="O478" s="252" t="s">
        <v>309</v>
      </c>
      <c r="P478" s="252" t="s">
        <v>2434</v>
      </c>
      <c r="Q478" s="252" t="s">
        <v>293</v>
      </c>
      <c r="R478" s="252">
        <v>2500000.0099999998</v>
      </c>
      <c r="S478" s="252">
        <v>3000000</v>
      </c>
      <c r="T478" s="252">
        <v>0</v>
      </c>
      <c r="U478" s="252">
        <f t="shared" si="185"/>
        <v>3000000</v>
      </c>
      <c r="V478" s="252">
        <v>0</v>
      </c>
      <c r="W478" s="252">
        <v>50</v>
      </c>
      <c r="X478" s="252">
        <v>0</v>
      </c>
      <c r="Y478" s="252">
        <v>999</v>
      </c>
      <c r="Z478" s="254">
        <v>700</v>
      </c>
      <c r="AA478" s="254">
        <v>719</v>
      </c>
      <c r="AB478" s="1883">
        <v>0</v>
      </c>
      <c r="AC478" s="254">
        <v>999999</v>
      </c>
      <c r="AD478" s="252">
        <v>0</v>
      </c>
      <c r="AE478" s="255">
        <v>60</v>
      </c>
      <c r="AF478" s="144">
        <v>0</v>
      </c>
      <c r="AG478" s="145">
        <v>1</v>
      </c>
      <c r="AH478" s="145">
        <v>1</v>
      </c>
      <c r="AI478" s="145">
        <v>1</v>
      </c>
      <c r="AJ478" s="145">
        <v>0</v>
      </c>
      <c r="AK478" s="145">
        <v>1</v>
      </c>
      <c r="AL478" s="145">
        <v>0</v>
      </c>
      <c r="AM478" s="145">
        <v>1</v>
      </c>
      <c r="AN478" s="145">
        <v>1</v>
      </c>
      <c r="AO478" s="145">
        <v>1</v>
      </c>
      <c r="AP478" s="145">
        <v>1</v>
      </c>
      <c r="AQ478" s="145">
        <v>1</v>
      </c>
      <c r="AR478" s="145">
        <v>1</v>
      </c>
      <c r="AS478" s="145">
        <v>1</v>
      </c>
      <c r="AT478" s="145">
        <v>1</v>
      </c>
      <c r="AU478" s="145">
        <f t="shared" si="148"/>
        <v>0</v>
      </c>
      <c r="AV478" s="145">
        <f t="shared" si="149"/>
        <v>1</v>
      </c>
      <c r="AW478" s="145">
        <f t="shared" si="150"/>
        <v>1</v>
      </c>
      <c r="AX478" s="145">
        <f t="shared" si="161"/>
        <v>1</v>
      </c>
      <c r="AY478" s="145">
        <f t="shared" si="151"/>
        <v>0</v>
      </c>
      <c r="AZ478" s="145">
        <f t="shared" si="152"/>
        <v>1</v>
      </c>
      <c r="BA478" s="146">
        <f t="shared" si="153"/>
        <v>0</v>
      </c>
      <c r="BB478" s="149">
        <f t="shared" si="166"/>
        <v>16</v>
      </c>
      <c r="BC478" s="150">
        <f t="shared" si="167"/>
        <v>16</v>
      </c>
      <c r="BD478" s="150">
        <f t="shared" si="168"/>
        <v>16</v>
      </c>
      <c r="BE478" s="211" t="str">
        <f t="shared" si="169"/>
        <v/>
      </c>
      <c r="BH478" s="173">
        <f>IF(AND(Input_Product=Elig!$C478,Elig_MatchAll_Ct&lt;22,$BC478=(Elig_MatchAll_Ct-1),AF478=0),C478,0)</f>
        <v>0</v>
      </c>
      <c r="BI478" s="173">
        <f>IF(AND(Input_Product=Elig!$C478,Elig_MatchAll_Ct&lt;22,$BC478=(Elig_MatchAll_Ct-1),AG478=0),D478,0)</f>
        <v>0</v>
      </c>
      <c r="BJ478" s="173">
        <f>IF(AND(Input_Product=Elig!$C478,Elig_MatchAll_Ct&lt;22,$BC478=(Elig_MatchAll_Ct-1),AH478=0),E478,0)</f>
        <v>0</v>
      </c>
      <c r="BK478" s="173">
        <f>IF(AND(Input_Product=Elig!$C478,Elig_MatchAll_Ct&lt;22,$BC478=(Elig_MatchAll_Ct-1),AI478=0),F478,0)</f>
        <v>0</v>
      </c>
      <c r="BL478" s="173">
        <f>IF(AND(Input_Product=Elig!$C478,Elig_MatchAll_Ct&lt;22,$BC478=(Elig_MatchAll_Ct-1),AJ478=0),G478,0)</f>
        <v>0</v>
      </c>
      <c r="BM478" s="173">
        <f>IF(AND(Input_Product=Elig!$C478,Elig_MatchAll_Ct&lt;22,$BC478=(Elig_MatchAll_Ct-1),AK478=0),H478,0)</f>
        <v>0</v>
      </c>
      <c r="BN478" s="173">
        <f>IF(AND(Input_Product=Elig!$C478,Elig_MatchAll_Ct&lt;22,$BC478=(Elig_MatchAll_Ct-1),AL478=0),I478,0)</f>
        <v>0</v>
      </c>
      <c r="BO478" s="173">
        <f>IF(AND(Input_Product=Elig!$C478,Elig_MatchAll_Ct&lt;22,$BC478=(Elig_MatchAll_Ct-1),AM478=0),J478,0)</f>
        <v>0</v>
      </c>
      <c r="BP478" s="173">
        <f>IF(AND(Input_Product=Elig!$C478,Elig_MatchAll_Ct&lt;22,$BC478=(Elig_MatchAll_Ct-1),AN478=0),K478,0)</f>
        <v>0</v>
      </c>
      <c r="BQ478" s="173">
        <f>IF(AND(Input_Product=Elig!$C478,Elig_MatchAll_Ct&lt;22,$BC478=(Elig_MatchAll_Ct-1),AP478=0),L478,0)</f>
        <v>0</v>
      </c>
      <c r="BR478" s="173">
        <f>IF(AND(Input_Product=Elig!$C478,Elig_MatchAll_Ct&lt;22,$BC478=(Elig_MatchAll_Ct-1),AO478=0),M478,0)</f>
        <v>0</v>
      </c>
      <c r="BS478" s="173">
        <f>IF(AND(Input_Product=Elig!$C478,Elig_MatchAll_Ct&lt;22,$BC478=(Elig_MatchAll_Ct-1),AQ478=0),N478,0)</f>
        <v>0</v>
      </c>
      <c r="BT478" s="173">
        <f>IF(AND(Input_Product=Elig!$C478,Elig_MatchAll_Ct&lt;22,$BC478=(Elig_MatchAll_Ct-1),AR478=0),O478,0)</f>
        <v>0</v>
      </c>
      <c r="BU478" s="173">
        <f>IF(AND(Input_Product=Elig!$C478,Elig_MatchAll_Ct&lt;22,$BC478=(Elig_MatchAll_Ct-1),AS478=0),P478,0)</f>
        <v>0</v>
      </c>
      <c r="BV478" s="174">
        <f>IF(AND(Input_Product=Elig!$C478,Elig_MatchAll_Ct&lt;22,$BC478=(Elig_MatchAll_Ct-1),AT478=0),Q478,0)</f>
        <v>0</v>
      </c>
      <c r="BW478" s="175">
        <f>IF(AND(Input_Product=Elig!$C478,Elig_MatchAll_Ct&lt;22,$BC478=(Elig_MatchAll_Ct-1),AU478=0),R478,0)</f>
        <v>0</v>
      </c>
      <c r="BX478" s="176">
        <f>IF(AND(Input_Product=Elig!$C478,Elig_MatchAll_Ct&lt;22,$BC478=(Elig_MatchAll_Ct-1),AU478=0),S478,0)</f>
        <v>0</v>
      </c>
      <c r="BY478" s="175">
        <f>IF(AND(Input_Product=Elig!$C478,Elig_MatchAll_Ct&lt;22,$BC478=(Elig_MatchAll_Ct-1),AV478=0),T478,0)</f>
        <v>0</v>
      </c>
      <c r="BZ478" s="176">
        <f>IF(AND(Input_Product=Elig!$C478,Elig_MatchAll_Ct&lt;22,$BC478=(Elig_MatchAll_Ct-1),AV478=0),U478,0)</f>
        <v>0</v>
      </c>
      <c r="CA478" s="175">
        <f>IF(AND(Input_Product=Elig!$C478,Elig_MatchAll_Ct&lt;22,$BC478=(Elig_MatchAll_Ct-1),AW478=0),V478,0)</f>
        <v>0</v>
      </c>
      <c r="CB478" s="176">
        <f>IF(AND(Input_Product=Elig!$C478,Elig_MatchAll_Ct&lt;22,$BC478=(Elig_MatchAll_Ct-1),AW478=0),W478,0)</f>
        <v>0</v>
      </c>
      <c r="CC478" s="175">
        <f>IF(AND(Input_Product=Elig!$C478,Elig_MatchAll_Ct&lt;22,$BC478=(Elig_MatchAll_Ct-1),AX478=0),X478,0)</f>
        <v>0</v>
      </c>
      <c r="CD478" s="176">
        <f>IF(AND(Input_Product=Elig!$C478,Elig_MatchAll_Ct&lt;22,$BC478=(Elig_MatchAll_Ct-1),AX478=0),Y478,0)</f>
        <v>0</v>
      </c>
      <c r="CE478" s="175">
        <f>IF(AND(Input_LTV&lt;=AE478,Input_Product=Elig!$C478,Elig_MatchAll_Ct&lt;22,$BC478=(Elig_MatchAll_Ct-1),AY478=0),Z478,0)</f>
        <v>0</v>
      </c>
      <c r="CF478" s="176">
        <f>IF(AND(Input_LTV&lt;=AE478,Input_Product=Elig!$C478,Elig_MatchAll_Ct&lt;22,$BC478=(Elig_MatchAll_Ct-1),AY478=0),AA478,0)</f>
        <v>0</v>
      </c>
      <c r="CG478" s="175">
        <f>IF(AND(Input_Product=Elig!$C478,Elig_MatchAll_Ct&lt;22,$BC478=(Elig_MatchAll_Ct-1),AZ478=0),AB478,0)</f>
        <v>0</v>
      </c>
      <c r="CH478" s="176">
        <f>IF(AND(Input_Product=Elig!$C478,Elig_MatchAll_Ct&lt;22,$BC478=(Elig_MatchAll_Ct-1),AZ478=0),AC478,0)</f>
        <v>0</v>
      </c>
      <c r="CI478" s="175">
        <f>IF(AND(Input_Product=Elig!$C478,Elig_MatchAll_Ct&lt;22,$BC478=(Elig_MatchAll_Ct-1),BA478=0),AD478,0)</f>
        <v>0</v>
      </c>
      <c r="CJ478" s="176">
        <f>IF(AND(Input_Product=Elig!$C478,Elig_MatchAll_Ct&lt;22,$BC478=(Elig_MatchAll_Ct-1),BA478=0),AE478,0)</f>
        <v>0</v>
      </c>
    </row>
    <row r="479" spans="1:88" ht="10.15" customHeight="1" x14ac:dyDescent="0.25">
      <c r="A479" s="252" t="s">
        <v>76</v>
      </c>
      <c r="B479" s="252" t="s">
        <v>2205</v>
      </c>
      <c r="C479" s="256" t="str">
        <f t="shared" si="183"/>
        <v>NonQM NOO</v>
      </c>
      <c r="D479" s="257" t="s">
        <v>1995</v>
      </c>
      <c r="E479" s="257" t="s">
        <v>166</v>
      </c>
      <c r="F479" s="257" t="s">
        <v>329</v>
      </c>
      <c r="G479" s="257" t="s">
        <v>302</v>
      </c>
      <c r="H479" s="257" t="s">
        <v>135</v>
      </c>
      <c r="I479" s="260" t="s">
        <v>16</v>
      </c>
      <c r="J479" s="260" t="s">
        <v>1130</v>
      </c>
      <c r="K479" s="260" t="s">
        <v>1398</v>
      </c>
      <c r="L479" s="257" t="s">
        <v>311</v>
      </c>
      <c r="M479" s="257" t="s">
        <v>2289</v>
      </c>
      <c r="N479" s="257" t="s">
        <v>1844</v>
      </c>
      <c r="O479" s="257" t="s">
        <v>309</v>
      </c>
      <c r="P479" s="257" t="s">
        <v>2434</v>
      </c>
      <c r="Q479" s="257" t="s">
        <v>293</v>
      </c>
      <c r="R479" s="257">
        <v>2500000.0099999998</v>
      </c>
      <c r="S479" s="257">
        <v>3000000</v>
      </c>
      <c r="T479" s="257">
        <v>0</v>
      </c>
      <c r="U479" s="257">
        <f t="shared" si="185"/>
        <v>3000000</v>
      </c>
      <c r="V479" s="257">
        <v>0</v>
      </c>
      <c r="W479" s="257">
        <v>50</v>
      </c>
      <c r="X479" s="257">
        <v>0</v>
      </c>
      <c r="Y479" s="257">
        <v>999</v>
      </c>
      <c r="Z479" s="258">
        <v>680</v>
      </c>
      <c r="AA479" s="258">
        <v>699</v>
      </c>
      <c r="AB479" s="1884">
        <v>0</v>
      </c>
      <c r="AC479" s="258">
        <v>999999</v>
      </c>
      <c r="AD479" s="257">
        <v>0</v>
      </c>
      <c r="AE479" s="259">
        <v>60</v>
      </c>
      <c r="AF479" s="144">
        <v>0</v>
      </c>
      <c r="AG479" s="145">
        <v>1</v>
      </c>
      <c r="AH479" s="145">
        <v>1</v>
      </c>
      <c r="AI479" s="145">
        <v>1</v>
      </c>
      <c r="AJ479" s="145">
        <v>0</v>
      </c>
      <c r="AK479" s="145">
        <v>1</v>
      </c>
      <c r="AL479" s="145">
        <v>0</v>
      </c>
      <c r="AM479" s="145">
        <v>1</v>
      </c>
      <c r="AN479" s="145">
        <v>1</v>
      </c>
      <c r="AO479" s="145">
        <v>1</v>
      </c>
      <c r="AP479" s="145">
        <v>1</v>
      </c>
      <c r="AQ479" s="145">
        <v>1</v>
      </c>
      <c r="AR479" s="145">
        <v>1</v>
      </c>
      <c r="AS479" s="145">
        <v>1</v>
      </c>
      <c r="AT479" s="145">
        <v>1</v>
      </c>
      <c r="AU479" s="145">
        <f t="shared" si="148"/>
        <v>0</v>
      </c>
      <c r="AV479" s="145">
        <f t="shared" si="149"/>
        <v>1</v>
      </c>
      <c r="AW479" s="145">
        <f t="shared" si="150"/>
        <v>1</v>
      </c>
      <c r="AX479" s="145">
        <f t="shared" si="161"/>
        <v>1</v>
      </c>
      <c r="AY479" s="145">
        <f t="shared" si="151"/>
        <v>0</v>
      </c>
      <c r="AZ479" s="145">
        <f t="shared" si="152"/>
        <v>1</v>
      </c>
      <c r="BA479" s="146">
        <f t="shared" si="153"/>
        <v>0</v>
      </c>
      <c r="BB479" s="149">
        <f t="shared" si="166"/>
        <v>16</v>
      </c>
      <c r="BC479" s="150">
        <f t="shared" si="167"/>
        <v>16</v>
      </c>
      <c r="BD479" s="150">
        <f t="shared" si="168"/>
        <v>16</v>
      </c>
      <c r="BE479" s="211" t="str">
        <f t="shared" si="169"/>
        <v/>
      </c>
      <c r="BH479" s="188">
        <f>IF(AND(Input_Product=Elig!$C479,Elig_MatchAll_Ct&lt;22,$BC479=(Elig_MatchAll_Ct-1),AF479=0),C479,0)</f>
        <v>0</v>
      </c>
      <c r="BI479" s="188">
        <f>IF(AND(Input_Product=Elig!$C479,Elig_MatchAll_Ct&lt;22,$BC479=(Elig_MatchAll_Ct-1),AG479=0),D479,0)</f>
        <v>0</v>
      </c>
      <c r="BJ479" s="188">
        <f>IF(AND(Input_Product=Elig!$C479,Elig_MatchAll_Ct&lt;22,$BC479=(Elig_MatchAll_Ct-1),AH479=0),E479,0)</f>
        <v>0</v>
      </c>
      <c r="BK479" s="188">
        <f>IF(AND(Input_Product=Elig!$C479,Elig_MatchAll_Ct&lt;22,$BC479=(Elig_MatchAll_Ct-1),AI479=0),F479,0)</f>
        <v>0</v>
      </c>
      <c r="BL479" s="188">
        <f>IF(AND(Input_Product=Elig!$C479,Elig_MatchAll_Ct&lt;22,$BC479=(Elig_MatchAll_Ct-1),AJ479=0),G479,0)</f>
        <v>0</v>
      </c>
      <c r="BM479" s="188">
        <f>IF(AND(Input_Product=Elig!$C479,Elig_MatchAll_Ct&lt;22,$BC479=(Elig_MatchAll_Ct-1),AK479=0),H479,0)</f>
        <v>0</v>
      </c>
      <c r="BN479" s="188">
        <f>IF(AND(Input_Product=Elig!$C479,Elig_MatchAll_Ct&lt;22,$BC479=(Elig_MatchAll_Ct-1),AL479=0),I479,0)</f>
        <v>0</v>
      </c>
      <c r="BO479" s="188">
        <f>IF(AND(Input_Product=Elig!$C479,Elig_MatchAll_Ct&lt;22,$BC479=(Elig_MatchAll_Ct-1),AM479=0),J479,0)</f>
        <v>0</v>
      </c>
      <c r="BP479" s="188">
        <f>IF(AND(Input_Product=Elig!$C479,Elig_MatchAll_Ct&lt;22,$BC479=(Elig_MatchAll_Ct-1),AN479=0),K479,0)</f>
        <v>0</v>
      </c>
      <c r="BQ479" s="188">
        <f>IF(AND(Input_Product=Elig!$C479,Elig_MatchAll_Ct&lt;22,$BC479=(Elig_MatchAll_Ct-1),AP479=0),L479,0)</f>
        <v>0</v>
      </c>
      <c r="BR479" s="188">
        <f>IF(AND(Input_Product=Elig!$C479,Elig_MatchAll_Ct&lt;22,$BC479=(Elig_MatchAll_Ct-1),AO479=0),M479,0)</f>
        <v>0</v>
      </c>
      <c r="BS479" s="188">
        <f>IF(AND(Input_Product=Elig!$C479,Elig_MatchAll_Ct&lt;22,$BC479=(Elig_MatchAll_Ct-1),AQ479=0),N479,0)</f>
        <v>0</v>
      </c>
      <c r="BT479" s="188">
        <f>IF(AND(Input_Product=Elig!$C479,Elig_MatchAll_Ct&lt;22,$BC479=(Elig_MatchAll_Ct-1),AR479=0),O479,0)</f>
        <v>0</v>
      </c>
      <c r="BU479" s="188">
        <f>IF(AND(Input_Product=Elig!$C479,Elig_MatchAll_Ct&lt;22,$BC479=(Elig_MatchAll_Ct-1),AS479=0),P479,0)</f>
        <v>0</v>
      </c>
      <c r="BV479" s="189">
        <f>IF(AND(Input_Product=Elig!$C479,Elig_MatchAll_Ct&lt;22,$BC479=(Elig_MatchAll_Ct-1),AT479=0),Q479,0)</f>
        <v>0</v>
      </c>
      <c r="BW479" s="271">
        <f>IF(AND(Input_Product=Elig!$C479,Elig_MatchAll_Ct&lt;22,$BC479=(Elig_MatchAll_Ct-1),AU479=0),R479,0)</f>
        <v>0</v>
      </c>
      <c r="BX479" s="272">
        <f>IF(AND(Input_Product=Elig!$C479,Elig_MatchAll_Ct&lt;22,$BC479=(Elig_MatchAll_Ct-1),AU479=0),S479,0)</f>
        <v>0</v>
      </c>
      <c r="BY479" s="271">
        <f>IF(AND(Input_Product=Elig!$C479,Elig_MatchAll_Ct&lt;22,$BC479=(Elig_MatchAll_Ct-1),AV479=0),T479,0)</f>
        <v>0</v>
      </c>
      <c r="BZ479" s="272">
        <f>IF(AND(Input_Product=Elig!$C479,Elig_MatchAll_Ct&lt;22,$BC479=(Elig_MatchAll_Ct-1),AV479=0),U479,0)</f>
        <v>0</v>
      </c>
      <c r="CA479" s="271">
        <f>IF(AND(Input_Product=Elig!$C479,Elig_MatchAll_Ct&lt;22,$BC479=(Elig_MatchAll_Ct-1),AW479=0),V479,0)</f>
        <v>0</v>
      </c>
      <c r="CB479" s="272">
        <f>IF(AND(Input_Product=Elig!$C479,Elig_MatchAll_Ct&lt;22,$BC479=(Elig_MatchAll_Ct-1),AW479=0),W479,0)</f>
        <v>0</v>
      </c>
      <c r="CC479" s="271">
        <f>IF(AND(Input_Product=Elig!$C479,Elig_MatchAll_Ct&lt;22,$BC479=(Elig_MatchAll_Ct-1),AX479=0),X479,0)</f>
        <v>0</v>
      </c>
      <c r="CD479" s="272">
        <f>IF(AND(Input_Product=Elig!$C479,Elig_MatchAll_Ct&lt;22,$BC479=(Elig_MatchAll_Ct-1),AX479=0),Y479,0)</f>
        <v>0</v>
      </c>
      <c r="CE479" s="271">
        <f>IF(AND(Input_LTV&lt;=AE479,Input_Product=Elig!$C479,Elig_MatchAll_Ct&lt;22,$BC479=(Elig_MatchAll_Ct-1),AY479=0),Z479,0)</f>
        <v>0</v>
      </c>
      <c r="CF479" s="272">
        <f>IF(AND(Input_LTV&lt;=AE479,Input_Product=Elig!$C479,Elig_MatchAll_Ct&lt;22,$BC479=(Elig_MatchAll_Ct-1),AY479=0),AA479,0)</f>
        <v>0</v>
      </c>
      <c r="CG479" s="271">
        <f>IF(AND(Input_Product=Elig!$C479,Elig_MatchAll_Ct&lt;22,$BC479=(Elig_MatchAll_Ct-1),AZ479=0),AB479,0)</f>
        <v>0</v>
      </c>
      <c r="CH479" s="272">
        <f>IF(AND(Input_Product=Elig!$C479,Elig_MatchAll_Ct&lt;22,$BC479=(Elig_MatchAll_Ct-1),AZ479=0),AC479,0)</f>
        <v>0</v>
      </c>
      <c r="CI479" s="271">
        <f>IF(AND(Input_Product=Elig!$C479,Elig_MatchAll_Ct&lt;22,$BC479=(Elig_MatchAll_Ct-1),BA479=0),AD479,0)</f>
        <v>0</v>
      </c>
      <c r="CJ479" s="272">
        <f>IF(AND(Input_Product=Elig!$C479,Elig_MatchAll_Ct&lt;22,$BC479=(Elig_MatchAll_Ct-1),BA479=0),AE479,0)</f>
        <v>0</v>
      </c>
    </row>
    <row r="480" spans="1:88" ht="10.15" customHeight="1" x14ac:dyDescent="0.25">
      <c r="A480" s="252" t="s">
        <v>76</v>
      </c>
      <c r="B480" s="252" t="s">
        <v>2206</v>
      </c>
      <c r="C480" s="246" t="str">
        <f t="shared" si="183"/>
        <v>NonQM NOO</v>
      </c>
      <c r="D480" s="247" t="s">
        <v>1995</v>
      </c>
      <c r="E480" s="248" t="s">
        <v>166</v>
      </c>
      <c r="F480" s="248" t="s">
        <v>329</v>
      </c>
      <c r="G480" s="248" t="s">
        <v>303</v>
      </c>
      <c r="H480" s="248" t="s">
        <v>444</v>
      </c>
      <c r="I480" s="247" t="s">
        <v>273</v>
      </c>
      <c r="J480" s="247" t="s">
        <v>1130</v>
      </c>
      <c r="K480" s="247" t="s">
        <v>1398</v>
      </c>
      <c r="L480" s="248" t="s">
        <v>311</v>
      </c>
      <c r="M480" s="248" t="s">
        <v>2289</v>
      </c>
      <c r="N480" s="248" t="s">
        <v>1844</v>
      </c>
      <c r="O480" s="248" t="s">
        <v>309</v>
      </c>
      <c r="P480" s="248" t="s">
        <v>2434</v>
      </c>
      <c r="Q480" s="248" t="s">
        <v>293</v>
      </c>
      <c r="R480" s="247">
        <v>2500000.0099999998</v>
      </c>
      <c r="S480" s="247">
        <v>3000000</v>
      </c>
      <c r="T480" s="247">
        <v>0</v>
      </c>
      <c r="U480" s="247">
        <v>0</v>
      </c>
      <c r="V480" s="247">
        <v>0</v>
      </c>
      <c r="W480" s="247">
        <v>50</v>
      </c>
      <c r="X480" s="247">
        <v>0</v>
      </c>
      <c r="Y480" s="247">
        <v>999</v>
      </c>
      <c r="Z480" s="249">
        <v>720</v>
      </c>
      <c r="AA480" s="249">
        <v>999</v>
      </c>
      <c r="AB480" s="1882">
        <v>0</v>
      </c>
      <c r="AC480" s="249">
        <v>999999</v>
      </c>
      <c r="AD480" s="247">
        <v>0</v>
      </c>
      <c r="AE480" s="250">
        <v>75</v>
      </c>
      <c r="AF480" s="144">
        <v>0</v>
      </c>
      <c r="AG480" s="145">
        <v>1</v>
      </c>
      <c r="AH480" s="145">
        <v>1</v>
      </c>
      <c r="AI480" s="145">
        <v>1</v>
      </c>
      <c r="AJ480" s="145">
        <v>0</v>
      </c>
      <c r="AK480" s="145">
        <v>0</v>
      </c>
      <c r="AL480" s="145">
        <v>1</v>
      </c>
      <c r="AM480" s="145">
        <v>1</v>
      </c>
      <c r="AN480" s="145">
        <v>1</v>
      </c>
      <c r="AO480" s="145">
        <v>1</v>
      </c>
      <c r="AP480" s="145">
        <v>1</v>
      </c>
      <c r="AQ480" s="145">
        <v>1</v>
      </c>
      <c r="AR480" s="145">
        <v>1</v>
      </c>
      <c r="AS480" s="145">
        <v>1</v>
      </c>
      <c r="AT480" s="145">
        <v>1</v>
      </c>
      <c r="AU480" s="145">
        <f t="shared" si="148"/>
        <v>0</v>
      </c>
      <c r="AV480" s="145">
        <f t="shared" si="149"/>
        <v>1</v>
      </c>
      <c r="AW480" s="145">
        <f t="shared" si="150"/>
        <v>1</v>
      </c>
      <c r="AX480" s="145">
        <f t="shared" si="161"/>
        <v>1</v>
      </c>
      <c r="AY480" s="145">
        <f t="shared" si="151"/>
        <v>1</v>
      </c>
      <c r="AZ480" s="145">
        <f t="shared" si="152"/>
        <v>1</v>
      </c>
      <c r="BA480" s="146">
        <f t="shared" si="153"/>
        <v>1</v>
      </c>
      <c r="BB480" s="149">
        <f t="shared" si="166"/>
        <v>18</v>
      </c>
      <c r="BC480" s="150">
        <f t="shared" si="167"/>
        <v>17</v>
      </c>
      <c r="BD480" s="150">
        <f t="shared" si="168"/>
        <v>18</v>
      </c>
      <c r="BE480" s="211" t="str">
        <f t="shared" si="169"/>
        <v/>
      </c>
      <c r="BH480" s="184">
        <f>IF(AND(Input_Product=Elig!$C480,Elig_MatchAll_Ct&lt;22,$BC480=(Elig_MatchAll_Ct-1),AF480=0),C480,0)</f>
        <v>0</v>
      </c>
      <c r="BI480" s="184">
        <f>IF(AND(Input_Product=Elig!$C480,Elig_MatchAll_Ct&lt;22,$BC480=(Elig_MatchAll_Ct-1),AG480=0),D480,0)</f>
        <v>0</v>
      </c>
      <c r="BJ480" s="184">
        <f>IF(AND(Input_Product=Elig!$C480,Elig_MatchAll_Ct&lt;22,$BC480=(Elig_MatchAll_Ct-1),AH480=0),E480,0)</f>
        <v>0</v>
      </c>
      <c r="BK480" s="184">
        <f>IF(AND(Input_Product=Elig!$C480,Elig_MatchAll_Ct&lt;22,$BC480=(Elig_MatchAll_Ct-1),AI480=0),F480,0)</f>
        <v>0</v>
      </c>
      <c r="BL480" s="184">
        <f>IF(AND(Input_Product=Elig!$C480,Elig_MatchAll_Ct&lt;22,$BC480=(Elig_MatchAll_Ct-1),AJ480=0),G480,0)</f>
        <v>0</v>
      </c>
      <c r="BM480" s="184">
        <f>IF(AND(Input_Product=Elig!$C480,Elig_MatchAll_Ct&lt;22,$BC480=(Elig_MatchAll_Ct-1),AK480=0),H480,0)</f>
        <v>0</v>
      </c>
      <c r="BN480" s="184">
        <f>IF(AND(Input_Product=Elig!$C480,Elig_MatchAll_Ct&lt;22,$BC480=(Elig_MatchAll_Ct-1),AL480=0),I480,0)</f>
        <v>0</v>
      </c>
      <c r="BO480" s="184">
        <f>IF(AND(Input_Product=Elig!$C480,Elig_MatchAll_Ct&lt;22,$BC480=(Elig_MatchAll_Ct-1),AM480=0),J480,0)</f>
        <v>0</v>
      </c>
      <c r="BP480" s="184">
        <f>IF(AND(Input_Product=Elig!$C480,Elig_MatchAll_Ct&lt;22,$BC480=(Elig_MatchAll_Ct-1),AN480=0),K480,0)</f>
        <v>0</v>
      </c>
      <c r="BQ480" s="184">
        <f>IF(AND(Input_Product=Elig!$C480,Elig_MatchAll_Ct&lt;22,$BC480=(Elig_MatchAll_Ct-1),AP480=0),L480,0)</f>
        <v>0</v>
      </c>
      <c r="BR480" s="184">
        <f>IF(AND(Input_Product=Elig!$C480,Elig_MatchAll_Ct&lt;22,$BC480=(Elig_MatchAll_Ct-1),AO480=0),M480,0)</f>
        <v>0</v>
      </c>
      <c r="BS480" s="184">
        <f>IF(AND(Input_Product=Elig!$C480,Elig_MatchAll_Ct&lt;22,$BC480=(Elig_MatchAll_Ct-1),AQ480=0),N480,0)</f>
        <v>0</v>
      </c>
      <c r="BT480" s="184">
        <f>IF(AND(Input_Product=Elig!$C480,Elig_MatchAll_Ct&lt;22,$BC480=(Elig_MatchAll_Ct-1),AR480=0),O480,0)</f>
        <v>0</v>
      </c>
      <c r="BU480" s="184">
        <f>IF(AND(Input_Product=Elig!$C480,Elig_MatchAll_Ct&lt;22,$BC480=(Elig_MatchAll_Ct-1),AS480=0),P480,0)</f>
        <v>0</v>
      </c>
      <c r="BV480" s="185">
        <f>IF(AND(Input_Product=Elig!$C480,Elig_MatchAll_Ct&lt;22,$BC480=(Elig_MatchAll_Ct-1),AT480=0),Q480,0)</f>
        <v>0</v>
      </c>
      <c r="BW480" s="186">
        <f>IF(AND(Input_Product=Elig!$C480,Elig_MatchAll_Ct&lt;22,$BC480=(Elig_MatchAll_Ct-1),AU480=0),R480,0)</f>
        <v>0</v>
      </c>
      <c r="BX480" s="187">
        <f>IF(AND(Input_Product=Elig!$C480,Elig_MatchAll_Ct&lt;22,$BC480=(Elig_MatchAll_Ct-1),AU480=0),S480,0)</f>
        <v>0</v>
      </c>
      <c r="BY480" s="186">
        <f>IF(AND(Input_Product=Elig!$C480,Elig_MatchAll_Ct&lt;22,$BC480=(Elig_MatchAll_Ct-1),AV480=0),T480,0)</f>
        <v>0</v>
      </c>
      <c r="BZ480" s="187">
        <f>IF(AND(Input_Product=Elig!$C480,Elig_MatchAll_Ct&lt;22,$BC480=(Elig_MatchAll_Ct-1),AV480=0),U480,0)</f>
        <v>0</v>
      </c>
      <c r="CA480" s="186">
        <f>IF(AND(Input_Product=Elig!$C480,Elig_MatchAll_Ct&lt;22,$BC480=(Elig_MatchAll_Ct-1),AW480=0),V480,0)</f>
        <v>0</v>
      </c>
      <c r="CB480" s="187">
        <f>IF(AND(Input_Product=Elig!$C480,Elig_MatchAll_Ct&lt;22,$BC480=(Elig_MatchAll_Ct-1),AW480=0),W480,0)</f>
        <v>0</v>
      </c>
      <c r="CC480" s="186">
        <f>IF(AND(Input_Product=Elig!$C480,Elig_MatchAll_Ct&lt;22,$BC480=(Elig_MatchAll_Ct-1),AX480=0),X480,0)</f>
        <v>0</v>
      </c>
      <c r="CD480" s="187">
        <f>IF(AND(Input_Product=Elig!$C480,Elig_MatchAll_Ct&lt;22,$BC480=(Elig_MatchAll_Ct-1),AX480=0),Y480,0)</f>
        <v>0</v>
      </c>
      <c r="CE480" s="186">
        <f>IF(AND(Input_LTV&lt;=AE480,Input_Product=Elig!$C480,Elig_MatchAll_Ct&lt;22,$BC480=(Elig_MatchAll_Ct-1),AY480=0),Z480,0)</f>
        <v>0</v>
      </c>
      <c r="CF480" s="187">
        <f>IF(AND(Input_LTV&lt;=AE480,Input_Product=Elig!$C480,Elig_MatchAll_Ct&lt;22,$BC480=(Elig_MatchAll_Ct-1),AY480=0),AA480,0)</f>
        <v>0</v>
      </c>
      <c r="CG480" s="186">
        <f>IF(AND(Input_Product=Elig!$C480,Elig_MatchAll_Ct&lt;22,$BC480=(Elig_MatchAll_Ct-1),AZ480=0),AB480,0)</f>
        <v>0</v>
      </c>
      <c r="CH480" s="187">
        <f>IF(AND(Input_Product=Elig!$C480,Elig_MatchAll_Ct&lt;22,$BC480=(Elig_MatchAll_Ct-1),AZ480=0),AC480,0)</f>
        <v>0</v>
      </c>
      <c r="CI480" s="186">
        <f>IF(AND(Input_Product=Elig!$C480,Elig_MatchAll_Ct&lt;22,$BC480=(Elig_MatchAll_Ct-1),BA480=0),AD480,0)</f>
        <v>0</v>
      </c>
      <c r="CJ480" s="187">
        <f>IF(AND(Input_Product=Elig!$C480,Elig_MatchAll_Ct&lt;22,$BC480=(Elig_MatchAll_Ct-1),BA480=0),AE480,0)</f>
        <v>0</v>
      </c>
    </row>
    <row r="481" spans="1:88" ht="10.15" customHeight="1" x14ac:dyDescent="0.25">
      <c r="A481" s="252" t="s">
        <v>76</v>
      </c>
      <c r="B481" s="252" t="s">
        <v>2207</v>
      </c>
      <c r="C481" s="251" t="str">
        <f t="shared" si="183"/>
        <v>NonQM NOO</v>
      </c>
      <c r="D481" s="252" t="s">
        <v>1995</v>
      </c>
      <c r="E481" s="252" t="s">
        <v>166</v>
      </c>
      <c r="F481" s="252" t="s">
        <v>329</v>
      </c>
      <c r="G481" s="252" t="s">
        <v>303</v>
      </c>
      <c r="H481" s="252" t="s">
        <v>444</v>
      </c>
      <c r="I481" s="253" t="s">
        <v>273</v>
      </c>
      <c r="J481" s="253" t="s">
        <v>1130</v>
      </c>
      <c r="K481" s="253" t="s">
        <v>1398</v>
      </c>
      <c r="L481" s="252" t="s">
        <v>311</v>
      </c>
      <c r="M481" s="252" t="s">
        <v>2289</v>
      </c>
      <c r="N481" s="252" t="s">
        <v>1844</v>
      </c>
      <c r="O481" s="252" t="s">
        <v>309</v>
      </c>
      <c r="P481" s="252" t="s">
        <v>2434</v>
      </c>
      <c r="Q481" s="252" t="s">
        <v>293</v>
      </c>
      <c r="R481" s="252">
        <v>2500000.0099999998</v>
      </c>
      <c r="S481" s="252">
        <v>3000000</v>
      </c>
      <c r="T481" s="252">
        <v>0</v>
      </c>
      <c r="U481" s="252">
        <v>0</v>
      </c>
      <c r="V481" s="252">
        <v>0</v>
      </c>
      <c r="W481" s="252">
        <v>50</v>
      </c>
      <c r="X481" s="252">
        <v>0</v>
      </c>
      <c r="Y481" s="252">
        <v>999</v>
      </c>
      <c r="Z481" s="254">
        <v>700</v>
      </c>
      <c r="AA481" s="254">
        <v>719</v>
      </c>
      <c r="AB481" s="1883">
        <v>0</v>
      </c>
      <c r="AC481" s="254">
        <v>999999</v>
      </c>
      <c r="AD481" s="252">
        <v>0</v>
      </c>
      <c r="AE481" s="255">
        <v>70</v>
      </c>
      <c r="AF481" s="144">
        <v>0</v>
      </c>
      <c r="AG481" s="145">
        <v>1</v>
      </c>
      <c r="AH481" s="145">
        <v>1</v>
      </c>
      <c r="AI481" s="145">
        <v>1</v>
      </c>
      <c r="AJ481" s="145">
        <v>0</v>
      </c>
      <c r="AK481" s="145">
        <v>0</v>
      </c>
      <c r="AL481" s="145">
        <v>1</v>
      </c>
      <c r="AM481" s="145">
        <v>1</v>
      </c>
      <c r="AN481" s="145">
        <v>1</v>
      </c>
      <c r="AO481" s="145">
        <v>1</v>
      </c>
      <c r="AP481" s="145">
        <v>1</v>
      </c>
      <c r="AQ481" s="145">
        <v>1</v>
      </c>
      <c r="AR481" s="145">
        <v>1</v>
      </c>
      <c r="AS481" s="145">
        <v>1</v>
      </c>
      <c r="AT481" s="145">
        <v>1</v>
      </c>
      <c r="AU481" s="145">
        <f t="shared" si="148"/>
        <v>0</v>
      </c>
      <c r="AV481" s="145">
        <f t="shared" si="149"/>
        <v>1</v>
      </c>
      <c r="AW481" s="145">
        <f t="shared" si="150"/>
        <v>1</v>
      </c>
      <c r="AX481" s="145">
        <f t="shared" si="161"/>
        <v>1</v>
      </c>
      <c r="AY481" s="145">
        <f t="shared" si="151"/>
        <v>0</v>
      </c>
      <c r="AZ481" s="145">
        <f t="shared" si="152"/>
        <v>1</v>
      </c>
      <c r="BA481" s="146">
        <f t="shared" si="153"/>
        <v>1</v>
      </c>
      <c r="BB481" s="149">
        <f t="shared" si="166"/>
        <v>17</v>
      </c>
      <c r="BC481" s="150">
        <f t="shared" si="167"/>
        <v>16</v>
      </c>
      <c r="BD481" s="150">
        <f t="shared" si="168"/>
        <v>17</v>
      </c>
      <c r="BE481" s="211" t="str">
        <f t="shared" si="169"/>
        <v/>
      </c>
      <c r="BH481" s="173">
        <f>IF(AND(Input_Product=Elig!$C481,Elig_MatchAll_Ct&lt;22,$BC481=(Elig_MatchAll_Ct-1),AF481=0),C481,0)</f>
        <v>0</v>
      </c>
      <c r="BI481" s="173">
        <f>IF(AND(Input_Product=Elig!$C481,Elig_MatchAll_Ct&lt;22,$BC481=(Elig_MatchAll_Ct-1),AG481=0),D481,0)</f>
        <v>0</v>
      </c>
      <c r="BJ481" s="173">
        <f>IF(AND(Input_Product=Elig!$C481,Elig_MatchAll_Ct&lt;22,$BC481=(Elig_MatchAll_Ct-1),AH481=0),E481,0)</f>
        <v>0</v>
      </c>
      <c r="BK481" s="173">
        <f>IF(AND(Input_Product=Elig!$C481,Elig_MatchAll_Ct&lt;22,$BC481=(Elig_MatchAll_Ct-1),AI481=0),F481,0)</f>
        <v>0</v>
      </c>
      <c r="BL481" s="173">
        <f>IF(AND(Input_Product=Elig!$C481,Elig_MatchAll_Ct&lt;22,$BC481=(Elig_MatchAll_Ct-1),AJ481=0),G481,0)</f>
        <v>0</v>
      </c>
      <c r="BM481" s="173">
        <f>IF(AND(Input_Product=Elig!$C481,Elig_MatchAll_Ct&lt;22,$BC481=(Elig_MatchAll_Ct-1),AK481=0),H481,0)</f>
        <v>0</v>
      </c>
      <c r="BN481" s="173">
        <f>IF(AND(Input_Product=Elig!$C481,Elig_MatchAll_Ct&lt;22,$BC481=(Elig_MatchAll_Ct-1),AL481=0),I481,0)</f>
        <v>0</v>
      </c>
      <c r="BO481" s="173">
        <f>IF(AND(Input_Product=Elig!$C481,Elig_MatchAll_Ct&lt;22,$BC481=(Elig_MatchAll_Ct-1),AM481=0),J481,0)</f>
        <v>0</v>
      </c>
      <c r="BP481" s="173">
        <f>IF(AND(Input_Product=Elig!$C481,Elig_MatchAll_Ct&lt;22,$BC481=(Elig_MatchAll_Ct-1),AN481=0),K481,0)</f>
        <v>0</v>
      </c>
      <c r="BQ481" s="173">
        <f>IF(AND(Input_Product=Elig!$C481,Elig_MatchAll_Ct&lt;22,$BC481=(Elig_MatchAll_Ct-1),AP481=0),L481,0)</f>
        <v>0</v>
      </c>
      <c r="BR481" s="173">
        <f>IF(AND(Input_Product=Elig!$C481,Elig_MatchAll_Ct&lt;22,$BC481=(Elig_MatchAll_Ct-1),AO481=0),M481,0)</f>
        <v>0</v>
      </c>
      <c r="BS481" s="173">
        <f>IF(AND(Input_Product=Elig!$C481,Elig_MatchAll_Ct&lt;22,$BC481=(Elig_MatchAll_Ct-1),AQ481=0),N481,0)</f>
        <v>0</v>
      </c>
      <c r="BT481" s="173">
        <f>IF(AND(Input_Product=Elig!$C481,Elig_MatchAll_Ct&lt;22,$BC481=(Elig_MatchAll_Ct-1),AR481=0),O481,0)</f>
        <v>0</v>
      </c>
      <c r="BU481" s="173">
        <f>IF(AND(Input_Product=Elig!$C481,Elig_MatchAll_Ct&lt;22,$BC481=(Elig_MatchAll_Ct-1),AS481=0),P481,0)</f>
        <v>0</v>
      </c>
      <c r="BV481" s="174">
        <f>IF(AND(Input_Product=Elig!$C481,Elig_MatchAll_Ct&lt;22,$BC481=(Elig_MatchAll_Ct-1),AT481=0),Q481,0)</f>
        <v>0</v>
      </c>
      <c r="BW481" s="175">
        <f>IF(AND(Input_Product=Elig!$C481,Elig_MatchAll_Ct&lt;22,$BC481=(Elig_MatchAll_Ct-1),AU481=0),R481,0)</f>
        <v>0</v>
      </c>
      <c r="BX481" s="176">
        <f>IF(AND(Input_Product=Elig!$C481,Elig_MatchAll_Ct&lt;22,$BC481=(Elig_MatchAll_Ct-1),AU481=0),S481,0)</f>
        <v>0</v>
      </c>
      <c r="BY481" s="175">
        <f>IF(AND(Input_Product=Elig!$C481,Elig_MatchAll_Ct&lt;22,$BC481=(Elig_MatchAll_Ct-1),AV481=0),T481,0)</f>
        <v>0</v>
      </c>
      <c r="BZ481" s="176">
        <f>IF(AND(Input_Product=Elig!$C481,Elig_MatchAll_Ct&lt;22,$BC481=(Elig_MatchAll_Ct-1),AV481=0),U481,0)</f>
        <v>0</v>
      </c>
      <c r="CA481" s="175">
        <f>IF(AND(Input_Product=Elig!$C481,Elig_MatchAll_Ct&lt;22,$BC481=(Elig_MatchAll_Ct-1),AW481=0),V481,0)</f>
        <v>0</v>
      </c>
      <c r="CB481" s="176">
        <f>IF(AND(Input_Product=Elig!$C481,Elig_MatchAll_Ct&lt;22,$BC481=(Elig_MatchAll_Ct-1),AW481=0),W481,0)</f>
        <v>0</v>
      </c>
      <c r="CC481" s="175">
        <f>IF(AND(Input_Product=Elig!$C481,Elig_MatchAll_Ct&lt;22,$BC481=(Elig_MatchAll_Ct-1),AX481=0),X481,0)</f>
        <v>0</v>
      </c>
      <c r="CD481" s="176">
        <f>IF(AND(Input_Product=Elig!$C481,Elig_MatchAll_Ct&lt;22,$BC481=(Elig_MatchAll_Ct-1),AX481=0),Y481,0)</f>
        <v>0</v>
      </c>
      <c r="CE481" s="175">
        <f>IF(AND(Input_LTV&lt;=AE481,Input_Product=Elig!$C481,Elig_MatchAll_Ct&lt;22,$BC481=(Elig_MatchAll_Ct-1),AY481=0),Z481,0)</f>
        <v>0</v>
      </c>
      <c r="CF481" s="176">
        <f>IF(AND(Input_LTV&lt;=AE481,Input_Product=Elig!$C481,Elig_MatchAll_Ct&lt;22,$BC481=(Elig_MatchAll_Ct-1),AY481=0),AA481,0)</f>
        <v>0</v>
      </c>
      <c r="CG481" s="175">
        <f>IF(AND(Input_Product=Elig!$C481,Elig_MatchAll_Ct&lt;22,$BC481=(Elig_MatchAll_Ct-1),AZ481=0),AB481,0)</f>
        <v>0</v>
      </c>
      <c r="CH481" s="176">
        <f>IF(AND(Input_Product=Elig!$C481,Elig_MatchAll_Ct&lt;22,$BC481=(Elig_MatchAll_Ct-1),AZ481=0),AC481,0)</f>
        <v>0</v>
      </c>
      <c r="CI481" s="175">
        <f>IF(AND(Input_Product=Elig!$C481,Elig_MatchAll_Ct&lt;22,$BC481=(Elig_MatchAll_Ct-1),BA481=0),AD481,0)</f>
        <v>0</v>
      </c>
      <c r="CJ481" s="176">
        <f>IF(AND(Input_Product=Elig!$C481,Elig_MatchAll_Ct&lt;22,$BC481=(Elig_MatchAll_Ct-1),BA481=0),AE481,0)</f>
        <v>0</v>
      </c>
    </row>
    <row r="482" spans="1:88" ht="10.15" customHeight="1" x14ac:dyDescent="0.25">
      <c r="A482" s="252" t="s">
        <v>76</v>
      </c>
      <c r="B482" s="252" t="s">
        <v>2208</v>
      </c>
      <c r="C482" s="256" t="str">
        <f t="shared" si="183"/>
        <v>NonQM NOO</v>
      </c>
      <c r="D482" s="257" t="s">
        <v>1995</v>
      </c>
      <c r="E482" s="257" t="s">
        <v>166</v>
      </c>
      <c r="F482" s="257" t="s">
        <v>329</v>
      </c>
      <c r="G482" s="257" t="s">
        <v>303</v>
      </c>
      <c r="H482" s="257" t="s">
        <v>444</v>
      </c>
      <c r="I482" s="260" t="s">
        <v>273</v>
      </c>
      <c r="J482" s="260" t="s">
        <v>1130</v>
      </c>
      <c r="K482" s="260" t="s">
        <v>1398</v>
      </c>
      <c r="L482" s="257" t="s">
        <v>311</v>
      </c>
      <c r="M482" s="257" t="s">
        <v>2289</v>
      </c>
      <c r="N482" s="257" t="s">
        <v>1844</v>
      </c>
      <c r="O482" s="257" t="s">
        <v>309</v>
      </c>
      <c r="P482" s="257" t="s">
        <v>2434</v>
      </c>
      <c r="Q482" s="257" t="s">
        <v>293</v>
      </c>
      <c r="R482" s="257">
        <v>2500000.0099999998</v>
      </c>
      <c r="S482" s="257">
        <v>3000000</v>
      </c>
      <c r="T482" s="257">
        <v>0</v>
      </c>
      <c r="U482" s="257">
        <v>0</v>
      </c>
      <c r="V482" s="257">
        <v>0</v>
      </c>
      <c r="W482" s="257">
        <v>50</v>
      </c>
      <c r="X482" s="257">
        <v>0</v>
      </c>
      <c r="Y482" s="257">
        <v>999</v>
      </c>
      <c r="Z482" s="258">
        <v>680</v>
      </c>
      <c r="AA482" s="258">
        <v>699</v>
      </c>
      <c r="AB482" s="1884">
        <v>0</v>
      </c>
      <c r="AC482" s="258">
        <v>999999</v>
      </c>
      <c r="AD482" s="257">
        <v>0</v>
      </c>
      <c r="AE482" s="259">
        <v>70</v>
      </c>
      <c r="AF482" s="144">
        <v>0</v>
      </c>
      <c r="AG482" s="145">
        <v>1</v>
      </c>
      <c r="AH482" s="145">
        <v>1</v>
      </c>
      <c r="AI482" s="145">
        <v>1</v>
      </c>
      <c r="AJ482" s="145">
        <v>0</v>
      </c>
      <c r="AK482" s="145">
        <v>0</v>
      </c>
      <c r="AL482" s="145">
        <v>1</v>
      </c>
      <c r="AM482" s="145">
        <v>1</v>
      </c>
      <c r="AN482" s="145">
        <v>1</v>
      </c>
      <c r="AO482" s="145">
        <v>1</v>
      </c>
      <c r="AP482" s="145">
        <v>1</v>
      </c>
      <c r="AQ482" s="145">
        <v>1</v>
      </c>
      <c r="AR482" s="145">
        <v>1</v>
      </c>
      <c r="AS482" s="145">
        <v>1</v>
      </c>
      <c r="AT482" s="145">
        <v>1</v>
      </c>
      <c r="AU482" s="145">
        <f t="shared" si="148"/>
        <v>0</v>
      </c>
      <c r="AV482" s="145">
        <f t="shared" si="149"/>
        <v>1</v>
      </c>
      <c r="AW482" s="145">
        <f t="shared" si="150"/>
        <v>1</v>
      </c>
      <c r="AX482" s="145">
        <f t="shared" si="161"/>
        <v>1</v>
      </c>
      <c r="AY482" s="145">
        <f t="shared" si="151"/>
        <v>0</v>
      </c>
      <c r="AZ482" s="145">
        <f t="shared" si="152"/>
        <v>1</v>
      </c>
      <c r="BA482" s="146">
        <f t="shared" si="153"/>
        <v>1</v>
      </c>
      <c r="BB482" s="149">
        <f t="shared" si="166"/>
        <v>17</v>
      </c>
      <c r="BC482" s="150">
        <f t="shared" si="167"/>
        <v>16</v>
      </c>
      <c r="BD482" s="150">
        <f t="shared" si="168"/>
        <v>17</v>
      </c>
      <c r="BE482" s="211" t="str">
        <f t="shared" si="169"/>
        <v/>
      </c>
      <c r="BH482" s="188">
        <f>IF(AND(Input_Product=Elig!$C482,Elig_MatchAll_Ct&lt;22,$BC482=(Elig_MatchAll_Ct-1),AF482=0),C482,0)</f>
        <v>0</v>
      </c>
      <c r="BI482" s="188">
        <f>IF(AND(Input_Product=Elig!$C482,Elig_MatchAll_Ct&lt;22,$BC482=(Elig_MatchAll_Ct-1),AG482=0),D482,0)</f>
        <v>0</v>
      </c>
      <c r="BJ482" s="188">
        <f>IF(AND(Input_Product=Elig!$C482,Elig_MatchAll_Ct&lt;22,$BC482=(Elig_MatchAll_Ct-1),AH482=0),E482,0)</f>
        <v>0</v>
      </c>
      <c r="BK482" s="188">
        <f>IF(AND(Input_Product=Elig!$C482,Elig_MatchAll_Ct&lt;22,$BC482=(Elig_MatchAll_Ct-1),AI482=0),F482,0)</f>
        <v>0</v>
      </c>
      <c r="BL482" s="188">
        <f>IF(AND(Input_Product=Elig!$C482,Elig_MatchAll_Ct&lt;22,$BC482=(Elig_MatchAll_Ct-1),AJ482=0),G482,0)</f>
        <v>0</v>
      </c>
      <c r="BM482" s="188">
        <f>IF(AND(Input_Product=Elig!$C482,Elig_MatchAll_Ct&lt;22,$BC482=(Elig_MatchAll_Ct-1),AK482=0),H482,0)</f>
        <v>0</v>
      </c>
      <c r="BN482" s="188">
        <f>IF(AND(Input_Product=Elig!$C482,Elig_MatchAll_Ct&lt;22,$BC482=(Elig_MatchAll_Ct-1),AL482=0),I482,0)</f>
        <v>0</v>
      </c>
      <c r="BO482" s="188">
        <f>IF(AND(Input_Product=Elig!$C482,Elig_MatchAll_Ct&lt;22,$BC482=(Elig_MatchAll_Ct-1),AM482=0),J482,0)</f>
        <v>0</v>
      </c>
      <c r="BP482" s="188">
        <f>IF(AND(Input_Product=Elig!$C482,Elig_MatchAll_Ct&lt;22,$BC482=(Elig_MatchAll_Ct-1),AN482=0),K482,0)</f>
        <v>0</v>
      </c>
      <c r="BQ482" s="188">
        <f>IF(AND(Input_Product=Elig!$C482,Elig_MatchAll_Ct&lt;22,$BC482=(Elig_MatchAll_Ct-1),AP482=0),L482,0)</f>
        <v>0</v>
      </c>
      <c r="BR482" s="188">
        <f>IF(AND(Input_Product=Elig!$C482,Elig_MatchAll_Ct&lt;22,$BC482=(Elig_MatchAll_Ct-1),AO482=0),M482,0)</f>
        <v>0</v>
      </c>
      <c r="BS482" s="188">
        <f>IF(AND(Input_Product=Elig!$C482,Elig_MatchAll_Ct&lt;22,$BC482=(Elig_MatchAll_Ct-1),AQ482=0),N482,0)</f>
        <v>0</v>
      </c>
      <c r="BT482" s="188">
        <f>IF(AND(Input_Product=Elig!$C482,Elig_MatchAll_Ct&lt;22,$BC482=(Elig_MatchAll_Ct-1),AR482=0),O482,0)</f>
        <v>0</v>
      </c>
      <c r="BU482" s="188">
        <f>IF(AND(Input_Product=Elig!$C482,Elig_MatchAll_Ct&lt;22,$BC482=(Elig_MatchAll_Ct-1),AS482=0),P482,0)</f>
        <v>0</v>
      </c>
      <c r="BV482" s="189">
        <f>IF(AND(Input_Product=Elig!$C482,Elig_MatchAll_Ct&lt;22,$BC482=(Elig_MatchAll_Ct-1),AT482=0),Q482,0)</f>
        <v>0</v>
      </c>
      <c r="BW482" s="271">
        <f>IF(AND(Input_Product=Elig!$C482,Elig_MatchAll_Ct&lt;22,$BC482=(Elig_MatchAll_Ct-1),AU482=0),R482,0)</f>
        <v>0</v>
      </c>
      <c r="BX482" s="272">
        <f>IF(AND(Input_Product=Elig!$C482,Elig_MatchAll_Ct&lt;22,$BC482=(Elig_MatchAll_Ct-1),AU482=0),S482,0)</f>
        <v>0</v>
      </c>
      <c r="BY482" s="271">
        <f>IF(AND(Input_Product=Elig!$C482,Elig_MatchAll_Ct&lt;22,$BC482=(Elig_MatchAll_Ct-1),AV482=0),T482,0)</f>
        <v>0</v>
      </c>
      <c r="BZ482" s="272">
        <f>IF(AND(Input_Product=Elig!$C482,Elig_MatchAll_Ct&lt;22,$BC482=(Elig_MatchAll_Ct-1),AV482=0),U482,0)</f>
        <v>0</v>
      </c>
      <c r="CA482" s="271">
        <f>IF(AND(Input_Product=Elig!$C482,Elig_MatchAll_Ct&lt;22,$BC482=(Elig_MatchAll_Ct-1),AW482=0),V482,0)</f>
        <v>0</v>
      </c>
      <c r="CB482" s="272">
        <f>IF(AND(Input_Product=Elig!$C482,Elig_MatchAll_Ct&lt;22,$BC482=(Elig_MatchAll_Ct-1),AW482=0),W482,0)</f>
        <v>0</v>
      </c>
      <c r="CC482" s="271">
        <f>IF(AND(Input_Product=Elig!$C482,Elig_MatchAll_Ct&lt;22,$BC482=(Elig_MatchAll_Ct-1),AX482=0),X482,0)</f>
        <v>0</v>
      </c>
      <c r="CD482" s="272">
        <f>IF(AND(Input_Product=Elig!$C482,Elig_MatchAll_Ct&lt;22,$BC482=(Elig_MatchAll_Ct-1),AX482=0),Y482,0)</f>
        <v>0</v>
      </c>
      <c r="CE482" s="271">
        <f>IF(AND(Input_LTV&lt;=AE482,Input_Product=Elig!$C482,Elig_MatchAll_Ct&lt;22,$BC482=(Elig_MatchAll_Ct-1),AY482=0),Z482,0)</f>
        <v>0</v>
      </c>
      <c r="CF482" s="272">
        <f>IF(AND(Input_LTV&lt;=AE482,Input_Product=Elig!$C482,Elig_MatchAll_Ct&lt;22,$BC482=(Elig_MatchAll_Ct-1),AY482=0),AA482,0)</f>
        <v>0</v>
      </c>
      <c r="CG482" s="271">
        <f>IF(AND(Input_Product=Elig!$C482,Elig_MatchAll_Ct&lt;22,$BC482=(Elig_MatchAll_Ct-1),AZ482=0),AB482,0)</f>
        <v>0</v>
      </c>
      <c r="CH482" s="272">
        <f>IF(AND(Input_Product=Elig!$C482,Elig_MatchAll_Ct&lt;22,$BC482=(Elig_MatchAll_Ct-1),AZ482=0),AC482,0)</f>
        <v>0</v>
      </c>
      <c r="CI482" s="271">
        <f>IF(AND(Input_Product=Elig!$C482,Elig_MatchAll_Ct&lt;22,$BC482=(Elig_MatchAll_Ct-1),BA482=0),AD482,0)</f>
        <v>0</v>
      </c>
      <c r="CJ482" s="272">
        <f>IF(AND(Input_Product=Elig!$C482,Elig_MatchAll_Ct&lt;22,$BC482=(Elig_MatchAll_Ct-1),BA482=0),AE482,0)</f>
        <v>0</v>
      </c>
    </row>
    <row r="483" spans="1:88" ht="10.15" customHeight="1" x14ac:dyDescent="0.25">
      <c r="A483" s="252" t="s">
        <v>76</v>
      </c>
      <c r="B483" s="252" t="s">
        <v>2209</v>
      </c>
      <c r="C483" s="246" t="str">
        <f t="shared" si="183"/>
        <v>NonQM NOO</v>
      </c>
      <c r="D483" s="247" t="s">
        <v>1995</v>
      </c>
      <c r="E483" s="248" t="s">
        <v>166</v>
      </c>
      <c r="F483" s="248" t="s">
        <v>329</v>
      </c>
      <c r="G483" s="248" t="s">
        <v>303</v>
      </c>
      <c r="H483" s="248" t="s">
        <v>444</v>
      </c>
      <c r="I483" s="247" t="s">
        <v>16</v>
      </c>
      <c r="J483" s="247" t="s">
        <v>1130</v>
      </c>
      <c r="K483" s="247" t="s">
        <v>1398</v>
      </c>
      <c r="L483" s="248" t="s">
        <v>311</v>
      </c>
      <c r="M483" s="248" t="s">
        <v>2289</v>
      </c>
      <c r="N483" s="248" t="s">
        <v>1844</v>
      </c>
      <c r="O483" s="248" t="s">
        <v>309</v>
      </c>
      <c r="P483" s="248" t="s">
        <v>2434</v>
      </c>
      <c r="Q483" s="248" t="s">
        <v>293</v>
      </c>
      <c r="R483" s="247">
        <v>2500000.0099999998</v>
      </c>
      <c r="S483" s="247">
        <v>3000000</v>
      </c>
      <c r="T483" s="247">
        <v>0</v>
      </c>
      <c r="U483" s="247">
        <f t="shared" ref="U483:U485" si="186">S483</f>
        <v>3000000</v>
      </c>
      <c r="V483" s="247">
        <v>0</v>
      </c>
      <c r="W483" s="247">
        <v>50</v>
      </c>
      <c r="X483" s="247">
        <v>0</v>
      </c>
      <c r="Y483" s="247">
        <v>999</v>
      </c>
      <c r="Z483" s="249">
        <v>720</v>
      </c>
      <c r="AA483" s="249">
        <v>999</v>
      </c>
      <c r="AB483" s="1882">
        <v>0</v>
      </c>
      <c r="AC483" s="249">
        <v>999999</v>
      </c>
      <c r="AD483" s="247">
        <v>0</v>
      </c>
      <c r="AE483" s="250">
        <v>65</v>
      </c>
      <c r="AF483" s="144">
        <v>0</v>
      </c>
      <c r="AG483" s="145">
        <v>1</v>
      </c>
      <c r="AH483" s="145">
        <v>1</v>
      </c>
      <c r="AI483" s="145">
        <v>1</v>
      </c>
      <c r="AJ483" s="145">
        <v>0</v>
      </c>
      <c r="AK483" s="145">
        <v>0</v>
      </c>
      <c r="AL483" s="145">
        <v>0</v>
      </c>
      <c r="AM483" s="145">
        <v>1</v>
      </c>
      <c r="AN483" s="145">
        <v>1</v>
      </c>
      <c r="AO483" s="145">
        <v>1</v>
      </c>
      <c r="AP483" s="145">
        <v>1</v>
      </c>
      <c r="AQ483" s="145">
        <v>1</v>
      </c>
      <c r="AR483" s="145">
        <v>1</v>
      </c>
      <c r="AS483" s="145">
        <v>1</v>
      </c>
      <c r="AT483" s="145">
        <v>1</v>
      </c>
      <c r="AU483" s="145">
        <f t="shared" si="148"/>
        <v>0</v>
      </c>
      <c r="AV483" s="145">
        <f t="shared" si="149"/>
        <v>1</v>
      </c>
      <c r="AW483" s="145">
        <f t="shared" si="150"/>
        <v>1</v>
      </c>
      <c r="AX483" s="145">
        <f t="shared" si="161"/>
        <v>1</v>
      </c>
      <c r="AY483" s="145">
        <f t="shared" si="151"/>
        <v>1</v>
      </c>
      <c r="AZ483" s="145">
        <f t="shared" si="152"/>
        <v>1</v>
      </c>
      <c r="BA483" s="146">
        <f t="shared" si="153"/>
        <v>0</v>
      </c>
      <c r="BB483" s="149">
        <f t="shared" si="166"/>
        <v>16</v>
      </c>
      <c r="BC483" s="150">
        <f t="shared" si="167"/>
        <v>16</v>
      </c>
      <c r="BD483" s="150">
        <f t="shared" si="168"/>
        <v>16</v>
      </c>
      <c r="BE483" s="211" t="str">
        <f t="shared" si="169"/>
        <v/>
      </c>
      <c r="BH483" s="184">
        <f>IF(AND(Input_Product=Elig!$C483,Elig_MatchAll_Ct&lt;22,$BC483=(Elig_MatchAll_Ct-1),AF483=0),C483,0)</f>
        <v>0</v>
      </c>
      <c r="BI483" s="184">
        <f>IF(AND(Input_Product=Elig!$C483,Elig_MatchAll_Ct&lt;22,$BC483=(Elig_MatchAll_Ct-1),AG483=0),D483,0)</f>
        <v>0</v>
      </c>
      <c r="BJ483" s="184">
        <f>IF(AND(Input_Product=Elig!$C483,Elig_MatchAll_Ct&lt;22,$BC483=(Elig_MatchAll_Ct-1),AH483=0),E483,0)</f>
        <v>0</v>
      </c>
      <c r="BK483" s="184">
        <f>IF(AND(Input_Product=Elig!$C483,Elig_MatchAll_Ct&lt;22,$BC483=(Elig_MatchAll_Ct-1),AI483=0),F483,0)</f>
        <v>0</v>
      </c>
      <c r="BL483" s="184">
        <f>IF(AND(Input_Product=Elig!$C483,Elig_MatchAll_Ct&lt;22,$BC483=(Elig_MatchAll_Ct-1),AJ483=0),G483,0)</f>
        <v>0</v>
      </c>
      <c r="BM483" s="184">
        <f>IF(AND(Input_Product=Elig!$C483,Elig_MatchAll_Ct&lt;22,$BC483=(Elig_MatchAll_Ct-1),AK483=0),H483,0)</f>
        <v>0</v>
      </c>
      <c r="BN483" s="184">
        <f>IF(AND(Input_Product=Elig!$C483,Elig_MatchAll_Ct&lt;22,$BC483=(Elig_MatchAll_Ct-1),AL483=0),I483,0)</f>
        <v>0</v>
      </c>
      <c r="BO483" s="184">
        <f>IF(AND(Input_Product=Elig!$C483,Elig_MatchAll_Ct&lt;22,$BC483=(Elig_MatchAll_Ct-1),AM483=0),J483,0)</f>
        <v>0</v>
      </c>
      <c r="BP483" s="184">
        <f>IF(AND(Input_Product=Elig!$C483,Elig_MatchAll_Ct&lt;22,$BC483=(Elig_MatchAll_Ct-1),AN483=0),K483,0)</f>
        <v>0</v>
      </c>
      <c r="BQ483" s="184">
        <f>IF(AND(Input_Product=Elig!$C483,Elig_MatchAll_Ct&lt;22,$BC483=(Elig_MatchAll_Ct-1),AP483=0),L483,0)</f>
        <v>0</v>
      </c>
      <c r="BR483" s="184">
        <f>IF(AND(Input_Product=Elig!$C483,Elig_MatchAll_Ct&lt;22,$BC483=(Elig_MatchAll_Ct-1),AO483=0),M483,0)</f>
        <v>0</v>
      </c>
      <c r="BS483" s="184">
        <f>IF(AND(Input_Product=Elig!$C483,Elig_MatchAll_Ct&lt;22,$BC483=(Elig_MatchAll_Ct-1),AQ483=0),N483,0)</f>
        <v>0</v>
      </c>
      <c r="BT483" s="184">
        <f>IF(AND(Input_Product=Elig!$C483,Elig_MatchAll_Ct&lt;22,$BC483=(Elig_MatchAll_Ct-1),AR483=0),O483,0)</f>
        <v>0</v>
      </c>
      <c r="BU483" s="184">
        <f>IF(AND(Input_Product=Elig!$C483,Elig_MatchAll_Ct&lt;22,$BC483=(Elig_MatchAll_Ct-1),AS483=0),P483,0)</f>
        <v>0</v>
      </c>
      <c r="BV483" s="185">
        <f>IF(AND(Input_Product=Elig!$C483,Elig_MatchAll_Ct&lt;22,$BC483=(Elig_MatchAll_Ct-1),AT483=0),Q483,0)</f>
        <v>0</v>
      </c>
      <c r="BW483" s="186">
        <f>IF(AND(Input_Product=Elig!$C483,Elig_MatchAll_Ct&lt;22,$BC483=(Elig_MatchAll_Ct-1),AU483=0),R483,0)</f>
        <v>0</v>
      </c>
      <c r="BX483" s="187">
        <f>IF(AND(Input_Product=Elig!$C483,Elig_MatchAll_Ct&lt;22,$BC483=(Elig_MatchAll_Ct-1),AU483=0),S483,0)</f>
        <v>0</v>
      </c>
      <c r="BY483" s="186">
        <f>IF(AND(Input_Product=Elig!$C483,Elig_MatchAll_Ct&lt;22,$BC483=(Elig_MatchAll_Ct-1),AV483=0),T483,0)</f>
        <v>0</v>
      </c>
      <c r="BZ483" s="187">
        <f>IF(AND(Input_Product=Elig!$C483,Elig_MatchAll_Ct&lt;22,$BC483=(Elig_MatchAll_Ct-1),AV483=0),U483,0)</f>
        <v>0</v>
      </c>
      <c r="CA483" s="186">
        <f>IF(AND(Input_Product=Elig!$C483,Elig_MatchAll_Ct&lt;22,$BC483=(Elig_MatchAll_Ct-1),AW483=0),V483,0)</f>
        <v>0</v>
      </c>
      <c r="CB483" s="187">
        <f>IF(AND(Input_Product=Elig!$C483,Elig_MatchAll_Ct&lt;22,$BC483=(Elig_MatchAll_Ct-1),AW483=0),W483,0)</f>
        <v>0</v>
      </c>
      <c r="CC483" s="186">
        <f>IF(AND(Input_Product=Elig!$C483,Elig_MatchAll_Ct&lt;22,$BC483=(Elig_MatchAll_Ct-1),AX483=0),X483,0)</f>
        <v>0</v>
      </c>
      <c r="CD483" s="187">
        <f>IF(AND(Input_Product=Elig!$C483,Elig_MatchAll_Ct&lt;22,$BC483=(Elig_MatchAll_Ct-1),AX483=0),Y483,0)</f>
        <v>0</v>
      </c>
      <c r="CE483" s="186">
        <f>IF(AND(Input_LTV&lt;=AE483,Input_Product=Elig!$C483,Elig_MatchAll_Ct&lt;22,$BC483=(Elig_MatchAll_Ct-1),AY483=0),Z483,0)</f>
        <v>0</v>
      </c>
      <c r="CF483" s="187">
        <f>IF(AND(Input_LTV&lt;=AE483,Input_Product=Elig!$C483,Elig_MatchAll_Ct&lt;22,$BC483=(Elig_MatchAll_Ct-1),AY483=0),AA483,0)</f>
        <v>0</v>
      </c>
      <c r="CG483" s="186">
        <f>IF(AND(Input_Product=Elig!$C483,Elig_MatchAll_Ct&lt;22,$BC483=(Elig_MatchAll_Ct-1),AZ483=0),AB483,0)</f>
        <v>0</v>
      </c>
      <c r="CH483" s="187">
        <f>IF(AND(Input_Product=Elig!$C483,Elig_MatchAll_Ct&lt;22,$BC483=(Elig_MatchAll_Ct-1),AZ483=0),AC483,0)</f>
        <v>0</v>
      </c>
      <c r="CI483" s="186">
        <f>IF(AND(Input_Product=Elig!$C483,Elig_MatchAll_Ct&lt;22,$BC483=(Elig_MatchAll_Ct-1),BA483=0),AD483,0)</f>
        <v>0</v>
      </c>
      <c r="CJ483" s="187">
        <f>IF(AND(Input_Product=Elig!$C483,Elig_MatchAll_Ct&lt;22,$BC483=(Elig_MatchAll_Ct-1),BA483=0),AE483,0)</f>
        <v>0</v>
      </c>
    </row>
    <row r="484" spans="1:88" ht="10.15" customHeight="1" x14ac:dyDescent="0.25">
      <c r="A484" s="252" t="s">
        <v>76</v>
      </c>
      <c r="B484" s="252" t="s">
        <v>2210</v>
      </c>
      <c r="C484" s="251" t="str">
        <f t="shared" si="183"/>
        <v>NonQM NOO</v>
      </c>
      <c r="D484" s="252" t="s">
        <v>1995</v>
      </c>
      <c r="E484" s="252" t="s">
        <v>166</v>
      </c>
      <c r="F484" s="252" t="s">
        <v>329</v>
      </c>
      <c r="G484" s="252" t="s">
        <v>303</v>
      </c>
      <c r="H484" s="252" t="s">
        <v>444</v>
      </c>
      <c r="I484" s="253" t="s">
        <v>16</v>
      </c>
      <c r="J484" s="253" t="s">
        <v>1130</v>
      </c>
      <c r="K484" s="253" t="s">
        <v>1398</v>
      </c>
      <c r="L484" s="252" t="s">
        <v>311</v>
      </c>
      <c r="M484" s="252" t="s">
        <v>2289</v>
      </c>
      <c r="N484" s="252" t="s">
        <v>1844</v>
      </c>
      <c r="O484" s="252" t="s">
        <v>309</v>
      </c>
      <c r="P484" s="252" t="s">
        <v>2434</v>
      </c>
      <c r="Q484" s="252" t="s">
        <v>293</v>
      </c>
      <c r="R484" s="252">
        <v>2500000.0099999998</v>
      </c>
      <c r="S484" s="252">
        <v>3000000</v>
      </c>
      <c r="T484" s="252">
        <v>0</v>
      </c>
      <c r="U484" s="252">
        <f t="shared" si="186"/>
        <v>3000000</v>
      </c>
      <c r="V484" s="252">
        <v>0</v>
      </c>
      <c r="W484" s="252">
        <v>50</v>
      </c>
      <c r="X484" s="252">
        <v>0</v>
      </c>
      <c r="Y484" s="252">
        <v>999</v>
      </c>
      <c r="Z484" s="254">
        <v>700</v>
      </c>
      <c r="AA484" s="254">
        <v>719</v>
      </c>
      <c r="AB484" s="1883">
        <v>0</v>
      </c>
      <c r="AC484" s="254">
        <v>999999</v>
      </c>
      <c r="AD484" s="252">
        <v>0</v>
      </c>
      <c r="AE484" s="255">
        <v>60</v>
      </c>
      <c r="AF484" s="144">
        <v>0</v>
      </c>
      <c r="AG484" s="145">
        <v>1</v>
      </c>
      <c r="AH484" s="145">
        <v>1</v>
      </c>
      <c r="AI484" s="145">
        <v>1</v>
      </c>
      <c r="AJ484" s="145">
        <v>0</v>
      </c>
      <c r="AK484" s="145">
        <v>0</v>
      </c>
      <c r="AL484" s="145">
        <v>0</v>
      </c>
      <c r="AM484" s="145">
        <v>1</v>
      </c>
      <c r="AN484" s="145">
        <v>1</v>
      </c>
      <c r="AO484" s="145">
        <v>1</v>
      </c>
      <c r="AP484" s="145">
        <v>1</v>
      </c>
      <c r="AQ484" s="145">
        <v>1</v>
      </c>
      <c r="AR484" s="145">
        <v>1</v>
      </c>
      <c r="AS484" s="145">
        <v>1</v>
      </c>
      <c r="AT484" s="145">
        <v>1</v>
      </c>
      <c r="AU484" s="145">
        <f t="shared" si="148"/>
        <v>0</v>
      </c>
      <c r="AV484" s="145">
        <f t="shared" si="149"/>
        <v>1</v>
      </c>
      <c r="AW484" s="145">
        <f t="shared" si="150"/>
        <v>1</v>
      </c>
      <c r="AX484" s="145">
        <f t="shared" si="161"/>
        <v>1</v>
      </c>
      <c r="AY484" s="145">
        <f t="shared" si="151"/>
        <v>0</v>
      </c>
      <c r="AZ484" s="145">
        <f t="shared" si="152"/>
        <v>1</v>
      </c>
      <c r="BA484" s="146">
        <f t="shared" si="153"/>
        <v>0</v>
      </c>
      <c r="BB484" s="149">
        <f t="shared" si="166"/>
        <v>15</v>
      </c>
      <c r="BC484" s="150">
        <f t="shared" si="167"/>
        <v>15</v>
      </c>
      <c r="BD484" s="150">
        <f t="shared" si="168"/>
        <v>15</v>
      </c>
      <c r="BE484" s="211" t="str">
        <f t="shared" si="169"/>
        <v/>
      </c>
      <c r="BH484" s="173">
        <f>IF(AND(Input_Product=Elig!$C484,Elig_MatchAll_Ct&lt;22,$BC484=(Elig_MatchAll_Ct-1),AF484=0),C484,0)</f>
        <v>0</v>
      </c>
      <c r="BI484" s="173">
        <f>IF(AND(Input_Product=Elig!$C484,Elig_MatchAll_Ct&lt;22,$BC484=(Elig_MatchAll_Ct-1),AG484=0),D484,0)</f>
        <v>0</v>
      </c>
      <c r="BJ484" s="173">
        <f>IF(AND(Input_Product=Elig!$C484,Elig_MatchAll_Ct&lt;22,$BC484=(Elig_MatchAll_Ct-1),AH484=0),E484,0)</f>
        <v>0</v>
      </c>
      <c r="BK484" s="173">
        <f>IF(AND(Input_Product=Elig!$C484,Elig_MatchAll_Ct&lt;22,$BC484=(Elig_MatchAll_Ct-1),AI484=0),F484,0)</f>
        <v>0</v>
      </c>
      <c r="BL484" s="173">
        <f>IF(AND(Input_Product=Elig!$C484,Elig_MatchAll_Ct&lt;22,$BC484=(Elig_MatchAll_Ct-1),AJ484=0),G484,0)</f>
        <v>0</v>
      </c>
      <c r="BM484" s="173">
        <f>IF(AND(Input_Product=Elig!$C484,Elig_MatchAll_Ct&lt;22,$BC484=(Elig_MatchAll_Ct-1),AK484=0),H484,0)</f>
        <v>0</v>
      </c>
      <c r="BN484" s="173">
        <f>IF(AND(Input_Product=Elig!$C484,Elig_MatchAll_Ct&lt;22,$BC484=(Elig_MatchAll_Ct-1),AL484=0),I484,0)</f>
        <v>0</v>
      </c>
      <c r="BO484" s="173">
        <f>IF(AND(Input_Product=Elig!$C484,Elig_MatchAll_Ct&lt;22,$BC484=(Elig_MatchAll_Ct-1),AM484=0),J484,0)</f>
        <v>0</v>
      </c>
      <c r="BP484" s="173">
        <f>IF(AND(Input_Product=Elig!$C484,Elig_MatchAll_Ct&lt;22,$BC484=(Elig_MatchAll_Ct-1),AN484=0),K484,0)</f>
        <v>0</v>
      </c>
      <c r="BQ484" s="173">
        <f>IF(AND(Input_Product=Elig!$C484,Elig_MatchAll_Ct&lt;22,$BC484=(Elig_MatchAll_Ct-1),AP484=0),L484,0)</f>
        <v>0</v>
      </c>
      <c r="BR484" s="173">
        <f>IF(AND(Input_Product=Elig!$C484,Elig_MatchAll_Ct&lt;22,$BC484=(Elig_MatchAll_Ct-1),AO484=0),M484,0)</f>
        <v>0</v>
      </c>
      <c r="BS484" s="173">
        <f>IF(AND(Input_Product=Elig!$C484,Elig_MatchAll_Ct&lt;22,$BC484=(Elig_MatchAll_Ct-1),AQ484=0),N484,0)</f>
        <v>0</v>
      </c>
      <c r="BT484" s="173">
        <f>IF(AND(Input_Product=Elig!$C484,Elig_MatchAll_Ct&lt;22,$BC484=(Elig_MatchAll_Ct-1),AR484=0),O484,0)</f>
        <v>0</v>
      </c>
      <c r="BU484" s="173">
        <f>IF(AND(Input_Product=Elig!$C484,Elig_MatchAll_Ct&lt;22,$BC484=(Elig_MatchAll_Ct-1),AS484=0),P484,0)</f>
        <v>0</v>
      </c>
      <c r="BV484" s="174">
        <f>IF(AND(Input_Product=Elig!$C484,Elig_MatchAll_Ct&lt;22,$BC484=(Elig_MatchAll_Ct-1),AT484=0),Q484,0)</f>
        <v>0</v>
      </c>
      <c r="BW484" s="175">
        <f>IF(AND(Input_Product=Elig!$C484,Elig_MatchAll_Ct&lt;22,$BC484=(Elig_MatchAll_Ct-1),AU484=0),R484,0)</f>
        <v>0</v>
      </c>
      <c r="BX484" s="176">
        <f>IF(AND(Input_Product=Elig!$C484,Elig_MatchAll_Ct&lt;22,$BC484=(Elig_MatchAll_Ct-1),AU484=0),S484,0)</f>
        <v>0</v>
      </c>
      <c r="BY484" s="175">
        <f>IF(AND(Input_Product=Elig!$C484,Elig_MatchAll_Ct&lt;22,$BC484=(Elig_MatchAll_Ct-1),AV484=0),T484,0)</f>
        <v>0</v>
      </c>
      <c r="BZ484" s="176">
        <f>IF(AND(Input_Product=Elig!$C484,Elig_MatchAll_Ct&lt;22,$BC484=(Elig_MatchAll_Ct-1),AV484=0),U484,0)</f>
        <v>0</v>
      </c>
      <c r="CA484" s="175">
        <f>IF(AND(Input_Product=Elig!$C484,Elig_MatchAll_Ct&lt;22,$BC484=(Elig_MatchAll_Ct-1),AW484=0),V484,0)</f>
        <v>0</v>
      </c>
      <c r="CB484" s="176">
        <f>IF(AND(Input_Product=Elig!$C484,Elig_MatchAll_Ct&lt;22,$BC484=(Elig_MatchAll_Ct-1),AW484=0),W484,0)</f>
        <v>0</v>
      </c>
      <c r="CC484" s="175">
        <f>IF(AND(Input_Product=Elig!$C484,Elig_MatchAll_Ct&lt;22,$BC484=(Elig_MatchAll_Ct-1),AX484=0),X484,0)</f>
        <v>0</v>
      </c>
      <c r="CD484" s="176">
        <f>IF(AND(Input_Product=Elig!$C484,Elig_MatchAll_Ct&lt;22,$BC484=(Elig_MatchAll_Ct-1),AX484=0),Y484,0)</f>
        <v>0</v>
      </c>
      <c r="CE484" s="175">
        <f>IF(AND(Input_LTV&lt;=AE484,Input_Product=Elig!$C484,Elig_MatchAll_Ct&lt;22,$BC484=(Elig_MatchAll_Ct-1),AY484=0),Z484,0)</f>
        <v>0</v>
      </c>
      <c r="CF484" s="176">
        <f>IF(AND(Input_LTV&lt;=AE484,Input_Product=Elig!$C484,Elig_MatchAll_Ct&lt;22,$BC484=(Elig_MatchAll_Ct-1),AY484=0),AA484,0)</f>
        <v>0</v>
      </c>
      <c r="CG484" s="175">
        <f>IF(AND(Input_Product=Elig!$C484,Elig_MatchAll_Ct&lt;22,$BC484=(Elig_MatchAll_Ct-1),AZ484=0),AB484,0)</f>
        <v>0</v>
      </c>
      <c r="CH484" s="176">
        <f>IF(AND(Input_Product=Elig!$C484,Elig_MatchAll_Ct&lt;22,$BC484=(Elig_MatchAll_Ct-1),AZ484=0),AC484,0)</f>
        <v>0</v>
      </c>
      <c r="CI484" s="175">
        <f>IF(AND(Input_Product=Elig!$C484,Elig_MatchAll_Ct&lt;22,$BC484=(Elig_MatchAll_Ct-1),BA484=0),AD484,0)</f>
        <v>0</v>
      </c>
      <c r="CJ484" s="176">
        <f>IF(AND(Input_Product=Elig!$C484,Elig_MatchAll_Ct&lt;22,$BC484=(Elig_MatchAll_Ct-1),BA484=0),AE484,0)</f>
        <v>0</v>
      </c>
    </row>
    <row r="485" spans="1:88" ht="10.15" customHeight="1" x14ac:dyDescent="0.25">
      <c r="A485" s="252" t="s">
        <v>76</v>
      </c>
      <c r="B485" s="252" t="s">
        <v>2211</v>
      </c>
      <c r="C485" s="256" t="str">
        <f t="shared" si="183"/>
        <v>NonQM NOO</v>
      </c>
      <c r="D485" s="257" t="s">
        <v>1995</v>
      </c>
      <c r="E485" s="257" t="s">
        <v>166</v>
      </c>
      <c r="F485" s="257" t="s">
        <v>329</v>
      </c>
      <c r="G485" s="257" t="s">
        <v>303</v>
      </c>
      <c r="H485" s="257" t="s">
        <v>444</v>
      </c>
      <c r="I485" s="260" t="s">
        <v>16</v>
      </c>
      <c r="J485" s="260" t="s">
        <v>1130</v>
      </c>
      <c r="K485" s="260" t="s">
        <v>1398</v>
      </c>
      <c r="L485" s="257" t="s">
        <v>311</v>
      </c>
      <c r="M485" s="257" t="s">
        <v>2289</v>
      </c>
      <c r="N485" s="257" t="s">
        <v>1844</v>
      </c>
      <c r="O485" s="257" t="s">
        <v>309</v>
      </c>
      <c r="P485" s="257" t="s">
        <v>2434</v>
      </c>
      <c r="Q485" s="257" t="s">
        <v>293</v>
      </c>
      <c r="R485" s="257">
        <v>2500000.0099999998</v>
      </c>
      <c r="S485" s="257">
        <v>3000000</v>
      </c>
      <c r="T485" s="257">
        <v>0</v>
      </c>
      <c r="U485" s="257">
        <f t="shared" si="186"/>
        <v>3000000</v>
      </c>
      <c r="V485" s="257">
        <v>0</v>
      </c>
      <c r="W485" s="257">
        <v>50</v>
      </c>
      <c r="X485" s="257">
        <v>0</v>
      </c>
      <c r="Y485" s="257">
        <v>999</v>
      </c>
      <c r="Z485" s="258">
        <v>680</v>
      </c>
      <c r="AA485" s="258">
        <v>699</v>
      </c>
      <c r="AB485" s="1884">
        <v>0</v>
      </c>
      <c r="AC485" s="258">
        <v>999999</v>
      </c>
      <c r="AD485" s="257">
        <v>0</v>
      </c>
      <c r="AE485" s="259">
        <v>60</v>
      </c>
      <c r="AF485" s="144">
        <v>0</v>
      </c>
      <c r="AG485" s="145">
        <v>1</v>
      </c>
      <c r="AH485" s="145">
        <v>1</v>
      </c>
      <c r="AI485" s="145">
        <v>1</v>
      </c>
      <c r="AJ485" s="145">
        <v>0</v>
      </c>
      <c r="AK485" s="145">
        <v>0</v>
      </c>
      <c r="AL485" s="145">
        <v>0</v>
      </c>
      <c r="AM485" s="145">
        <v>1</v>
      </c>
      <c r="AN485" s="145">
        <v>1</v>
      </c>
      <c r="AO485" s="145">
        <v>1</v>
      </c>
      <c r="AP485" s="145">
        <v>1</v>
      </c>
      <c r="AQ485" s="145">
        <v>1</v>
      </c>
      <c r="AR485" s="145">
        <v>1</v>
      </c>
      <c r="AS485" s="145">
        <v>1</v>
      </c>
      <c r="AT485" s="145">
        <v>1</v>
      </c>
      <c r="AU485" s="145">
        <f t="shared" si="148"/>
        <v>0</v>
      </c>
      <c r="AV485" s="145">
        <f t="shared" si="149"/>
        <v>1</v>
      </c>
      <c r="AW485" s="145">
        <f t="shared" si="150"/>
        <v>1</v>
      </c>
      <c r="AX485" s="145">
        <f t="shared" si="161"/>
        <v>1</v>
      </c>
      <c r="AY485" s="145">
        <f t="shared" si="151"/>
        <v>0</v>
      </c>
      <c r="AZ485" s="145">
        <f t="shared" si="152"/>
        <v>1</v>
      </c>
      <c r="BA485" s="146">
        <f t="shared" si="153"/>
        <v>0</v>
      </c>
      <c r="BB485" s="149">
        <f t="shared" si="166"/>
        <v>15</v>
      </c>
      <c r="BC485" s="150">
        <f t="shared" si="167"/>
        <v>15</v>
      </c>
      <c r="BD485" s="150">
        <f t="shared" si="168"/>
        <v>15</v>
      </c>
      <c r="BE485" s="211" t="str">
        <f t="shared" si="169"/>
        <v/>
      </c>
      <c r="BH485" s="188">
        <f>IF(AND(Input_Product=Elig!$C485,Elig_MatchAll_Ct&lt;22,$BC485=(Elig_MatchAll_Ct-1),AF485=0),C485,0)</f>
        <v>0</v>
      </c>
      <c r="BI485" s="188">
        <f>IF(AND(Input_Product=Elig!$C485,Elig_MatchAll_Ct&lt;22,$BC485=(Elig_MatchAll_Ct-1),AG485=0),D485,0)</f>
        <v>0</v>
      </c>
      <c r="BJ485" s="188">
        <f>IF(AND(Input_Product=Elig!$C485,Elig_MatchAll_Ct&lt;22,$BC485=(Elig_MatchAll_Ct-1),AH485=0),E485,0)</f>
        <v>0</v>
      </c>
      <c r="BK485" s="188">
        <f>IF(AND(Input_Product=Elig!$C485,Elig_MatchAll_Ct&lt;22,$BC485=(Elig_MatchAll_Ct-1),AI485=0),F485,0)</f>
        <v>0</v>
      </c>
      <c r="BL485" s="188">
        <f>IF(AND(Input_Product=Elig!$C485,Elig_MatchAll_Ct&lt;22,$BC485=(Elig_MatchAll_Ct-1),AJ485=0),G485,0)</f>
        <v>0</v>
      </c>
      <c r="BM485" s="188">
        <f>IF(AND(Input_Product=Elig!$C485,Elig_MatchAll_Ct&lt;22,$BC485=(Elig_MatchAll_Ct-1),AK485=0),H485,0)</f>
        <v>0</v>
      </c>
      <c r="BN485" s="188">
        <f>IF(AND(Input_Product=Elig!$C485,Elig_MatchAll_Ct&lt;22,$BC485=(Elig_MatchAll_Ct-1),AL485=0),I485,0)</f>
        <v>0</v>
      </c>
      <c r="BO485" s="188">
        <f>IF(AND(Input_Product=Elig!$C485,Elig_MatchAll_Ct&lt;22,$BC485=(Elig_MatchAll_Ct-1),AM485=0),J485,0)</f>
        <v>0</v>
      </c>
      <c r="BP485" s="188">
        <f>IF(AND(Input_Product=Elig!$C485,Elig_MatchAll_Ct&lt;22,$BC485=(Elig_MatchAll_Ct-1),AN485=0),K485,0)</f>
        <v>0</v>
      </c>
      <c r="BQ485" s="188">
        <f>IF(AND(Input_Product=Elig!$C485,Elig_MatchAll_Ct&lt;22,$BC485=(Elig_MatchAll_Ct-1),AP485=0),L485,0)</f>
        <v>0</v>
      </c>
      <c r="BR485" s="188">
        <f>IF(AND(Input_Product=Elig!$C485,Elig_MatchAll_Ct&lt;22,$BC485=(Elig_MatchAll_Ct-1),AO485=0),M485,0)</f>
        <v>0</v>
      </c>
      <c r="BS485" s="188">
        <f>IF(AND(Input_Product=Elig!$C485,Elig_MatchAll_Ct&lt;22,$BC485=(Elig_MatchAll_Ct-1),AQ485=0),N485,0)</f>
        <v>0</v>
      </c>
      <c r="BT485" s="188">
        <f>IF(AND(Input_Product=Elig!$C485,Elig_MatchAll_Ct&lt;22,$BC485=(Elig_MatchAll_Ct-1),AR485=0),O485,0)</f>
        <v>0</v>
      </c>
      <c r="BU485" s="188">
        <f>IF(AND(Input_Product=Elig!$C485,Elig_MatchAll_Ct&lt;22,$BC485=(Elig_MatchAll_Ct-1),AS485=0),P485,0)</f>
        <v>0</v>
      </c>
      <c r="BV485" s="189">
        <f>IF(AND(Input_Product=Elig!$C485,Elig_MatchAll_Ct&lt;22,$BC485=(Elig_MatchAll_Ct-1),AT485=0),Q485,0)</f>
        <v>0</v>
      </c>
      <c r="BW485" s="271">
        <f>IF(AND(Input_Product=Elig!$C485,Elig_MatchAll_Ct&lt;22,$BC485=(Elig_MatchAll_Ct-1),AU485=0),R485,0)</f>
        <v>0</v>
      </c>
      <c r="BX485" s="272">
        <f>IF(AND(Input_Product=Elig!$C485,Elig_MatchAll_Ct&lt;22,$BC485=(Elig_MatchAll_Ct-1),AU485=0),S485,0)</f>
        <v>0</v>
      </c>
      <c r="BY485" s="271">
        <f>IF(AND(Input_Product=Elig!$C485,Elig_MatchAll_Ct&lt;22,$BC485=(Elig_MatchAll_Ct-1),AV485=0),T485,0)</f>
        <v>0</v>
      </c>
      <c r="BZ485" s="272">
        <f>IF(AND(Input_Product=Elig!$C485,Elig_MatchAll_Ct&lt;22,$BC485=(Elig_MatchAll_Ct-1),AV485=0),U485,0)</f>
        <v>0</v>
      </c>
      <c r="CA485" s="271">
        <f>IF(AND(Input_Product=Elig!$C485,Elig_MatchAll_Ct&lt;22,$BC485=(Elig_MatchAll_Ct-1),AW485=0),V485,0)</f>
        <v>0</v>
      </c>
      <c r="CB485" s="272">
        <f>IF(AND(Input_Product=Elig!$C485,Elig_MatchAll_Ct&lt;22,$BC485=(Elig_MatchAll_Ct-1),AW485=0),W485,0)</f>
        <v>0</v>
      </c>
      <c r="CC485" s="271">
        <f>IF(AND(Input_Product=Elig!$C485,Elig_MatchAll_Ct&lt;22,$BC485=(Elig_MatchAll_Ct-1),AX485=0),X485,0)</f>
        <v>0</v>
      </c>
      <c r="CD485" s="272">
        <f>IF(AND(Input_Product=Elig!$C485,Elig_MatchAll_Ct&lt;22,$BC485=(Elig_MatchAll_Ct-1),AX485=0),Y485,0)</f>
        <v>0</v>
      </c>
      <c r="CE485" s="271">
        <f>IF(AND(Input_LTV&lt;=AE485,Input_Product=Elig!$C485,Elig_MatchAll_Ct&lt;22,$BC485=(Elig_MatchAll_Ct-1),AY485=0),Z485,0)</f>
        <v>0</v>
      </c>
      <c r="CF485" s="272">
        <f>IF(AND(Input_LTV&lt;=AE485,Input_Product=Elig!$C485,Elig_MatchAll_Ct&lt;22,$BC485=(Elig_MatchAll_Ct-1),AY485=0),AA485,0)</f>
        <v>0</v>
      </c>
      <c r="CG485" s="271">
        <f>IF(AND(Input_Product=Elig!$C485,Elig_MatchAll_Ct&lt;22,$BC485=(Elig_MatchAll_Ct-1),AZ485=0),AB485,0)</f>
        <v>0</v>
      </c>
      <c r="CH485" s="272">
        <f>IF(AND(Input_Product=Elig!$C485,Elig_MatchAll_Ct&lt;22,$BC485=(Elig_MatchAll_Ct-1),AZ485=0),AC485,0)</f>
        <v>0</v>
      </c>
      <c r="CI485" s="271">
        <f>IF(AND(Input_Product=Elig!$C485,Elig_MatchAll_Ct&lt;22,$BC485=(Elig_MatchAll_Ct-1),BA485=0),AD485,0)</f>
        <v>0</v>
      </c>
      <c r="CJ485" s="272">
        <f>IF(AND(Input_Product=Elig!$C485,Elig_MatchAll_Ct&lt;22,$BC485=(Elig_MatchAll_Ct-1),BA485=0),AE485,0)</f>
        <v>0</v>
      </c>
    </row>
    <row r="486" spans="1:88" ht="10.15" customHeight="1" x14ac:dyDescent="0.25">
      <c r="A486" s="252" t="s">
        <v>76</v>
      </c>
      <c r="B486" s="252" t="s">
        <v>2212</v>
      </c>
      <c r="C486" s="246" t="str">
        <f t="shared" si="183"/>
        <v>NonQM NOO</v>
      </c>
      <c r="D486" s="247" t="s">
        <v>1995</v>
      </c>
      <c r="E486" s="248" t="s">
        <v>166</v>
      </c>
      <c r="F486" s="248" t="s">
        <v>329</v>
      </c>
      <c r="G486" s="248" t="s">
        <v>465</v>
      </c>
      <c r="H486" s="248" t="s">
        <v>135</v>
      </c>
      <c r="I486" s="247" t="s">
        <v>273</v>
      </c>
      <c r="J486" s="247" t="s">
        <v>1130</v>
      </c>
      <c r="K486" s="247" t="s">
        <v>1398</v>
      </c>
      <c r="L486" s="248" t="s">
        <v>311</v>
      </c>
      <c r="M486" s="248" t="s">
        <v>2289</v>
      </c>
      <c r="N486" s="248" t="s">
        <v>1844</v>
      </c>
      <c r="O486" s="248" t="s">
        <v>309</v>
      </c>
      <c r="P486" s="248" t="s">
        <v>2434</v>
      </c>
      <c r="Q486" s="248" t="s">
        <v>293</v>
      </c>
      <c r="R486" s="247">
        <v>2500000.0099999998</v>
      </c>
      <c r="S486" s="247">
        <v>3000000</v>
      </c>
      <c r="T486" s="247">
        <v>0</v>
      </c>
      <c r="U486" s="247">
        <v>0</v>
      </c>
      <c r="V486" s="247">
        <v>0</v>
      </c>
      <c r="W486" s="247">
        <v>50</v>
      </c>
      <c r="X486" s="247">
        <v>0</v>
      </c>
      <c r="Y486" s="247">
        <v>999</v>
      </c>
      <c r="Z486" s="249">
        <v>720</v>
      </c>
      <c r="AA486" s="249">
        <v>999</v>
      </c>
      <c r="AB486" s="1882">
        <v>0</v>
      </c>
      <c r="AC486" s="249">
        <v>999999</v>
      </c>
      <c r="AD486" s="247">
        <v>0</v>
      </c>
      <c r="AE486" s="250">
        <v>75</v>
      </c>
      <c r="AF486" s="144">
        <v>0</v>
      </c>
      <c r="AG486" s="145">
        <v>1</v>
      </c>
      <c r="AH486" s="145">
        <v>1</v>
      </c>
      <c r="AI486" s="145">
        <v>1</v>
      </c>
      <c r="AJ486" s="145">
        <v>0</v>
      </c>
      <c r="AK486" s="145">
        <v>1</v>
      </c>
      <c r="AL486" s="145">
        <v>1</v>
      </c>
      <c r="AM486" s="145">
        <v>1</v>
      </c>
      <c r="AN486" s="145">
        <v>1</v>
      </c>
      <c r="AO486" s="145">
        <v>1</v>
      </c>
      <c r="AP486" s="145">
        <v>1</v>
      </c>
      <c r="AQ486" s="145">
        <v>1</v>
      </c>
      <c r="AR486" s="145">
        <v>1</v>
      </c>
      <c r="AS486" s="145">
        <v>1</v>
      </c>
      <c r="AT486" s="145">
        <v>1</v>
      </c>
      <c r="AU486" s="145">
        <f t="shared" si="148"/>
        <v>0</v>
      </c>
      <c r="AV486" s="145">
        <f t="shared" si="149"/>
        <v>1</v>
      </c>
      <c r="AW486" s="145">
        <f t="shared" si="150"/>
        <v>1</v>
      </c>
      <c r="AX486" s="145">
        <f t="shared" si="161"/>
        <v>1</v>
      </c>
      <c r="AY486" s="145">
        <f t="shared" si="151"/>
        <v>1</v>
      </c>
      <c r="AZ486" s="145">
        <f t="shared" si="152"/>
        <v>1</v>
      </c>
      <c r="BA486" s="146">
        <f t="shared" si="153"/>
        <v>1</v>
      </c>
      <c r="BB486" s="149">
        <f t="shared" si="166"/>
        <v>19</v>
      </c>
      <c r="BC486" s="150">
        <f t="shared" si="167"/>
        <v>18</v>
      </c>
      <c r="BD486" s="150">
        <f t="shared" si="168"/>
        <v>19</v>
      </c>
      <c r="BE486" s="211" t="str">
        <f t="shared" si="169"/>
        <v/>
      </c>
      <c r="BH486" s="184">
        <f>IF(AND(Input_Product=Elig!$C486,Elig_MatchAll_Ct&lt;22,$BC486=(Elig_MatchAll_Ct-1),AF486=0),C486,0)</f>
        <v>0</v>
      </c>
      <c r="BI486" s="184">
        <f>IF(AND(Input_Product=Elig!$C486,Elig_MatchAll_Ct&lt;22,$BC486=(Elig_MatchAll_Ct-1),AG486=0),D486,0)</f>
        <v>0</v>
      </c>
      <c r="BJ486" s="184">
        <f>IF(AND(Input_Product=Elig!$C486,Elig_MatchAll_Ct&lt;22,$BC486=(Elig_MatchAll_Ct-1),AH486=0),E486,0)</f>
        <v>0</v>
      </c>
      <c r="BK486" s="184">
        <f>IF(AND(Input_Product=Elig!$C486,Elig_MatchAll_Ct&lt;22,$BC486=(Elig_MatchAll_Ct-1),AI486=0),F486,0)</f>
        <v>0</v>
      </c>
      <c r="BL486" s="184">
        <f>IF(AND(Input_Product=Elig!$C486,Elig_MatchAll_Ct&lt;22,$BC486=(Elig_MatchAll_Ct-1),AJ486=0),G486,0)</f>
        <v>0</v>
      </c>
      <c r="BM486" s="184">
        <f>IF(AND(Input_Product=Elig!$C486,Elig_MatchAll_Ct&lt;22,$BC486=(Elig_MatchAll_Ct-1),AK486=0),H486,0)</f>
        <v>0</v>
      </c>
      <c r="BN486" s="184">
        <f>IF(AND(Input_Product=Elig!$C486,Elig_MatchAll_Ct&lt;22,$BC486=(Elig_MatchAll_Ct-1),AL486=0),I486,0)</f>
        <v>0</v>
      </c>
      <c r="BO486" s="184">
        <f>IF(AND(Input_Product=Elig!$C486,Elig_MatchAll_Ct&lt;22,$BC486=(Elig_MatchAll_Ct-1),AM486=0),J486,0)</f>
        <v>0</v>
      </c>
      <c r="BP486" s="184">
        <f>IF(AND(Input_Product=Elig!$C486,Elig_MatchAll_Ct&lt;22,$BC486=(Elig_MatchAll_Ct-1),AN486=0),K486,0)</f>
        <v>0</v>
      </c>
      <c r="BQ486" s="184">
        <f>IF(AND(Input_Product=Elig!$C486,Elig_MatchAll_Ct&lt;22,$BC486=(Elig_MatchAll_Ct-1),AP486=0),L486,0)</f>
        <v>0</v>
      </c>
      <c r="BR486" s="184">
        <f>IF(AND(Input_Product=Elig!$C486,Elig_MatchAll_Ct&lt;22,$BC486=(Elig_MatchAll_Ct-1),AO486=0),M486,0)</f>
        <v>0</v>
      </c>
      <c r="BS486" s="184">
        <f>IF(AND(Input_Product=Elig!$C486,Elig_MatchAll_Ct&lt;22,$BC486=(Elig_MatchAll_Ct-1),AQ486=0),N486,0)</f>
        <v>0</v>
      </c>
      <c r="BT486" s="184">
        <f>IF(AND(Input_Product=Elig!$C486,Elig_MatchAll_Ct&lt;22,$BC486=(Elig_MatchAll_Ct-1),AR486=0),O486,0)</f>
        <v>0</v>
      </c>
      <c r="BU486" s="184">
        <f>IF(AND(Input_Product=Elig!$C486,Elig_MatchAll_Ct&lt;22,$BC486=(Elig_MatchAll_Ct-1),AS486=0),P486,0)</f>
        <v>0</v>
      </c>
      <c r="BV486" s="185">
        <f>IF(AND(Input_Product=Elig!$C486,Elig_MatchAll_Ct&lt;22,$BC486=(Elig_MatchAll_Ct-1),AT486=0),Q486,0)</f>
        <v>0</v>
      </c>
      <c r="BW486" s="186">
        <f>IF(AND(Input_Product=Elig!$C486,Elig_MatchAll_Ct&lt;22,$BC486=(Elig_MatchAll_Ct-1),AU486=0),R486,0)</f>
        <v>0</v>
      </c>
      <c r="BX486" s="187">
        <f>IF(AND(Input_Product=Elig!$C486,Elig_MatchAll_Ct&lt;22,$BC486=(Elig_MatchAll_Ct-1),AU486=0),S486,0)</f>
        <v>0</v>
      </c>
      <c r="BY486" s="186">
        <f>IF(AND(Input_Product=Elig!$C486,Elig_MatchAll_Ct&lt;22,$BC486=(Elig_MatchAll_Ct-1),AV486=0),T486,0)</f>
        <v>0</v>
      </c>
      <c r="BZ486" s="187">
        <f>IF(AND(Input_Product=Elig!$C486,Elig_MatchAll_Ct&lt;22,$BC486=(Elig_MatchAll_Ct-1),AV486=0),U486,0)</f>
        <v>0</v>
      </c>
      <c r="CA486" s="186">
        <f>IF(AND(Input_Product=Elig!$C486,Elig_MatchAll_Ct&lt;22,$BC486=(Elig_MatchAll_Ct-1),AW486=0),V486,0)</f>
        <v>0</v>
      </c>
      <c r="CB486" s="187">
        <f>IF(AND(Input_Product=Elig!$C486,Elig_MatchAll_Ct&lt;22,$BC486=(Elig_MatchAll_Ct-1),AW486=0),W486,0)</f>
        <v>0</v>
      </c>
      <c r="CC486" s="186">
        <f>IF(AND(Input_Product=Elig!$C486,Elig_MatchAll_Ct&lt;22,$BC486=(Elig_MatchAll_Ct-1),AX486=0),X486,0)</f>
        <v>0</v>
      </c>
      <c r="CD486" s="187">
        <f>IF(AND(Input_Product=Elig!$C486,Elig_MatchAll_Ct&lt;22,$BC486=(Elig_MatchAll_Ct-1),AX486=0),Y486,0)</f>
        <v>0</v>
      </c>
      <c r="CE486" s="186">
        <f>IF(AND(Input_LTV&lt;=AE486,Input_Product=Elig!$C486,Elig_MatchAll_Ct&lt;22,$BC486=(Elig_MatchAll_Ct-1),AY486=0),Z486,0)</f>
        <v>0</v>
      </c>
      <c r="CF486" s="187">
        <f>IF(AND(Input_LTV&lt;=AE486,Input_Product=Elig!$C486,Elig_MatchAll_Ct&lt;22,$BC486=(Elig_MatchAll_Ct-1),AY486=0),AA486,0)</f>
        <v>0</v>
      </c>
      <c r="CG486" s="186">
        <f>IF(AND(Input_Product=Elig!$C486,Elig_MatchAll_Ct&lt;22,$BC486=(Elig_MatchAll_Ct-1),AZ486=0),AB486,0)</f>
        <v>0</v>
      </c>
      <c r="CH486" s="187">
        <f>IF(AND(Input_Product=Elig!$C486,Elig_MatchAll_Ct&lt;22,$BC486=(Elig_MatchAll_Ct-1),AZ486=0),AC486,0)</f>
        <v>0</v>
      </c>
      <c r="CI486" s="186">
        <f>IF(AND(Input_Product=Elig!$C486,Elig_MatchAll_Ct&lt;22,$BC486=(Elig_MatchAll_Ct-1),BA486=0),AD486,0)</f>
        <v>0</v>
      </c>
      <c r="CJ486" s="187">
        <f>IF(AND(Input_Product=Elig!$C486,Elig_MatchAll_Ct&lt;22,$BC486=(Elig_MatchAll_Ct-1),BA486=0),AE486,0)</f>
        <v>0</v>
      </c>
    </row>
    <row r="487" spans="1:88" ht="10.15" customHeight="1" x14ac:dyDescent="0.25">
      <c r="A487" s="252" t="s">
        <v>76</v>
      </c>
      <c r="B487" s="252" t="s">
        <v>2213</v>
      </c>
      <c r="C487" s="251" t="str">
        <f t="shared" si="183"/>
        <v>NonQM NOO</v>
      </c>
      <c r="D487" s="252" t="s">
        <v>1995</v>
      </c>
      <c r="E487" s="252" t="s">
        <v>166</v>
      </c>
      <c r="F487" s="252" t="s">
        <v>329</v>
      </c>
      <c r="G487" s="252" t="s">
        <v>465</v>
      </c>
      <c r="H487" s="252" t="s">
        <v>135</v>
      </c>
      <c r="I487" s="253" t="s">
        <v>273</v>
      </c>
      <c r="J487" s="253" t="s">
        <v>1130</v>
      </c>
      <c r="K487" s="253" t="s">
        <v>1398</v>
      </c>
      <c r="L487" s="252" t="s">
        <v>311</v>
      </c>
      <c r="M487" s="252" t="s">
        <v>2289</v>
      </c>
      <c r="N487" s="252" t="s">
        <v>1844</v>
      </c>
      <c r="O487" s="252" t="s">
        <v>309</v>
      </c>
      <c r="P487" s="252" t="s">
        <v>2434</v>
      </c>
      <c r="Q487" s="252" t="s">
        <v>293</v>
      </c>
      <c r="R487" s="252">
        <v>2500000.0099999998</v>
      </c>
      <c r="S487" s="252">
        <v>3000000</v>
      </c>
      <c r="T487" s="252">
        <v>0</v>
      </c>
      <c r="U487" s="252">
        <v>0</v>
      </c>
      <c r="V487" s="252">
        <v>0</v>
      </c>
      <c r="W487" s="252">
        <v>50</v>
      </c>
      <c r="X487" s="252">
        <v>0</v>
      </c>
      <c r="Y487" s="252">
        <v>999</v>
      </c>
      <c r="Z487" s="254">
        <v>700</v>
      </c>
      <c r="AA487" s="254">
        <v>719</v>
      </c>
      <c r="AB487" s="1883">
        <v>0</v>
      </c>
      <c r="AC487" s="254">
        <v>999999</v>
      </c>
      <c r="AD487" s="252">
        <v>0</v>
      </c>
      <c r="AE487" s="255">
        <v>70</v>
      </c>
      <c r="AF487" s="144">
        <v>0</v>
      </c>
      <c r="AG487" s="145">
        <v>1</v>
      </c>
      <c r="AH487" s="145">
        <v>1</v>
      </c>
      <c r="AI487" s="145">
        <v>1</v>
      </c>
      <c r="AJ487" s="145">
        <v>0</v>
      </c>
      <c r="AK487" s="145">
        <v>1</v>
      </c>
      <c r="AL487" s="145">
        <v>1</v>
      </c>
      <c r="AM487" s="145">
        <v>1</v>
      </c>
      <c r="AN487" s="145">
        <v>1</v>
      </c>
      <c r="AO487" s="145">
        <v>1</v>
      </c>
      <c r="AP487" s="145">
        <v>1</v>
      </c>
      <c r="AQ487" s="145">
        <v>1</v>
      </c>
      <c r="AR487" s="145">
        <v>1</v>
      </c>
      <c r="AS487" s="145">
        <v>1</v>
      </c>
      <c r="AT487" s="145">
        <v>1</v>
      </c>
      <c r="AU487" s="145">
        <f t="shared" si="148"/>
        <v>0</v>
      </c>
      <c r="AV487" s="145">
        <f t="shared" si="149"/>
        <v>1</v>
      </c>
      <c r="AW487" s="145">
        <f t="shared" si="150"/>
        <v>1</v>
      </c>
      <c r="AX487" s="145">
        <f t="shared" si="161"/>
        <v>1</v>
      </c>
      <c r="AY487" s="145">
        <f t="shared" si="151"/>
        <v>0</v>
      </c>
      <c r="AZ487" s="145">
        <f t="shared" si="152"/>
        <v>1</v>
      </c>
      <c r="BA487" s="146">
        <f t="shared" si="153"/>
        <v>1</v>
      </c>
      <c r="BB487" s="149">
        <f t="shared" si="166"/>
        <v>18</v>
      </c>
      <c r="BC487" s="150">
        <f t="shared" si="167"/>
        <v>17</v>
      </c>
      <c r="BD487" s="150">
        <f t="shared" si="168"/>
        <v>18</v>
      </c>
      <c r="BE487" s="211" t="str">
        <f t="shared" si="169"/>
        <v/>
      </c>
      <c r="BH487" s="173">
        <f>IF(AND(Input_Product=Elig!$C487,Elig_MatchAll_Ct&lt;22,$BC487=(Elig_MatchAll_Ct-1),AF487=0),C487,0)</f>
        <v>0</v>
      </c>
      <c r="BI487" s="173">
        <f>IF(AND(Input_Product=Elig!$C487,Elig_MatchAll_Ct&lt;22,$BC487=(Elig_MatchAll_Ct-1),AG487=0),D487,0)</f>
        <v>0</v>
      </c>
      <c r="BJ487" s="173">
        <f>IF(AND(Input_Product=Elig!$C487,Elig_MatchAll_Ct&lt;22,$BC487=(Elig_MatchAll_Ct-1),AH487=0),E487,0)</f>
        <v>0</v>
      </c>
      <c r="BK487" s="173">
        <f>IF(AND(Input_Product=Elig!$C487,Elig_MatchAll_Ct&lt;22,$BC487=(Elig_MatchAll_Ct-1),AI487=0),F487,0)</f>
        <v>0</v>
      </c>
      <c r="BL487" s="173">
        <f>IF(AND(Input_Product=Elig!$C487,Elig_MatchAll_Ct&lt;22,$BC487=(Elig_MatchAll_Ct-1),AJ487=0),G487,0)</f>
        <v>0</v>
      </c>
      <c r="BM487" s="173">
        <f>IF(AND(Input_Product=Elig!$C487,Elig_MatchAll_Ct&lt;22,$BC487=(Elig_MatchAll_Ct-1),AK487=0),H487,0)</f>
        <v>0</v>
      </c>
      <c r="BN487" s="173">
        <f>IF(AND(Input_Product=Elig!$C487,Elig_MatchAll_Ct&lt;22,$BC487=(Elig_MatchAll_Ct-1),AL487=0),I487,0)</f>
        <v>0</v>
      </c>
      <c r="BO487" s="173">
        <f>IF(AND(Input_Product=Elig!$C487,Elig_MatchAll_Ct&lt;22,$BC487=(Elig_MatchAll_Ct-1),AM487=0),J487,0)</f>
        <v>0</v>
      </c>
      <c r="BP487" s="173">
        <f>IF(AND(Input_Product=Elig!$C487,Elig_MatchAll_Ct&lt;22,$BC487=(Elig_MatchAll_Ct-1),AN487=0),K487,0)</f>
        <v>0</v>
      </c>
      <c r="BQ487" s="173">
        <f>IF(AND(Input_Product=Elig!$C487,Elig_MatchAll_Ct&lt;22,$BC487=(Elig_MatchAll_Ct-1),AP487=0),L487,0)</f>
        <v>0</v>
      </c>
      <c r="BR487" s="173">
        <f>IF(AND(Input_Product=Elig!$C487,Elig_MatchAll_Ct&lt;22,$BC487=(Elig_MatchAll_Ct-1),AO487=0),M487,0)</f>
        <v>0</v>
      </c>
      <c r="BS487" s="173">
        <f>IF(AND(Input_Product=Elig!$C487,Elig_MatchAll_Ct&lt;22,$BC487=(Elig_MatchAll_Ct-1),AQ487=0),N487,0)</f>
        <v>0</v>
      </c>
      <c r="BT487" s="173">
        <f>IF(AND(Input_Product=Elig!$C487,Elig_MatchAll_Ct&lt;22,$BC487=(Elig_MatchAll_Ct-1),AR487=0),O487,0)</f>
        <v>0</v>
      </c>
      <c r="BU487" s="173">
        <f>IF(AND(Input_Product=Elig!$C487,Elig_MatchAll_Ct&lt;22,$BC487=(Elig_MatchAll_Ct-1),AS487=0),P487,0)</f>
        <v>0</v>
      </c>
      <c r="BV487" s="174">
        <f>IF(AND(Input_Product=Elig!$C487,Elig_MatchAll_Ct&lt;22,$BC487=(Elig_MatchAll_Ct-1),AT487=0),Q487,0)</f>
        <v>0</v>
      </c>
      <c r="BW487" s="175">
        <f>IF(AND(Input_Product=Elig!$C487,Elig_MatchAll_Ct&lt;22,$BC487=(Elig_MatchAll_Ct-1),AU487=0),R487,0)</f>
        <v>0</v>
      </c>
      <c r="BX487" s="176">
        <f>IF(AND(Input_Product=Elig!$C487,Elig_MatchAll_Ct&lt;22,$BC487=(Elig_MatchAll_Ct-1),AU487=0),S487,0)</f>
        <v>0</v>
      </c>
      <c r="BY487" s="175">
        <f>IF(AND(Input_Product=Elig!$C487,Elig_MatchAll_Ct&lt;22,$BC487=(Elig_MatchAll_Ct-1),AV487=0),T487,0)</f>
        <v>0</v>
      </c>
      <c r="BZ487" s="176">
        <f>IF(AND(Input_Product=Elig!$C487,Elig_MatchAll_Ct&lt;22,$BC487=(Elig_MatchAll_Ct-1),AV487=0),U487,0)</f>
        <v>0</v>
      </c>
      <c r="CA487" s="175">
        <f>IF(AND(Input_Product=Elig!$C487,Elig_MatchAll_Ct&lt;22,$BC487=(Elig_MatchAll_Ct-1),AW487=0),V487,0)</f>
        <v>0</v>
      </c>
      <c r="CB487" s="176">
        <f>IF(AND(Input_Product=Elig!$C487,Elig_MatchAll_Ct&lt;22,$BC487=(Elig_MatchAll_Ct-1),AW487=0),W487,0)</f>
        <v>0</v>
      </c>
      <c r="CC487" s="175">
        <f>IF(AND(Input_Product=Elig!$C487,Elig_MatchAll_Ct&lt;22,$BC487=(Elig_MatchAll_Ct-1),AX487=0),X487,0)</f>
        <v>0</v>
      </c>
      <c r="CD487" s="176">
        <f>IF(AND(Input_Product=Elig!$C487,Elig_MatchAll_Ct&lt;22,$BC487=(Elig_MatchAll_Ct-1),AX487=0),Y487,0)</f>
        <v>0</v>
      </c>
      <c r="CE487" s="175">
        <f>IF(AND(Input_LTV&lt;=AE487,Input_Product=Elig!$C487,Elig_MatchAll_Ct&lt;22,$BC487=(Elig_MatchAll_Ct-1),AY487=0),Z487,0)</f>
        <v>0</v>
      </c>
      <c r="CF487" s="176">
        <f>IF(AND(Input_LTV&lt;=AE487,Input_Product=Elig!$C487,Elig_MatchAll_Ct&lt;22,$BC487=(Elig_MatchAll_Ct-1),AY487=0),AA487,0)</f>
        <v>0</v>
      </c>
      <c r="CG487" s="175">
        <f>IF(AND(Input_Product=Elig!$C487,Elig_MatchAll_Ct&lt;22,$BC487=(Elig_MatchAll_Ct-1),AZ487=0),AB487,0)</f>
        <v>0</v>
      </c>
      <c r="CH487" s="176">
        <f>IF(AND(Input_Product=Elig!$C487,Elig_MatchAll_Ct&lt;22,$BC487=(Elig_MatchAll_Ct-1),AZ487=0),AC487,0)</f>
        <v>0</v>
      </c>
      <c r="CI487" s="175">
        <f>IF(AND(Input_Product=Elig!$C487,Elig_MatchAll_Ct&lt;22,$BC487=(Elig_MatchAll_Ct-1),BA487=0),AD487,0)</f>
        <v>0</v>
      </c>
      <c r="CJ487" s="176">
        <f>IF(AND(Input_Product=Elig!$C487,Elig_MatchAll_Ct&lt;22,$BC487=(Elig_MatchAll_Ct-1),BA487=0),AE487,0)</f>
        <v>0</v>
      </c>
    </row>
    <row r="488" spans="1:88" ht="10.15" customHeight="1" x14ac:dyDescent="0.25">
      <c r="A488" s="252" t="s">
        <v>76</v>
      </c>
      <c r="B488" s="252" t="s">
        <v>2214</v>
      </c>
      <c r="C488" s="256" t="str">
        <f t="shared" si="183"/>
        <v>NonQM NOO</v>
      </c>
      <c r="D488" s="257" t="s">
        <v>1995</v>
      </c>
      <c r="E488" s="257" t="s">
        <v>166</v>
      </c>
      <c r="F488" s="257" t="s">
        <v>329</v>
      </c>
      <c r="G488" s="257" t="s">
        <v>465</v>
      </c>
      <c r="H488" s="257" t="s">
        <v>135</v>
      </c>
      <c r="I488" s="260" t="s">
        <v>273</v>
      </c>
      <c r="J488" s="260" t="s">
        <v>1130</v>
      </c>
      <c r="K488" s="260" t="s">
        <v>1398</v>
      </c>
      <c r="L488" s="257" t="s">
        <v>311</v>
      </c>
      <c r="M488" s="257" t="s">
        <v>2289</v>
      </c>
      <c r="N488" s="257" t="s">
        <v>1844</v>
      </c>
      <c r="O488" s="257" t="s">
        <v>309</v>
      </c>
      <c r="P488" s="257" t="s">
        <v>2434</v>
      </c>
      <c r="Q488" s="257" t="s">
        <v>293</v>
      </c>
      <c r="R488" s="257">
        <v>2500000.0099999998</v>
      </c>
      <c r="S488" s="257">
        <v>3000000</v>
      </c>
      <c r="T488" s="257">
        <v>0</v>
      </c>
      <c r="U488" s="257">
        <v>0</v>
      </c>
      <c r="V488" s="257">
        <v>0</v>
      </c>
      <c r="W488" s="257">
        <v>50</v>
      </c>
      <c r="X488" s="257">
        <v>0</v>
      </c>
      <c r="Y488" s="257">
        <v>999</v>
      </c>
      <c r="Z488" s="258">
        <v>680</v>
      </c>
      <c r="AA488" s="258">
        <v>699</v>
      </c>
      <c r="AB488" s="1884">
        <v>0</v>
      </c>
      <c r="AC488" s="258">
        <v>999999</v>
      </c>
      <c r="AD488" s="257">
        <v>0</v>
      </c>
      <c r="AE488" s="259">
        <v>70</v>
      </c>
      <c r="AF488" s="144">
        <v>0</v>
      </c>
      <c r="AG488" s="145">
        <v>1</v>
      </c>
      <c r="AH488" s="145">
        <v>1</v>
      </c>
      <c r="AI488" s="145">
        <v>1</v>
      </c>
      <c r="AJ488" s="145">
        <v>0</v>
      </c>
      <c r="AK488" s="145">
        <v>1</v>
      </c>
      <c r="AL488" s="145">
        <v>1</v>
      </c>
      <c r="AM488" s="145">
        <v>1</v>
      </c>
      <c r="AN488" s="145">
        <v>1</v>
      </c>
      <c r="AO488" s="145">
        <v>1</v>
      </c>
      <c r="AP488" s="145">
        <v>1</v>
      </c>
      <c r="AQ488" s="145">
        <v>1</v>
      </c>
      <c r="AR488" s="145">
        <v>1</v>
      </c>
      <c r="AS488" s="145">
        <v>1</v>
      </c>
      <c r="AT488" s="145">
        <v>1</v>
      </c>
      <c r="AU488" s="145">
        <f t="shared" si="148"/>
        <v>0</v>
      </c>
      <c r="AV488" s="145">
        <f t="shared" si="149"/>
        <v>1</v>
      </c>
      <c r="AW488" s="145">
        <f t="shared" si="150"/>
        <v>1</v>
      </c>
      <c r="AX488" s="145">
        <f t="shared" si="161"/>
        <v>1</v>
      </c>
      <c r="AY488" s="145">
        <f t="shared" si="151"/>
        <v>0</v>
      </c>
      <c r="AZ488" s="145">
        <f t="shared" si="152"/>
        <v>1</v>
      </c>
      <c r="BA488" s="146">
        <f t="shared" si="153"/>
        <v>1</v>
      </c>
      <c r="BB488" s="149">
        <f t="shared" si="166"/>
        <v>18</v>
      </c>
      <c r="BC488" s="150">
        <f t="shared" si="167"/>
        <v>17</v>
      </c>
      <c r="BD488" s="150">
        <f t="shared" si="168"/>
        <v>18</v>
      </c>
      <c r="BE488" s="211" t="str">
        <f t="shared" si="169"/>
        <v/>
      </c>
      <c r="BH488" s="188">
        <f>IF(AND(Input_Product=Elig!$C488,Elig_MatchAll_Ct&lt;22,$BC488=(Elig_MatchAll_Ct-1),AF488=0),C488,0)</f>
        <v>0</v>
      </c>
      <c r="BI488" s="188">
        <f>IF(AND(Input_Product=Elig!$C488,Elig_MatchAll_Ct&lt;22,$BC488=(Elig_MatchAll_Ct-1),AG488=0),D488,0)</f>
        <v>0</v>
      </c>
      <c r="BJ488" s="188">
        <f>IF(AND(Input_Product=Elig!$C488,Elig_MatchAll_Ct&lt;22,$BC488=(Elig_MatchAll_Ct-1),AH488=0),E488,0)</f>
        <v>0</v>
      </c>
      <c r="BK488" s="188">
        <f>IF(AND(Input_Product=Elig!$C488,Elig_MatchAll_Ct&lt;22,$BC488=(Elig_MatchAll_Ct-1),AI488=0),F488,0)</f>
        <v>0</v>
      </c>
      <c r="BL488" s="188">
        <f>IF(AND(Input_Product=Elig!$C488,Elig_MatchAll_Ct&lt;22,$BC488=(Elig_MatchAll_Ct-1),AJ488=0),G488,0)</f>
        <v>0</v>
      </c>
      <c r="BM488" s="188">
        <f>IF(AND(Input_Product=Elig!$C488,Elig_MatchAll_Ct&lt;22,$BC488=(Elig_MatchAll_Ct-1),AK488=0),H488,0)</f>
        <v>0</v>
      </c>
      <c r="BN488" s="188">
        <f>IF(AND(Input_Product=Elig!$C488,Elig_MatchAll_Ct&lt;22,$BC488=(Elig_MatchAll_Ct-1),AL488=0),I488,0)</f>
        <v>0</v>
      </c>
      <c r="BO488" s="188">
        <f>IF(AND(Input_Product=Elig!$C488,Elig_MatchAll_Ct&lt;22,$BC488=(Elig_MatchAll_Ct-1),AM488=0),J488,0)</f>
        <v>0</v>
      </c>
      <c r="BP488" s="188">
        <f>IF(AND(Input_Product=Elig!$C488,Elig_MatchAll_Ct&lt;22,$BC488=(Elig_MatchAll_Ct-1),AN488=0),K488,0)</f>
        <v>0</v>
      </c>
      <c r="BQ488" s="188">
        <f>IF(AND(Input_Product=Elig!$C488,Elig_MatchAll_Ct&lt;22,$BC488=(Elig_MatchAll_Ct-1),AP488=0),L488,0)</f>
        <v>0</v>
      </c>
      <c r="BR488" s="188">
        <f>IF(AND(Input_Product=Elig!$C488,Elig_MatchAll_Ct&lt;22,$BC488=(Elig_MatchAll_Ct-1),AO488=0),M488,0)</f>
        <v>0</v>
      </c>
      <c r="BS488" s="188">
        <f>IF(AND(Input_Product=Elig!$C488,Elig_MatchAll_Ct&lt;22,$BC488=(Elig_MatchAll_Ct-1),AQ488=0),N488,0)</f>
        <v>0</v>
      </c>
      <c r="BT488" s="188">
        <f>IF(AND(Input_Product=Elig!$C488,Elig_MatchAll_Ct&lt;22,$BC488=(Elig_MatchAll_Ct-1),AR488=0),O488,0)</f>
        <v>0</v>
      </c>
      <c r="BU488" s="188">
        <f>IF(AND(Input_Product=Elig!$C488,Elig_MatchAll_Ct&lt;22,$BC488=(Elig_MatchAll_Ct-1),AS488=0),P488,0)</f>
        <v>0</v>
      </c>
      <c r="BV488" s="189">
        <f>IF(AND(Input_Product=Elig!$C488,Elig_MatchAll_Ct&lt;22,$BC488=(Elig_MatchAll_Ct-1),AT488=0),Q488,0)</f>
        <v>0</v>
      </c>
      <c r="BW488" s="271">
        <f>IF(AND(Input_Product=Elig!$C488,Elig_MatchAll_Ct&lt;22,$BC488=(Elig_MatchAll_Ct-1),AU488=0),R488,0)</f>
        <v>0</v>
      </c>
      <c r="BX488" s="272">
        <f>IF(AND(Input_Product=Elig!$C488,Elig_MatchAll_Ct&lt;22,$BC488=(Elig_MatchAll_Ct-1),AU488=0),S488,0)</f>
        <v>0</v>
      </c>
      <c r="BY488" s="271">
        <f>IF(AND(Input_Product=Elig!$C488,Elig_MatchAll_Ct&lt;22,$BC488=(Elig_MatchAll_Ct-1),AV488=0),T488,0)</f>
        <v>0</v>
      </c>
      <c r="BZ488" s="272">
        <f>IF(AND(Input_Product=Elig!$C488,Elig_MatchAll_Ct&lt;22,$BC488=(Elig_MatchAll_Ct-1),AV488=0),U488,0)</f>
        <v>0</v>
      </c>
      <c r="CA488" s="271">
        <f>IF(AND(Input_Product=Elig!$C488,Elig_MatchAll_Ct&lt;22,$BC488=(Elig_MatchAll_Ct-1),AW488=0),V488,0)</f>
        <v>0</v>
      </c>
      <c r="CB488" s="272">
        <f>IF(AND(Input_Product=Elig!$C488,Elig_MatchAll_Ct&lt;22,$BC488=(Elig_MatchAll_Ct-1),AW488=0),W488,0)</f>
        <v>0</v>
      </c>
      <c r="CC488" s="271">
        <f>IF(AND(Input_Product=Elig!$C488,Elig_MatchAll_Ct&lt;22,$BC488=(Elig_MatchAll_Ct-1),AX488=0),X488,0)</f>
        <v>0</v>
      </c>
      <c r="CD488" s="272">
        <f>IF(AND(Input_Product=Elig!$C488,Elig_MatchAll_Ct&lt;22,$BC488=(Elig_MatchAll_Ct-1),AX488=0),Y488,0)</f>
        <v>0</v>
      </c>
      <c r="CE488" s="271">
        <f>IF(AND(Input_LTV&lt;=AE488,Input_Product=Elig!$C488,Elig_MatchAll_Ct&lt;22,$BC488=(Elig_MatchAll_Ct-1),AY488=0),Z488,0)</f>
        <v>0</v>
      </c>
      <c r="CF488" s="272">
        <f>IF(AND(Input_LTV&lt;=AE488,Input_Product=Elig!$C488,Elig_MatchAll_Ct&lt;22,$BC488=(Elig_MatchAll_Ct-1),AY488=0),AA488,0)</f>
        <v>0</v>
      </c>
      <c r="CG488" s="271">
        <f>IF(AND(Input_Product=Elig!$C488,Elig_MatchAll_Ct&lt;22,$BC488=(Elig_MatchAll_Ct-1),AZ488=0),AB488,0)</f>
        <v>0</v>
      </c>
      <c r="CH488" s="272">
        <f>IF(AND(Input_Product=Elig!$C488,Elig_MatchAll_Ct&lt;22,$BC488=(Elig_MatchAll_Ct-1),AZ488=0),AC488,0)</f>
        <v>0</v>
      </c>
      <c r="CI488" s="271">
        <f>IF(AND(Input_Product=Elig!$C488,Elig_MatchAll_Ct&lt;22,$BC488=(Elig_MatchAll_Ct-1),BA488=0),AD488,0)</f>
        <v>0</v>
      </c>
      <c r="CJ488" s="272">
        <f>IF(AND(Input_Product=Elig!$C488,Elig_MatchAll_Ct&lt;22,$BC488=(Elig_MatchAll_Ct-1),BA488=0),AE488,0)</f>
        <v>0</v>
      </c>
    </row>
    <row r="489" spans="1:88" ht="10.15" customHeight="1" x14ac:dyDescent="0.25">
      <c r="A489" s="252" t="s">
        <v>76</v>
      </c>
      <c r="B489" s="252" t="s">
        <v>2215</v>
      </c>
      <c r="C489" s="246" t="str">
        <f t="shared" si="183"/>
        <v>NonQM NOO</v>
      </c>
      <c r="D489" s="247" t="s">
        <v>1995</v>
      </c>
      <c r="E489" s="248" t="s">
        <v>166</v>
      </c>
      <c r="F489" s="248" t="s">
        <v>329</v>
      </c>
      <c r="G489" s="248" t="s">
        <v>465</v>
      </c>
      <c r="H489" s="248" t="s">
        <v>135</v>
      </c>
      <c r="I489" s="247" t="s">
        <v>16</v>
      </c>
      <c r="J489" s="247" t="s">
        <v>1130</v>
      </c>
      <c r="K489" s="247" t="s">
        <v>1398</v>
      </c>
      <c r="L489" s="248" t="s">
        <v>311</v>
      </c>
      <c r="M489" s="248" t="s">
        <v>2289</v>
      </c>
      <c r="N489" s="248" t="s">
        <v>1844</v>
      </c>
      <c r="O489" s="248" t="s">
        <v>309</v>
      </c>
      <c r="P489" s="248" t="s">
        <v>2434</v>
      </c>
      <c r="Q489" s="248" t="s">
        <v>293</v>
      </c>
      <c r="R489" s="247">
        <v>2500000.0099999998</v>
      </c>
      <c r="S489" s="247">
        <v>3000000</v>
      </c>
      <c r="T489" s="247">
        <v>0</v>
      </c>
      <c r="U489" s="247">
        <f t="shared" ref="U489:U491" si="187">S489</f>
        <v>3000000</v>
      </c>
      <c r="V489" s="247">
        <v>0</v>
      </c>
      <c r="W489" s="247">
        <v>50</v>
      </c>
      <c r="X489" s="247">
        <v>0</v>
      </c>
      <c r="Y489" s="247">
        <v>999</v>
      </c>
      <c r="Z489" s="249">
        <v>720</v>
      </c>
      <c r="AA489" s="249">
        <v>999</v>
      </c>
      <c r="AB489" s="1882">
        <v>0</v>
      </c>
      <c r="AC489" s="249">
        <v>999999</v>
      </c>
      <c r="AD489" s="247">
        <v>0</v>
      </c>
      <c r="AE489" s="250">
        <v>65</v>
      </c>
      <c r="AF489" s="144">
        <v>0</v>
      </c>
      <c r="AG489" s="145">
        <v>1</v>
      </c>
      <c r="AH489" s="145">
        <v>1</v>
      </c>
      <c r="AI489" s="145">
        <v>1</v>
      </c>
      <c r="AJ489" s="145">
        <v>0</v>
      </c>
      <c r="AK489" s="145">
        <v>1</v>
      </c>
      <c r="AL489" s="145">
        <v>0</v>
      </c>
      <c r="AM489" s="145">
        <v>1</v>
      </c>
      <c r="AN489" s="145">
        <v>1</v>
      </c>
      <c r="AO489" s="145">
        <v>1</v>
      </c>
      <c r="AP489" s="145">
        <v>1</v>
      </c>
      <c r="AQ489" s="145">
        <v>1</v>
      </c>
      <c r="AR489" s="145">
        <v>1</v>
      </c>
      <c r="AS489" s="145">
        <v>1</v>
      </c>
      <c r="AT489" s="145">
        <v>1</v>
      </c>
      <c r="AU489" s="145">
        <f t="shared" si="148"/>
        <v>0</v>
      </c>
      <c r="AV489" s="145">
        <f t="shared" si="149"/>
        <v>1</v>
      </c>
      <c r="AW489" s="145">
        <f t="shared" si="150"/>
        <v>1</v>
      </c>
      <c r="AX489" s="145">
        <f t="shared" si="161"/>
        <v>1</v>
      </c>
      <c r="AY489" s="145">
        <f t="shared" si="151"/>
        <v>1</v>
      </c>
      <c r="AZ489" s="145">
        <f t="shared" si="152"/>
        <v>1</v>
      </c>
      <c r="BA489" s="146">
        <f t="shared" si="153"/>
        <v>0</v>
      </c>
      <c r="BB489" s="149">
        <f t="shared" si="166"/>
        <v>17</v>
      </c>
      <c r="BC489" s="150">
        <f t="shared" si="167"/>
        <v>17</v>
      </c>
      <c r="BD489" s="150">
        <f t="shared" si="168"/>
        <v>17</v>
      </c>
      <c r="BE489" s="211" t="str">
        <f t="shared" si="169"/>
        <v/>
      </c>
      <c r="BH489" s="184">
        <f>IF(AND(Input_Product=Elig!$C489,Elig_MatchAll_Ct&lt;22,$BC489=(Elig_MatchAll_Ct-1),AF489=0),C489,0)</f>
        <v>0</v>
      </c>
      <c r="BI489" s="184">
        <f>IF(AND(Input_Product=Elig!$C489,Elig_MatchAll_Ct&lt;22,$BC489=(Elig_MatchAll_Ct-1),AG489=0),D489,0)</f>
        <v>0</v>
      </c>
      <c r="BJ489" s="184">
        <f>IF(AND(Input_Product=Elig!$C489,Elig_MatchAll_Ct&lt;22,$BC489=(Elig_MatchAll_Ct-1),AH489=0),E489,0)</f>
        <v>0</v>
      </c>
      <c r="BK489" s="184">
        <f>IF(AND(Input_Product=Elig!$C489,Elig_MatchAll_Ct&lt;22,$BC489=(Elig_MatchAll_Ct-1),AI489=0),F489,0)</f>
        <v>0</v>
      </c>
      <c r="BL489" s="184">
        <f>IF(AND(Input_Product=Elig!$C489,Elig_MatchAll_Ct&lt;22,$BC489=(Elig_MatchAll_Ct-1),AJ489=0),G489,0)</f>
        <v>0</v>
      </c>
      <c r="BM489" s="184">
        <f>IF(AND(Input_Product=Elig!$C489,Elig_MatchAll_Ct&lt;22,$BC489=(Elig_MatchAll_Ct-1),AK489=0),H489,0)</f>
        <v>0</v>
      </c>
      <c r="BN489" s="184">
        <f>IF(AND(Input_Product=Elig!$C489,Elig_MatchAll_Ct&lt;22,$BC489=(Elig_MatchAll_Ct-1),AL489=0),I489,0)</f>
        <v>0</v>
      </c>
      <c r="BO489" s="184">
        <f>IF(AND(Input_Product=Elig!$C489,Elig_MatchAll_Ct&lt;22,$BC489=(Elig_MatchAll_Ct-1),AM489=0),J489,0)</f>
        <v>0</v>
      </c>
      <c r="BP489" s="184">
        <f>IF(AND(Input_Product=Elig!$C489,Elig_MatchAll_Ct&lt;22,$BC489=(Elig_MatchAll_Ct-1),AN489=0),K489,0)</f>
        <v>0</v>
      </c>
      <c r="BQ489" s="184">
        <f>IF(AND(Input_Product=Elig!$C489,Elig_MatchAll_Ct&lt;22,$BC489=(Elig_MatchAll_Ct-1),AP489=0),L489,0)</f>
        <v>0</v>
      </c>
      <c r="BR489" s="184">
        <f>IF(AND(Input_Product=Elig!$C489,Elig_MatchAll_Ct&lt;22,$BC489=(Elig_MatchAll_Ct-1),AO489=0),M489,0)</f>
        <v>0</v>
      </c>
      <c r="BS489" s="184">
        <f>IF(AND(Input_Product=Elig!$C489,Elig_MatchAll_Ct&lt;22,$BC489=(Elig_MatchAll_Ct-1),AQ489=0),N489,0)</f>
        <v>0</v>
      </c>
      <c r="BT489" s="184">
        <f>IF(AND(Input_Product=Elig!$C489,Elig_MatchAll_Ct&lt;22,$BC489=(Elig_MatchAll_Ct-1),AR489=0),O489,0)</f>
        <v>0</v>
      </c>
      <c r="BU489" s="184">
        <f>IF(AND(Input_Product=Elig!$C489,Elig_MatchAll_Ct&lt;22,$BC489=(Elig_MatchAll_Ct-1),AS489=0),P489,0)</f>
        <v>0</v>
      </c>
      <c r="BV489" s="185">
        <f>IF(AND(Input_Product=Elig!$C489,Elig_MatchAll_Ct&lt;22,$BC489=(Elig_MatchAll_Ct-1),AT489=0),Q489,0)</f>
        <v>0</v>
      </c>
      <c r="BW489" s="186">
        <f>IF(AND(Input_Product=Elig!$C489,Elig_MatchAll_Ct&lt;22,$BC489=(Elig_MatchAll_Ct-1),AU489=0),R489,0)</f>
        <v>0</v>
      </c>
      <c r="BX489" s="187">
        <f>IF(AND(Input_Product=Elig!$C489,Elig_MatchAll_Ct&lt;22,$BC489=(Elig_MatchAll_Ct-1),AU489=0),S489,0)</f>
        <v>0</v>
      </c>
      <c r="BY489" s="186">
        <f>IF(AND(Input_Product=Elig!$C489,Elig_MatchAll_Ct&lt;22,$BC489=(Elig_MatchAll_Ct-1),AV489=0),T489,0)</f>
        <v>0</v>
      </c>
      <c r="BZ489" s="187">
        <f>IF(AND(Input_Product=Elig!$C489,Elig_MatchAll_Ct&lt;22,$BC489=(Elig_MatchAll_Ct-1),AV489=0),U489,0)</f>
        <v>0</v>
      </c>
      <c r="CA489" s="186">
        <f>IF(AND(Input_Product=Elig!$C489,Elig_MatchAll_Ct&lt;22,$BC489=(Elig_MatchAll_Ct-1),AW489=0),V489,0)</f>
        <v>0</v>
      </c>
      <c r="CB489" s="187">
        <f>IF(AND(Input_Product=Elig!$C489,Elig_MatchAll_Ct&lt;22,$BC489=(Elig_MatchAll_Ct-1),AW489=0),W489,0)</f>
        <v>0</v>
      </c>
      <c r="CC489" s="186">
        <f>IF(AND(Input_Product=Elig!$C489,Elig_MatchAll_Ct&lt;22,$BC489=(Elig_MatchAll_Ct-1),AX489=0),X489,0)</f>
        <v>0</v>
      </c>
      <c r="CD489" s="187">
        <f>IF(AND(Input_Product=Elig!$C489,Elig_MatchAll_Ct&lt;22,$BC489=(Elig_MatchAll_Ct-1),AX489=0),Y489,0)</f>
        <v>0</v>
      </c>
      <c r="CE489" s="186">
        <f>IF(AND(Input_LTV&lt;=AE489,Input_Product=Elig!$C489,Elig_MatchAll_Ct&lt;22,$BC489=(Elig_MatchAll_Ct-1),AY489=0),Z489,0)</f>
        <v>0</v>
      </c>
      <c r="CF489" s="187">
        <f>IF(AND(Input_LTV&lt;=AE489,Input_Product=Elig!$C489,Elig_MatchAll_Ct&lt;22,$BC489=(Elig_MatchAll_Ct-1),AY489=0),AA489,0)</f>
        <v>0</v>
      </c>
      <c r="CG489" s="186">
        <f>IF(AND(Input_Product=Elig!$C489,Elig_MatchAll_Ct&lt;22,$BC489=(Elig_MatchAll_Ct-1),AZ489=0),AB489,0)</f>
        <v>0</v>
      </c>
      <c r="CH489" s="187">
        <f>IF(AND(Input_Product=Elig!$C489,Elig_MatchAll_Ct&lt;22,$BC489=(Elig_MatchAll_Ct-1),AZ489=0),AC489,0)</f>
        <v>0</v>
      </c>
      <c r="CI489" s="186">
        <f>IF(AND(Input_Product=Elig!$C489,Elig_MatchAll_Ct&lt;22,$BC489=(Elig_MatchAll_Ct-1),BA489=0),AD489,0)</f>
        <v>0</v>
      </c>
      <c r="CJ489" s="187">
        <f>IF(AND(Input_Product=Elig!$C489,Elig_MatchAll_Ct&lt;22,$BC489=(Elig_MatchAll_Ct-1),BA489=0),AE489,0)</f>
        <v>0</v>
      </c>
    </row>
    <row r="490" spans="1:88" ht="10.15" customHeight="1" x14ac:dyDescent="0.25">
      <c r="A490" s="252" t="s">
        <v>76</v>
      </c>
      <c r="B490" s="252" t="s">
        <v>2216</v>
      </c>
      <c r="C490" s="251" t="str">
        <f t="shared" si="183"/>
        <v>NonQM NOO</v>
      </c>
      <c r="D490" s="252" t="s">
        <v>1995</v>
      </c>
      <c r="E490" s="252" t="s">
        <v>166</v>
      </c>
      <c r="F490" s="252" t="s">
        <v>329</v>
      </c>
      <c r="G490" s="252" t="s">
        <v>465</v>
      </c>
      <c r="H490" s="252" t="s">
        <v>135</v>
      </c>
      <c r="I490" s="253" t="s">
        <v>16</v>
      </c>
      <c r="J490" s="253" t="s">
        <v>1130</v>
      </c>
      <c r="K490" s="253" t="s">
        <v>1398</v>
      </c>
      <c r="L490" s="252" t="s">
        <v>311</v>
      </c>
      <c r="M490" s="252" t="s">
        <v>2289</v>
      </c>
      <c r="N490" s="252" t="s">
        <v>1844</v>
      </c>
      <c r="O490" s="252" t="s">
        <v>309</v>
      </c>
      <c r="P490" s="252" t="s">
        <v>2434</v>
      </c>
      <c r="Q490" s="252" t="s">
        <v>293</v>
      </c>
      <c r="R490" s="252">
        <v>2500000.0099999998</v>
      </c>
      <c r="S490" s="252">
        <v>3000000</v>
      </c>
      <c r="T490" s="252">
        <v>0</v>
      </c>
      <c r="U490" s="252">
        <f t="shared" si="187"/>
        <v>3000000</v>
      </c>
      <c r="V490" s="252">
        <v>0</v>
      </c>
      <c r="W490" s="252">
        <v>50</v>
      </c>
      <c r="X490" s="252">
        <v>0</v>
      </c>
      <c r="Y490" s="252">
        <v>999</v>
      </c>
      <c r="Z490" s="254">
        <v>700</v>
      </c>
      <c r="AA490" s="254">
        <v>719</v>
      </c>
      <c r="AB490" s="1883">
        <v>0</v>
      </c>
      <c r="AC490" s="254">
        <v>999999</v>
      </c>
      <c r="AD490" s="252">
        <v>0</v>
      </c>
      <c r="AE490" s="255">
        <v>60</v>
      </c>
      <c r="AF490" s="144">
        <v>0</v>
      </c>
      <c r="AG490" s="145">
        <v>1</v>
      </c>
      <c r="AH490" s="145">
        <v>1</v>
      </c>
      <c r="AI490" s="145">
        <v>1</v>
      </c>
      <c r="AJ490" s="145">
        <v>0</v>
      </c>
      <c r="AK490" s="145">
        <v>1</v>
      </c>
      <c r="AL490" s="145">
        <v>0</v>
      </c>
      <c r="AM490" s="145">
        <v>1</v>
      </c>
      <c r="AN490" s="145">
        <v>1</v>
      </c>
      <c r="AO490" s="145">
        <v>1</v>
      </c>
      <c r="AP490" s="145">
        <v>1</v>
      </c>
      <c r="AQ490" s="145">
        <v>1</v>
      </c>
      <c r="AR490" s="145">
        <v>1</v>
      </c>
      <c r="AS490" s="145">
        <v>1</v>
      </c>
      <c r="AT490" s="145">
        <v>1</v>
      </c>
      <c r="AU490" s="145">
        <f t="shared" si="148"/>
        <v>0</v>
      </c>
      <c r="AV490" s="145">
        <f t="shared" si="149"/>
        <v>1</v>
      </c>
      <c r="AW490" s="145">
        <f t="shared" si="150"/>
        <v>1</v>
      </c>
      <c r="AX490" s="145">
        <f t="shared" si="161"/>
        <v>1</v>
      </c>
      <c r="AY490" s="145">
        <f t="shared" si="151"/>
        <v>0</v>
      </c>
      <c r="AZ490" s="145">
        <f t="shared" si="152"/>
        <v>1</v>
      </c>
      <c r="BA490" s="146">
        <f t="shared" si="153"/>
        <v>0</v>
      </c>
      <c r="BB490" s="149">
        <f t="shared" si="166"/>
        <v>16</v>
      </c>
      <c r="BC490" s="150">
        <f t="shared" si="167"/>
        <v>16</v>
      </c>
      <c r="BD490" s="150">
        <f t="shared" si="168"/>
        <v>16</v>
      </c>
      <c r="BE490" s="211" t="str">
        <f t="shared" si="169"/>
        <v/>
      </c>
      <c r="BH490" s="173">
        <f>IF(AND(Input_Product=Elig!$C490,Elig_MatchAll_Ct&lt;22,$BC490=(Elig_MatchAll_Ct-1),AF490=0),C490,0)</f>
        <v>0</v>
      </c>
      <c r="BI490" s="173">
        <f>IF(AND(Input_Product=Elig!$C490,Elig_MatchAll_Ct&lt;22,$BC490=(Elig_MatchAll_Ct-1),AG490=0),D490,0)</f>
        <v>0</v>
      </c>
      <c r="BJ490" s="173">
        <f>IF(AND(Input_Product=Elig!$C490,Elig_MatchAll_Ct&lt;22,$BC490=(Elig_MatchAll_Ct-1),AH490=0),E490,0)</f>
        <v>0</v>
      </c>
      <c r="BK490" s="173">
        <f>IF(AND(Input_Product=Elig!$C490,Elig_MatchAll_Ct&lt;22,$BC490=(Elig_MatchAll_Ct-1),AI490=0),F490,0)</f>
        <v>0</v>
      </c>
      <c r="BL490" s="173">
        <f>IF(AND(Input_Product=Elig!$C490,Elig_MatchAll_Ct&lt;22,$BC490=(Elig_MatchAll_Ct-1),AJ490=0),G490,0)</f>
        <v>0</v>
      </c>
      <c r="BM490" s="173">
        <f>IF(AND(Input_Product=Elig!$C490,Elig_MatchAll_Ct&lt;22,$BC490=(Elig_MatchAll_Ct-1),AK490=0),H490,0)</f>
        <v>0</v>
      </c>
      <c r="BN490" s="173">
        <f>IF(AND(Input_Product=Elig!$C490,Elig_MatchAll_Ct&lt;22,$BC490=(Elig_MatchAll_Ct-1),AL490=0),I490,0)</f>
        <v>0</v>
      </c>
      <c r="BO490" s="173">
        <f>IF(AND(Input_Product=Elig!$C490,Elig_MatchAll_Ct&lt;22,$BC490=(Elig_MatchAll_Ct-1),AM490=0),J490,0)</f>
        <v>0</v>
      </c>
      <c r="BP490" s="173">
        <f>IF(AND(Input_Product=Elig!$C490,Elig_MatchAll_Ct&lt;22,$BC490=(Elig_MatchAll_Ct-1),AN490=0),K490,0)</f>
        <v>0</v>
      </c>
      <c r="BQ490" s="173">
        <f>IF(AND(Input_Product=Elig!$C490,Elig_MatchAll_Ct&lt;22,$BC490=(Elig_MatchAll_Ct-1),AP490=0),L490,0)</f>
        <v>0</v>
      </c>
      <c r="BR490" s="173">
        <f>IF(AND(Input_Product=Elig!$C490,Elig_MatchAll_Ct&lt;22,$BC490=(Elig_MatchAll_Ct-1),AO490=0),M490,0)</f>
        <v>0</v>
      </c>
      <c r="BS490" s="173">
        <f>IF(AND(Input_Product=Elig!$C490,Elig_MatchAll_Ct&lt;22,$BC490=(Elig_MatchAll_Ct-1),AQ490=0),N490,0)</f>
        <v>0</v>
      </c>
      <c r="BT490" s="173">
        <f>IF(AND(Input_Product=Elig!$C490,Elig_MatchAll_Ct&lt;22,$BC490=(Elig_MatchAll_Ct-1),AR490=0),O490,0)</f>
        <v>0</v>
      </c>
      <c r="BU490" s="173">
        <f>IF(AND(Input_Product=Elig!$C490,Elig_MatchAll_Ct&lt;22,$BC490=(Elig_MatchAll_Ct-1),AS490=0),P490,0)</f>
        <v>0</v>
      </c>
      <c r="BV490" s="174">
        <f>IF(AND(Input_Product=Elig!$C490,Elig_MatchAll_Ct&lt;22,$BC490=(Elig_MatchAll_Ct-1),AT490=0),Q490,0)</f>
        <v>0</v>
      </c>
      <c r="BW490" s="175">
        <f>IF(AND(Input_Product=Elig!$C490,Elig_MatchAll_Ct&lt;22,$BC490=(Elig_MatchAll_Ct-1),AU490=0),R490,0)</f>
        <v>0</v>
      </c>
      <c r="BX490" s="176">
        <f>IF(AND(Input_Product=Elig!$C490,Elig_MatchAll_Ct&lt;22,$BC490=(Elig_MatchAll_Ct-1),AU490=0),S490,0)</f>
        <v>0</v>
      </c>
      <c r="BY490" s="175">
        <f>IF(AND(Input_Product=Elig!$C490,Elig_MatchAll_Ct&lt;22,$BC490=(Elig_MatchAll_Ct-1),AV490=0),T490,0)</f>
        <v>0</v>
      </c>
      <c r="BZ490" s="176">
        <f>IF(AND(Input_Product=Elig!$C490,Elig_MatchAll_Ct&lt;22,$BC490=(Elig_MatchAll_Ct-1),AV490=0),U490,0)</f>
        <v>0</v>
      </c>
      <c r="CA490" s="175">
        <f>IF(AND(Input_Product=Elig!$C490,Elig_MatchAll_Ct&lt;22,$BC490=(Elig_MatchAll_Ct-1),AW490=0),V490,0)</f>
        <v>0</v>
      </c>
      <c r="CB490" s="176">
        <f>IF(AND(Input_Product=Elig!$C490,Elig_MatchAll_Ct&lt;22,$BC490=(Elig_MatchAll_Ct-1),AW490=0),W490,0)</f>
        <v>0</v>
      </c>
      <c r="CC490" s="175">
        <f>IF(AND(Input_Product=Elig!$C490,Elig_MatchAll_Ct&lt;22,$BC490=(Elig_MatchAll_Ct-1),AX490=0),X490,0)</f>
        <v>0</v>
      </c>
      <c r="CD490" s="176">
        <f>IF(AND(Input_Product=Elig!$C490,Elig_MatchAll_Ct&lt;22,$BC490=(Elig_MatchAll_Ct-1),AX490=0),Y490,0)</f>
        <v>0</v>
      </c>
      <c r="CE490" s="175">
        <f>IF(AND(Input_LTV&lt;=AE490,Input_Product=Elig!$C490,Elig_MatchAll_Ct&lt;22,$BC490=(Elig_MatchAll_Ct-1),AY490=0),Z490,0)</f>
        <v>0</v>
      </c>
      <c r="CF490" s="176">
        <f>IF(AND(Input_LTV&lt;=AE490,Input_Product=Elig!$C490,Elig_MatchAll_Ct&lt;22,$BC490=(Elig_MatchAll_Ct-1),AY490=0),AA490,0)</f>
        <v>0</v>
      </c>
      <c r="CG490" s="175">
        <f>IF(AND(Input_Product=Elig!$C490,Elig_MatchAll_Ct&lt;22,$BC490=(Elig_MatchAll_Ct-1),AZ490=0),AB490,0)</f>
        <v>0</v>
      </c>
      <c r="CH490" s="176">
        <f>IF(AND(Input_Product=Elig!$C490,Elig_MatchAll_Ct&lt;22,$BC490=(Elig_MatchAll_Ct-1),AZ490=0),AC490,0)</f>
        <v>0</v>
      </c>
      <c r="CI490" s="175">
        <f>IF(AND(Input_Product=Elig!$C490,Elig_MatchAll_Ct&lt;22,$BC490=(Elig_MatchAll_Ct-1),BA490=0),AD490,0)</f>
        <v>0</v>
      </c>
      <c r="CJ490" s="176">
        <f>IF(AND(Input_Product=Elig!$C490,Elig_MatchAll_Ct&lt;22,$BC490=(Elig_MatchAll_Ct-1),BA490=0),AE490,0)</f>
        <v>0</v>
      </c>
    </row>
    <row r="491" spans="1:88" ht="10.15" customHeight="1" x14ac:dyDescent="0.25">
      <c r="A491" s="252" t="s">
        <v>76</v>
      </c>
      <c r="B491" s="252" t="s">
        <v>2217</v>
      </c>
      <c r="C491" s="256" t="str">
        <f t="shared" si="183"/>
        <v>NonQM NOO</v>
      </c>
      <c r="D491" s="257" t="s">
        <v>1995</v>
      </c>
      <c r="E491" s="257" t="s">
        <v>166</v>
      </c>
      <c r="F491" s="257" t="s">
        <v>329</v>
      </c>
      <c r="G491" s="257" t="s">
        <v>465</v>
      </c>
      <c r="H491" s="257" t="s">
        <v>135</v>
      </c>
      <c r="I491" s="260" t="s">
        <v>16</v>
      </c>
      <c r="J491" s="260" t="s">
        <v>1130</v>
      </c>
      <c r="K491" s="260" t="s">
        <v>1398</v>
      </c>
      <c r="L491" s="257" t="s">
        <v>311</v>
      </c>
      <c r="M491" s="257" t="s">
        <v>2289</v>
      </c>
      <c r="N491" s="257" t="s">
        <v>1844</v>
      </c>
      <c r="O491" s="257" t="s">
        <v>309</v>
      </c>
      <c r="P491" s="257" t="s">
        <v>2434</v>
      </c>
      <c r="Q491" s="257" t="s">
        <v>293</v>
      </c>
      <c r="R491" s="257">
        <v>2500000.0099999998</v>
      </c>
      <c r="S491" s="257">
        <v>3000000</v>
      </c>
      <c r="T491" s="257">
        <v>0</v>
      </c>
      <c r="U491" s="257">
        <f t="shared" si="187"/>
        <v>3000000</v>
      </c>
      <c r="V491" s="257">
        <v>0</v>
      </c>
      <c r="W491" s="257">
        <v>50</v>
      </c>
      <c r="X491" s="257">
        <v>0</v>
      </c>
      <c r="Y491" s="257">
        <v>999</v>
      </c>
      <c r="Z491" s="258">
        <v>680</v>
      </c>
      <c r="AA491" s="258">
        <v>699</v>
      </c>
      <c r="AB491" s="1884">
        <v>0</v>
      </c>
      <c r="AC491" s="258">
        <v>999999</v>
      </c>
      <c r="AD491" s="257">
        <v>0</v>
      </c>
      <c r="AE491" s="259">
        <v>60</v>
      </c>
      <c r="AF491" s="144">
        <v>0</v>
      </c>
      <c r="AG491" s="145">
        <v>1</v>
      </c>
      <c r="AH491" s="145">
        <v>1</v>
      </c>
      <c r="AI491" s="145">
        <v>1</v>
      </c>
      <c r="AJ491" s="145">
        <v>0</v>
      </c>
      <c r="AK491" s="145">
        <v>1</v>
      </c>
      <c r="AL491" s="145">
        <v>0</v>
      </c>
      <c r="AM491" s="145">
        <v>1</v>
      </c>
      <c r="AN491" s="145">
        <v>1</v>
      </c>
      <c r="AO491" s="145">
        <v>1</v>
      </c>
      <c r="AP491" s="145">
        <v>1</v>
      </c>
      <c r="AQ491" s="145">
        <v>1</v>
      </c>
      <c r="AR491" s="145">
        <v>1</v>
      </c>
      <c r="AS491" s="145">
        <v>1</v>
      </c>
      <c r="AT491" s="145">
        <v>1</v>
      </c>
      <c r="AU491" s="145">
        <f t="shared" si="148"/>
        <v>0</v>
      </c>
      <c r="AV491" s="145">
        <f t="shared" si="149"/>
        <v>1</v>
      </c>
      <c r="AW491" s="145">
        <f t="shared" si="150"/>
        <v>1</v>
      </c>
      <c r="AX491" s="145">
        <f t="shared" si="161"/>
        <v>1</v>
      </c>
      <c r="AY491" s="145">
        <f t="shared" si="151"/>
        <v>0</v>
      </c>
      <c r="AZ491" s="145">
        <f t="shared" si="152"/>
        <v>1</v>
      </c>
      <c r="BA491" s="146">
        <f t="shared" si="153"/>
        <v>0</v>
      </c>
      <c r="BB491" s="149">
        <f t="shared" si="166"/>
        <v>16</v>
      </c>
      <c r="BC491" s="150">
        <f t="shared" si="167"/>
        <v>16</v>
      </c>
      <c r="BD491" s="150">
        <f t="shared" si="168"/>
        <v>16</v>
      </c>
      <c r="BE491" s="211" t="str">
        <f t="shared" si="169"/>
        <v/>
      </c>
      <c r="BH491" s="188">
        <f>IF(AND(Input_Product=Elig!$C491,Elig_MatchAll_Ct&lt;22,$BC491=(Elig_MatchAll_Ct-1),AF491=0),C491,0)</f>
        <v>0</v>
      </c>
      <c r="BI491" s="188">
        <f>IF(AND(Input_Product=Elig!$C491,Elig_MatchAll_Ct&lt;22,$BC491=(Elig_MatchAll_Ct-1),AG491=0),D491,0)</f>
        <v>0</v>
      </c>
      <c r="BJ491" s="188">
        <f>IF(AND(Input_Product=Elig!$C491,Elig_MatchAll_Ct&lt;22,$BC491=(Elig_MatchAll_Ct-1),AH491=0),E491,0)</f>
        <v>0</v>
      </c>
      <c r="BK491" s="188">
        <f>IF(AND(Input_Product=Elig!$C491,Elig_MatchAll_Ct&lt;22,$BC491=(Elig_MatchAll_Ct-1),AI491=0),F491,0)</f>
        <v>0</v>
      </c>
      <c r="BL491" s="188">
        <f>IF(AND(Input_Product=Elig!$C491,Elig_MatchAll_Ct&lt;22,$BC491=(Elig_MatchAll_Ct-1),AJ491=0),G491,0)</f>
        <v>0</v>
      </c>
      <c r="BM491" s="188">
        <f>IF(AND(Input_Product=Elig!$C491,Elig_MatchAll_Ct&lt;22,$BC491=(Elig_MatchAll_Ct-1),AK491=0),H491,0)</f>
        <v>0</v>
      </c>
      <c r="BN491" s="188">
        <f>IF(AND(Input_Product=Elig!$C491,Elig_MatchAll_Ct&lt;22,$BC491=(Elig_MatchAll_Ct-1),AL491=0),I491,0)</f>
        <v>0</v>
      </c>
      <c r="BO491" s="188">
        <f>IF(AND(Input_Product=Elig!$C491,Elig_MatchAll_Ct&lt;22,$BC491=(Elig_MatchAll_Ct-1),AM491=0),J491,0)</f>
        <v>0</v>
      </c>
      <c r="BP491" s="188">
        <f>IF(AND(Input_Product=Elig!$C491,Elig_MatchAll_Ct&lt;22,$BC491=(Elig_MatchAll_Ct-1),AN491=0),K491,0)</f>
        <v>0</v>
      </c>
      <c r="BQ491" s="188">
        <f>IF(AND(Input_Product=Elig!$C491,Elig_MatchAll_Ct&lt;22,$BC491=(Elig_MatchAll_Ct-1),AP491=0),L491,0)</f>
        <v>0</v>
      </c>
      <c r="BR491" s="188">
        <f>IF(AND(Input_Product=Elig!$C491,Elig_MatchAll_Ct&lt;22,$BC491=(Elig_MatchAll_Ct-1),AO491=0),M491,0)</f>
        <v>0</v>
      </c>
      <c r="BS491" s="188">
        <f>IF(AND(Input_Product=Elig!$C491,Elig_MatchAll_Ct&lt;22,$BC491=(Elig_MatchAll_Ct-1),AQ491=0),N491,0)</f>
        <v>0</v>
      </c>
      <c r="BT491" s="188">
        <f>IF(AND(Input_Product=Elig!$C491,Elig_MatchAll_Ct&lt;22,$BC491=(Elig_MatchAll_Ct-1),AR491=0),O491,0)</f>
        <v>0</v>
      </c>
      <c r="BU491" s="188">
        <f>IF(AND(Input_Product=Elig!$C491,Elig_MatchAll_Ct&lt;22,$BC491=(Elig_MatchAll_Ct-1),AS491=0),P491,0)</f>
        <v>0</v>
      </c>
      <c r="BV491" s="189">
        <f>IF(AND(Input_Product=Elig!$C491,Elig_MatchAll_Ct&lt;22,$BC491=(Elig_MatchAll_Ct-1),AT491=0),Q491,0)</f>
        <v>0</v>
      </c>
      <c r="BW491" s="271">
        <f>IF(AND(Input_Product=Elig!$C491,Elig_MatchAll_Ct&lt;22,$BC491=(Elig_MatchAll_Ct-1),AU491=0),R491,0)</f>
        <v>0</v>
      </c>
      <c r="BX491" s="272">
        <f>IF(AND(Input_Product=Elig!$C491,Elig_MatchAll_Ct&lt;22,$BC491=(Elig_MatchAll_Ct-1),AU491=0),S491,0)</f>
        <v>0</v>
      </c>
      <c r="BY491" s="271">
        <f>IF(AND(Input_Product=Elig!$C491,Elig_MatchAll_Ct&lt;22,$BC491=(Elig_MatchAll_Ct-1),AV491=0),T491,0)</f>
        <v>0</v>
      </c>
      <c r="BZ491" s="272">
        <f>IF(AND(Input_Product=Elig!$C491,Elig_MatchAll_Ct&lt;22,$BC491=(Elig_MatchAll_Ct-1),AV491=0),U491,0)</f>
        <v>0</v>
      </c>
      <c r="CA491" s="271">
        <f>IF(AND(Input_Product=Elig!$C491,Elig_MatchAll_Ct&lt;22,$BC491=(Elig_MatchAll_Ct-1),AW491=0),V491,0)</f>
        <v>0</v>
      </c>
      <c r="CB491" s="272">
        <f>IF(AND(Input_Product=Elig!$C491,Elig_MatchAll_Ct&lt;22,$BC491=(Elig_MatchAll_Ct-1),AW491=0),W491,0)</f>
        <v>0</v>
      </c>
      <c r="CC491" s="271">
        <f>IF(AND(Input_Product=Elig!$C491,Elig_MatchAll_Ct&lt;22,$BC491=(Elig_MatchAll_Ct-1),AX491=0),X491,0)</f>
        <v>0</v>
      </c>
      <c r="CD491" s="272">
        <f>IF(AND(Input_Product=Elig!$C491,Elig_MatchAll_Ct&lt;22,$BC491=(Elig_MatchAll_Ct-1),AX491=0),Y491,0)</f>
        <v>0</v>
      </c>
      <c r="CE491" s="271">
        <f>IF(AND(Input_LTV&lt;=AE491,Input_Product=Elig!$C491,Elig_MatchAll_Ct&lt;22,$BC491=(Elig_MatchAll_Ct-1),AY491=0),Z491,0)</f>
        <v>0</v>
      </c>
      <c r="CF491" s="272">
        <f>IF(AND(Input_LTV&lt;=AE491,Input_Product=Elig!$C491,Elig_MatchAll_Ct&lt;22,$BC491=(Elig_MatchAll_Ct-1),AY491=0),AA491,0)</f>
        <v>0</v>
      </c>
      <c r="CG491" s="271">
        <f>IF(AND(Input_Product=Elig!$C491,Elig_MatchAll_Ct&lt;22,$BC491=(Elig_MatchAll_Ct-1),AZ491=0),AB491,0)</f>
        <v>0</v>
      </c>
      <c r="CH491" s="272">
        <f>IF(AND(Input_Product=Elig!$C491,Elig_MatchAll_Ct&lt;22,$BC491=(Elig_MatchAll_Ct-1),AZ491=0),AC491,0)</f>
        <v>0</v>
      </c>
      <c r="CI491" s="271">
        <f>IF(AND(Input_Product=Elig!$C491,Elig_MatchAll_Ct&lt;22,$BC491=(Elig_MatchAll_Ct-1),BA491=0),AD491,0)</f>
        <v>0</v>
      </c>
      <c r="CJ491" s="272">
        <f>IF(AND(Input_Product=Elig!$C491,Elig_MatchAll_Ct&lt;22,$BC491=(Elig_MatchAll_Ct-1),BA491=0),AE491,0)</f>
        <v>0</v>
      </c>
    </row>
    <row r="492" spans="1:88" ht="10.15" customHeight="1" x14ac:dyDescent="0.25">
      <c r="A492" s="252" t="s">
        <v>76</v>
      </c>
      <c r="B492" s="252" t="s">
        <v>2218</v>
      </c>
      <c r="C492" s="246" t="str">
        <f t="shared" si="183"/>
        <v>NonQM NOO</v>
      </c>
      <c r="D492" s="247" t="s">
        <v>1995</v>
      </c>
      <c r="E492" s="248" t="s">
        <v>166</v>
      </c>
      <c r="F492" s="248" t="s">
        <v>329</v>
      </c>
      <c r="G492" s="248" t="s">
        <v>178</v>
      </c>
      <c r="H492" s="248" t="s">
        <v>135</v>
      </c>
      <c r="I492" s="247" t="s">
        <v>273</v>
      </c>
      <c r="J492" s="247" t="s">
        <v>1130</v>
      </c>
      <c r="K492" s="247" t="s">
        <v>1398</v>
      </c>
      <c r="L492" s="248" t="s">
        <v>311</v>
      </c>
      <c r="M492" s="248" t="s">
        <v>2289</v>
      </c>
      <c r="N492" s="248" t="s">
        <v>1844</v>
      </c>
      <c r="O492" s="248" t="s">
        <v>309</v>
      </c>
      <c r="P492" s="248" t="s">
        <v>2434</v>
      </c>
      <c r="Q492" s="248" t="s">
        <v>293</v>
      </c>
      <c r="R492" s="247">
        <v>2500000.0099999998</v>
      </c>
      <c r="S492" s="247">
        <v>3000000</v>
      </c>
      <c r="T492" s="247">
        <v>0</v>
      </c>
      <c r="U492" s="247">
        <v>0</v>
      </c>
      <c r="V492" s="247">
        <v>0</v>
      </c>
      <c r="W492" s="247">
        <v>50</v>
      </c>
      <c r="X492" s="247">
        <v>0</v>
      </c>
      <c r="Y492" s="247">
        <v>999</v>
      </c>
      <c r="Z492" s="249">
        <v>720</v>
      </c>
      <c r="AA492" s="249">
        <v>999</v>
      </c>
      <c r="AB492" s="1882">
        <v>0</v>
      </c>
      <c r="AC492" s="249">
        <v>999999</v>
      </c>
      <c r="AD492" s="247">
        <v>0</v>
      </c>
      <c r="AE492" s="250">
        <v>65</v>
      </c>
      <c r="AF492" s="144">
        <v>0</v>
      </c>
      <c r="AG492" s="145">
        <v>1</v>
      </c>
      <c r="AH492" s="145">
        <v>1</v>
      </c>
      <c r="AI492" s="145">
        <v>1</v>
      </c>
      <c r="AJ492" s="145">
        <v>0</v>
      </c>
      <c r="AK492" s="145">
        <v>1</v>
      </c>
      <c r="AL492" s="145">
        <v>1</v>
      </c>
      <c r="AM492" s="145">
        <v>1</v>
      </c>
      <c r="AN492" s="145">
        <v>1</v>
      </c>
      <c r="AO492" s="145">
        <v>1</v>
      </c>
      <c r="AP492" s="145">
        <v>1</v>
      </c>
      <c r="AQ492" s="145">
        <v>1</v>
      </c>
      <c r="AR492" s="145">
        <v>1</v>
      </c>
      <c r="AS492" s="145">
        <v>1</v>
      </c>
      <c r="AT492" s="145">
        <v>1</v>
      </c>
      <c r="AU492" s="145">
        <f t="shared" si="148"/>
        <v>0</v>
      </c>
      <c r="AV492" s="145">
        <f t="shared" si="149"/>
        <v>1</v>
      </c>
      <c r="AW492" s="145">
        <f t="shared" si="150"/>
        <v>1</v>
      </c>
      <c r="AX492" s="145">
        <f t="shared" si="161"/>
        <v>1</v>
      </c>
      <c r="AY492" s="145">
        <f t="shared" si="151"/>
        <v>1</v>
      </c>
      <c r="AZ492" s="145">
        <f t="shared" si="152"/>
        <v>1</v>
      </c>
      <c r="BA492" s="146">
        <f t="shared" si="153"/>
        <v>0</v>
      </c>
      <c r="BB492" s="149">
        <f t="shared" si="166"/>
        <v>18</v>
      </c>
      <c r="BC492" s="150">
        <f t="shared" si="167"/>
        <v>18</v>
      </c>
      <c r="BD492" s="150">
        <f t="shared" si="168"/>
        <v>18</v>
      </c>
      <c r="BE492" s="211" t="str">
        <f t="shared" si="169"/>
        <v/>
      </c>
      <c r="BH492" s="184">
        <f>IF(AND(Input_Product=Elig!$C492,Elig_MatchAll_Ct&lt;22,$BC492=(Elig_MatchAll_Ct-1),AF492=0),C492,0)</f>
        <v>0</v>
      </c>
      <c r="BI492" s="184">
        <f>IF(AND(Input_Product=Elig!$C492,Elig_MatchAll_Ct&lt;22,$BC492=(Elig_MatchAll_Ct-1),AG492=0),D492,0)</f>
        <v>0</v>
      </c>
      <c r="BJ492" s="184">
        <f>IF(AND(Input_Product=Elig!$C492,Elig_MatchAll_Ct&lt;22,$BC492=(Elig_MatchAll_Ct-1),AH492=0),E492,0)</f>
        <v>0</v>
      </c>
      <c r="BK492" s="184">
        <f>IF(AND(Input_Product=Elig!$C492,Elig_MatchAll_Ct&lt;22,$BC492=(Elig_MatchAll_Ct-1),AI492=0),F492,0)</f>
        <v>0</v>
      </c>
      <c r="BL492" s="184">
        <f>IF(AND(Input_Product=Elig!$C492,Elig_MatchAll_Ct&lt;22,$BC492=(Elig_MatchAll_Ct-1),AJ492=0),G492,0)</f>
        <v>0</v>
      </c>
      <c r="BM492" s="184">
        <f>IF(AND(Input_Product=Elig!$C492,Elig_MatchAll_Ct&lt;22,$BC492=(Elig_MatchAll_Ct-1),AK492=0),H492,0)</f>
        <v>0</v>
      </c>
      <c r="BN492" s="184">
        <f>IF(AND(Input_Product=Elig!$C492,Elig_MatchAll_Ct&lt;22,$BC492=(Elig_MatchAll_Ct-1),AL492=0),I492,0)</f>
        <v>0</v>
      </c>
      <c r="BO492" s="184">
        <f>IF(AND(Input_Product=Elig!$C492,Elig_MatchAll_Ct&lt;22,$BC492=(Elig_MatchAll_Ct-1),AM492=0),J492,0)</f>
        <v>0</v>
      </c>
      <c r="BP492" s="184">
        <f>IF(AND(Input_Product=Elig!$C492,Elig_MatchAll_Ct&lt;22,$BC492=(Elig_MatchAll_Ct-1),AN492=0),K492,0)</f>
        <v>0</v>
      </c>
      <c r="BQ492" s="184">
        <f>IF(AND(Input_Product=Elig!$C492,Elig_MatchAll_Ct&lt;22,$BC492=(Elig_MatchAll_Ct-1),AP492=0),L492,0)</f>
        <v>0</v>
      </c>
      <c r="BR492" s="184">
        <f>IF(AND(Input_Product=Elig!$C492,Elig_MatchAll_Ct&lt;22,$BC492=(Elig_MatchAll_Ct-1),AO492=0),M492,0)</f>
        <v>0</v>
      </c>
      <c r="BS492" s="184">
        <f>IF(AND(Input_Product=Elig!$C492,Elig_MatchAll_Ct&lt;22,$BC492=(Elig_MatchAll_Ct-1),AQ492=0),N492,0)</f>
        <v>0</v>
      </c>
      <c r="BT492" s="184">
        <f>IF(AND(Input_Product=Elig!$C492,Elig_MatchAll_Ct&lt;22,$BC492=(Elig_MatchAll_Ct-1),AR492=0),O492,0)</f>
        <v>0</v>
      </c>
      <c r="BU492" s="184">
        <f>IF(AND(Input_Product=Elig!$C492,Elig_MatchAll_Ct&lt;22,$BC492=(Elig_MatchAll_Ct-1),AS492=0),P492,0)</f>
        <v>0</v>
      </c>
      <c r="BV492" s="185">
        <f>IF(AND(Input_Product=Elig!$C492,Elig_MatchAll_Ct&lt;22,$BC492=(Elig_MatchAll_Ct-1),AT492=0),Q492,0)</f>
        <v>0</v>
      </c>
      <c r="BW492" s="186">
        <f>IF(AND(Input_Product=Elig!$C492,Elig_MatchAll_Ct&lt;22,$BC492=(Elig_MatchAll_Ct-1),AU492=0),R492,0)</f>
        <v>0</v>
      </c>
      <c r="BX492" s="187">
        <f>IF(AND(Input_Product=Elig!$C492,Elig_MatchAll_Ct&lt;22,$BC492=(Elig_MatchAll_Ct-1),AU492=0),S492,0)</f>
        <v>0</v>
      </c>
      <c r="BY492" s="186">
        <f>IF(AND(Input_Product=Elig!$C492,Elig_MatchAll_Ct&lt;22,$BC492=(Elig_MatchAll_Ct-1),AV492=0),T492,0)</f>
        <v>0</v>
      </c>
      <c r="BZ492" s="187">
        <f>IF(AND(Input_Product=Elig!$C492,Elig_MatchAll_Ct&lt;22,$BC492=(Elig_MatchAll_Ct-1),AV492=0),U492,0)</f>
        <v>0</v>
      </c>
      <c r="CA492" s="186">
        <f>IF(AND(Input_Product=Elig!$C492,Elig_MatchAll_Ct&lt;22,$BC492=(Elig_MatchAll_Ct-1),AW492=0),V492,0)</f>
        <v>0</v>
      </c>
      <c r="CB492" s="187">
        <f>IF(AND(Input_Product=Elig!$C492,Elig_MatchAll_Ct&lt;22,$BC492=(Elig_MatchAll_Ct-1),AW492=0),W492,0)</f>
        <v>0</v>
      </c>
      <c r="CC492" s="186">
        <f>IF(AND(Input_Product=Elig!$C492,Elig_MatchAll_Ct&lt;22,$BC492=(Elig_MatchAll_Ct-1),AX492=0),X492,0)</f>
        <v>0</v>
      </c>
      <c r="CD492" s="187">
        <f>IF(AND(Input_Product=Elig!$C492,Elig_MatchAll_Ct&lt;22,$BC492=(Elig_MatchAll_Ct-1),AX492=0),Y492,0)</f>
        <v>0</v>
      </c>
      <c r="CE492" s="186">
        <f>IF(AND(Input_LTV&lt;=AE492,Input_Product=Elig!$C492,Elig_MatchAll_Ct&lt;22,$BC492=(Elig_MatchAll_Ct-1),AY492=0),Z492,0)</f>
        <v>0</v>
      </c>
      <c r="CF492" s="187">
        <f>IF(AND(Input_LTV&lt;=AE492,Input_Product=Elig!$C492,Elig_MatchAll_Ct&lt;22,$BC492=(Elig_MatchAll_Ct-1),AY492=0),AA492,0)</f>
        <v>0</v>
      </c>
      <c r="CG492" s="186">
        <f>IF(AND(Input_Product=Elig!$C492,Elig_MatchAll_Ct&lt;22,$BC492=(Elig_MatchAll_Ct-1),AZ492=0),AB492,0)</f>
        <v>0</v>
      </c>
      <c r="CH492" s="187">
        <f>IF(AND(Input_Product=Elig!$C492,Elig_MatchAll_Ct&lt;22,$BC492=(Elig_MatchAll_Ct-1),AZ492=0),AC492,0)</f>
        <v>0</v>
      </c>
      <c r="CI492" s="186">
        <f>IF(AND(Input_Product=Elig!$C492,Elig_MatchAll_Ct&lt;22,$BC492=(Elig_MatchAll_Ct-1),BA492=0),AD492,0)</f>
        <v>0</v>
      </c>
      <c r="CJ492" s="187">
        <f>IF(AND(Input_Product=Elig!$C492,Elig_MatchAll_Ct&lt;22,$BC492=(Elig_MatchAll_Ct-1),BA492=0),AE492,0)</f>
        <v>0</v>
      </c>
    </row>
    <row r="493" spans="1:88" ht="10.15" customHeight="1" x14ac:dyDescent="0.25">
      <c r="A493" s="252" t="s">
        <v>76</v>
      </c>
      <c r="B493" s="252" t="s">
        <v>2219</v>
      </c>
      <c r="C493" s="251" t="str">
        <f t="shared" si="183"/>
        <v>NonQM NOO</v>
      </c>
      <c r="D493" s="252" t="s">
        <v>1995</v>
      </c>
      <c r="E493" s="252" t="s">
        <v>166</v>
      </c>
      <c r="F493" s="252" t="s">
        <v>329</v>
      </c>
      <c r="G493" s="252" t="s">
        <v>178</v>
      </c>
      <c r="H493" s="252" t="s">
        <v>135</v>
      </c>
      <c r="I493" s="253" t="s">
        <v>273</v>
      </c>
      <c r="J493" s="253" t="s">
        <v>1130</v>
      </c>
      <c r="K493" s="253" t="s">
        <v>1398</v>
      </c>
      <c r="L493" s="252" t="s">
        <v>311</v>
      </c>
      <c r="M493" s="252" t="s">
        <v>2289</v>
      </c>
      <c r="N493" s="252" t="s">
        <v>1844</v>
      </c>
      <c r="O493" s="252" t="s">
        <v>309</v>
      </c>
      <c r="P493" s="252" t="s">
        <v>2434</v>
      </c>
      <c r="Q493" s="252" t="s">
        <v>293</v>
      </c>
      <c r="R493" s="252">
        <v>2500000.0099999998</v>
      </c>
      <c r="S493" s="252">
        <v>3000000</v>
      </c>
      <c r="T493" s="252">
        <v>0</v>
      </c>
      <c r="U493" s="252">
        <v>0</v>
      </c>
      <c r="V493" s="252">
        <v>0</v>
      </c>
      <c r="W493" s="252">
        <v>50</v>
      </c>
      <c r="X493" s="252">
        <v>0</v>
      </c>
      <c r="Y493" s="252">
        <v>999</v>
      </c>
      <c r="Z493" s="254">
        <v>700</v>
      </c>
      <c r="AA493" s="254">
        <v>719</v>
      </c>
      <c r="AB493" s="1883">
        <v>0</v>
      </c>
      <c r="AC493" s="254">
        <v>999999</v>
      </c>
      <c r="AD493" s="252">
        <v>0</v>
      </c>
      <c r="AE493" s="255">
        <v>65</v>
      </c>
      <c r="AF493" s="144">
        <v>0</v>
      </c>
      <c r="AG493" s="145">
        <v>1</v>
      </c>
      <c r="AH493" s="145">
        <v>1</v>
      </c>
      <c r="AI493" s="145">
        <v>1</v>
      </c>
      <c r="AJ493" s="145">
        <v>0</v>
      </c>
      <c r="AK493" s="145">
        <v>1</v>
      </c>
      <c r="AL493" s="145">
        <v>1</v>
      </c>
      <c r="AM493" s="145">
        <v>1</v>
      </c>
      <c r="AN493" s="145">
        <v>1</v>
      </c>
      <c r="AO493" s="145">
        <v>1</v>
      </c>
      <c r="AP493" s="145">
        <v>1</v>
      </c>
      <c r="AQ493" s="145">
        <v>1</v>
      </c>
      <c r="AR493" s="145">
        <v>1</v>
      </c>
      <c r="AS493" s="145">
        <v>1</v>
      </c>
      <c r="AT493" s="145">
        <v>1</v>
      </c>
      <c r="AU493" s="145">
        <f t="shared" si="148"/>
        <v>0</v>
      </c>
      <c r="AV493" s="145">
        <f t="shared" si="149"/>
        <v>1</v>
      </c>
      <c r="AW493" s="145">
        <f t="shared" si="150"/>
        <v>1</v>
      </c>
      <c r="AX493" s="145">
        <f t="shared" si="161"/>
        <v>1</v>
      </c>
      <c r="AY493" s="145">
        <f t="shared" si="151"/>
        <v>0</v>
      </c>
      <c r="AZ493" s="145">
        <f t="shared" si="152"/>
        <v>1</v>
      </c>
      <c r="BA493" s="146">
        <f t="shared" si="153"/>
        <v>0</v>
      </c>
      <c r="BB493" s="149">
        <f t="shared" si="166"/>
        <v>17</v>
      </c>
      <c r="BC493" s="150">
        <f t="shared" si="167"/>
        <v>17</v>
      </c>
      <c r="BD493" s="150">
        <f t="shared" si="168"/>
        <v>17</v>
      </c>
      <c r="BE493" s="211" t="str">
        <f t="shared" si="169"/>
        <v/>
      </c>
      <c r="BH493" s="173">
        <f>IF(AND(Input_Product=Elig!$C493,Elig_MatchAll_Ct&lt;22,$BC493=(Elig_MatchAll_Ct-1),AF493=0),C493,0)</f>
        <v>0</v>
      </c>
      <c r="BI493" s="173">
        <f>IF(AND(Input_Product=Elig!$C493,Elig_MatchAll_Ct&lt;22,$BC493=(Elig_MatchAll_Ct-1),AG493=0),D493,0)</f>
        <v>0</v>
      </c>
      <c r="BJ493" s="173">
        <f>IF(AND(Input_Product=Elig!$C493,Elig_MatchAll_Ct&lt;22,$BC493=(Elig_MatchAll_Ct-1),AH493=0),E493,0)</f>
        <v>0</v>
      </c>
      <c r="BK493" s="173">
        <f>IF(AND(Input_Product=Elig!$C493,Elig_MatchAll_Ct&lt;22,$BC493=(Elig_MatchAll_Ct-1),AI493=0),F493,0)</f>
        <v>0</v>
      </c>
      <c r="BL493" s="173">
        <f>IF(AND(Input_Product=Elig!$C493,Elig_MatchAll_Ct&lt;22,$BC493=(Elig_MatchAll_Ct-1),AJ493=0),G493,0)</f>
        <v>0</v>
      </c>
      <c r="BM493" s="173">
        <f>IF(AND(Input_Product=Elig!$C493,Elig_MatchAll_Ct&lt;22,$BC493=(Elig_MatchAll_Ct-1),AK493=0),H493,0)</f>
        <v>0</v>
      </c>
      <c r="BN493" s="173">
        <f>IF(AND(Input_Product=Elig!$C493,Elig_MatchAll_Ct&lt;22,$BC493=(Elig_MatchAll_Ct-1),AL493=0),I493,0)</f>
        <v>0</v>
      </c>
      <c r="BO493" s="173">
        <f>IF(AND(Input_Product=Elig!$C493,Elig_MatchAll_Ct&lt;22,$BC493=(Elig_MatchAll_Ct-1),AM493=0),J493,0)</f>
        <v>0</v>
      </c>
      <c r="BP493" s="173">
        <f>IF(AND(Input_Product=Elig!$C493,Elig_MatchAll_Ct&lt;22,$BC493=(Elig_MatchAll_Ct-1),AN493=0),K493,0)</f>
        <v>0</v>
      </c>
      <c r="BQ493" s="173">
        <f>IF(AND(Input_Product=Elig!$C493,Elig_MatchAll_Ct&lt;22,$BC493=(Elig_MatchAll_Ct-1),AP493=0),L493,0)</f>
        <v>0</v>
      </c>
      <c r="BR493" s="173">
        <f>IF(AND(Input_Product=Elig!$C493,Elig_MatchAll_Ct&lt;22,$BC493=(Elig_MatchAll_Ct-1),AO493=0),M493,0)</f>
        <v>0</v>
      </c>
      <c r="BS493" s="173">
        <f>IF(AND(Input_Product=Elig!$C493,Elig_MatchAll_Ct&lt;22,$BC493=(Elig_MatchAll_Ct-1),AQ493=0),N493,0)</f>
        <v>0</v>
      </c>
      <c r="BT493" s="173">
        <f>IF(AND(Input_Product=Elig!$C493,Elig_MatchAll_Ct&lt;22,$BC493=(Elig_MatchAll_Ct-1),AR493=0),O493,0)</f>
        <v>0</v>
      </c>
      <c r="BU493" s="173">
        <f>IF(AND(Input_Product=Elig!$C493,Elig_MatchAll_Ct&lt;22,$BC493=(Elig_MatchAll_Ct-1),AS493=0),P493,0)</f>
        <v>0</v>
      </c>
      <c r="BV493" s="174">
        <f>IF(AND(Input_Product=Elig!$C493,Elig_MatchAll_Ct&lt;22,$BC493=(Elig_MatchAll_Ct-1),AT493=0),Q493,0)</f>
        <v>0</v>
      </c>
      <c r="BW493" s="175">
        <f>IF(AND(Input_Product=Elig!$C493,Elig_MatchAll_Ct&lt;22,$BC493=(Elig_MatchAll_Ct-1),AU493=0),R493,0)</f>
        <v>0</v>
      </c>
      <c r="BX493" s="176">
        <f>IF(AND(Input_Product=Elig!$C493,Elig_MatchAll_Ct&lt;22,$BC493=(Elig_MatchAll_Ct-1),AU493=0),S493,0)</f>
        <v>0</v>
      </c>
      <c r="BY493" s="175">
        <f>IF(AND(Input_Product=Elig!$C493,Elig_MatchAll_Ct&lt;22,$BC493=(Elig_MatchAll_Ct-1),AV493=0),T493,0)</f>
        <v>0</v>
      </c>
      <c r="BZ493" s="176">
        <f>IF(AND(Input_Product=Elig!$C493,Elig_MatchAll_Ct&lt;22,$BC493=(Elig_MatchAll_Ct-1),AV493=0),U493,0)</f>
        <v>0</v>
      </c>
      <c r="CA493" s="175">
        <f>IF(AND(Input_Product=Elig!$C493,Elig_MatchAll_Ct&lt;22,$BC493=(Elig_MatchAll_Ct-1),AW493=0),V493,0)</f>
        <v>0</v>
      </c>
      <c r="CB493" s="176">
        <f>IF(AND(Input_Product=Elig!$C493,Elig_MatchAll_Ct&lt;22,$BC493=(Elig_MatchAll_Ct-1),AW493=0),W493,0)</f>
        <v>0</v>
      </c>
      <c r="CC493" s="175">
        <f>IF(AND(Input_Product=Elig!$C493,Elig_MatchAll_Ct&lt;22,$BC493=(Elig_MatchAll_Ct-1),AX493=0),X493,0)</f>
        <v>0</v>
      </c>
      <c r="CD493" s="176">
        <f>IF(AND(Input_Product=Elig!$C493,Elig_MatchAll_Ct&lt;22,$BC493=(Elig_MatchAll_Ct-1),AX493=0),Y493,0)</f>
        <v>0</v>
      </c>
      <c r="CE493" s="175">
        <f>IF(AND(Input_LTV&lt;=AE493,Input_Product=Elig!$C493,Elig_MatchAll_Ct&lt;22,$BC493=(Elig_MatchAll_Ct-1),AY493=0),Z493,0)</f>
        <v>0</v>
      </c>
      <c r="CF493" s="176">
        <f>IF(AND(Input_LTV&lt;=AE493,Input_Product=Elig!$C493,Elig_MatchAll_Ct&lt;22,$BC493=(Elig_MatchAll_Ct-1),AY493=0),AA493,0)</f>
        <v>0</v>
      </c>
      <c r="CG493" s="175">
        <f>IF(AND(Input_Product=Elig!$C493,Elig_MatchAll_Ct&lt;22,$BC493=(Elig_MatchAll_Ct-1),AZ493=0),AB493,0)</f>
        <v>0</v>
      </c>
      <c r="CH493" s="176">
        <f>IF(AND(Input_Product=Elig!$C493,Elig_MatchAll_Ct&lt;22,$BC493=(Elig_MatchAll_Ct-1),AZ493=0),AC493,0)</f>
        <v>0</v>
      </c>
      <c r="CI493" s="175">
        <f>IF(AND(Input_Product=Elig!$C493,Elig_MatchAll_Ct&lt;22,$BC493=(Elig_MatchAll_Ct-1),BA493=0),AD493,0)</f>
        <v>0</v>
      </c>
      <c r="CJ493" s="176">
        <f>IF(AND(Input_Product=Elig!$C493,Elig_MatchAll_Ct&lt;22,$BC493=(Elig_MatchAll_Ct-1),BA493=0),AE493,0)</f>
        <v>0</v>
      </c>
    </row>
    <row r="494" spans="1:88" ht="10.15" customHeight="1" x14ac:dyDescent="0.25">
      <c r="A494" s="252" t="s">
        <v>76</v>
      </c>
      <c r="B494" s="252" t="s">
        <v>2220</v>
      </c>
      <c r="C494" s="256" t="str">
        <f t="shared" si="183"/>
        <v>NonQM NOO</v>
      </c>
      <c r="D494" s="257" t="s">
        <v>1995</v>
      </c>
      <c r="E494" s="257" t="s">
        <v>166</v>
      </c>
      <c r="F494" s="257" t="s">
        <v>329</v>
      </c>
      <c r="G494" s="257" t="s">
        <v>178</v>
      </c>
      <c r="H494" s="257" t="s">
        <v>135</v>
      </c>
      <c r="I494" s="260" t="s">
        <v>273</v>
      </c>
      <c r="J494" s="260" t="s">
        <v>1130</v>
      </c>
      <c r="K494" s="260" t="s">
        <v>1398</v>
      </c>
      <c r="L494" s="257" t="s">
        <v>311</v>
      </c>
      <c r="M494" s="257" t="s">
        <v>2289</v>
      </c>
      <c r="N494" s="257" t="s">
        <v>1844</v>
      </c>
      <c r="O494" s="257" t="s">
        <v>309</v>
      </c>
      <c r="P494" s="257" t="s">
        <v>2434</v>
      </c>
      <c r="Q494" s="257" t="s">
        <v>293</v>
      </c>
      <c r="R494" s="257">
        <v>2500000.0099999998</v>
      </c>
      <c r="S494" s="257">
        <v>3000000</v>
      </c>
      <c r="T494" s="257">
        <v>0</v>
      </c>
      <c r="U494" s="257">
        <v>0</v>
      </c>
      <c r="V494" s="257">
        <v>0</v>
      </c>
      <c r="W494" s="257">
        <v>50</v>
      </c>
      <c r="X494" s="257">
        <v>0</v>
      </c>
      <c r="Y494" s="257">
        <v>999</v>
      </c>
      <c r="Z494" s="258">
        <v>680</v>
      </c>
      <c r="AA494" s="258">
        <v>699</v>
      </c>
      <c r="AB494" s="1884">
        <v>0</v>
      </c>
      <c r="AC494" s="258">
        <v>999999</v>
      </c>
      <c r="AD494" s="257">
        <v>0</v>
      </c>
      <c r="AE494" s="259">
        <v>65</v>
      </c>
      <c r="AF494" s="144">
        <v>0</v>
      </c>
      <c r="AG494" s="145">
        <v>1</v>
      </c>
      <c r="AH494" s="145">
        <v>1</v>
      </c>
      <c r="AI494" s="145">
        <v>1</v>
      </c>
      <c r="AJ494" s="145">
        <v>0</v>
      </c>
      <c r="AK494" s="145">
        <v>1</v>
      </c>
      <c r="AL494" s="145">
        <v>1</v>
      </c>
      <c r="AM494" s="145">
        <v>1</v>
      </c>
      <c r="AN494" s="145">
        <v>1</v>
      </c>
      <c r="AO494" s="145">
        <v>1</v>
      </c>
      <c r="AP494" s="145">
        <v>1</v>
      </c>
      <c r="AQ494" s="145">
        <v>1</v>
      </c>
      <c r="AR494" s="145">
        <v>1</v>
      </c>
      <c r="AS494" s="145">
        <v>1</v>
      </c>
      <c r="AT494" s="145">
        <v>1</v>
      </c>
      <c r="AU494" s="145">
        <f t="shared" si="148"/>
        <v>0</v>
      </c>
      <c r="AV494" s="145">
        <f t="shared" si="149"/>
        <v>1</v>
      </c>
      <c r="AW494" s="145">
        <f t="shared" si="150"/>
        <v>1</v>
      </c>
      <c r="AX494" s="145">
        <f t="shared" si="161"/>
        <v>1</v>
      </c>
      <c r="AY494" s="145">
        <f t="shared" si="151"/>
        <v>0</v>
      </c>
      <c r="AZ494" s="145">
        <f t="shared" si="152"/>
        <v>1</v>
      </c>
      <c r="BA494" s="146">
        <f t="shared" si="153"/>
        <v>0</v>
      </c>
      <c r="BB494" s="149">
        <f t="shared" si="166"/>
        <v>17</v>
      </c>
      <c r="BC494" s="150">
        <f t="shared" si="167"/>
        <v>17</v>
      </c>
      <c r="BD494" s="150">
        <f t="shared" si="168"/>
        <v>17</v>
      </c>
      <c r="BE494" s="211" t="str">
        <f t="shared" si="169"/>
        <v/>
      </c>
      <c r="BH494" s="188">
        <f>IF(AND(Input_Product=Elig!$C494,Elig_MatchAll_Ct&lt;22,$BC494=(Elig_MatchAll_Ct-1),AF494=0),C494,0)</f>
        <v>0</v>
      </c>
      <c r="BI494" s="188">
        <f>IF(AND(Input_Product=Elig!$C494,Elig_MatchAll_Ct&lt;22,$BC494=(Elig_MatchAll_Ct-1),AG494=0),D494,0)</f>
        <v>0</v>
      </c>
      <c r="BJ494" s="188">
        <f>IF(AND(Input_Product=Elig!$C494,Elig_MatchAll_Ct&lt;22,$BC494=(Elig_MatchAll_Ct-1),AH494=0),E494,0)</f>
        <v>0</v>
      </c>
      <c r="BK494" s="188">
        <f>IF(AND(Input_Product=Elig!$C494,Elig_MatchAll_Ct&lt;22,$BC494=(Elig_MatchAll_Ct-1),AI494=0),F494,0)</f>
        <v>0</v>
      </c>
      <c r="BL494" s="188">
        <f>IF(AND(Input_Product=Elig!$C494,Elig_MatchAll_Ct&lt;22,$BC494=(Elig_MatchAll_Ct-1),AJ494=0),G494,0)</f>
        <v>0</v>
      </c>
      <c r="BM494" s="188">
        <f>IF(AND(Input_Product=Elig!$C494,Elig_MatchAll_Ct&lt;22,$BC494=(Elig_MatchAll_Ct-1),AK494=0),H494,0)</f>
        <v>0</v>
      </c>
      <c r="BN494" s="188">
        <f>IF(AND(Input_Product=Elig!$C494,Elig_MatchAll_Ct&lt;22,$BC494=(Elig_MatchAll_Ct-1),AL494=0),I494,0)</f>
        <v>0</v>
      </c>
      <c r="BO494" s="188">
        <f>IF(AND(Input_Product=Elig!$C494,Elig_MatchAll_Ct&lt;22,$BC494=(Elig_MatchAll_Ct-1),AM494=0),J494,0)</f>
        <v>0</v>
      </c>
      <c r="BP494" s="188">
        <f>IF(AND(Input_Product=Elig!$C494,Elig_MatchAll_Ct&lt;22,$BC494=(Elig_MatchAll_Ct-1),AN494=0),K494,0)</f>
        <v>0</v>
      </c>
      <c r="BQ494" s="188">
        <f>IF(AND(Input_Product=Elig!$C494,Elig_MatchAll_Ct&lt;22,$BC494=(Elig_MatchAll_Ct-1),AP494=0),L494,0)</f>
        <v>0</v>
      </c>
      <c r="BR494" s="188">
        <f>IF(AND(Input_Product=Elig!$C494,Elig_MatchAll_Ct&lt;22,$BC494=(Elig_MatchAll_Ct-1),AO494=0),M494,0)</f>
        <v>0</v>
      </c>
      <c r="BS494" s="188">
        <f>IF(AND(Input_Product=Elig!$C494,Elig_MatchAll_Ct&lt;22,$BC494=(Elig_MatchAll_Ct-1),AQ494=0),N494,0)</f>
        <v>0</v>
      </c>
      <c r="BT494" s="188">
        <f>IF(AND(Input_Product=Elig!$C494,Elig_MatchAll_Ct&lt;22,$BC494=(Elig_MatchAll_Ct-1),AR494=0),O494,0)</f>
        <v>0</v>
      </c>
      <c r="BU494" s="188">
        <f>IF(AND(Input_Product=Elig!$C494,Elig_MatchAll_Ct&lt;22,$BC494=(Elig_MatchAll_Ct-1),AS494=0),P494,0)</f>
        <v>0</v>
      </c>
      <c r="BV494" s="189">
        <f>IF(AND(Input_Product=Elig!$C494,Elig_MatchAll_Ct&lt;22,$BC494=(Elig_MatchAll_Ct-1),AT494=0),Q494,0)</f>
        <v>0</v>
      </c>
      <c r="BW494" s="271">
        <f>IF(AND(Input_Product=Elig!$C494,Elig_MatchAll_Ct&lt;22,$BC494=(Elig_MatchAll_Ct-1),AU494=0),R494,0)</f>
        <v>0</v>
      </c>
      <c r="BX494" s="272">
        <f>IF(AND(Input_Product=Elig!$C494,Elig_MatchAll_Ct&lt;22,$BC494=(Elig_MatchAll_Ct-1),AU494=0),S494,0)</f>
        <v>0</v>
      </c>
      <c r="BY494" s="271">
        <f>IF(AND(Input_Product=Elig!$C494,Elig_MatchAll_Ct&lt;22,$BC494=(Elig_MatchAll_Ct-1),AV494=0),T494,0)</f>
        <v>0</v>
      </c>
      <c r="BZ494" s="272">
        <f>IF(AND(Input_Product=Elig!$C494,Elig_MatchAll_Ct&lt;22,$BC494=(Elig_MatchAll_Ct-1),AV494=0),U494,0)</f>
        <v>0</v>
      </c>
      <c r="CA494" s="271">
        <f>IF(AND(Input_Product=Elig!$C494,Elig_MatchAll_Ct&lt;22,$BC494=(Elig_MatchAll_Ct-1),AW494=0),V494,0)</f>
        <v>0</v>
      </c>
      <c r="CB494" s="272">
        <f>IF(AND(Input_Product=Elig!$C494,Elig_MatchAll_Ct&lt;22,$BC494=(Elig_MatchAll_Ct-1),AW494=0),W494,0)</f>
        <v>0</v>
      </c>
      <c r="CC494" s="271">
        <f>IF(AND(Input_Product=Elig!$C494,Elig_MatchAll_Ct&lt;22,$BC494=(Elig_MatchAll_Ct-1),AX494=0),X494,0)</f>
        <v>0</v>
      </c>
      <c r="CD494" s="272">
        <f>IF(AND(Input_Product=Elig!$C494,Elig_MatchAll_Ct&lt;22,$BC494=(Elig_MatchAll_Ct-1),AX494=0),Y494,0)</f>
        <v>0</v>
      </c>
      <c r="CE494" s="271">
        <f>IF(AND(Input_LTV&lt;=AE494,Input_Product=Elig!$C494,Elig_MatchAll_Ct&lt;22,$BC494=(Elig_MatchAll_Ct-1),AY494=0),Z494,0)</f>
        <v>0</v>
      </c>
      <c r="CF494" s="272">
        <f>IF(AND(Input_LTV&lt;=AE494,Input_Product=Elig!$C494,Elig_MatchAll_Ct&lt;22,$BC494=(Elig_MatchAll_Ct-1),AY494=0),AA494,0)</f>
        <v>0</v>
      </c>
      <c r="CG494" s="271">
        <f>IF(AND(Input_Product=Elig!$C494,Elig_MatchAll_Ct&lt;22,$BC494=(Elig_MatchAll_Ct-1),AZ494=0),AB494,0)</f>
        <v>0</v>
      </c>
      <c r="CH494" s="272">
        <f>IF(AND(Input_Product=Elig!$C494,Elig_MatchAll_Ct&lt;22,$BC494=(Elig_MatchAll_Ct-1),AZ494=0),AC494,0)</f>
        <v>0</v>
      </c>
      <c r="CI494" s="271">
        <f>IF(AND(Input_Product=Elig!$C494,Elig_MatchAll_Ct&lt;22,$BC494=(Elig_MatchAll_Ct-1),BA494=0),AD494,0)</f>
        <v>0</v>
      </c>
      <c r="CJ494" s="272">
        <f>IF(AND(Input_Product=Elig!$C494,Elig_MatchAll_Ct&lt;22,$BC494=(Elig_MatchAll_Ct-1),BA494=0),AE494,0)</f>
        <v>0</v>
      </c>
    </row>
    <row r="495" spans="1:88" ht="10.15" customHeight="1" x14ac:dyDescent="0.25">
      <c r="A495" s="252" t="s">
        <v>76</v>
      </c>
      <c r="B495" s="252" t="s">
        <v>2221</v>
      </c>
      <c r="C495" s="246" t="str">
        <f t="shared" si="183"/>
        <v>NonQM NOO</v>
      </c>
      <c r="D495" s="247" t="s">
        <v>1995</v>
      </c>
      <c r="E495" s="248" t="s">
        <v>166</v>
      </c>
      <c r="F495" s="248" t="s">
        <v>329</v>
      </c>
      <c r="G495" s="248" t="s">
        <v>178</v>
      </c>
      <c r="H495" s="248" t="s">
        <v>135</v>
      </c>
      <c r="I495" s="247" t="s">
        <v>16</v>
      </c>
      <c r="J495" s="247" t="s">
        <v>1130</v>
      </c>
      <c r="K495" s="247" t="s">
        <v>1398</v>
      </c>
      <c r="L495" s="248" t="s">
        <v>311</v>
      </c>
      <c r="M495" s="248" t="s">
        <v>2289</v>
      </c>
      <c r="N495" s="248" t="s">
        <v>1844</v>
      </c>
      <c r="O495" s="248" t="s">
        <v>309</v>
      </c>
      <c r="P495" s="248" t="s">
        <v>2434</v>
      </c>
      <c r="Q495" s="248" t="s">
        <v>293</v>
      </c>
      <c r="R495" s="247">
        <v>2500000.0099999998</v>
      </c>
      <c r="S495" s="247">
        <v>3000000</v>
      </c>
      <c r="T495" s="247">
        <v>0</v>
      </c>
      <c r="U495" s="247">
        <f t="shared" ref="U495:U497" si="188">S495</f>
        <v>3000000</v>
      </c>
      <c r="V495" s="247">
        <v>0</v>
      </c>
      <c r="W495" s="247">
        <v>50</v>
      </c>
      <c r="X495" s="247">
        <v>0</v>
      </c>
      <c r="Y495" s="247">
        <v>999</v>
      </c>
      <c r="Z495" s="249">
        <v>720</v>
      </c>
      <c r="AA495" s="249">
        <v>999</v>
      </c>
      <c r="AB495" s="1882">
        <v>0</v>
      </c>
      <c r="AC495" s="249">
        <v>999999</v>
      </c>
      <c r="AD495" s="247">
        <v>0</v>
      </c>
      <c r="AE495" s="250">
        <v>60</v>
      </c>
      <c r="AF495" s="144">
        <v>0</v>
      </c>
      <c r="AG495" s="145">
        <v>1</v>
      </c>
      <c r="AH495" s="145">
        <v>1</v>
      </c>
      <c r="AI495" s="145">
        <v>1</v>
      </c>
      <c r="AJ495" s="145">
        <v>0</v>
      </c>
      <c r="AK495" s="145">
        <v>1</v>
      </c>
      <c r="AL495" s="145">
        <v>0</v>
      </c>
      <c r="AM495" s="145">
        <v>1</v>
      </c>
      <c r="AN495" s="145">
        <v>1</v>
      </c>
      <c r="AO495" s="145">
        <v>1</v>
      </c>
      <c r="AP495" s="145">
        <v>1</v>
      </c>
      <c r="AQ495" s="145">
        <v>1</v>
      </c>
      <c r="AR495" s="145">
        <v>1</v>
      </c>
      <c r="AS495" s="145">
        <v>1</v>
      </c>
      <c r="AT495" s="145">
        <v>1</v>
      </c>
      <c r="AU495" s="145">
        <f t="shared" si="148"/>
        <v>0</v>
      </c>
      <c r="AV495" s="145">
        <f t="shared" si="149"/>
        <v>1</v>
      </c>
      <c r="AW495" s="145">
        <f t="shared" si="150"/>
        <v>1</v>
      </c>
      <c r="AX495" s="145">
        <f t="shared" si="161"/>
        <v>1</v>
      </c>
      <c r="AY495" s="145">
        <f t="shared" si="151"/>
        <v>1</v>
      </c>
      <c r="AZ495" s="145">
        <f t="shared" si="152"/>
        <v>1</v>
      </c>
      <c r="BA495" s="146">
        <f t="shared" si="153"/>
        <v>0</v>
      </c>
      <c r="BB495" s="149">
        <f t="shared" si="166"/>
        <v>17</v>
      </c>
      <c r="BC495" s="150">
        <f t="shared" si="167"/>
        <v>17</v>
      </c>
      <c r="BD495" s="150">
        <f t="shared" si="168"/>
        <v>17</v>
      </c>
      <c r="BE495" s="211" t="str">
        <f t="shared" si="169"/>
        <v/>
      </c>
      <c r="BH495" s="184">
        <f>IF(AND(Input_Product=Elig!$C495,Elig_MatchAll_Ct&lt;22,$BC495=(Elig_MatchAll_Ct-1),AF495=0),C495,0)</f>
        <v>0</v>
      </c>
      <c r="BI495" s="184">
        <f>IF(AND(Input_Product=Elig!$C495,Elig_MatchAll_Ct&lt;22,$BC495=(Elig_MatchAll_Ct-1),AG495=0),D495,0)</f>
        <v>0</v>
      </c>
      <c r="BJ495" s="184">
        <f>IF(AND(Input_Product=Elig!$C495,Elig_MatchAll_Ct&lt;22,$BC495=(Elig_MatchAll_Ct-1),AH495=0),E495,0)</f>
        <v>0</v>
      </c>
      <c r="BK495" s="184">
        <f>IF(AND(Input_Product=Elig!$C495,Elig_MatchAll_Ct&lt;22,$BC495=(Elig_MatchAll_Ct-1),AI495=0),F495,0)</f>
        <v>0</v>
      </c>
      <c r="BL495" s="184">
        <f>IF(AND(Input_Product=Elig!$C495,Elig_MatchAll_Ct&lt;22,$BC495=(Elig_MatchAll_Ct-1),AJ495=0),G495,0)</f>
        <v>0</v>
      </c>
      <c r="BM495" s="184">
        <f>IF(AND(Input_Product=Elig!$C495,Elig_MatchAll_Ct&lt;22,$BC495=(Elig_MatchAll_Ct-1),AK495=0),H495,0)</f>
        <v>0</v>
      </c>
      <c r="BN495" s="184">
        <f>IF(AND(Input_Product=Elig!$C495,Elig_MatchAll_Ct&lt;22,$BC495=(Elig_MatchAll_Ct-1),AL495=0),I495,0)</f>
        <v>0</v>
      </c>
      <c r="BO495" s="184">
        <f>IF(AND(Input_Product=Elig!$C495,Elig_MatchAll_Ct&lt;22,$BC495=(Elig_MatchAll_Ct-1),AM495=0),J495,0)</f>
        <v>0</v>
      </c>
      <c r="BP495" s="184">
        <f>IF(AND(Input_Product=Elig!$C495,Elig_MatchAll_Ct&lt;22,$BC495=(Elig_MatchAll_Ct-1),AN495=0),K495,0)</f>
        <v>0</v>
      </c>
      <c r="BQ495" s="184">
        <f>IF(AND(Input_Product=Elig!$C495,Elig_MatchAll_Ct&lt;22,$BC495=(Elig_MatchAll_Ct-1),AP495=0),L495,0)</f>
        <v>0</v>
      </c>
      <c r="BR495" s="184">
        <f>IF(AND(Input_Product=Elig!$C495,Elig_MatchAll_Ct&lt;22,$BC495=(Elig_MatchAll_Ct-1),AO495=0),M495,0)</f>
        <v>0</v>
      </c>
      <c r="BS495" s="184">
        <f>IF(AND(Input_Product=Elig!$C495,Elig_MatchAll_Ct&lt;22,$BC495=(Elig_MatchAll_Ct-1),AQ495=0),N495,0)</f>
        <v>0</v>
      </c>
      <c r="BT495" s="184">
        <f>IF(AND(Input_Product=Elig!$C495,Elig_MatchAll_Ct&lt;22,$BC495=(Elig_MatchAll_Ct-1),AR495=0),O495,0)</f>
        <v>0</v>
      </c>
      <c r="BU495" s="184">
        <f>IF(AND(Input_Product=Elig!$C495,Elig_MatchAll_Ct&lt;22,$BC495=(Elig_MatchAll_Ct-1),AS495=0),P495,0)</f>
        <v>0</v>
      </c>
      <c r="BV495" s="185">
        <f>IF(AND(Input_Product=Elig!$C495,Elig_MatchAll_Ct&lt;22,$BC495=(Elig_MatchAll_Ct-1),AT495=0),Q495,0)</f>
        <v>0</v>
      </c>
      <c r="BW495" s="186">
        <f>IF(AND(Input_Product=Elig!$C495,Elig_MatchAll_Ct&lt;22,$BC495=(Elig_MatchAll_Ct-1),AU495=0),R495,0)</f>
        <v>0</v>
      </c>
      <c r="BX495" s="187">
        <f>IF(AND(Input_Product=Elig!$C495,Elig_MatchAll_Ct&lt;22,$BC495=(Elig_MatchAll_Ct-1),AU495=0),S495,0)</f>
        <v>0</v>
      </c>
      <c r="BY495" s="186">
        <f>IF(AND(Input_Product=Elig!$C495,Elig_MatchAll_Ct&lt;22,$BC495=(Elig_MatchAll_Ct-1),AV495=0),T495,0)</f>
        <v>0</v>
      </c>
      <c r="BZ495" s="187">
        <f>IF(AND(Input_Product=Elig!$C495,Elig_MatchAll_Ct&lt;22,$BC495=(Elig_MatchAll_Ct-1),AV495=0),U495,0)</f>
        <v>0</v>
      </c>
      <c r="CA495" s="186">
        <f>IF(AND(Input_Product=Elig!$C495,Elig_MatchAll_Ct&lt;22,$BC495=(Elig_MatchAll_Ct-1),AW495=0),V495,0)</f>
        <v>0</v>
      </c>
      <c r="CB495" s="187">
        <f>IF(AND(Input_Product=Elig!$C495,Elig_MatchAll_Ct&lt;22,$BC495=(Elig_MatchAll_Ct-1),AW495=0),W495,0)</f>
        <v>0</v>
      </c>
      <c r="CC495" s="186">
        <f>IF(AND(Input_Product=Elig!$C495,Elig_MatchAll_Ct&lt;22,$BC495=(Elig_MatchAll_Ct-1),AX495=0),X495,0)</f>
        <v>0</v>
      </c>
      <c r="CD495" s="187">
        <f>IF(AND(Input_Product=Elig!$C495,Elig_MatchAll_Ct&lt;22,$BC495=(Elig_MatchAll_Ct-1),AX495=0),Y495,0)</f>
        <v>0</v>
      </c>
      <c r="CE495" s="186">
        <f>IF(AND(Input_LTV&lt;=AE495,Input_Product=Elig!$C495,Elig_MatchAll_Ct&lt;22,$BC495=(Elig_MatchAll_Ct-1),AY495=0),Z495,0)</f>
        <v>0</v>
      </c>
      <c r="CF495" s="187">
        <f>IF(AND(Input_LTV&lt;=AE495,Input_Product=Elig!$C495,Elig_MatchAll_Ct&lt;22,$BC495=(Elig_MatchAll_Ct-1),AY495=0),AA495,0)</f>
        <v>0</v>
      </c>
      <c r="CG495" s="186">
        <f>IF(AND(Input_Product=Elig!$C495,Elig_MatchAll_Ct&lt;22,$BC495=(Elig_MatchAll_Ct-1),AZ495=0),AB495,0)</f>
        <v>0</v>
      </c>
      <c r="CH495" s="187">
        <f>IF(AND(Input_Product=Elig!$C495,Elig_MatchAll_Ct&lt;22,$BC495=(Elig_MatchAll_Ct-1),AZ495=0),AC495,0)</f>
        <v>0</v>
      </c>
      <c r="CI495" s="186">
        <f>IF(AND(Input_Product=Elig!$C495,Elig_MatchAll_Ct&lt;22,$BC495=(Elig_MatchAll_Ct-1),BA495=0),AD495,0)</f>
        <v>0</v>
      </c>
      <c r="CJ495" s="187">
        <f>IF(AND(Input_Product=Elig!$C495,Elig_MatchAll_Ct&lt;22,$BC495=(Elig_MatchAll_Ct-1),BA495=0),AE495,0)</f>
        <v>0</v>
      </c>
    </row>
    <row r="496" spans="1:88" ht="10.15" customHeight="1" x14ac:dyDescent="0.25">
      <c r="A496" s="252" t="s">
        <v>76</v>
      </c>
      <c r="B496" s="252" t="s">
        <v>2222</v>
      </c>
      <c r="C496" s="251" t="str">
        <f t="shared" si="183"/>
        <v>NonQM NOO</v>
      </c>
      <c r="D496" s="252" t="s">
        <v>1995</v>
      </c>
      <c r="E496" s="252" t="s">
        <v>166</v>
      </c>
      <c r="F496" s="252" t="s">
        <v>329</v>
      </c>
      <c r="G496" s="252" t="s">
        <v>178</v>
      </c>
      <c r="H496" s="252" t="s">
        <v>135</v>
      </c>
      <c r="I496" s="253" t="s">
        <v>16</v>
      </c>
      <c r="J496" s="253" t="s">
        <v>1130</v>
      </c>
      <c r="K496" s="253" t="s">
        <v>1398</v>
      </c>
      <c r="L496" s="252" t="s">
        <v>311</v>
      </c>
      <c r="M496" s="252" t="s">
        <v>2289</v>
      </c>
      <c r="N496" s="252" t="s">
        <v>1844</v>
      </c>
      <c r="O496" s="252" t="s">
        <v>309</v>
      </c>
      <c r="P496" s="252" t="s">
        <v>2434</v>
      </c>
      <c r="Q496" s="252" t="s">
        <v>293</v>
      </c>
      <c r="R496" s="252">
        <v>2500000.0099999998</v>
      </c>
      <c r="S496" s="252">
        <v>3000000</v>
      </c>
      <c r="T496" s="252">
        <v>0</v>
      </c>
      <c r="U496" s="252">
        <f t="shared" si="188"/>
        <v>3000000</v>
      </c>
      <c r="V496" s="252">
        <v>0</v>
      </c>
      <c r="W496" s="252">
        <v>50</v>
      </c>
      <c r="X496" s="252">
        <v>0</v>
      </c>
      <c r="Y496" s="252">
        <v>999</v>
      </c>
      <c r="Z496" s="254">
        <v>700</v>
      </c>
      <c r="AA496" s="254">
        <v>719</v>
      </c>
      <c r="AB496" s="1883">
        <v>0</v>
      </c>
      <c r="AC496" s="254">
        <v>999999</v>
      </c>
      <c r="AD496" s="252">
        <v>0</v>
      </c>
      <c r="AE496" s="255">
        <v>60</v>
      </c>
      <c r="AF496" s="144">
        <v>0</v>
      </c>
      <c r="AG496" s="145">
        <v>1</v>
      </c>
      <c r="AH496" s="145">
        <v>1</v>
      </c>
      <c r="AI496" s="145">
        <v>1</v>
      </c>
      <c r="AJ496" s="145">
        <v>0</v>
      </c>
      <c r="AK496" s="145">
        <v>1</v>
      </c>
      <c r="AL496" s="145">
        <v>0</v>
      </c>
      <c r="AM496" s="145">
        <v>1</v>
      </c>
      <c r="AN496" s="145">
        <v>1</v>
      </c>
      <c r="AO496" s="145">
        <v>1</v>
      </c>
      <c r="AP496" s="145">
        <v>1</v>
      </c>
      <c r="AQ496" s="145">
        <v>1</v>
      </c>
      <c r="AR496" s="145">
        <v>1</v>
      </c>
      <c r="AS496" s="145">
        <v>1</v>
      </c>
      <c r="AT496" s="145">
        <v>1</v>
      </c>
      <c r="AU496" s="145">
        <f t="shared" si="148"/>
        <v>0</v>
      </c>
      <c r="AV496" s="145">
        <f t="shared" si="149"/>
        <v>1</v>
      </c>
      <c r="AW496" s="145">
        <f t="shared" si="150"/>
        <v>1</v>
      </c>
      <c r="AX496" s="145">
        <f t="shared" si="161"/>
        <v>1</v>
      </c>
      <c r="AY496" s="145">
        <f t="shared" si="151"/>
        <v>0</v>
      </c>
      <c r="AZ496" s="145">
        <f t="shared" si="152"/>
        <v>1</v>
      </c>
      <c r="BA496" s="146">
        <f t="shared" si="153"/>
        <v>0</v>
      </c>
      <c r="BB496" s="149">
        <f t="shared" si="166"/>
        <v>16</v>
      </c>
      <c r="BC496" s="150">
        <f t="shared" si="167"/>
        <v>16</v>
      </c>
      <c r="BD496" s="150">
        <f t="shared" si="168"/>
        <v>16</v>
      </c>
      <c r="BE496" s="211" t="str">
        <f t="shared" si="169"/>
        <v/>
      </c>
      <c r="BH496" s="173">
        <f>IF(AND(Input_Product=Elig!$C496,Elig_MatchAll_Ct&lt;22,$BC496=(Elig_MatchAll_Ct-1),AF496=0),C496,0)</f>
        <v>0</v>
      </c>
      <c r="BI496" s="173">
        <f>IF(AND(Input_Product=Elig!$C496,Elig_MatchAll_Ct&lt;22,$BC496=(Elig_MatchAll_Ct-1),AG496=0),D496,0)</f>
        <v>0</v>
      </c>
      <c r="BJ496" s="173">
        <f>IF(AND(Input_Product=Elig!$C496,Elig_MatchAll_Ct&lt;22,$BC496=(Elig_MatchAll_Ct-1),AH496=0),E496,0)</f>
        <v>0</v>
      </c>
      <c r="BK496" s="173">
        <f>IF(AND(Input_Product=Elig!$C496,Elig_MatchAll_Ct&lt;22,$BC496=(Elig_MatchAll_Ct-1),AI496=0),F496,0)</f>
        <v>0</v>
      </c>
      <c r="BL496" s="173">
        <f>IF(AND(Input_Product=Elig!$C496,Elig_MatchAll_Ct&lt;22,$BC496=(Elig_MatchAll_Ct-1),AJ496=0),G496,0)</f>
        <v>0</v>
      </c>
      <c r="BM496" s="173">
        <f>IF(AND(Input_Product=Elig!$C496,Elig_MatchAll_Ct&lt;22,$BC496=(Elig_MatchAll_Ct-1),AK496=0),H496,0)</f>
        <v>0</v>
      </c>
      <c r="BN496" s="173">
        <f>IF(AND(Input_Product=Elig!$C496,Elig_MatchAll_Ct&lt;22,$BC496=(Elig_MatchAll_Ct-1),AL496=0),I496,0)</f>
        <v>0</v>
      </c>
      <c r="BO496" s="173">
        <f>IF(AND(Input_Product=Elig!$C496,Elig_MatchAll_Ct&lt;22,$BC496=(Elig_MatchAll_Ct-1),AM496=0),J496,0)</f>
        <v>0</v>
      </c>
      <c r="BP496" s="173">
        <f>IF(AND(Input_Product=Elig!$C496,Elig_MatchAll_Ct&lt;22,$BC496=(Elig_MatchAll_Ct-1),AN496=0),K496,0)</f>
        <v>0</v>
      </c>
      <c r="BQ496" s="173">
        <f>IF(AND(Input_Product=Elig!$C496,Elig_MatchAll_Ct&lt;22,$BC496=(Elig_MatchAll_Ct-1),AP496=0),L496,0)</f>
        <v>0</v>
      </c>
      <c r="BR496" s="173">
        <f>IF(AND(Input_Product=Elig!$C496,Elig_MatchAll_Ct&lt;22,$BC496=(Elig_MatchAll_Ct-1),AO496=0),M496,0)</f>
        <v>0</v>
      </c>
      <c r="BS496" s="173">
        <f>IF(AND(Input_Product=Elig!$C496,Elig_MatchAll_Ct&lt;22,$BC496=(Elig_MatchAll_Ct-1),AQ496=0),N496,0)</f>
        <v>0</v>
      </c>
      <c r="BT496" s="173">
        <f>IF(AND(Input_Product=Elig!$C496,Elig_MatchAll_Ct&lt;22,$BC496=(Elig_MatchAll_Ct-1),AR496=0),O496,0)</f>
        <v>0</v>
      </c>
      <c r="BU496" s="173">
        <f>IF(AND(Input_Product=Elig!$C496,Elig_MatchAll_Ct&lt;22,$BC496=(Elig_MatchAll_Ct-1),AS496=0),P496,0)</f>
        <v>0</v>
      </c>
      <c r="BV496" s="174">
        <f>IF(AND(Input_Product=Elig!$C496,Elig_MatchAll_Ct&lt;22,$BC496=(Elig_MatchAll_Ct-1),AT496=0),Q496,0)</f>
        <v>0</v>
      </c>
      <c r="BW496" s="175">
        <f>IF(AND(Input_Product=Elig!$C496,Elig_MatchAll_Ct&lt;22,$BC496=(Elig_MatchAll_Ct-1),AU496=0),R496,0)</f>
        <v>0</v>
      </c>
      <c r="BX496" s="176">
        <f>IF(AND(Input_Product=Elig!$C496,Elig_MatchAll_Ct&lt;22,$BC496=(Elig_MatchAll_Ct-1),AU496=0),S496,0)</f>
        <v>0</v>
      </c>
      <c r="BY496" s="175">
        <f>IF(AND(Input_Product=Elig!$C496,Elig_MatchAll_Ct&lt;22,$BC496=(Elig_MatchAll_Ct-1),AV496=0),T496,0)</f>
        <v>0</v>
      </c>
      <c r="BZ496" s="176">
        <f>IF(AND(Input_Product=Elig!$C496,Elig_MatchAll_Ct&lt;22,$BC496=(Elig_MatchAll_Ct-1),AV496=0),U496,0)</f>
        <v>0</v>
      </c>
      <c r="CA496" s="175">
        <f>IF(AND(Input_Product=Elig!$C496,Elig_MatchAll_Ct&lt;22,$BC496=(Elig_MatchAll_Ct-1),AW496=0),V496,0)</f>
        <v>0</v>
      </c>
      <c r="CB496" s="176">
        <f>IF(AND(Input_Product=Elig!$C496,Elig_MatchAll_Ct&lt;22,$BC496=(Elig_MatchAll_Ct-1),AW496=0),W496,0)</f>
        <v>0</v>
      </c>
      <c r="CC496" s="175">
        <f>IF(AND(Input_Product=Elig!$C496,Elig_MatchAll_Ct&lt;22,$BC496=(Elig_MatchAll_Ct-1),AX496=0),X496,0)</f>
        <v>0</v>
      </c>
      <c r="CD496" s="176">
        <f>IF(AND(Input_Product=Elig!$C496,Elig_MatchAll_Ct&lt;22,$BC496=(Elig_MatchAll_Ct-1),AX496=0),Y496,0)</f>
        <v>0</v>
      </c>
      <c r="CE496" s="175">
        <f>IF(AND(Input_LTV&lt;=AE496,Input_Product=Elig!$C496,Elig_MatchAll_Ct&lt;22,$BC496=(Elig_MatchAll_Ct-1),AY496=0),Z496,0)</f>
        <v>0</v>
      </c>
      <c r="CF496" s="176">
        <f>IF(AND(Input_LTV&lt;=AE496,Input_Product=Elig!$C496,Elig_MatchAll_Ct&lt;22,$BC496=(Elig_MatchAll_Ct-1),AY496=0),AA496,0)</f>
        <v>0</v>
      </c>
      <c r="CG496" s="175">
        <f>IF(AND(Input_Product=Elig!$C496,Elig_MatchAll_Ct&lt;22,$BC496=(Elig_MatchAll_Ct-1),AZ496=0),AB496,0)</f>
        <v>0</v>
      </c>
      <c r="CH496" s="176">
        <f>IF(AND(Input_Product=Elig!$C496,Elig_MatchAll_Ct&lt;22,$BC496=(Elig_MatchAll_Ct-1),AZ496=0),AC496,0)</f>
        <v>0</v>
      </c>
      <c r="CI496" s="175">
        <f>IF(AND(Input_Product=Elig!$C496,Elig_MatchAll_Ct&lt;22,$BC496=(Elig_MatchAll_Ct-1),BA496=0),AD496,0)</f>
        <v>0</v>
      </c>
      <c r="CJ496" s="176">
        <f>IF(AND(Input_Product=Elig!$C496,Elig_MatchAll_Ct&lt;22,$BC496=(Elig_MatchAll_Ct-1),BA496=0),AE496,0)</f>
        <v>0</v>
      </c>
    </row>
    <row r="497" spans="1:88" ht="10.15" customHeight="1" x14ac:dyDescent="0.25">
      <c r="A497" s="252" t="s">
        <v>76</v>
      </c>
      <c r="B497" s="252" t="s">
        <v>2223</v>
      </c>
      <c r="C497" s="256" t="str">
        <f t="shared" si="183"/>
        <v>NonQM NOO</v>
      </c>
      <c r="D497" s="257" t="s">
        <v>1995</v>
      </c>
      <c r="E497" s="257" t="s">
        <v>166</v>
      </c>
      <c r="F497" s="257" t="s">
        <v>329</v>
      </c>
      <c r="G497" s="257" t="s">
        <v>178</v>
      </c>
      <c r="H497" s="257" t="s">
        <v>135</v>
      </c>
      <c r="I497" s="260" t="s">
        <v>16</v>
      </c>
      <c r="J497" s="260" t="s">
        <v>1130</v>
      </c>
      <c r="K497" s="260" t="s">
        <v>1398</v>
      </c>
      <c r="L497" s="257" t="s">
        <v>311</v>
      </c>
      <c r="M497" s="257" t="s">
        <v>2289</v>
      </c>
      <c r="N497" s="257" t="s">
        <v>1844</v>
      </c>
      <c r="O497" s="257" t="s">
        <v>309</v>
      </c>
      <c r="P497" s="257" t="s">
        <v>2434</v>
      </c>
      <c r="Q497" s="257" t="s">
        <v>293</v>
      </c>
      <c r="R497" s="257">
        <v>2500000.0099999998</v>
      </c>
      <c r="S497" s="257">
        <v>3000000</v>
      </c>
      <c r="T497" s="257">
        <v>0</v>
      </c>
      <c r="U497" s="257">
        <f t="shared" si="188"/>
        <v>3000000</v>
      </c>
      <c r="V497" s="257">
        <v>0</v>
      </c>
      <c r="W497" s="257">
        <v>50</v>
      </c>
      <c r="X497" s="257">
        <v>0</v>
      </c>
      <c r="Y497" s="257">
        <v>999</v>
      </c>
      <c r="Z497" s="258">
        <v>680</v>
      </c>
      <c r="AA497" s="258">
        <v>699</v>
      </c>
      <c r="AB497" s="1884">
        <v>0</v>
      </c>
      <c r="AC497" s="258">
        <v>999999</v>
      </c>
      <c r="AD497" s="257">
        <v>0</v>
      </c>
      <c r="AE497" s="259">
        <v>60</v>
      </c>
      <c r="AF497" s="144">
        <v>0</v>
      </c>
      <c r="AG497" s="145">
        <v>1</v>
      </c>
      <c r="AH497" s="145">
        <v>1</v>
      </c>
      <c r="AI497" s="145">
        <v>1</v>
      </c>
      <c r="AJ497" s="145">
        <v>0</v>
      </c>
      <c r="AK497" s="145">
        <v>1</v>
      </c>
      <c r="AL497" s="145">
        <v>0</v>
      </c>
      <c r="AM497" s="145">
        <v>1</v>
      </c>
      <c r="AN497" s="145">
        <v>1</v>
      </c>
      <c r="AO497" s="145">
        <v>1</v>
      </c>
      <c r="AP497" s="145">
        <v>1</v>
      </c>
      <c r="AQ497" s="145">
        <v>1</v>
      </c>
      <c r="AR497" s="145">
        <v>1</v>
      </c>
      <c r="AS497" s="145">
        <v>1</v>
      </c>
      <c r="AT497" s="145">
        <v>1</v>
      </c>
      <c r="AU497" s="145">
        <f t="shared" si="148"/>
        <v>0</v>
      </c>
      <c r="AV497" s="145">
        <f t="shared" si="149"/>
        <v>1</v>
      </c>
      <c r="AW497" s="145">
        <f t="shared" si="150"/>
        <v>1</v>
      </c>
      <c r="AX497" s="145">
        <f t="shared" si="161"/>
        <v>1</v>
      </c>
      <c r="AY497" s="145">
        <f t="shared" si="151"/>
        <v>0</v>
      </c>
      <c r="AZ497" s="145">
        <f t="shared" si="152"/>
        <v>1</v>
      </c>
      <c r="BA497" s="146">
        <f t="shared" si="153"/>
        <v>0</v>
      </c>
      <c r="BB497" s="149">
        <f t="shared" si="166"/>
        <v>16</v>
      </c>
      <c r="BC497" s="150">
        <f t="shared" si="167"/>
        <v>16</v>
      </c>
      <c r="BD497" s="150">
        <f t="shared" si="168"/>
        <v>16</v>
      </c>
      <c r="BE497" s="211" t="str">
        <f t="shared" si="169"/>
        <v/>
      </c>
      <c r="BH497" s="188">
        <f>IF(AND(Input_Product=Elig!$C497,Elig_MatchAll_Ct&lt;22,$BC497=(Elig_MatchAll_Ct-1),AF497=0),C497,0)</f>
        <v>0</v>
      </c>
      <c r="BI497" s="188">
        <f>IF(AND(Input_Product=Elig!$C497,Elig_MatchAll_Ct&lt;22,$BC497=(Elig_MatchAll_Ct-1),AG497=0),D497,0)</f>
        <v>0</v>
      </c>
      <c r="BJ497" s="188">
        <f>IF(AND(Input_Product=Elig!$C497,Elig_MatchAll_Ct&lt;22,$BC497=(Elig_MatchAll_Ct-1),AH497=0),E497,0)</f>
        <v>0</v>
      </c>
      <c r="BK497" s="188">
        <f>IF(AND(Input_Product=Elig!$C497,Elig_MatchAll_Ct&lt;22,$BC497=(Elig_MatchAll_Ct-1),AI497=0),F497,0)</f>
        <v>0</v>
      </c>
      <c r="BL497" s="188">
        <f>IF(AND(Input_Product=Elig!$C497,Elig_MatchAll_Ct&lt;22,$BC497=(Elig_MatchAll_Ct-1),AJ497=0),G497,0)</f>
        <v>0</v>
      </c>
      <c r="BM497" s="188">
        <f>IF(AND(Input_Product=Elig!$C497,Elig_MatchAll_Ct&lt;22,$BC497=(Elig_MatchAll_Ct-1),AK497=0),H497,0)</f>
        <v>0</v>
      </c>
      <c r="BN497" s="188">
        <f>IF(AND(Input_Product=Elig!$C497,Elig_MatchAll_Ct&lt;22,$BC497=(Elig_MatchAll_Ct-1),AL497=0),I497,0)</f>
        <v>0</v>
      </c>
      <c r="BO497" s="188">
        <f>IF(AND(Input_Product=Elig!$C497,Elig_MatchAll_Ct&lt;22,$BC497=(Elig_MatchAll_Ct-1),AM497=0),J497,0)</f>
        <v>0</v>
      </c>
      <c r="BP497" s="188">
        <f>IF(AND(Input_Product=Elig!$C497,Elig_MatchAll_Ct&lt;22,$BC497=(Elig_MatchAll_Ct-1),AN497=0),K497,0)</f>
        <v>0</v>
      </c>
      <c r="BQ497" s="188">
        <f>IF(AND(Input_Product=Elig!$C497,Elig_MatchAll_Ct&lt;22,$BC497=(Elig_MatchAll_Ct-1),AP497=0),L497,0)</f>
        <v>0</v>
      </c>
      <c r="BR497" s="188">
        <f>IF(AND(Input_Product=Elig!$C497,Elig_MatchAll_Ct&lt;22,$BC497=(Elig_MatchAll_Ct-1),AO497=0),M497,0)</f>
        <v>0</v>
      </c>
      <c r="BS497" s="188">
        <f>IF(AND(Input_Product=Elig!$C497,Elig_MatchAll_Ct&lt;22,$BC497=(Elig_MatchAll_Ct-1),AQ497=0),N497,0)</f>
        <v>0</v>
      </c>
      <c r="BT497" s="188">
        <f>IF(AND(Input_Product=Elig!$C497,Elig_MatchAll_Ct&lt;22,$BC497=(Elig_MatchAll_Ct-1),AR497=0),O497,0)</f>
        <v>0</v>
      </c>
      <c r="BU497" s="188">
        <f>IF(AND(Input_Product=Elig!$C497,Elig_MatchAll_Ct&lt;22,$BC497=(Elig_MatchAll_Ct-1),AS497=0),P497,0)</f>
        <v>0</v>
      </c>
      <c r="BV497" s="189">
        <f>IF(AND(Input_Product=Elig!$C497,Elig_MatchAll_Ct&lt;22,$BC497=(Elig_MatchAll_Ct-1),AT497=0),Q497,0)</f>
        <v>0</v>
      </c>
      <c r="BW497" s="271">
        <f>IF(AND(Input_Product=Elig!$C497,Elig_MatchAll_Ct&lt;22,$BC497=(Elig_MatchAll_Ct-1),AU497=0),R497,0)</f>
        <v>0</v>
      </c>
      <c r="BX497" s="272">
        <f>IF(AND(Input_Product=Elig!$C497,Elig_MatchAll_Ct&lt;22,$BC497=(Elig_MatchAll_Ct-1),AU497=0),S497,0)</f>
        <v>0</v>
      </c>
      <c r="BY497" s="271">
        <f>IF(AND(Input_Product=Elig!$C497,Elig_MatchAll_Ct&lt;22,$BC497=(Elig_MatchAll_Ct-1),AV497=0),T497,0)</f>
        <v>0</v>
      </c>
      <c r="BZ497" s="272">
        <f>IF(AND(Input_Product=Elig!$C497,Elig_MatchAll_Ct&lt;22,$BC497=(Elig_MatchAll_Ct-1),AV497=0),U497,0)</f>
        <v>0</v>
      </c>
      <c r="CA497" s="271">
        <f>IF(AND(Input_Product=Elig!$C497,Elig_MatchAll_Ct&lt;22,$BC497=(Elig_MatchAll_Ct-1),AW497=0),V497,0)</f>
        <v>0</v>
      </c>
      <c r="CB497" s="272">
        <f>IF(AND(Input_Product=Elig!$C497,Elig_MatchAll_Ct&lt;22,$BC497=(Elig_MatchAll_Ct-1),AW497=0),W497,0)</f>
        <v>0</v>
      </c>
      <c r="CC497" s="271">
        <f>IF(AND(Input_Product=Elig!$C497,Elig_MatchAll_Ct&lt;22,$BC497=(Elig_MatchAll_Ct-1),AX497=0),X497,0)</f>
        <v>0</v>
      </c>
      <c r="CD497" s="272">
        <f>IF(AND(Input_Product=Elig!$C497,Elig_MatchAll_Ct&lt;22,$BC497=(Elig_MatchAll_Ct-1),AX497=0),Y497,0)</f>
        <v>0</v>
      </c>
      <c r="CE497" s="271">
        <f>IF(AND(Input_LTV&lt;=AE497,Input_Product=Elig!$C497,Elig_MatchAll_Ct&lt;22,$BC497=(Elig_MatchAll_Ct-1),AY497=0),Z497,0)</f>
        <v>0</v>
      </c>
      <c r="CF497" s="272">
        <f>IF(AND(Input_LTV&lt;=AE497,Input_Product=Elig!$C497,Elig_MatchAll_Ct&lt;22,$BC497=(Elig_MatchAll_Ct-1),AY497=0),AA497,0)</f>
        <v>0</v>
      </c>
      <c r="CG497" s="271">
        <f>IF(AND(Input_Product=Elig!$C497,Elig_MatchAll_Ct&lt;22,$BC497=(Elig_MatchAll_Ct-1),AZ497=0),AB497,0)</f>
        <v>0</v>
      </c>
      <c r="CH497" s="272">
        <f>IF(AND(Input_Product=Elig!$C497,Elig_MatchAll_Ct&lt;22,$BC497=(Elig_MatchAll_Ct-1),AZ497=0),AC497,0)</f>
        <v>0</v>
      </c>
      <c r="CI497" s="271">
        <f>IF(AND(Input_Product=Elig!$C497,Elig_MatchAll_Ct&lt;22,$BC497=(Elig_MatchAll_Ct-1),BA497=0),AD497,0)</f>
        <v>0</v>
      </c>
      <c r="CJ497" s="272">
        <f>IF(AND(Input_Product=Elig!$C497,Elig_MatchAll_Ct&lt;22,$BC497=(Elig_MatchAll_Ct-1),BA497=0),AE497,0)</f>
        <v>0</v>
      </c>
    </row>
    <row r="498" spans="1:88" ht="10.15" customHeight="1" x14ac:dyDescent="0.25">
      <c r="A498" s="252" t="s">
        <v>76</v>
      </c>
      <c r="B498" s="252" t="s">
        <v>2224</v>
      </c>
      <c r="C498" s="246" t="str">
        <f t="shared" si="183"/>
        <v>NonQM NOO</v>
      </c>
      <c r="D498" s="247" t="s">
        <v>1995</v>
      </c>
      <c r="E498" s="248" t="s">
        <v>166</v>
      </c>
      <c r="F498" s="248" t="s">
        <v>329</v>
      </c>
      <c r="G498" s="248" t="s">
        <v>304</v>
      </c>
      <c r="H498" s="248" t="s">
        <v>135</v>
      </c>
      <c r="I498" s="247" t="s">
        <v>273</v>
      </c>
      <c r="J498" s="247" t="s">
        <v>1130</v>
      </c>
      <c r="K498" s="247" t="s">
        <v>1398</v>
      </c>
      <c r="L498" s="248" t="s">
        <v>311</v>
      </c>
      <c r="M498" s="248" t="s">
        <v>2289</v>
      </c>
      <c r="N498" s="248" t="s">
        <v>1844</v>
      </c>
      <c r="O498" s="248" t="s">
        <v>309</v>
      </c>
      <c r="P498" s="248" t="s">
        <v>2434</v>
      </c>
      <c r="Q498" s="248" t="s">
        <v>293</v>
      </c>
      <c r="R498" s="247">
        <v>2500000.0099999998</v>
      </c>
      <c r="S498" s="247">
        <v>3000000</v>
      </c>
      <c r="T498" s="247">
        <v>0</v>
      </c>
      <c r="U498" s="247">
        <v>0</v>
      </c>
      <c r="V498" s="247">
        <v>0</v>
      </c>
      <c r="W498" s="247">
        <v>50</v>
      </c>
      <c r="X498" s="247">
        <v>0</v>
      </c>
      <c r="Y498" s="247">
        <v>999</v>
      </c>
      <c r="Z498" s="249">
        <v>720</v>
      </c>
      <c r="AA498" s="249">
        <v>999</v>
      </c>
      <c r="AB498" s="1882">
        <v>0</v>
      </c>
      <c r="AC498" s="249">
        <v>999999</v>
      </c>
      <c r="AD498" s="247">
        <v>0</v>
      </c>
      <c r="AE498" s="250">
        <v>65</v>
      </c>
      <c r="AF498" s="144">
        <v>0</v>
      </c>
      <c r="AG498" s="145">
        <v>1</v>
      </c>
      <c r="AH498" s="145">
        <v>1</v>
      </c>
      <c r="AI498" s="145">
        <v>1</v>
      </c>
      <c r="AJ498" s="145">
        <v>0</v>
      </c>
      <c r="AK498" s="145">
        <v>1</v>
      </c>
      <c r="AL498" s="145">
        <v>1</v>
      </c>
      <c r="AM498" s="145">
        <v>1</v>
      </c>
      <c r="AN498" s="145">
        <v>1</v>
      </c>
      <c r="AO498" s="145">
        <v>1</v>
      </c>
      <c r="AP498" s="145">
        <v>1</v>
      </c>
      <c r="AQ498" s="145">
        <v>1</v>
      </c>
      <c r="AR498" s="145">
        <v>1</v>
      </c>
      <c r="AS498" s="145">
        <v>1</v>
      </c>
      <c r="AT498" s="145">
        <v>1</v>
      </c>
      <c r="AU498" s="145">
        <f t="shared" si="148"/>
        <v>0</v>
      </c>
      <c r="AV498" s="145">
        <f t="shared" si="149"/>
        <v>1</v>
      </c>
      <c r="AW498" s="145">
        <f t="shared" si="150"/>
        <v>1</v>
      </c>
      <c r="AX498" s="145">
        <f t="shared" si="161"/>
        <v>1</v>
      </c>
      <c r="AY498" s="145">
        <f t="shared" si="151"/>
        <v>1</v>
      </c>
      <c r="AZ498" s="145">
        <f t="shared" si="152"/>
        <v>1</v>
      </c>
      <c r="BA498" s="146">
        <f t="shared" si="153"/>
        <v>0</v>
      </c>
      <c r="BB498" s="149">
        <f t="shared" si="166"/>
        <v>18</v>
      </c>
      <c r="BC498" s="150">
        <f t="shared" si="167"/>
        <v>18</v>
      </c>
      <c r="BD498" s="150">
        <f t="shared" si="168"/>
        <v>18</v>
      </c>
      <c r="BE498" s="211" t="str">
        <f t="shared" si="169"/>
        <v/>
      </c>
      <c r="BH498" s="184">
        <f>IF(AND(Input_Product=Elig!$C498,Elig_MatchAll_Ct&lt;22,$BC498=(Elig_MatchAll_Ct-1),AF498=0),C498,0)</f>
        <v>0</v>
      </c>
      <c r="BI498" s="184">
        <f>IF(AND(Input_Product=Elig!$C498,Elig_MatchAll_Ct&lt;22,$BC498=(Elig_MatchAll_Ct-1),AG498=0),D498,0)</f>
        <v>0</v>
      </c>
      <c r="BJ498" s="184">
        <f>IF(AND(Input_Product=Elig!$C498,Elig_MatchAll_Ct&lt;22,$BC498=(Elig_MatchAll_Ct-1),AH498=0),E498,0)</f>
        <v>0</v>
      </c>
      <c r="BK498" s="184">
        <f>IF(AND(Input_Product=Elig!$C498,Elig_MatchAll_Ct&lt;22,$BC498=(Elig_MatchAll_Ct-1),AI498=0),F498,0)</f>
        <v>0</v>
      </c>
      <c r="BL498" s="184">
        <f>IF(AND(Input_Product=Elig!$C498,Elig_MatchAll_Ct&lt;22,$BC498=(Elig_MatchAll_Ct-1),AJ498=0),G498,0)</f>
        <v>0</v>
      </c>
      <c r="BM498" s="184">
        <f>IF(AND(Input_Product=Elig!$C498,Elig_MatchAll_Ct&lt;22,$BC498=(Elig_MatchAll_Ct-1),AK498=0),H498,0)</f>
        <v>0</v>
      </c>
      <c r="BN498" s="184">
        <f>IF(AND(Input_Product=Elig!$C498,Elig_MatchAll_Ct&lt;22,$BC498=(Elig_MatchAll_Ct-1),AL498=0),I498,0)</f>
        <v>0</v>
      </c>
      <c r="BO498" s="184">
        <f>IF(AND(Input_Product=Elig!$C498,Elig_MatchAll_Ct&lt;22,$BC498=(Elig_MatchAll_Ct-1),AM498=0),J498,0)</f>
        <v>0</v>
      </c>
      <c r="BP498" s="184">
        <f>IF(AND(Input_Product=Elig!$C498,Elig_MatchAll_Ct&lt;22,$BC498=(Elig_MatchAll_Ct-1),AN498=0),K498,0)</f>
        <v>0</v>
      </c>
      <c r="BQ498" s="184">
        <f>IF(AND(Input_Product=Elig!$C498,Elig_MatchAll_Ct&lt;22,$BC498=(Elig_MatchAll_Ct-1),AP498=0),L498,0)</f>
        <v>0</v>
      </c>
      <c r="BR498" s="184">
        <f>IF(AND(Input_Product=Elig!$C498,Elig_MatchAll_Ct&lt;22,$BC498=(Elig_MatchAll_Ct-1),AO498=0),M498,0)</f>
        <v>0</v>
      </c>
      <c r="BS498" s="184">
        <f>IF(AND(Input_Product=Elig!$C498,Elig_MatchAll_Ct&lt;22,$BC498=(Elig_MatchAll_Ct-1),AQ498=0),N498,0)</f>
        <v>0</v>
      </c>
      <c r="BT498" s="184">
        <f>IF(AND(Input_Product=Elig!$C498,Elig_MatchAll_Ct&lt;22,$BC498=(Elig_MatchAll_Ct-1),AR498=0),O498,0)</f>
        <v>0</v>
      </c>
      <c r="BU498" s="184">
        <f>IF(AND(Input_Product=Elig!$C498,Elig_MatchAll_Ct&lt;22,$BC498=(Elig_MatchAll_Ct-1),AS498=0),P498,0)</f>
        <v>0</v>
      </c>
      <c r="BV498" s="185">
        <f>IF(AND(Input_Product=Elig!$C498,Elig_MatchAll_Ct&lt;22,$BC498=(Elig_MatchAll_Ct-1),AT498=0),Q498,0)</f>
        <v>0</v>
      </c>
      <c r="BW498" s="186">
        <f>IF(AND(Input_Product=Elig!$C498,Elig_MatchAll_Ct&lt;22,$BC498=(Elig_MatchAll_Ct-1),AU498=0),R498,0)</f>
        <v>0</v>
      </c>
      <c r="BX498" s="187">
        <f>IF(AND(Input_Product=Elig!$C498,Elig_MatchAll_Ct&lt;22,$BC498=(Elig_MatchAll_Ct-1),AU498=0),S498,0)</f>
        <v>0</v>
      </c>
      <c r="BY498" s="186">
        <f>IF(AND(Input_Product=Elig!$C498,Elig_MatchAll_Ct&lt;22,$BC498=(Elig_MatchAll_Ct-1),AV498=0),T498,0)</f>
        <v>0</v>
      </c>
      <c r="BZ498" s="187">
        <f>IF(AND(Input_Product=Elig!$C498,Elig_MatchAll_Ct&lt;22,$BC498=(Elig_MatchAll_Ct-1),AV498=0),U498,0)</f>
        <v>0</v>
      </c>
      <c r="CA498" s="186">
        <f>IF(AND(Input_Product=Elig!$C498,Elig_MatchAll_Ct&lt;22,$BC498=(Elig_MatchAll_Ct-1),AW498=0),V498,0)</f>
        <v>0</v>
      </c>
      <c r="CB498" s="187">
        <f>IF(AND(Input_Product=Elig!$C498,Elig_MatchAll_Ct&lt;22,$BC498=(Elig_MatchAll_Ct-1),AW498=0),W498,0)</f>
        <v>0</v>
      </c>
      <c r="CC498" s="186">
        <f>IF(AND(Input_Product=Elig!$C498,Elig_MatchAll_Ct&lt;22,$BC498=(Elig_MatchAll_Ct-1),AX498=0),X498,0)</f>
        <v>0</v>
      </c>
      <c r="CD498" s="187">
        <f>IF(AND(Input_Product=Elig!$C498,Elig_MatchAll_Ct&lt;22,$BC498=(Elig_MatchAll_Ct-1),AX498=0),Y498,0)</f>
        <v>0</v>
      </c>
      <c r="CE498" s="186">
        <f>IF(AND(Input_LTV&lt;=AE498,Input_Product=Elig!$C498,Elig_MatchAll_Ct&lt;22,$BC498=(Elig_MatchAll_Ct-1),AY498=0),Z498,0)</f>
        <v>0</v>
      </c>
      <c r="CF498" s="187">
        <f>IF(AND(Input_LTV&lt;=AE498,Input_Product=Elig!$C498,Elig_MatchAll_Ct&lt;22,$BC498=(Elig_MatchAll_Ct-1),AY498=0),AA498,0)</f>
        <v>0</v>
      </c>
      <c r="CG498" s="186">
        <f>IF(AND(Input_Product=Elig!$C498,Elig_MatchAll_Ct&lt;22,$BC498=(Elig_MatchAll_Ct-1),AZ498=0),AB498,0)</f>
        <v>0</v>
      </c>
      <c r="CH498" s="187">
        <f>IF(AND(Input_Product=Elig!$C498,Elig_MatchAll_Ct&lt;22,$BC498=(Elig_MatchAll_Ct-1),AZ498=0),AC498,0)</f>
        <v>0</v>
      </c>
      <c r="CI498" s="186">
        <f>IF(AND(Input_Product=Elig!$C498,Elig_MatchAll_Ct&lt;22,$BC498=(Elig_MatchAll_Ct-1),BA498=0),AD498,0)</f>
        <v>0</v>
      </c>
      <c r="CJ498" s="187">
        <f>IF(AND(Input_Product=Elig!$C498,Elig_MatchAll_Ct&lt;22,$BC498=(Elig_MatchAll_Ct-1),BA498=0),AE498,0)</f>
        <v>0</v>
      </c>
    </row>
    <row r="499" spans="1:88" ht="10.15" customHeight="1" x14ac:dyDescent="0.25">
      <c r="A499" s="252" t="s">
        <v>76</v>
      </c>
      <c r="B499" s="252" t="s">
        <v>2225</v>
      </c>
      <c r="C499" s="251" t="str">
        <f t="shared" si="183"/>
        <v>NonQM NOO</v>
      </c>
      <c r="D499" s="252" t="s">
        <v>1995</v>
      </c>
      <c r="E499" s="252" t="s">
        <v>166</v>
      </c>
      <c r="F499" s="252" t="s">
        <v>329</v>
      </c>
      <c r="G499" s="252" t="s">
        <v>304</v>
      </c>
      <c r="H499" s="252" t="s">
        <v>135</v>
      </c>
      <c r="I499" s="253" t="s">
        <v>273</v>
      </c>
      <c r="J499" s="253" t="s">
        <v>1130</v>
      </c>
      <c r="K499" s="253" t="s">
        <v>1398</v>
      </c>
      <c r="L499" s="252" t="s">
        <v>311</v>
      </c>
      <c r="M499" s="252" t="s">
        <v>2289</v>
      </c>
      <c r="N499" s="252" t="s">
        <v>1844</v>
      </c>
      <c r="O499" s="252" t="s">
        <v>309</v>
      </c>
      <c r="P499" s="252" t="s">
        <v>2434</v>
      </c>
      <c r="Q499" s="252" t="s">
        <v>293</v>
      </c>
      <c r="R499" s="252">
        <v>2500000.0099999998</v>
      </c>
      <c r="S499" s="252">
        <v>3000000</v>
      </c>
      <c r="T499" s="252">
        <v>0</v>
      </c>
      <c r="U499" s="252">
        <v>0</v>
      </c>
      <c r="V499" s="252">
        <v>0</v>
      </c>
      <c r="W499" s="252">
        <v>50</v>
      </c>
      <c r="X499" s="252">
        <v>0</v>
      </c>
      <c r="Y499" s="252">
        <v>999</v>
      </c>
      <c r="Z499" s="254">
        <v>700</v>
      </c>
      <c r="AA499" s="254">
        <v>719</v>
      </c>
      <c r="AB499" s="1883">
        <v>0</v>
      </c>
      <c r="AC499" s="254">
        <v>999999</v>
      </c>
      <c r="AD499" s="252">
        <v>0</v>
      </c>
      <c r="AE499" s="255">
        <v>65</v>
      </c>
      <c r="AF499" s="144">
        <v>0</v>
      </c>
      <c r="AG499" s="145">
        <v>1</v>
      </c>
      <c r="AH499" s="145">
        <v>1</v>
      </c>
      <c r="AI499" s="145">
        <v>1</v>
      </c>
      <c r="AJ499" s="145">
        <v>0</v>
      </c>
      <c r="AK499" s="145">
        <v>1</v>
      </c>
      <c r="AL499" s="145">
        <v>1</v>
      </c>
      <c r="AM499" s="145">
        <v>1</v>
      </c>
      <c r="AN499" s="145">
        <v>1</v>
      </c>
      <c r="AO499" s="145">
        <v>1</v>
      </c>
      <c r="AP499" s="145">
        <v>1</v>
      </c>
      <c r="AQ499" s="145">
        <v>1</v>
      </c>
      <c r="AR499" s="145">
        <v>1</v>
      </c>
      <c r="AS499" s="145">
        <v>1</v>
      </c>
      <c r="AT499" s="145">
        <v>1</v>
      </c>
      <c r="AU499" s="145">
        <f t="shared" si="148"/>
        <v>0</v>
      </c>
      <c r="AV499" s="145">
        <f t="shared" si="149"/>
        <v>1</v>
      </c>
      <c r="AW499" s="145">
        <f t="shared" si="150"/>
        <v>1</v>
      </c>
      <c r="AX499" s="145">
        <f t="shared" si="161"/>
        <v>1</v>
      </c>
      <c r="AY499" s="145">
        <f t="shared" si="151"/>
        <v>0</v>
      </c>
      <c r="AZ499" s="145">
        <f t="shared" si="152"/>
        <v>1</v>
      </c>
      <c r="BA499" s="146">
        <f t="shared" si="153"/>
        <v>0</v>
      </c>
      <c r="BB499" s="149">
        <f t="shared" si="166"/>
        <v>17</v>
      </c>
      <c r="BC499" s="150">
        <f t="shared" si="167"/>
        <v>17</v>
      </c>
      <c r="BD499" s="150">
        <f t="shared" si="168"/>
        <v>17</v>
      </c>
      <c r="BE499" s="211" t="str">
        <f t="shared" si="169"/>
        <v/>
      </c>
      <c r="BH499" s="173">
        <f>IF(AND(Input_Product=Elig!$C499,Elig_MatchAll_Ct&lt;22,$BC499=(Elig_MatchAll_Ct-1),AF499=0),C499,0)</f>
        <v>0</v>
      </c>
      <c r="BI499" s="173">
        <f>IF(AND(Input_Product=Elig!$C499,Elig_MatchAll_Ct&lt;22,$BC499=(Elig_MatchAll_Ct-1),AG499=0),D499,0)</f>
        <v>0</v>
      </c>
      <c r="BJ499" s="173">
        <f>IF(AND(Input_Product=Elig!$C499,Elig_MatchAll_Ct&lt;22,$BC499=(Elig_MatchAll_Ct-1),AH499=0),E499,0)</f>
        <v>0</v>
      </c>
      <c r="BK499" s="173">
        <f>IF(AND(Input_Product=Elig!$C499,Elig_MatchAll_Ct&lt;22,$BC499=(Elig_MatchAll_Ct-1),AI499=0),F499,0)</f>
        <v>0</v>
      </c>
      <c r="BL499" s="173">
        <f>IF(AND(Input_Product=Elig!$C499,Elig_MatchAll_Ct&lt;22,$BC499=(Elig_MatchAll_Ct-1),AJ499=0),G499,0)</f>
        <v>0</v>
      </c>
      <c r="BM499" s="173">
        <f>IF(AND(Input_Product=Elig!$C499,Elig_MatchAll_Ct&lt;22,$BC499=(Elig_MatchAll_Ct-1),AK499=0),H499,0)</f>
        <v>0</v>
      </c>
      <c r="BN499" s="173">
        <f>IF(AND(Input_Product=Elig!$C499,Elig_MatchAll_Ct&lt;22,$BC499=(Elig_MatchAll_Ct-1),AL499=0),I499,0)</f>
        <v>0</v>
      </c>
      <c r="BO499" s="173">
        <f>IF(AND(Input_Product=Elig!$C499,Elig_MatchAll_Ct&lt;22,$BC499=(Elig_MatchAll_Ct-1),AM499=0),J499,0)</f>
        <v>0</v>
      </c>
      <c r="BP499" s="173">
        <f>IF(AND(Input_Product=Elig!$C499,Elig_MatchAll_Ct&lt;22,$BC499=(Elig_MatchAll_Ct-1),AN499=0),K499,0)</f>
        <v>0</v>
      </c>
      <c r="BQ499" s="173">
        <f>IF(AND(Input_Product=Elig!$C499,Elig_MatchAll_Ct&lt;22,$BC499=(Elig_MatchAll_Ct-1),AP499=0),L499,0)</f>
        <v>0</v>
      </c>
      <c r="BR499" s="173">
        <f>IF(AND(Input_Product=Elig!$C499,Elig_MatchAll_Ct&lt;22,$BC499=(Elig_MatchAll_Ct-1),AO499=0),M499,0)</f>
        <v>0</v>
      </c>
      <c r="BS499" s="173">
        <f>IF(AND(Input_Product=Elig!$C499,Elig_MatchAll_Ct&lt;22,$BC499=(Elig_MatchAll_Ct-1),AQ499=0),N499,0)</f>
        <v>0</v>
      </c>
      <c r="BT499" s="173">
        <f>IF(AND(Input_Product=Elig!$C499,Elig_MatchAll_Ct&lt;22,$BC499=(Elig_MatchAll_Ct-1),AR499=0),O499,0)</f>
        <v>0</v>
      </c>
      <c r="BU499" s="173">
        <f>IF(AND(Input_Product=Elig!$C499,Elig_MatchAll_Ct&lt;22,$BC499=(Elig_MatchAll_Ct-1),AS499=0),P499,0)</f>
        <v>0</v>
      </c>
      <c r="BV499" s="174">
        <f>IF(AND(Input_Product=Elig!$C499,Elig_MatchAll_Ct&lt;22,$BC499=(Elig_MatchAll_Ct-1),AT499=0),Q499,0)</f>
        <v>0</v>
      </c>
      <c r="BW499" s="175">
        <f>IF(AND(Input_Product=Elig!$C499,Elig_MatchAll_Ct&lt;22,$BC499=(Elig_MatchAll_Ct-1),AU499=0),R499,0)</f>
        <v>0</v>
      </c>
      <c r="BX499" s="176">
        <f>IF(AND(Input_Product=Elig!$C499,Elig_MatchAll_Ct&lt;22,$BC499=(Elig_MatchAll_Ct-1),AU499=0),S499,0)</f>
        <v>0</v>
      </c>
      <c r="BY499" s="175">
        <f>IF(AND(Input_Product=Elig!$C499,Elig_MatchAll_Ct&lt;22,$BC499=(Elig_MatchAll_Ct-1),AV499=0),T499,0)</f>
        <v>0</v>
      </c>
      <c r="BZ499" s="176">
        <f>IF(AND(Input_Product=Elig!$C499,Elig_MatchAll_Ct&lt;22,$BC499=(Elig_MatchAll_Ct-1),AV499=0),U499,0)</f>
        <v>0</v>
      </c>
      <c r="CA499" s="175">
        <f>IF(AND(Input_Product=Elig!$C499,Elig_MatchAll_Ct&lt;22,$BC499=(Elig_MatchAll_Ct-1),AW499=0),V499,0)</f>
        <v>0</v>
      </c>
      <c r="CB499" s="176">
        <f>IF(AND(Input_Product=Elig!$C499,Elig_MatchAll_Ct&lt;22,$BC499=(Elig_MatchAll_Ct-1),AW499=0),W499,0)</f>
        <v>0</v>
      </c>
      <c r="CC499" s="175">
        <f>IF(AND(Input_Product=Elig!$C499,Elig_MatchAll_Ct&lt;22,$BC499=(Elig_MatchAll_Ct-1),AX499=0),X499,0)</f>
        <v>0</v>
      </c>
      <c r="CD499" s="176">
        <f>IF(AND(Input_Product=Elig!$C499,Elig_MatchAll_Ct&lt;22,$BC499=(Elig_MatchAll_Ct-1),AX499=0),Y499,0)</f>
        <v>0</v>
      </c>
      <c r="CE499" s="175">
        <f>IF(AND(Input_LTV&lt;=AE499,Input_Product=Elig!$C499,Elig_MatchAll_Ct&lt;22,$BC499=(Elig_MatchAll_Ct-1),AY499=0),Z499,0)</f>
        <v>0</v>
      </c>
      <c r="CF499" s="176">
        <f>IF(AND(Input_LTV&lt;=AE499,Input_Product=Elig!$C499,Elig_MatchAll_Ct&lt;22,$BC499=(Elig_MatchAll_Ct-1),AY499=0),AA499,0)</f>
        <v>0</v>
      </c>
      <c r="CG499" s="175">
        <f>IF(AND(Input_Product=Elig!$C499,Elig_MatchAll_Ct&lt;22,$BC499=(Elig_MatchAll_Ct-1),AZ499=0),AB499,0)</f>
        <v>0</v>
      </c>
      <c r="CH499" s="176">
        <f>IF(AND(Input_Product=Elig!$C499,Elig_MatchAll_Ct&lt;22,$BC499=(Elig_MatchAll_Ct-1),AZ499=0),AC499,0)</f>
        <v>0</v>
      </c>
      <c r="CI499" s="175">
        <f>IF(AND(Input_Product=Elig!$C499,Elig_MatchAll_Ct&lt;22,$BC499=(Elig_MatchAll_Ct-1),BA499=0),AD499,0)</f>
        <v>0</v>
      </c>
      <c r="CJ499" s="176">
        <f>IF(AND(Input_Product=Elig!$C499,Elig_MatchAll_Ct&lt;22,$BC499=(Elig_MatchAll_Ct-1),BA499=0),AE499,0)</f>
        <v>0</v>
      </c>
    </row>
    <row r="500" spans="1:88" ht="10.15" customHeight="1" x14ac:dyDescent="0.25">
      <c r="A500" s="252" t="s">
        <v>76</v>
      </c>
      <c r="B500" s="252" t="s">
        <v>2226</v>
      </c>
      <c r="C500" s="256" t="str">
        <f t="shared" si="183"/>
        <v>NonQM NOO</v>
      </c>
      <c r="D500" s="257" t="s">
        <v>1995</v>
      </c>
      <c r="E500" s="257" t="s">
        <v>166</v>
      </c>
      <c r="F500" s="257" t="s">
        <v>329</v>
      </c>
      <c r="G500" s="257" t="s">
        <v>304</v>
      </c>
      <c r="H500" s="257" t="s">
        <v>135</v>
      </c>
      <c r="I500" s="260" t="s">
        <v>273</v>
      </c>
      <c r="J500" s="260" t="s">
        <v>1130</v>
      </c>
      <c r="K500" s="260" t="s">
        <v>1398</v>
      </c>
      <c r="L500" s="257" t="s">
        <v>311</v>
      </c>
      <c r="M500" s="257" t="s">
        <v>2289</v>
      </c>
      <c r="N500" s="257" t="s">
        <v>1844</v>
      </c>
      <c r="O500" s="257" t="s">
        <v>309</v>
      </c>
      <c r="P500" s="257" t="s">
        <v>2434</v>
      </c>
      <c r="Q500" s="257" t="s">
        <v>293</v>
      </c>
      <c r="R500" s="257">
        <v>2500000.0099999998</v>
      </c>
      <c r="S500" s="257">
        <v>3000000</v>
      </c>
      <c r="T500" s="257">
        <v>0</v>
      </c>
      <c r="U500" s="257">
        <v>0</v>
      </c>
      <c r="V500" s="257">
        <v>0</v>
      </c>
      <c r="W500" s="257">
        <v>50</v>
      </c>
      <c r="X500" s="257">
        <v>0</v>
      </c>
      <c r="Y500" s="257">
        <v>999</v>
      </c>
      <c r="Z500" s="258">
        <v>680</v>
      </c>
      <c r="AA500" s="258">
        <v>699</v>
      </c>
      <c r="AB500" s="1884">
        <v>0</v>
      </c>
      <c r="AC500" s="258">
        <v>999999</v>
      </c>
      <c r="AD500" s="257">
        <v>0</v>
      </c>
      <c r="AE500" s="259">
        <v>65</v>
      </c>
      <c r="AF500" s="144">
        <v>0</v>
      </c>
      <c r="AG500" s="145">
        <v>1</v>
      </c>
      <c r="AH500" s="145">
        <v>1</v>
      </c>
      <c r="AI500" s="145">
        <v>1</v>
      </c>
      <c r="AJ500" s="145">
        <v>0</v>
      </c>
      <c r="AK500" s="145">
        <v>1</v>
      </c>
      <c r="AL500" s="145">
        <v>1</v>
      </c>
      <c r="AM500" s="145">
        <v>1</v>
      </c>
      <c r="AN500" s="145">
        <v>1</v>
      </c>
      <c r="AO500" s="145">
        <v>1</v>
      </c>
      <c r="AP500" s="145">
        <v>1</v>
      </c>
      <c r="AQ500" s="145">
        <v>1</v>
      </c>
      <c r="AR500" s="145">
        <v>1</v>
      </c>
      <c r="AS500" s="145">
        <v>1</v>
      </c>
      <c r="AT500" s="145">
        <v>1</v>
      </c>
      <c r="AU500" s="145">
        <f t="shared" si="148"/>
        <v>0</v>
      </c>
      <c r="AV500" s="145">
        <f t="shared" si="149"/>
        <v>1</v>
      </c>
      <c r="AW500" s="145">
        <f t="shared" si="150"/>
        <v>1</v>
      </c>
      <c r="AX500" s="145">
        <f t="shared" si="161"/>
        <v>1</v>
      </c>
      <c r="AY500" s="145">
        <f t="shared" si="151"/>
        <v>0</v>
      </c>
      <c r="AZ500" s="145">
        <f t="shared" si="152"/>
        <v>1</v>
      </c>
      <c r="BA500" s="146">
        <f t="shared" si="153"/>
        <v>0</v>
      </c>
      <c r="BB500" s="149">
        <f t="shared" si="166"/>
        <v>17</v>
      </c>
      <c r="BC500" s="150">
        <f t="shared" si="167"/>
        <v>17</v>
      </c>
      <c r="BD500" s="150">
        <f t="shared" si="168"/>
        <v>17</v>
      </c>
      <c r="BE500" s="211" t="str">
        <f t="shared" si="169"/>
        <v/>
      </c>
      <c r="BH500" s="188">
        <f>IF(AND(Input_Product=Elig!$C500,Elig_MatchAll_Ct&lt;22,$BC500=(Elig_MatchAll_Ct-1),AF500=0),C500,0)</f>
        <v>0</v>
      </c>
      <c r="BI500" s="188">
        <f>IF(AND(Input_Product=Elig!$C500,Elig_MatchAll_Ct&lt;22,$BC500=(Elig_MatchAll_Ct-1),AG500=0),D500,0)</f>
        <v>0</v>
      </c>
      <c r="BJ500" s="188">
        <f>IF(AND(Input_Product=Elig!$C500,Elig_MatchAll_Ct&lt;22,$BC500=(Elig_MatchAll_Ct-1),AH500=0),E500,0)</f>
        <v>0</v>
      </c>
      <c r="BK500" s="188">
        <f>IF(AND(Input_Product=Elig!$C500,Elig_MatchAll_Ct&lt;22,$BC500=(Elig_MatchAll_Ct-1),AI500=0),F500,0)</f>
        <v>0</v>
      </c>
      <c r="BL500" s="188">
        <f>IF(AND(Input_Product=Elig!$C500,Elig_MatchAll_Ct&lt;22,$BC500=(Elig_MatchAll_Ct-1),AJ500=0),G500,0)</f>
        <v>0</v>
      </c>
      <c r="BM500" s="188">
        <f>IF(AND(Input_Product=Elig!$C500,Elig_MatchAll_Ct&lt;22,$BC500=(Elig_MatchAll_Ct-1),AK500=0),H500,0)</f>
        <v>0</v>
      </c>
      <c r="BN500" s="188">
        <f>IF(AND(Input_Product=Elig!$C500,Elig_MatchAll_Ct&lt;22,$BC500=(Elig_MatchAll_Ct-1),AL500=0),I500,0)</f>
        <v>0</v>
      </c>
      <c r="BO500" s="188">
        <f>IF(AND(Input_Product=Elig!$C500,Elig_MatchAll_Ct&lt;22,$BC500=(Elig_MatchAll_Ct-1),AM500=0),J500,0)</f>
        <v>0</v>
      </c>
      <c r="BP500" s="188">
        <f>IF(AND(Input_Product=Elig!$C500,Elig_MatchAll_Ct&lt;22,$BC500=(Elig_MatchAll_Ct-1),AN500=0),K500,0)</f>
        <v>0</v>
      </c>
      <c r="BQ500" s="188">
        <f>IF(AND(Input_Product=Elig!$C500,Elig_MatchAll_Ct&lt;22,$BC500=(Elig_MatchAll_Ct-1),AP500=0),L500,0)</f>
        <v>0</v>
      </c>
      <c r="BR500" s="188">
        <f>IF(AND(Input_Product=Elig!$C500,Elig_MatchAll_Ct&lt;22,$BC500=(Elig_MatchAll_Ct-1),AO500=0),M500,0)</f>
        <v>0</v>
      </c>
      <c r="BS500" s="188">
        <f>IF(AND(Input_Product=Elig!$C500,Elig_MatchAll_Ct&lt;22,$BC500=(Elig_MatchAll_Ct-1),AQ500=0),N500,0)</f>
        <v>0</v>
      </c>
      <c r="BT500" s="188">
        <f>IF(AND(Input_Product=Elig!$C500,Elig_MatchAll_Ct&lt;22,$BC500=(Elig_MatchAll_Ct-1),AR500=0),O500,0)</f>
        <v>0</v>
      </c>
      <c r="BU500" s="188">
        <f>IF(AND(Input_Product=Elig!$C500,Elig_MatchAll_Ct&lt;22,$BC500=(Elig_MatchAll_Ct-1),AS500=0),P500,0)</f>
        <v>0</v>
      </c>
      <c r="BV500" s="189">
        <f>IF(AND(Input_Product=Elig!$C500,Elig_MatchAll_Ct&lt;22,$BC500=(Elig_MatchAll_Ct-1),AT500=0),Q500,0)</f>
        <v>0</v>
      </c>
      <c r="BW500" s="271">
        <f>IF(AND(Input_Product=Elig!$C500,Elig_MatchAll_Ct&lt;22,$BC500=(Elig_MatchAll_Ct-1),AU500=0),R500,0)</f>
        <v>0</v>
      </c>
      <c r="BX500" s="272">
        <f>IF(AND(Input_Product=Elig!$C500,Elig_MatchAll_Ct&lt;22,$BC500=(Elig_MatchAll_Ct-1),AU500=0),S500,0)</f>
        <v>0</v>
      </c>
      <c r="BY500" s="271">
        <f>IF(AND(Input_Product=Elig!$C500,Elig_MatchAll_Ct&lt;22,$BC500=(Elig_MatchAll_Ct-1),AV500=0),T500,0)</f>
        <v>0</v>
      </c>
      <c r="BZ500" s="272">
        <f>IF(AND(Input_Product=Elig!$C500,Elig_MatchAll_Ct&lt;22,$BC500=(Elig_MatchAll_Ct-1),AV500=0),U500,0)</f>
        <v>0</v>
      </c>
      <c r="CA500" s="271">
        <f>IF(AND(Input_Product=Elig!$C500,Elig_MatchAll_Ct&lt;22,$BC500=(Elig_MatchAll_Ct-1),AW500=0),V500,0)</f>
        <v>0</v>
      </c>
      <c r="CB500" s="272">
        <f>IF(AND(Input_Product=Elig!$C500,Elig_MatchAll_Ct&lt;22,$BC500=(Elig_MatchAll_Ct-1),AW500=0),W500,0)</f>
        <v>0</v>
      </c>
      <c r="CC500" s="271">
        <f>IF(AND(Input_Product=Elig!$C500,Elig_MatchAll_Ct&lt;22,$BC500=(Elig_MatchAll_Ct-1),AX500=0),X500,0)</f>
        <v>0</v>
      </c>
      <c r="CD500" s="272">
        <f>IF(AND(Input_Product=Elig!$C500,Elig_MatchAll_Ct&lt;22,$BC500=(Elig_MatchAll_Ct-1),AX500=0),Y500,0)</f>
        <v>0</v>
      </c>
      <c r="CE500" s="271">
        <f>IF(AND(Input_LTV&lt;=AE500,Input_Product=Elig!$C500,Elig_MatchAll_Ct&lt;22,$BC500=(Elig_MatchAll_Ct-1),AY500=0),Z500,0)</f>
        <v>0</v>
      </c>
      <c r="CF500" s="272">
        <f>IF(AND(Input_LTV&lt;=AE500,Input_Product=Elig!$C500,Elig_MatchAll_Ct&lt;22,$BC500=(Elig_MatchAll_Ct-1),AY500=0),AA500,0)</f>
        <v>0</v>
      </c>
      <c r="CG500" s="271">
        <f>IF(AND(Input_Product=Elig!$C500,Elig_MatchAll_Ct&lt;22,$BC500=(Elig_MatchAll_Ct-1),AZ500=0),AB500,0)</f>
        <v>0</v>
      </c>
      <c r="CH500" s="272">
        <f>IF(AND(Input_Product=Elig!$C500,Elig_MatchAll_Ct&lt;22,$BC500=(Elig_MatchAll_Ct-1),AZ500=0),AC500,0)</f>
        <v>0</v>
      </c>
      <c r="CI500" s="271">
        <f>IF(AND(Input_Product=Elig!$C500,Elig_MatchAll_Ct&lt;22,$BC500=(Elig_MatchAll_Ct-1),BA500=0),AD500,0)</f>
        <v>0</v>
      </c>
      <c r="CJ500" s="272">
        <f>IF(AND(Input_Product=Elig!$C500,Elig_MatchAll_Ct&lt;22,$BC500=(Elig_MatchAll_Ct-1),BA500=0),AE500,0)</f>
        <v>0</v>
      </c>
    </row>
    <row r="501" spans="1:88" ht="10.15" customHeight="1" x14ac:dyDescent="0.25">
      <c r="A501" s="252" t="s">
        <v>76</v>
      </c>
      <c r="B501" s="252" t="s">
        <v>2227</v>
      </c>
      <c r="C501" s="246" t="str">
        <f t="shared" si="183"/>
        <v>NonQM NOO</v>
      </c>
      <c r="D501" s="247" t="s">
        <v>1995</v>
      </c>
      <c r="E501" s="248" t="s">
        <v>166</v>
      </c>
      <c r="F501" s="248" t="s">
        <v>329</v>
      </c>
      <c r="G501" s="248" t="s">
        <v>304</v>
      </c>
      <c r="H501" s="248" t="s">
        <v>135</v>
      </c>
      <c r="I501" s="247" t="s">
        <v>16</v>
      </c>
      <c r="J501" s="247" t="s">
        <v>1130</v>
      </c>
      <c r="K501" s="247" t="s">
        <v>1398</v>
      </c>
      <c r="L501" s="248" t="s">
        <v>311</v>
      </c>
      <c r="M501" s="248" t="s">
        <v>2289</v>
      </c>
      <c r="N501" s="248" t="s">
        <v>1844</v>
      </c>
      <c r="O501" s="248" t="s">
        <v>309</v>
      </c>
      <c r="P501" s="248" t="s">
        <v>2434</v>
      </c>
      <c r="Q501" s="248" t="s">
        <v>293</v>
      </c>
      <c r="R501" s="247">
        <v>2500000.0099999998</v>
      </c>
      <c r="S501" s="247">
        <v>3000000</v>
      </c>
      <c r="T501" s="247">
        <v>0</v>
      </c>
      <c r="U501" s="247">
        <f t="shared" ref="U501:U503" si="189">S501</f>
        <v>3000000</v>
      </c>
      <c r="V501" s="247">
        <v>0</v>
      </c>
      <c r="W501" s="247">
        <v>50</v>
      </c>
      <c r="X501" s="247">
        <v>0</v>
      </c>
      <c r="Y501" s="247">
        <v>999</v>
      </c>
      <c r="Z501" s="249">
        <v>720</v>
      </c>
      <c r="AA501" s="249">
        <v>999</v>
      </c>
      <c r="AB501" s="1882">
        <v>0</v>
      </c>
      <c r="AC501" s="249">
        <v>999999</v>
      </c>
      <c r="AD501" s="247">
        <v>0</v>
      </c>
      <c r="AE501" s="250">
        <v>60</v>
      </c>
      <c r="AF501" s="144">
        <v>0</v>
      </c>
      <c r="AG501" s="145">
        <v>1</v>
      </c>
      <c r="AH501" s="145">
        <v>1</v>
      </c>
      <c r="AI501" s="145">
        <v>1</v>
      </c>
      <c r="AJ501" s="145">
        <v>0</v>
      </c>
      <c r="AK501" s="145">
        <v>1</v>
      </c>
      <c r="AL501" s="145">
        <v>0</v>
      </c>
      <c r="AM501" s="145">
        <v>1</v>
      </c>
      <c r="AN501" s="145">
        <v>1</v>
      </c>
      <c r="AO501" s="145">
        <v>1</v>
      </c>
      <c r="AP501" s="145">
        <v>1</v>
      </c>
      <c r="AQ501" s="145">
        <v>1</v>
      </c>
      <c r="AR501" s="145">
        <v>1</v>
      </c>
      <c r="AS501" s="145">
        <v>1</v>
      </c>
      <c r="AT501" s="145">
        <v>1</v>
      </c>
      <c r="AU501" s="145">
        <f t="shared" si="148"/>
        <v>0</v>
      </c>
      <c r="AV501" s="145">
        <f t="shared" si="149"/>
        <v>1</v>
      </c>
      <c r="AW501" s="145">
        <f t="shared" si="150"/>
        <v>1</v>
      </c>
      <c r="AX501" s="145">
        <f t="shared" si="161"/>
        <v>1</v>
      </c>
      <c r="AY501" s="145">
        <f t="shared" si="151"/>
        <v>1</v>
      </c>
      <c r="AZ501" s="145">
        <f t="shared" si="152"/>
        <v>1</v>
      </c>
      <c r="BA501" s="146">
        <f t="shared" si="153"/>
        <v>0</v>
      </c>
      <c r="BB501" s="149">
        <f t="shared" si="166"/>
        <v>17</v>
      </c>
      <c r="BC501" s="150">
        <f t="shared" si="167"/>
        <v>17</v>
      </c>
      <c r="BD501" s="150">
        <f t="shared" si="168"/>
        <v>17</v>
      </c>
      <c r="BE501" s="211" t="str">
        <f t="shared" si="169"/>
        <v/>
      </c>
      <c r="BH501" s="184">
        <f>IF(AND(Input_Product=Elig!$C501,Elig_MatchAll_Ct&lt;22,$BC501=(Elig_MatchAll_Ct-1),AF501=0),C501,0)</f>
        <v>0</v>
      </c>
      <c r="BI501" s="184">
        <f>IF(AND(Input_Product=Elig!$C501,Elig_MatchAll_Ct&lt;22,$BC501=(Elig_MatchAll_Ct-1),AG501=0),D501,0)</f>
        <v>0</v>
      </c>
      <c r="BJ501" s="184">
        <f>IF(AND(Input_Product=Elig!$C501,Elig_MatchAll_Ct&lt;22,$BC501=(Elig_MatchAll_Ct-1),AH501=0),E501,0)</f>
        <v>0</v>
      </c>
      <c r="BK501" s="184">
        <f>IF(AND(Input_Product=Elig!$C501,Elig_MatchAll_Ct&lt;22,$BC501=(Elig_MatchAll_Ct-1),AI501=0),F501,0)</f>
        <v>0</v>
      </c>
      <c r="BL501" s="184">
        <f>IF(AND(Input_Product=Elig!$C501,Elig_MatchAll_Ct&lt;22,$BC501=(Elig_MatchAll_Ct-1),AJ501=0),G501,0)</f>
        <v>0</v>
      </c>
      <c r="BM501" s="184">
        <f>IF(AND(Input_Product=Elig!$C501,Elig_MatchAll_Ct&lt;22,$BC501=(Elig_MatchAll_Ct-1),AK501=0),H501,0)</f>
        <v>0</v>
      </c>
      <c r="BN501" s="184">
        <f>IF(AND(Input_Product=Elig!$C501,Elig_MatchAll_Ct&lt;22,$BC501=(Elig_MatchAll_Ct-1),AL501=0),I501,0)</f>
        <v>0</v>
      </c>
      <c r="BO501" s="184">
        <f>IF(AND(Input_Product=Elig!$C501,Elig_MatchAll_Ct&lt;22,$BC501=(Elig_MatchAll_Ct-1),AM501=0),J501,0)</f>
        <v>0</v>
      </c>
      <c r="BP501" s="184">
        <f>IF(AND(Input_Product=Elig!$C501,Elig_MatchAll_Ct&lt;22,$BC501=(Elig_MatchAll_Ct-1),AN501=0),K501,0)</f>
        <v>0</v>
      </c>
      <c r="BQ501" s="184">
        <f>IF(AND(Input_Product=Elig!$C501,Elig_MatchAll_Ct&lt;22,$BC501=(Elig_MatchAll_Ct-1),AP501=0),L501,0)</f>
        <v>0</v>
      </c>
      <c r="BR501" s="184">
        <f>IF(AND(Input_Product=Elig!$C501,Elig_MatchAll_Ct&lt;22,$BC501=(Elig_MatchAll_Ct-1),AO501=0),M501,0)</f>
        <v>0</v>
      </c>
      <c r="BS501" s="184">
        <f>IF(AND(Input_Product=Elig!$C501,Elig_MatchAll_Ct&lt;22,$BC501=(Elig_MatchAll_Ct-1),AQ501=0),N501,0)</f>
        <v>0</v>
      </c>
      <c r="BT501" s="184">
        <f>IF(AND(Input_Product=Elig!$C501,Elig_MatchAll_Ct&lt;22,$BC501=(Elig_MatchAll_Ct-1),AR501=0),O501,0)</f>
        <v>0</v>
      </c>
      <c r="BU501" s="184">
        <f>IF(AND(Input_Product=Elig!$C501,Elig_MatchAll_Ct&lt;22,$BC501=(Elig_MatchAll_Ct-1),AS501=0),P501,0)</f>
        <v>0</v>
      </c>
      <c r="BV501" s="185">
        <f>IF(AND(Input_Product=Elig!$C501,Elig_MatchAll_Ct&lt;22,$BC501=(Elig_MatchAll_Ct-1),AT501=0),Q501,0)</f>
        <v>0</v>
      </c>
      <c r="BW501" s="186">
        <f>IF(AND(Input_Product=Elig!$C501,Elig_MatchAll_Ct&lt;22,$BC501=(Elig_MatchAll_Ct-1),AU501=0),R501,0)</f>
        <v>0</v>
      </c>
      <c r="BX501" s="187">
        <f>IF(AND(Input_Product=Elig!$C501,Elig_MatchAll_Ct&lt;22,$BC501=(Elig_MatchAll_Ct-1),AU501=0),S501,0)</f>
        <v>0</v>
      </c>
      <c r="BY501" s="186">
        <f>IF(AND(Input_Product=Elig!$C501,Elig_MatchAll_Ct&lt;22,$BC501=(Elig_MatchAll_Ct-1),AV501=0),T501,0)</f>
        <v>0</v>
      </c>
      <c r="BZ501" s="187">
        <f>IF(AND(Input_Product=Elig!$C501,Elig_MatchAll_Ct&lt;22,$BC501=(Elig_MatchAll_Ct-1),AV501=0),U501,0)</f>
        <v>0</v>
      </c>
      <c r="CA501" s="186">
        <f>IF(AND(Input_Product=Elig!$C501,Elig_MatchAll_Ct&lt;22,$BC501=(Elig_MatchAll_Ct-1),AW501=0),V501,0)</f>
        <v>0</v>
      </c>
      <c r="CB501" s="187">
        <f>IF(AND(Input_Product=Elig!$C501,Elig_MatchAll_Ct&lt;22,$BC501=(Elig_MatchAll_Ct-1),AW501=0),W501,0)</f>
        <v>0</v>
      </c>
      <c r="CC501" s="186">
        <f>IF(AND(Input_Product=Elig!$C501,Elig_MatchAll_Ct&lt;22,$BC501=(Elig_MatchAll_Ct-1),AX501=0),X501,0)</f>
        <v>0</v>
      </c>
      <c r="CD501" s="187">
        <f>IF(AND(Input_Product=Elig!$C501,Elig_MatchAll_Ct&lt;22,$BC501=(Elig_MatchAll_Ct-1),AX501=0),Y501,0)</f>
        <v>0</v>
      </c>
      <c r="CE501" s="186">
        <f>IF(AND(Input_LTV&lt;=AE501,Input_Product=Elig!$C501,Elig_MatchAll_Ct&lt;22,$BC501=(Elig_MatchAll_Ct-1),AY501=0),Z501,0)</f>
        <v>0</v>
      </c>
      <c r="CF501" s="187">
        <f>IF(AND(Input_LTV&lt;=AE501,Input_Product=Elig!$C501,Elig_MatchAll_Ct&lt;22,$BC501=(Elig_MatchAll_Ct-1),AY501=0),AA501,0)</f>
        <v>0</v>
      </c>
      <c r="CG501" s="186">
        <f>IF(AND(Input_Product=Elig!$C501,Elig_MatchAll_Ct&lt;22,$BC501=(Elig_MatchAll_Ct-1),AZ501=0),AB501,0)</f>
        <v>0</v>
      </c>
      <c r="CH501" s="187">
        <f>IF(AND(Input_Product=Elig!$C501,Elig_MatchAll_Ct&lt;22,$BC501=(Elig_MatchAll_Ct-1),AZ501=0),AC501,0)</f>
        <v>0</v>
      </c>
      <c r="CI501" s="186">
        <f>IF(AND(Input_Product=Elig!$C501,Elig_MatchAll_Ct&lt;22,$BC501=(Elig_MatchAll_Ct-1),BA501=0),AD501,0)</f>
        <v>0</v>
      </c>
      <c r="CJ501" s="187">
        <f>IF(AND(Input_Product=Elig!$C501,Elig_MatchAll_Ct&lt;22,$BC501=(Elig_MatchAll_Ct-1),BA501=0),AE501,0)</f>
        <v>0</v>
      </c>
    </row>
    <row r="502" spans="1:88" ht="10.15" customHeight="1" x14ac:dyDescent="0.25">
      <c r="A502" s="252" t="s">
        <v>76</v>
      </c>
      <c r="B502" s="252" t="s">
        <v>2228</v>
      </c>
      <c r="C502" s="251" t="str">
        <f t="shared" si="183"/>
        <v>NonQM NOO</v>
      </c>
      <c r="D502" s="252" t="s">
        <v>1995</v>
      </c>
      <c r="E502" s="252" t="s">
        <v>166</v>
      </c>
      <c r="F502" s="252" t="s">
        <v>329</v>
      </c>
      <c r="G502" s="252" t="s">
        <v>304</v>
      </c>
      <c r="H502" s="252" t="s">
        <v>135</v>
      </c>
      <c r="I502" s="253" t="s">
        <v>16</v>
      </c>
      <c r="J502" s="253" t="s">
        <v>1130</v>
      </c>
      <c r="K502" s="253" t="s">
        <v>1398</v>
      </c>
      <c r="L502" s="252" t="s">
        <v>311</v>
      </c>
      <c r="M502" s="252" t="s">
        <v>2289</v>
      </c>
      <c r="N502" s="252" t="s">
        <v>1844</v>
      </c>
      <c r="O502" s="252" t="s">
        <v>309</v>
      </c>
      <c r="P502" s="252" t="s">
        <v>2434</v>
      </c>
      <c r="Q502" s="252" t="s">
        <v>293</v>
      </c>
      <c r="R502" s="252">
        <v>2500000.0099999998</v>
      </c>
      <c r="S502" s="252">
        <v>3000000</v>
      </c>
      <c r="T502" s="252">
        <v>0</v>
      </c>
      <c r="U502" s="252">
        <f t="shared" si="189"/>
        <v>3000000</v>
      </c>
      <c r="V502" s="252">
        <v>0</v>
      </c>
      <c r="W502" s="252">
        <v>50</v>
      </c>
      <c r="X502" s="252">
        <v>0</v>
      </c>
      <c r="Y502" s="252">
        <v>999</v>
      </c>
      <c r="Z502" s="254">
        <v>700</v>
      </c>
      <c r="AA502" s="254">
        <v>719</v>
      </c>
      <c r="AB502" s="1883">
        <v>0</v>
      </c>
      <c r="AC502" s="254">
        <v>999999</v>
      </c>
      <c r="AD502" s="252">
        <v>0</v>
      </c>
      <c r="AE502" s="255">
        <v>60</v>
      </c>
      <c r="AF502" s="144">
        <v>0</v>
      </c>
      <c r="AG502" s="145">
        <v>1</v>
      </c>
      <c r="AH502" s="145">
        <v>1</v>
      </c>
      <c r="AI502" s="145">
        <v>1</v>
      </c>
      <c r="AJ502" s="145">
        <v>0</v>
      </c>
      <c r="AK502" s="145">
        <v>1</v>
      </c>
      <c r="AL502" s="145">
        <v>0</v>
      </c>
      <c r="AM502" s="145">
        <v>1</v>
      </c>
      <c r="AN502" s="145">
        <v>1</v>
      </c>
      <c r="AO502" s="145">
        <v>1</v>
      </c>
      <c r="AP502" s="145">
        <v>1</v>
      </c>
      <c r="AQ502" s="145">
        <v>1</v>
      </c>
      <c r="AR502" s="145">
        <v>1</v>
      </c>
      <c r="AS502" s="145">
        <v>1</v>
      </c>
      <c r="AT502" s="145">
        <v>1</v>
      </c>
      <c r="AU502" s="145">
        <f t="shared" si="148"/>
        <v>0</v>
      </c>
      <c r="AV502" s="145">
        <f t="shared" si="149"/>
        <v>1</v>
      </c>
      <c r="AW502" s="145">
        <f t="shared" si="150"/>
        <v>1</v>
      </c>
      <c r="AX502" s="145">
        <f t="shared" si="161"/>
        <v>1</v>
      </c>
      <c r="AY502" s="145">
        <f t="shared" si="151"/>
        <v>0</v>
      </c>
      <c r="AZ502" s="145">
        <f t="shared" si="152"/>
        <v>1</v>
      </c>
      <c r="BA502" s="146">
        <f t="shared" si="153"/>
        <v>0</v>
      </c>
      <c r="BB502" s="149">
        <f t="shared" si="166"/>
        <v>16</v>
      </c>
      <c r="BC502" s="150">
        <f t="shared" si="167"/>
        <v>16</v>
      </c>
      <c r="BD502" s="150">
        <f t="shared" si="168"/>
        <v>16</v>
      </c>
      <c r="BE502" s="211" t="str">
        <f t="shared" si="169"/>
        <v/>
      </c>
      <c r="BH502" s="173">
        <f>IF(AND(Input_Product=Elig!$C502,Elig_MatchAll_Ct&lt;22,$BC502=(Elig_MatchAll_Ct-1),AF502=0),C502,0)</f>
        <v>0</v>
      </c>
      <c r="BI502" s="173">
        <f>IF(AND(Input_Product=Elig!$C502,Elig_MatchAll_Ct&lt;22,$BC502=(Elig_MatchAll_Ct-1),AG502=0),D502,0)</f>
        <v>0</v>
      </c>
      <c r="BJ502" s="173">
        <f>IF(AND(Input_Product=Elig!$C502,Elig_MatchAll_Ct&lt;22,$BC502=(Elig_MatchAll_Ct-1),AH502=0),E502,0)</f>
        <v>0</v>
      </c>
      <c r="BK502" s="173">
        <f>IF(AND(Input_Product=Elig!$C502,Elig_MatchAll_Ct&lt;22,$BC502=(Elig_MatchAll_Ct-1),AI502=0),F502,0)</f>
        <v>0</v>
      </c>
      <c r="BL502" s="173">
        <f>IF(AND(Input_Product=Elig!$C502,Elig_MatchAll_Ct&lt;22,$BC502=(Elig_MatchAll_Ct-1),AJ502=0),G502,0)</f>
        <v>0</v>
      </c>
      <c r="BM502" s="173">
        <f>IF(AND(Input_Product=Elig!$C502,Elig_MatchAll_Ct&lt;22,$BC502=(Elig_MatchAll_Ct-1),AK502=0),H502,0)</f>
        <v>0</v>
      </c>
      <c r="BN502" s="173">
        <f>IF(AND(Input_Product=Elig!$C502,Elig_MatchAll_Ct&lt;22,$BC502=(Elig_MatchAll_Ct-1),AL502=0),I502,0)</f>
        <v>0</v>
      </c>
      <c r="BO502" s="173">
        <f>IF(AND(Input_Product=Elig!$C502,Elig_MatchAll_Ct&lt;22,$BC502=(Elig_MatchAll_Ct-1),AM502=0),J502,0)</f>
        <v>0</v>
      </c>
      <c r="BP502" s="173">
        <f>IF(AND(Input_Product=Elig!$C502,Elig_MatchAll_Ct&lt;22,$BC502=(Elig_MatchAll_Ct-1),AN502=0),K502,0)</f>
        <v>0</v>
      </c>
      <c r="BQ502" s="173">
        <f>IF(AND(Input_Product=Elig!$C502,Elig_MatchAll_Ct&lt;22,$BC502=(Elig_MatchAll_Ct-1),AP502=0),L502,0)</f>
        <v>0</v>
      </c>
      <c r="BR502" s="173">
        <f>IF(AND(Input_Product=Elig!$C502,Elig_MatchAll_Ct&lt;22,$BC502=(Elig_MatchAll_Ct-1),AO502=0),M502,0)</f>
        <v>0</v>
      </c>
      <c r="BS502" s="173">
        <f>IF(AND(Input_Product=Elig!$C502,Elig_MatchAll_Ct&lt;22,$BC502=(Elig_MatchAll_Ct-1),AQ502=0),N502,0)</f>
        <v>0</v>
      </c>
      <c r="BT502" s="173">
        <f>IF(AND(Input_Product=Elig!$C502,Elig_MatchAll_Ct&lt;22,$BC502=(Elig_MatchAll_Ct-1),AR502=0),O502,0)</f>
        <v>0</v>
      </c>
      <c r="BU502" s="173">
        <f>IF(AND(Input_Product=Elig!$C502,Elig_MatchAll_Ct&lt;22,$BC502=(Elig_MatchAll_Ct-1),AS502=0),P502,0)</f>
        <v>0</v>
      </c>
      <c r="BV502" s="174">
        <f>IF(AND(Input_Product=Elig!$C502,Elig_MatchAll_Ct&lt;22,$BC502=(Elig_MatchAll_Ct-1),AT502=0),Q502,0)</f>
        <v>0</v>
      </c>
      <c r="BW502" s="175">
        <f>IF(AND(Input_Product=Elig!$C502,Elig_MatchAll_Ct&lt;22,$BC502=(Elig_MatchAll_Ct-1),AU502=0),R502,0)</f>
        <v>0</v>
      </c>
      <c r="BX502" s="176">
        <f>IF(AND(Input_Product=Elig!$C502,Elig_MatchAll_Ct&lt;22,$BC502=(Elig_MatchAll_Ct-1),AU502=0),S502,0)</f>
        <v>0</v>
      </c>
      <c r="BY502" s="175">
        <f>IF(AND(Input_Product=Elig!$C502,Elig_MatchAll_Ct&lt;22,$BC502=(Elig_MatchAll_Ct-1),AV502=0),T502,0)</f>
        <v>0</v>
      </c>
      <c r="BZ502" s="176">
        <f>IF(AND(Input_Product=Elig!$C502,Elig_MatchAll_Ct&lt;22,$BC502=(Elig_MatchAll_Ct-1),AV502=0),U502,0)</f>
        <v>0</v>
      </c>
      <c r="CA502" s="175">
        <f>IF(AND(Input_Product=Elig!$C502,Elig_MatchAll_Ct&lt;22,$BC502=(Elig_MatchAll_Ct-1),AW502=0),V502,0)</f>
        <v>0</v>
      </c>
      <c r="CB502" s="176">
        <f>IF(AND(Input_Product=Elig!$C502,Elig_MatchAll_Ct&lt;22,$BC502=(Elig_MatchAll_Ct-1),AW502=0),W502,0)</f>
        <v>0</v>
      </c>
      <c r="CC502" s="175">
        <f>IF(AND(Input_Product=Elig!$C502,Elig_MatchAll_Ct&lt;22,$BC502=(Elig_MatchAll_Ct-1),AX502=0),X502,0)</f>
        <v>0</v>
      </c>
      <c r="CD502" s="176">
        <f>IF(AND(Input_Product=Elig!$C502,Elig_MatchAll_Ct&lt;22,$BC502=(Elig_MatchAll_Ct-1),AX502=0),Y502,0)</f>
        <v>0</v>
      </c>
      <c r="CE502" s="175">
        <f>IF(AND(Input_LTV&lt;=AE502,Input_Product=Elig!$C502,Elig_MatchAll_Ct&lt;22,$BC502=(Elig_MatchAll_Ct-1),AY502=0),Z502,0)</f>
        <v>0</v>
      </c>
      <c r="CF502" s="176">
        <f>IF(AND(Input_LTV&lt;=AE502,Input_Product=Elig!$C502,Elig_MatchAll_Ct&lt;22,$BC502=(Elig_MatchAll_Ct-1),AY502=0),AA502,0)</f>
        <v>0</v>
      </c>
      <c r="CG502" s="175">
        <f>IF(AND(Input_Product=Elig!$C502,Elig_MatchAll_Ct&lt;22,$BC502=(Elig_MatchAll_Ct-1),AZ502=0),AB502,0)</f>
        <v>0</v>
      </c>
      <c r="CH502" s="176">
        <f>IF(AND(Input_Product=Elig!$C502,Elig_MatchAll_Ct&lt;22,$BC502=(Elig_MatchAll_Ct-1),AZ502=0),AC502,0)</f>
        <v>0</v>
      </c>
      <c r="CI502" s="175">
        <f>IF(AND(Input_Product=Elig!$C502,Elig_MatchAll_Ct&lt;22,$BC502=(Elig_MatchAll_Ct-1),BA502=0),AD502,0)</f>
        <v>0</v>
      </c>
      <c r="CJ502" s="176">
        <f>IF(AND(Input_Product=Elig!$C502,Elig_MatchAll_Ct&lt;22,$BC502=(Elig_MatchAll_Ct-1),BA502=0),AE502,0)</f>
        <v>0</v>
      </c>
    </row>
    <row r="503" spans="1:88" ht="10.15" customHeight="1" x14ac:dyDescent="0.25">
      <c r="A503" s="252" t="s">
        <v>76</v>
      </c>
      <c r="B503" s="252" t="s">
        <v>2229</v>
      </c>
      <c r="C503" s="256" t="str">
        <f t="shared" si="183"/>
        <v>NonQM NOO</v>
      </c>
      <c r="D503" s="257" t="s">
        <v>1995</v>
      </c>
      <c r="E503" s="257" t="s">
        <v>166</v>
      </c>
      <c r="F503" s="257" t="s">
        <v>329</v>
      </c>
      <c r="G503" s="257" t="s">
        <v>304</v>
      </c>
      <c r="H503" s="257" t="s">
        <v>135</v>
      </c>
      <c r="I503" s="260" t="s">
        <v>16</v>
      </c>
      <c r="J503" s="260" t="s">
        <v>1130</v>
      </c>
      <c r="K503" s="260" t="s">
        <v>1398</v>
      </c>
      <c r="L503" s="257" t="s">
        <v>311</v>
      </c>
      <c r="M503" s="257" t="s">
        <v>2289</v>
      </c>
      <c r="N503" s="257" t="s">
        <v>1844</v>
      </c>
      <c r="O503" s="257" t="s">
        <v>309</v>
      </c>
      <c r="P503" s="257" t="s">
        <v>2434</v>
      </c>
      <c r="Q503" s="257" t="s">
        <v>293</v>
      </c>
      <c r="R503" s="257">
        <v>2500000.0099999998</v>
      </c>
      <c r="S503" s="257">
        <v>3000000</v>
      </c>
      <c r="T503" s="257">
        <v>0</v>
      </c>
      <c r="U503" s="257">
        <f t="shared" si="189"/>
        <v>3000000</v>
      </c>
      <c r="V503" s="257">
        <v>0</v>
      </c>
      <c r="W503" s="257">
        <v>50</v>
      </c>
      <c r="X503" s="257">
        <v>0</v>
      </c>
      <c r="Y503" s="257">
        <v>999</v>
      </c>
      <c r="Z503" s="258">
        <v>680</v>
      </c>
      <c r="AA503" s="258">
        <v>699</v>
      </c>
      <c r="AB503" s="1884">
        <v>0</v>
      </c>
      <c r="AC503" s="258">
        <v>999999</v>
      </c>
      <c r="AD503" s="257">
        <v>0</v>
      </c>
      <c r="AE503" s="259">
        <v>60</v>
      </c>
      <c r="AF503" s="144">
        <v>0</v>
      </c>
      <c r="AG503" s="145">
        <v>1</v>
      </c>
      <c r="AH503" s="145">
        <v>1</v>
      </c>
      <c r="AI503" s="145">
        <v>1</v>
      </c>
      <c r="AJ503" s="145">
        <v>0</v>
      </c>
      <c r="AK503" s="145">
        <v>1</v>
      </c>
      <c r="AL503" s="145">
        <v>0</v>
      </c>
      <c r="AM503" s="145">
        <v>1</v>
      </c>
      <c r="AN503" s="145">
        <v>1</v>
      </c>
      <c r="AO503" s="145">
        <v>1</v>
      </c>
      <c r="AP503" s="145">
        <v>1</v>
      </c>
      <c r="AQ503" s="145">
        <v>1</v>
      </c>
      <c r="AR503" s="145">
        <v>1</v>
      </c>
      <c r="AS503" s="145">
        <v>1</v>
      </c>
      <c r="AT503" s="145">
        <v>1</v>
      </c>
      <c r="AU503" s="145">
        <f t="shared" si="148"/>
        <v>0</v>
      </c>
      <c r="AV503" s="145">
        <f t="shared" si="149"/>
        <v>1</v>
      </c>
      <c r="AW503" s="145">
        <f t="shared" si="150"/>
        <v>1</v>
      </c>
      <c r="AX503" s="145">
        <f t="shared" si="161"/>
        <v>1</v>
      </c>
      <c r="AY503" s="145">
        <f t="shared" si="151"/>
        <v>0</v>
      </c>
      <c r="AZ503" s="145">
        <f t="shared" si="152"/>
        <v>1</v>
      </c>
      <c r="BA503" s="146">
        <f t="shared" si="153"/>
        <v>0</v>
      </c>
      <c r="BB503" s="149">
        <f t="shared" si="166"/>
        <v>16</v>
      </c>
      <c r="BC503" s="150">
        <f t="shared" si="167"/>
        <v>16</v>
      </c>
      <c r="BD503" s="150">
        <f t="shared" si="168"/>
        <v>16</v>
      </c>
      <c r="BE503" s="211" t="str">
        <f t="shared" si="169"/>
        <v/>
      </c>
      <c r="BH503" s="188">
        <f>IF(AND(Input_Product=Elig!$C503,Elig_MatchAll_Ct&lt;22,$BC503=(Elig_MatchAll_Ct-1),AF503=0),C503,0)</f>
        <v>0</v>
      </c>
      <c r="BI503" s="188">
        <f>IF(AND(Input_Product=Elig!$C503,Elig_MatchAll_Ct&lt;22,$BC503=(Elig_MatchAll_Ct-1),AG503=0),D503,0)</f>
        <v>0</v>
      </c>
      <c r="BJ503" s="188">
        <f>IF(AND(Input_Product=Elig!$C503,Elig_MatchAll_Ct&lt;22,$BC503=(Elig_MatchAll_Ct-1),AH503=0),E503,0)</f>
        <v>0</v>
      </c>
      <c r="BK503" s="188">
        <f>IF(AND(Input_Product=Elig!$C503,Elig_MatchAll_Ct&lt;22,$BC503=(Elig_MatchAll_Ct-1),AI503=0),F503,0)</f>
        <v>0</v>
      </c>
      <c r="BL503" s="188">
        <f>IF(AND(Input_Product=Elig!$C503,Elig_MatchAll_Ct&lt;22,$BC503=(Elig_MatchAll_Ct-1),AJ503=0),G503,0)</f>
        <v>0</v>
      </c>
      <c r="BM503" s="188">
        <f>IF(AND(Input_Product=Elig!$C503,Elig_MatchAll_Ct&lt;22,$BC503=(Elig_MatchAll_Ct-1),AK503=0),H503,0)</f>
        <v>0</v>
      </c>
      <c r="BN503" s="188">
        <f>IF(AND(Input_Product=Elig!$C503,Elig_MatchAll_Ct&lt;22,$BC503=(Elig_MatchAll_Ct-1),AL503=0),I503,0)</f>
        <v>0</v>
      </c>
      <c r="BO503" s="188">
        <f>IF(AND(Input_Product=Elig!$C503,Elig_MatchAll_Ct&lt;22,$BC503=(Elig_MatchAll_Ct-1),AM503=0),J503,0)</f>
        <v>0</v>
      </c>
      <c r="BP503" s="188">
        <f>IF(AND(Input_Product=Elig!$C503,Elig_MatchAll_Ct&lt;22,$BC503=(Elig_MatchAll_Ct-1),AN503=0),K503,0)</f>
        <v>0</v>
      </c>
      <c r="BQ503" s="188">
        <f>IF(AND(Input_Product=Elig!$C503,Elig_MatchAll_Ct&lt;22,$BC503=(Elig_MatchAll_Ct-1),AP503=0),L503,0)</f>
        <v>0</v>
      </c>
      <c r="BR503" s="188">
        <f>IF(AND(Input_Product=Elig!$C503,Elig_MatchAll_Ct&lt;22,$BC503=(Elig_MatchAll_Ct-1),AO503=0),M503,0)</f>
        <v>0</v>
      </c>
      <c r="BS503" s="188">
        <f>IF(AND(Input_Product=Elig!$C503,Elig_MatchAll_Ct&lt;22,$BC503=(Elig_MatchAll_Ct-1),AQ503=0),N503,0)</f>
        <v>0</v>
      </c>
      <c r="BT503" s="188">
        <f>IF(AND(Input_Product=Elig!$C503,Elig_MatchAll_Ct&lt;22,$BC503=(Elig_MatchAll_Ct-1),AR503=0),O503,0)</f>
        <v>0</v>
      </c>
      <c r="BU503" s="188">
        <f>IF(AND(Input_Product=Elig!$C503,Elig_MatchAll_Ct&lt;22,$BC503=(Elig_MatchAll_Ct-1),AS503=0),P503,0)</f>
        <v>0</v>
      </c>
      <c r="BV503" s="189">
        <f>IF(AND(Input_Product=Elig!$C503,Elig_MatchAll_Ct&lt;22,$BC503=(Elig_MatchAll_Ct-1),AT503=0),Q503,0)</f>
        <v>0</v>
      </c>
      <c r="BW503" s="271">
        <f>IF(AND(Input_Product=Elig!$C503,Elig_MatchAll_Ct&lt;22,$BC503=(Elig_MatchAll_Ct-1),AU503=0),R503,0)</f>
        <v>0</v>
      </c>
      <c r="BX503" s="272">
        <f>IF(AND(Input_Product=Elig!$C503,Elig_MatchAll_Ct&lt;22,$BC503=(Elig_MatchAll_Ct-1),AU503=0),S503,0)</f>
        <v>0</v>
      </c>
      <c r="BY503" s="271">
        <f>IF(AND(Input_Product=Elig!$C503,Elig_MatchAll_Ct&lt;22,$BC503=(Elig_MatchAll_Ct-1),AV503=0),T503,0)</f>
        <v>0</v>
      </c>
      <c r="BZ503" s="272">
        <f>IF(AND(Input_Product=Elig!$C503,Elig_MatchAll_Ct&lt;22,$BC503=(Elig_MatchAll_Ct-1),AV503=0),U503,0)</f>
        <v>0</v>
      </c>
      <c r="CA503" s="271">
        <f>IF(AND(Input_Product=Elig!$C503,Elig_MatchAll_Ct&lt;22,$BC503=(Elig_MatchAll_Ct-1),AW503=0),V503,0)</f>
        <v>0</v>
      </c>
      <c r="CB503" s="272">
        <f>IF(AND(Input_Product=Elig!$C503,Elig_MatchAll_Ct&lt;22,$BC503=(Elig_MatchAll_Ct-1),AW503=0),W503,0)</f>
        <v>0</v>
      </c>
      <c r="CC503" s="271">
        <f>IF(AND(Input_Product=Elig!$C503,Elig_MatchAll_Ct&lt;22,$BC503=(Elig_MatchAll_Ct-1),AX503=0),X503,0)</f>
        <v>0</v>
      </c>
      <c r="CD503" s="272">
        <f>IF(AND(Input_Product=Elig!$C503,Elig_MatchAll_Ct&lt;22,$BC503=(Elig_MatchAll_Ct-1),AX503=0),Y503,0)</f>
        <v>0</v>
      </c>
      <c r="CE503" s="271">
        <f>IF(AND(Input_LTV&lt;=AE503,Input_Product=Elig!$C503,Elig_MatchAll_Ct&lt;22,$BC503=(Elig_MatchAll_Ct-1),AY503=0),Z503,0)</f>
        <v>0</v>
      </c>
      <c r="CF503" s="272">
        <f>IF(AND(Input_LTV&lt;=AE503,Input_Product=Elig!$C503,Elig_MatchAll_Ct&lt;22,$BC503=(Elig_MatchAll_Ct-1),AY503=0),AA503,0)</f>
        <v>0</v>
      </c>
      <c r="CG503" s="271">
        <f>IF(AND(Input_Product=Elig!$C503,Elig_MatchAll_Ct&lt;22,$BC503=(Elig_MatchAll_Ct-1),AZ503=0),AB503,0)</f>
        <v>0</v>
      </c>
      <c r="CH503" s="272">
        <f>IF(AND(Input_Product=Elig!$C503,Elig_MatchAll_Ct&lt;22,$BC503=(Elig_MatchAll_Ct-1),AZ503=0),AC503,0)</f>
        <v>0</v>
      </c>
      <c r="CI503" s="271">
        <f>IF(AND(Input_Product=Elig!$C503,Elig_MatchAll_Ct&lt;22,$BC503=(Elig_MatchAll_Ct-1),BA503=0),AD503,0)</f>
        <v>0</v>
      </c>
      <c r="CJ503" s="272">
        <f>IF(AND(Input_Product=Elig!$C503,Elig_MatchAll_Ct&lt;22,$BC503=(Elig_MatchAll_Ct-1),BA503=0),AE503,0)</f>
        <v>0</v>
      </c>
    </row>
    <row r="504" spans="1:88" ht="10.15" customHeight="1" x14ac:dyDescent="0.25">
      <c r="A504" s="252" t="s">
        <v>76</v>
      </c>
      <c r="B504" s="252" t="s">
        <v>2230</v>
      </c>
      <c r="C504" s="246" t="str">
        <f t="shared" si="183"/>
        <v>NonQM NOO</v>
      </c>
      <c r="D504" s="247" t="s">
        <v>1995</v>
      </c>
      <c r="E504" s="248" t="s">
        <v>166</v>
      </c>
      <c r="F504" s="248" t="s">
        <v>329</v>
      </c>
      <c r="G504" s="248" t="s">
        <v>180</v>
      </c>
      <c r="H504" s="248" t="s">
        <v>135</v>
      </c>
      <c r="I504" s="247" t="s">
        <v>273</v>
      </c>
      <c r="J504" s="247" t="s">
        <v>1130</v>
      </c>
      <c r="K504" s="247" t="s">
        <v>1398</v>
      </c>
      <c r="L504" s="248" t="s">
        <v>311</v>
      </c>
      <c r="M504" s="248" t="s">
        <v>2289</v>
      </c>
      <c r="N504" s="248" t="s">
        <v>1844</v>
      </c>
      <c r="O504" s="248" t="s">
        <v>309</v>
      </c>
      <c r="P504" s="248" t="s">
        <v>2434</v>
      </c>
      <c r="Q504" s="248" t="s">
        <v>293</v>
      </c>
      <c r="R504" s="247">
        <v>2500000.0099999998</v>
      </c>
      <c r="S504" s="247">
        <v>3000000</v>
      </c>
      <c r="T504" s="247">
        <v>0</v>
      </c>
      <c r="U504" s="247">
        <v>0</v>
      </c>
      <c r="V504" s="247">
        <v>0</v>
      </c>
      <c r="W504" s="247">
        <v>50</v>
      </c>
      <c r="X504" s="247">
        <v>0.75</v>
      </c>
      <c r="Y504" s="247">
        <v>999</v>
      </c>
      <c r="Z504" s="249">
        <v>720</v>
      </c>
      <c r="AA504" s="249">
        <v>999</v>
      </c>
      <c r="AB504" s="1882">
        <v>0</v>
      </c>
      <c r="AC504" s="249">
        <v>999999</v>
      </c>
      <c r="AD504" s="247">
        <v>0</v>
      </c>
      <c r="AE504" s="250">
        <v>70</v>
      </c>
      <c r="AF504" s="144">
        <v>0</v>
      </c>
      <c r="AG504" s="145">
        <v>1</v>
      </c>
      <c r="AH504" s="145">
        <v>1</v>
      </c>
      <c r="AI504" s="145">
        <v>1</v>
      </c>
      <c r="AJ504" s="145">
        <v>1</v>
      </c>
      <c r="AK504" s="145">
        <v>1</v>
      </c>
      <c r="AL504" s="145">
        <v>1</v>
      </c>
      <c r="AM504" s="145">
        <v>1</v>
      </c>
      <c r="AN504" s="145">
        <v>1</v>
      </c>
      <c r="AO504" s="145">
        <v>1</v>
      </c>
      <c r="AP504" s="145">
        <v>1</v>
      </c>
      <c r="AQ504" s="145">
        <v>1</v>
      </c>
      <c r="AR504" s="145">
        <v>1</v>
      </c>
      <c r="AS504" s="145">
        <v>1</v>
      </c>
      <c r="AT504" s="145">
        <v>1</v>
      </c>
      <c r="AU504" s="145">
        <f t="shared" si="148"/>
        <v>0</v>
      </c>
      <c r="AV504" s="145">
        <f t="shared" si="149"/>
        <v>1</v>
      </c>
      <c r="AW504" s="145">
        <f t="shared" si="150"/>
        <v>1</v>
      </c>
      <c r="AX504" s="145">
        <f t="shared" si="161"/>
        <v>1</v>
      </c>
      <c r="AY504" s="145">
        <f t="shared" si="151"/>
        <v>1</v>
      </c>
      <c r="AZ504" s="145">
        <f t="shared" si="152"/>
        <v>1</v>
      </c>
      <c r="BA504" s="146">
        <f t="shared" si="153"/>
        <v>1</v>
      </c>
      <c r="BB504" s="149">
        <f t="shared" si="166"/>
        <v>20</v>
      </c>
      <c r="BC504" s="150">
        <f t="shared" si="167"/>
        <v>19</v>
      </c>
      <c r="BD504" s="150">
        <f t="shared" si="168"/>
        <v>20</v>
      </c>
      <c r="BE504" s="211" t="str">
        <f t="shared" si="169"/>
        <v/>
      </c>
      <c r="BH504" s="184">
        <f>IF(AND(Input_Product=Elig!$C504,Elig_MatchAll_Ct&lt;22,$BC504=(Elig_MatchAll_Ct-1),AF504=0),C504,0)</f>
        <v>0</v>
      </c>
      <c r="BI504" s="184">
        <f>IF(AND(Input_Product=Elig!$C504,Elig_MatchAll_Ct&lt;22,$BC504=(Elig_MatchAll_Ct-1),AG504=0),D504,0)</f>
        <v>0</v>
      </c>
      <c r="BJ504" s="184">
        <f>IF(AND(Input_Product=Elig!$C504,Elig_MatchAll_Ct&lt;22,$BC504=(Elig_MatchAll_Ct-1),AH504=0),E504,0)</f>
        <v>0</v>
      </c>
      <c r="BK504" s="184">
        <f>IF(AND(Input_Product=Elig!$C504,Elig_MatchAll_Ct&lt;22,$BC504=(Elig_MatchAll_Ct-1),AI504=0),F504,0)</f>
        <v>0</v>
      </c>
      <c r="BL504" s="184">
        <f>IF(AND(Input_Product=Elig!$C504,Elig_MatchAll_Ct&lt;22,$BC504=(Elig_MatchAll_Ct-1),AJ504=0),G504,0)</f>
        <v>0</v>
      </c>
      <c r="BM504" s="184">
        <f>IF(AND(Input_Product=Elig!$C504,Elig_MatchAll_Ct&lt;22,$BC504=(Elig_MatchAll_Ct-1),AK504=0),H504,0)</f>
        <v>0</v>
      </c>
      <c r="BN504" s="184">
        <f>IF(AND(Input_Product=Elig!$C504,Elig_MatchAll_Ct&lt;22,$BC504=(Elig_MatchAll_Ct-1),AL504=0),I504,0)</f>
        <v>0</v>
      </c>
      <c r="BO504" s="184">
        <f>IF(AND(Input_Product=Elig!$C504,Elig_MatchAll_Ct&lt;22,$BC504=(Elig_MatchAll_Ct-1),AM504=0),J504,0)</f>
        <v>0</v>
      </c>
      <c r="BP504" s="184">
        <f>IF(AND(Input_Product=Elig!$C504,Elig_MatchAll_Ct&lt;22,$BC504=(Elig_MatchAll_Ct-1),AN504=0),K504,0)</f>
        <v>0</v>
      </c>
      <c r="BQ504" s="184">
        <f>IF(AND(Input_Product=Elig!$C504,Elig_MatchAll_Ct&lt;22,$BC504=(Elig_MatchAll_Ct-1),AP504=0),L504,0)</f>
        <v>0</v>
      </c>
      <c r="BR504" s="184">
        <f>IF(AND(Input_Product=Elig!$C504,Elig_MatchAll_Ct&lt;22,$BC504=(Elig_MatchAll_Ct-1),AO504=0),M504,0)</f>
        <v>0</v>
      </c>
      <c r="BS504" s="184">
        <f>IF(AND(Input_Product=Elig!$C504,Elig_MatchAll_Ct&lt;22,$BC504=(Elig_MatchAll_Ct-1),AQ504=0),N504,0)</f>
        <v>0</v>
      </c>
      <c r="BT504" s="184">
        <f>IF(AND(Input_Product=Elig!$C504,Elig_MatchAll_Ct&lt;22,$BC504=(Elig_MatchAll_Ct-1),AR504=0),O504,0)</f>
        <v>0</v>
      </c>
      <c r="BU504" s="184">
        <f>IF(AND(Input_Product=Elig!$C504,Elig_MatchAll_Ct&lt;22,$BC504=(Elig_MatchAll_Ct-1),AS504=0),P504,0)</f>
        <v>0</v>
      </c>
      <c r="BV504" s="185">
        <f>IF(AND(Input_Product=Elig!$C504,Elig_MatchAll_Ct&lt;22,$BC504=(Elig_MatchAll_Ct-1),AT504=0),Q504,0)</f>
        <v>0</v>
      </c>
      <c r="BW504" s="186">
        <f>IF(AND(Input_Product=Elig!$C504,Elig_MatchAll_Ct&lt;22,$BC504=(Elig_MatchAll_Ct-1),AU504=0),R504,0)</f>
        <v>0</v>
      </c>
      <c r="BX504" s="187">
        <f>IF(AND(Input_Product=Elig!$C504,Elig_MatchAll_Ct&lt;22,$BC504=(Elig_MatchAll_Ct-1),AU504=0),S504,0)</f>
        <v>0</v>
      </c>
      <c r="BY504" s="186">
        <f>IF(AND(Input_Product=Elig!$C504,Elig_MatchAll_Ct&lt;22,$BC504=(Elig_MatchAll_Ct-1),AV504=0),T504,0)</f>
        <v>0</v>
      </c>
      <c r="BZ504" s="187">
        <f>IF(AND(Input_Product=Elig!$C504,Elig_MatchAll_Ct&lt;22,$BC504=(Elig_MatchAll_Ct-1),AV504=0),U504,0)</f>
        <v>0</v>
      </c>
      <c r="CA504" s="186">
        <f>IF(AND(Input_Product=Elig!$C504,Elig_MatchAll_Ct&lt;22,$BC504=(Elig_MatchAll_Ct-1),AW504=0),V504,0)</f>
        <v>0</v>
      </c>
      <c r="CB504" s="187">
        <f>IF(AND(Input_Product=Elig!$C504,Elig_MatchAll_Ct&lt;22,$BC504=(Elig_MatchAll_Ct-1),AW504=0),W504,0)</f>
        <v>0</v>
      </c>
      <c r="CC504" s="186">
        <f>IF(AND(Input_Product=Elig!$C504,Elig_MatchAll_Ct&lt;22,$BC504=(Elig_MatchAll_Ct-1),AX504=0),X504,0)</f>
        <v>0</v>
      </c>
      <c r="CD504" s="187">
        <f>IF(AND(Input_Product=Elig!$C504,Elig_MatchAll_Ct&lt;22,$BC504=(Elig_MatchAll_Ct-1),AX504=0),Y504,0)</f>
        <v>0</v>
      </c>
      <c r="CE504" s="186">
        <f>IF(AND(Input_LTV&lt;=AE504,Input_Product=Elig!$C504,Elig_MatchAll_Ct&lt;22,$BC504=(Elig_MatchAll_Ct-1),AY504=0),Z504,0)</f>
        <v>0</v>
      </c>
      <c r="CF504" s="187">
        <f>IF(AND(Input_LTV&lt;=AE504,Input_Product=Elig!$C504,Elig_MatchAll_Ct&lt;22,$BC504=(Elig_MatchAll_Ct-1),AY504=0),AA504,0)</f>
        <v>0</v>
      </c>
      <c r="CG504" s="186">
        <f>IF(AND(Input_Product=Elig!$C504,Elig_MatchAll_Ct&lt;22,$BC504=(Elig_MatchAll_Ct-1),AZ504=0),AB504,0)</f>
        <v>0</v>
      </c>
      <c r="CH504" s="187">
        <f>IF(AND(Input_Product=Elig!$C504,Elig_MatchAll_Ct&lt;22,$BC504=(Elig_MatchAll_Ct-1),AZ504=0),AC504,0)</f>
        <v>0</v>
      </c>
      <c r="CI504" s="186">
        <f>IF(AND(Input_Product=Elig!$C504,Elig_MatchAll_Ct&lt;22,$BC504=(Elig_MatchAll_Ct-1),BA504=0),AD504,0)</f>
        <v>0</v>
      </c>
      <c r="CJ504" s="187">
        <f>IF(AND(Input_Product=Elig!$C504,Elig_MatchAll_Ct&lt;22,$BC504=(Elig_MatchAll_Ct-1),BA504=0),AE504,0)</f>
        <v>0</v>
      </c>
    </row>
    <row r="505" spans="1:88" ht="10.15" customHeight="1" x14ac:dyDescent="0.25">
      <c r="A505" s="252" t="s">
        <v>76</v>
      </c>
      <c r="B505" s="252" t="s">
        <v>2231</v>
      </c>
      <c r="C505" s="251" t="str">
        <f t="shared" si="183"/>
        <v>NonQM NOO</v>
      </c>
      <c r="D505" s="252" t="s">
        <v>1995</v>
      </c>
      <c r="E505" s="252" t="s">
        <v>166</v>
      </c>
      <c r="F505" s="252" t="s">
        <v>329</v>
      </c>
      <c r="G505" s="252" t="s">
        <v>180</v>
      </c>
      <c r="H505" s="252" t="s">
        <v>135</v>
      </c>
      <c r="I505" s="253" t="s">
        <v>273</v>
      </c>
      <c r="J505" s="253" t="s">
        <v>1130</v>
      </c>
      <c r="K505" s="253" t="s">
        <v>1398</v>
      </c>
      <c r="L505" s="252" t="s">
        <v>311</v>
      </c>
      <c r="M505" s="252" t="s">
        <v>2289</v>
      </c>
      <c r="N505" s="252" t="s">
        <v>1844</v>
      </c>
      <c r="O505" s="252" t="s">
        <v>309</v>
      </c>
      <c r="P505" s="252" t="s">
        <v>2434</v>
      </c>
      <c r="Q505" s="252" t="s">
        <v>293</v>
      </c>
      <c r="R505" s="252">
        <v>2500000.0099999998</v>
      </c>
      <c r="S505" s="252">
        <v>3000000</v>
      </c>
      <c r="T505" s="252">
        <v>0</v>
      </c>
      <c r="U505" s="252">
        <v>0</v>
      </c>
      <c r="V505" s="252">
        <v>0</v>
      </c>
      <c r="W505" s="252">
        <v>50</v>
      </c>
      <c r="X505" s="252">
        <v>0.75</v>
      </c>
      <c r="Y505" s="252">
        <v>999</v>
      </c>
      <c r="Z505" s="254">
        <v>700</v>
      </c>
      <c r="AA505" s="254">
        <v>719</v>
      </c>
      <c r="AB505" s="1883">
        <v>0</v>
      </c>
      <c r="AC505" s="254">
        <v>999999</v>
      </c>
      <c r="AD505" s="252">
        <v>0</v>
      </c>
      <c r="AE505" s="255">
        <v>70</v>
      </c>
      <c r="AF505" s="144">
        <v>0</v>
      </c>
      <c r="AG505" s="145">
        <v>1</v>
      </c>
      <c r="AH505" s="145">
        <v>1</v>
      </c>
      <c r="AI505" s="145">
        <v>1</v>
      </c>
      <c r="AJ505" s="145">
        <v>1</v>
      </c>
      <c r="AK505" s="145">
        <v>1</v>
      </c>
      <c r="AL505" s="145">
        <v>1</v>
      </c>
      <c r="AM505" s="145">
        <v>1</v>
      </c>
      <c r="AN505" s="145">
        <v>1</v>
      </c>
      <c r="AO505" s="145">
        <v>1</v>
      </c>
      <c r="AP505" s="145">
        <v>1</v>
      </c>
      <c r="AQ505" s="145">
        <v>1</v>
      </c>
      <c r="AR505" s="145">
        <v>1</v>
      </c>
      <c r="AS505" s="145">
        <v>1</v>
      </c>
      <c r="AT505" s="145">
        <v>1</v>
      </c>
      <c r="AU505" s="145">
        <f t="shared" si="148"/>
        <v>0</v>
      </c>
      <c r="AV505" s="145">
        <f t="shared" si="149"/>
        <v>1</v>
      </c>
      <c r="AW505" s="145">
        <f t="shared" si="150"/>
        <v>1</v>
      </c>
      <c r="AX505" s="145">
        <f t="shared" si="161"/>
        <v>1</v>
      </c>
      <c r="AY505" s="145">
        <f t="shared" si="151"/>
        <v>0</v>
      </c>
      <c r="AZ505" s="145">
        <f t="shared" si="152"/>
        <v>1</v>
      </c>
      <c r="BA505" s="146">
        <f t="shared" si="153"/>
        <v>1</v>
      </c>
      <c r="BB505" s="149">
        <f t="shared" si="166"/>
        <v>19</v>
      </c>
      <c r="BC505" s="150">
        <f t="shared" si="167"/>
        <v>18</v>
      </c>
      <c r="BD505" s="150">
        <f t="shared" si="168"/>
        <v>19</v>
      </c>
      <c r="BE505" s="211" t="str">
        <f t="shared" si="169"/>
        <v/>
      </c>
      <c r="BH505" s="173">
        <f>IF(AND(Input_Product=Elig!$C505,Elig_MatchAll_Ct&lt;22,$BC505=(Elig_MatchAll_Ct-1),AF505=0),C505,0)</f>
        <v>0</v>
      </c>
      <c r="BI505" s="173">
        <f>IF(AND(Input_Product=Elig!$C505,Elig_MatchAll_Ct&lt;22,$BC505=(Elig_MatchAll_Ct-1),AG505=0),D505,0)</f>
        <v>0</v>
      </c>
      <c r="BJ505" s="173">
        <f>IF(AND(Input_Product=Elig!$C505,Elig_MatchAll_Ct&lt;22,$BC505=(Elig_MatchAll_Ct-1),AH505=0),E505,0)</f>
        <v>0</v>
      </c>
      <c r="BK505" s="173">
        <f>IF(AND(Input_Product=Elig!$C505,Elig_MatchAll_Ct&lt;22,$BC505=(Elig_MatchAll_Ct-1),AI505=0),F505,0)</f>
        <v>0</v>
      </c>
      <c r="BL505" s="173">
        <f>IF(AND(Input_Product=Elig!$C505,Elig_MatchAll_Ct&lt;22,$BC505=(Elig_MatchAll_Ct-1),AJ505=0),G505,0)</f>
        <v>0</v>
      </c>
      <c r="BM505" s="173">
        <f>IF(AND(Input_Product=Elig!$C505,Elig_MatchAll_Ct&lt;22,$BC505=(Elig_MatchAll_Ct-1),AK505=0),H505,0)</f>
        <v>0</v>
      </c>
      <c r="BN505" s="173">
        <f>IF(AND(Input_Product=Elig!$C505,Elig_MatchAll_Ct&lt;22,$BC505=(Elig_MatchAll_Ct-1),AL505=0),I505,0)</f>
        <v>0</v>
      </c>
      <c r="BO505" s="173">
        <f>IF(AND(Input_Product=Elig!$C505,Elig_MatchAll_Ct&lt;22,$BC505=(Elig_MatchAll_Ct-1),AM505=0),J505,0)</f>
        <v>0</v>
      </c>
      <c r="BP505" s="173">
        <f>IF(AND(Input_Product=Elig!$C505,Elig_MatchAll_Ct&lt;22,$BC505=(Elig_MatchAll_Ct-1),AN505=0),K505,0)</f>
        <v>0</v>
      </c>
      <c r="BQ505" s="173">
        <f>IF(AND(Input_Product=Elig!$C505,Elig_MatchAll_Ct&lt;22,$BC505=(Elig_MatchAll_Ct-1),AP505=0),L505,0)</f>
        <v>0</v>
      </c>
      <c r="BR505" s="173">
        <f>IF(AND(Input_Product=Elig!$C505,Elig_MatchAll_Ct&lt;22,$BC505=(Elig_MatchAll_Ct-1),AO505=0),M505,0)</f>
        <v>0</v>
      </c>
      <c r="BS505" s="173">
        <f>IF(AND(Input_Product=Elig!$C505,Elig_MatchAll_Ct&lt;22,$BC505=(Elig_MatchAll_Ct-1),AQ505=0),N505,0)</f>
        <v>0</v>
      </c>
      <c r="BT505" s="173">
        <f>IF(AND(Input_Product=Elig!$C505,Elig_MatchAll_Ct&lt;22,$BC505=(Elig_MatchAll_Ct-1),AR505=0),O505,0)</f>
        <v>0</v>
      </c>
      <c r="BU505" s="173">
        <f>IF(AND(Input_Product=Elig!$C505,Elig_MatchAll_Ct&lt;22,$BC505=(Elig_MatchAll_Ct-1),AS505=0),P505,0)</f>
        <v>0</v>
      </c>
      <c r="BV505" s="174">
        <f>IF(AND(Input_Product=Elig!$C505,Elig_MatchAll_Ct&lt;22,$BC505=(Elig_MatchAll_Ct-1),AT505=0),Q505,0)</f>
        <v>0</v>
      </c>
      <c r="BW505" s="175">
        <f>IF(AND(Input_Product=Elig!$C505,Elig_MatchAll_Ct&lt;22,$BC505=(Elig_MatchAll_Ct-1),AU505=0),R505,0)</f>
        <v>0</v>
      </c>
      <c r="BX505" s="176">
        <f>IF(AND(Input_Product=Elig!$C505,Elig_MatchAll_Ct&lt;22,$BC505=(Elig_MatchAll_Ct-1),AU505=0),S505,0)</f>
        <v>0</v>
      </c>
      <c r="BY505" s="175">
        <f>IF(AND(Input_Product=Elig!$C505,Elig_MatchAll_Ct&lt;22,$BC505=(Elig_MatchAll_Ct-1),AV505=0),T505,0)</f>
        <v>0</v>
      </c>
      <c r="BZ505" s="176">
        <f>IF(AND(Input_Product=Elig!$C505,Elig_MatchAll_Ct&lt;22,$BC505=(Elig_MatchAll_Ct-1),AV505=0),U505,0)</f>
        <v>0</v>
      </c>
      <c r="CA505" s="175">
        <f>IF(AND(Input_Product=Elig!$C505,Elig_MatchAll_Ct&lt;22,$BC505=(Elig_MatchAll_Ct-1),AW505=0),V505,0)</f>
        <v>0</v>
      </c>
      <c r="CB505" s="176">
        <f>IF(AND(Input_Product=Elig!$C505,Elig_MatchAll_Ct&lt;22,$BC505=(Elig_MatchAll_Ct-1),AW505=0),W505,0)</f>
        <v>0</v>
      </c>
      <c r="CC505" s="175">
        <f>IF(AND(Input_Product=Elig!$C505,Elig_MatchAll_Ct&lt;22,$BC505=(Elig_MatchAll_Ct-1),AX505=0),X505,0)</f>
        <v>0</v>
      </c>
      <c r="CD505" s="176">
        <f>IF(AND(Input_Product=Elig!$C505,Elig_MatchAll_Ct&lt;22,$BC505=(Elig_MatchAll_Ct-1),AX505=0),Y505,0)</f>
        <v>0</v>
      </c>
      <c r="CE505" s="175">
        <f>IF(AND(Input_LTV&lt;=AE505,Input_Product=Elig!$C505,Elig_MatchAll_Ct&lt;22,$BC505=(Elig_MatchAll_Ct-1),AY505=0),Z505,0)</f>
        <v>0</v>
      </c>
      <c r="CF505" s="176">
        <f>IF(AND(Input_LTV&lt;=AE505,Input_Product=Elig!$C505,Elig_MatchAll_Ct&lt;22,$BC505=(Elig_MatchAll_Ct-1),AY505=0),AA505,0)</f>
        <v>0</v>
      </c>
      <c r="CG505" s="175">
        <f>IF(AND(Input_Product=Elig!$C505,Elig_MatchAll_Ct&lt;22,$BC505=(Elig_MatchAll_Ct-1),AZ505=0),AB505,0)</f>
        <v>0</v>
      </c>
      <c r="CH505" s="176">
        <f>IF(AND(Input_Product=Elig!$C505,Elig_MatchAll_Ct&lt;22,$BC505=(Elig_MatchAll_Ct-1),AZ505=0),AC505,0)</f>
        <v>0</v>
      </c>
      <c r="CI505" s="175">
        <f>IF(AND(Input_Product=Elig!$C505,Elig_MatchAll_Ct&lt;22,$BC505=(Elig_MatchAll_Ct-1),BA505=0),AD505,0)</f>
        <v>0</v>
      </c>
      <c r="CJ505" s="176">
        <f>IF(AND(Input_Product=Elig!$C505,Elig_MatchAll_Ct&lt;22,$BC505=(Elig_MatchAll_Ct-1),BA505=0),AE505,0)</f>
        <v>0</v>
      </c>
    </row>
    <row r="506" spans="1:88" ht="10.15" customHeight="1" x14ac:dyDescent="0.25">
      <c r="A506" s="252" t="s">
        <v>76</v>
      </c>
      <c r="B506" s="252" t="s">
        <v>2232</v>
      </c>
      <c r="C506" s="256" t="str">
        <f t="shared" si="183"/>
        <v>NonQM NOO</v>
      </c>
      <c r="D506" s="257" t="s">
        <v>1995</v>
      </c>
      <c r="E506" s="257" t="s">
        <v>166</v>
      </c>
      <c r="F506" s="257" t="s">
        <v>329</v>
      </c>
      <c r="G506" s="257" t="s">
        <v>180</v>
      </c>
      <c r="H506" s="257" t="s">
        <v>135</v>
      </c>
      <c r="I506" s="260" t="s">
        <v>273</v>
      </c>
      <c r="J506" s="260" t="s">
        <v>1130</v>
      </c>
      <c r="K506" s="260" t="s">
        <v>1398</v>
      </c>
      <c r="L506" s="257" t="s">
        <v>311</v>
      </c>
      <c r="M506" s="257" t="s">
        <v>2289</v>
      </c>
      <c r="N506" s="257" t="s">
        <v>1844</v>
      </c>
      <c r="O506" s="257" t="s">
        <v>309</v>
      </c>
      <c r="P506" s="257" t="s">
        <v>2434</v>
      </c>
      <c r="Q506" s="257" t="s">
        <v>293</v>
      </c>
      <c r="R506" s="257">
        <v>2500000.0099999998</v>
      </c>
      <c r="S506" s="257">
        <v>3000000</v>
      </c>
      <c r="T506" s="257">
        <v>0</v>
      </c>
      <c r="U506" s="257">
        <v>0</v>
      </c>
      <c r="V506" s="257">
        <v>0</v>
      </c>
      <c r="W506" s="257">
        <v>50</v>
      </c>
      <c r="X506" s="257">
        <v>0.75</v>
      </c>
      <c r="Y506" s="257">
        <v>999</v>
      </c>
      <c r="Z506" s="258">
        <v>680</v>
      </c>
      <c r="AA506" s="258">
        <v>699</v>
      </c>
      <c r="AB506" s="1884">
        <v>0</v>
      </c>
      <c r="AC506" s="258">
        <v>999999</v>
      </c>
      <c r="AD506" s="257">
        <v>0</v>
      </c>
      <c r="AE506" s="259">
        <v>65</v>
      </c>
      <c r="AF506" s="144">
        <v>0</v>
      </c>
      <c r="AG506" s="145">
        <v>1</v>
      </c>
      <c r="AH506" s="145">
        <v>1</v>
      </c>
      <c r="AI506" s="145">
        <v>1</v>
      </c>
      <c r="AJ506" s="145">
        <v>1</v>
      </c>
      <c r="AK506" s="145">
        <v>1</v>
      </c>
      <c r="AL506" s="145">
        <v>1</v>
      </c>
      <c r="AM506" s="145">
        <v>1</v>
      </c>
      <c r="AN506" s="145">
        <v>1</v>
      </c>
      <c r="AO506" s="145">
        <v>1</v>
      </c>
      <c r="AP506" s="145">
        <v>1</v>
      </c>
      <c r="AQ506" s="145">
        <v>1</v>
      </c>
      <c r="AR506" s="145">
        <v>1</v>
      </c>
      <c r="AS506" s="145">
        <v>1</v>
      </c>
      <c r="AT506" s="145">
        <v>1</v>
      </c>
      <c r="AU506" s="145">
        <f t="shared" si="148"/>
        <v>0</v>
      </c>
      <c r="AV506" s="145">
        <f t="shared" si="149"/>
        <v>1</v>
      </c>
      <c r="AW506" s="145">
        <f t="shared" si="150"/>
        <v>1</v>
      </c>
      <c r="AX506" s="145">
        <f t="shared" si="161"/>
        <v>1</v>
      </c>
      <c r="AY506" s="145">
        <f t="shared" si="151"/>
        <v>0</v>
      </c>
      <c r="AZ506" s="145">
        <f t="shared" si="152"/>
        <v>1</v>
      </c>
      <c r="BA506" s="146">
        <f t="shared" si="153"/>
        <v>0</v>
      </c>
      <c r="BB506" s="149">
        <f t="shared" ref="BB506:BB573" si="190">SUM(AF506:BA506)</f>
        <v>18</v>
      </c>
      <c r="BC506" s="150">
        <f t="shared" ref="BC506:BC573" si="191">SUM(AF506:AZ506)</f>
        <v>18</v>
      </c>
      <c r="BD506" s="150">
        <f t="shared" ref="BD506:BD573" si="192">SUM(AG506:BA506)</f>
        <v>18</v>
      </c>
      <c r="BE506" s="211" t="str">
        <f t="shared" ref="BE506:BE573" si="193">IF(BD506=21,C506,"")</f>
        <v/>
      </c>
      <c r="BH506" s="188">
        <f>IF(AND(Input_Product=Elig!$C506,Elig_MatchAll_Ct&lt;22,$BC506=(Elig_MatchAll_Ct-1),AF506=0),C506,0)</f>
        <v>0</v>
      </c>
      <c r="BI506" s="188">
        <f>IF(AND(Input_Product=Elig!$C506,Elig_MatchAll_Ct&lt;22,$BC506=(Elig_MatchAll_Ct-1),AG506=0),D506,0)</f>
        <v>0</v>
      </c>
      <c r="BJ506" s="188">
        <f>IF(AND(Input_Product=Elig!$C506,Elig_MatchAll_Ct&lt;22,$BC506=(Elig_MatchAll_Ct-1),AH506=0),E506,0)</f>
        <v>0</v>
      </c>
      <c r="BK506" s="188">
        <f>IF(AND(Input_Product=Elig!$C506,Elig_MatchAll_Ct&lt;22,$BC506=(Elig_MatchAll_Ct-1),AI506=0),F506,0)</f>
        <v>0</v>
      </c>
      <c r="BL506" s="188">
        <f>IF(AND(Input_Product=Elig!$C506,Elig_MatchAll_Ct&lt;22,$BC506=(Elig_MatchAll_Ct-1),AJ506=0),G506,0)</f>
        <v>0</v>
      </c>
      <c r="BM506" s="188">
        <f>IF(AND(Input_Product=Elig!$C506,Elig_MatchAll_Ct&lt;22,$BC506=(Elig_MatchAll_Ct-1),AK506=0),H506,0)</f>
        <v>0</v>
      </c>
      <c r="BN506" s="188">
        <f>IF(AND(Input_Product=Elig!$C506,Elig_MatchAll_Ct&lt;22,$BC506=(Elig_MatchAll_Ct-1),AL506=0),I506,0)</f>
        <v>0</v>
      </c>
      <c r="BO506" s="188">
        <f>IF(AND(Input_Product=Elig!$C506,Elig_MatchAll_Ct&lt;22,$BC506=(Elig_MatchAll_Ct-1),AM506=0),J506,0)</f>
        <v>0</v>
      </c>
      <c r="BP506" s="188">
        <f>IF(AND(Input_Product=Elig!$C506,Elig_MatchAll_Ct&lt;22,$BC506=(Elig_MatchAll_Ct-1),AN506=0),K506,0)</f>
        <v>0</v>
      </c>
      <c r="BQ506" s="188">
        <f>IF(AND(Input_Product=Elig!$C506,Elig_MatchAll_Ct&lt;22,$BC506=(Elig_MatchAll_Ct-1),AP506=0),L506,0)</f>
        <v>0</v>
      </c>
      <c r="BR506" s="188">
        <f>IF(AND(Input_Product=Elig!$C506,Elig_MatchAll_Ct&lt;22,$BC506=(Elig_MatchAll_Ct-1),AO506=0),M506,0)</f>
        <v>0</v>
      </c>
      <c r="BS506" s="188">
        <f>IF(AND(Input_Product=Elig!$C506,Elig_MatchAll_Ct&lt;22,$BC506=(Elig_MatchAll_Ct-1),AQ506=0),N506,0)</f>
        <v>0</v>
      </c>
      <c r="BT506" s="188">
        <f>IF(AND(Input_Product=Elig!$C506,Elig_MatchAll_Ct&lt;22,$BC506=(Elig_MatchAll_Ct-1),AR506=0),O506,0)</f>
        <v>0</v>
      </c>
      <c r="BU506" s="188">
        <f>IF(AND(Input_Product=Elig!$C506,Elig_MatchAll_Ct&lt;22,$BC506=(Elig_MatchAll_Ct-1),AS506=0),P506,0)</f>
        <v>0</v>
      </c>
      <c r="BV506" s="189">
        <f>IF(AND(Input_Product=Elig!$C506,Elig_MatchAll_Ct&lt;22,$BC506=(Elig_MatchAll_Ct-1),AT506=0),Q506,0)</f>
        <v>0</v>
      </c>
      <c r="BW506" s="271">
        <f>IF(AND(Input_Product=Elig!$C506,Elig_MatchAll_Ct&lt;22,$BC506=(Elig_MatchAll_Ct-1),AU506=0),R506,0)</f>
        <v>0</v>
      </c>
      <c r="BX506" s="272">
        <f>IF(AND(Input_Product=Elig!$C506,Elig_MatchAll_Ct&lt;22,$BC506=(Elig_MatchAll_Ct-1),AU506=0),S506,0)</f>
        <v>0</v>
      </c>
      <c r="BY506" s="271">
        <f>IF(AND(Input_Product=Elig!$C506,Elig_MatchAll_Ct&lt;22,$BC506=(Elig_MatchAll_Ct-1),AV506=0),T506,0)</f>
        <v>0</v>
      </c>
      <c r="BZ506" s="272">
        <f>IF(AND(Input_Product=Elig!$C506,Elig_MatchAll_Ct&lt;22,$BC506=(Elig_MatchAll_Ct-1),AV506=0),U506,0)</f>
        <v>0</v>
      </c>
      <c r="CA506" s="271">
        <f>IF(AND(Input_Product=Elig!$C506,Elig_MatchAll_Ct&lt;22,$BC506=(Elig_MatchAll_Ct-1),AW506=0),V506,0)</f>
        <v>0</v>
      </c>
      <c r="CB506" s="272">
        <f>IF(AND(Input_Product=Elig!$C506,Elig_MatchAll_Ct&lt;22,$BC506=(Elig_MatchAll_Ct-1),AW506=0),W506,0)</f>
        <v>0</v>
      </c>
      <c r="CC506" s="271">
        <f>IF(AND(Input_Product=Elig!$C506,Elig_MatchAll_Ct&lt;22,$BC506=(Elig_MatchAll_Ct-1),AX506=0),X506,0)</f>
        <v>0</v>
      </c>
      <c r="CD506" s="272">
        <f>IF(AND(Input_Product=Elig!$C506,Elig_MatchAll_Ct&lt;22,$BC506=(Elig_MatchAll_Ct-1),AX506=0),Y506,0)</f>
        <v>0</v>
      </c>
      <c r="CE506" s="271">
        <f>IF(AND(Input_LTV&lt;=AE506,Input_Product=Elig!$C506,Elig_MatchAll_Ct&lt;22,$BC506=(Elig_MatchAll_Ct-1),AY506=0),Z506,0)</f>
        <v>0</v>
      </c>
      <c r="CF506" s="272">
        <f>IF(AND(Input_LTV&lt;=AE506,Input_Product=Elig!$C506,Elig_MatchAll_Ct&lt;22,$BC506=(Elig_MatchAll_Ct-1),AY506=0),AA506,0)</f>
        <v>0</v>
      </c>
      <c r="CG506" s="271">
        <f>IF(AND(Input_Product=Elig!$C506,Elig_MatchAll_Ct&lt;22,$BC506=(Elig_MatchAll_Ct-1),AZ506=0),AB506,0)</f>
        <v>0</v>
      </c>
      <c r="CH506" s="272">
        <f>IF(AND(Input_Product=Elig!$C506,Elig_MatchAll_Ct&lt;22,$BC506=(Elig_MatchAll_Ct-1),AZ506=0),AC506,0)</f>
        <v>0</v>
      </c>
      <c r="CI506" s="271">
        <f>IF(AND(Input_Product=Elig!$C506,Elig_MatchAll_Ct&lt;22,$BC506=(Elig_MatchAll_Ct-1),BA506=0),AD506,0)</f>
        <v>0</v>
      </c>
      <c r="CJ506" s="272">
        <f>IF(AND(Input_Product=Elig!$C506,Elig_MatchAll_Ct&lt;22,$BC506=(Elig_MatchAll_Ct-1),BA506=0),AE506,0)</f>
        <v>0</v>
      </c>
    </row>
    <row r="507" spans="1:88" ht="10.15" customHeight="1" x14ac:dyDescent="0.25">
      <c r="A507" s="252" t="s">
        <v>76</v>
      </c>
      <c r="B507" s="252" t="s">
        <v>2233</v>
      </c>
      <c r="C507" s="246" t="str">
        <f t="shared" si="183"/>
        <v>NonQM NOO</v>
      </c>
      <c r="D507" s="247" t="s">
        <v>1995</v>
      </c>
      <c r="E507" s="248" t="s">
        <v>166</v>
      </c>
      <c r="F507" s="248" t="s">
        <v>329</v>
      </c>
      <c r="G507" s="248" t="s">
        <v>180</v>
      </c>
      <c r="H507" s="248" t="s">
        <v>135</v>
      </c>
      <c r="I507" s="248" t="s">
        <v>16</v>
      </c>
      <c r="J507" s="247" t="s">
        <v>1130</v>
      </c>
      <c r="K507" s="247" t="s">
        <v>1398</v>
      </c>
      <c r="L507" s="248" t="s">
        <v>311</v>
      </c>
      <c r="M507" s="248" t="s">
        <v>2289</v>
      </c>
      <c r="N507" s="248" t="s">
        <v>1844</v>
      </c>
      <c r="O507" s="248" t="s">
        <v>309</v>
      </c>
      <c r="P507" s="248" t="s">
        <v>2434</v>
      </c>
      <c r="Q507" s="248" t="s">
        <v>293</v>
      </c>
      <c r="R507" s="247">
        <v>2500000.0099999998</v>
      </c>
      <c r="S507" s="247">
        <v>3000000</v>
      </c>
      <c r="T507" s="247">
        <v>0</v>
      </c>
      <c r="U507" s="247">
        <f t="shared" ref="U507:U509" si="194">S507</f>
        <v>3000000</v>
      </c>
      <c r="V507" s="247">
        <v>0</v>
      </c>
      <c r="W507" s="247">
        <v>50</v>
      </c>
      <c r="X507" s="247">
        <v>1</v>
      </c>
      <c r="Y507" s="247">
        <v>999</v>
      </c>
      <c r="Z507" s="249">
        <v>720</v>
      </c>
      <c r="AA507" s="249">
        <v>999</v>
      </c>
      <c r="AB507" s="1882">
        <v>0</v>
      </c>
      <c r="AC507" s="249">
        <v>999999</v>
      </c>
      <c r="AD507" s="247">
        <v>0</v>
      </c>
      <c r="AE507" s="250">
        <v>65</v>
      </c>
      <c r="AF507" s="144">
        <v>0</v>
      </c>
      <c r="AG507" s="145">
        <v>1</v>
      </c>
      <c r="AH507" s="145">
        <v>1</v>
      </c>
      <c r="AI507" s="145">
        <v>1</v>
      </c>
      <c r="AJ507" s="145">
        <v>1</v>
      </c>
      <c r="AK507" s="145">
        <v>1</v>
      </c>
      <c r="AL507" s="145">
        <v>0</v>
      </c>
      <c r="AM507" s="145">
        <v>1</v>
      </c>
      <c r="AN507" s="145">
        <v>1</v>
      </c>
      <c r="AO507" s="145">
        <v>1</v>
      </c>
      <c r="AP507" s="145">
        <v>1</v>
      </c>
      <c r="AQ507" s="145">
        <v>1</v>
      </c>
      <c r="AR507" s="145">
        <v>1</v>
      </c>
      <c r="AS507" s="145">
        <v>1</v>
      </c>
      <c r="AT507" s="145">
        <v>1</v>
      </c>
      <c r="AU507" s="145">
        <f t="shared" si="148"/>
        <v>0</v>
      </c>
      <c r="AV507" s="145">
        <f t="shared" si="149"/>
        <v>1</v>
      </c>
      <c r="AW507" s="145">
        <f t="shared" si="150"/>
        <v>1</v>
      </c>
      <c r="AX507" s="145">
        <f t="shared" si="161"/>
        <v>1</v>
      </c>
      <c r="AY507" s="145">
        <f t="shared" si="151"/>
        <v>1</v>
      </c>
      <c r="AZ507" s="145">
        <f t="shared" si="152"/>
        <v>1</v>
      </c>
      <c r="BA507" s="146">
        <f t="shared" si="153"/>
        <v>0</v>
      </c>
      <c r="BB507" s="149">
        <f t="shared" si="190"/>
        <v>18</v>
      </c>
      <c r="BC507" s="150">
        <f t="shared" si="191"/>
        <v>18</v>
      </c>
      <c r="BD507" s="150">
        <f t="shared" si="192"/>
        <v>18</v>
      </c>
      <c r="BE507" s="211" t="str">
        <f t="shared" si="193"/>
        <v/>
      </c>
      <c r="BH507" s="190">
        <f>IF(AND(Input_Product=Elig!$C507,Elig_MatchAll_Ct&lt;22,$BC507=(Elig_MatchAll_Ct-1),AF507=0),C507,0)</f>
        <v>0</v>
      </c>
      <c r="BI507" s="190">
        <f>IF(AND(Input_Product=Elig!$C507,Elig_MatchAll_Ct&lt;22,$BC507=(Elig_MatchAll_Ct-1),AG507=0),D507,0)</f>
        <v>0</v>
      </c>
      <c r="BJ507" s="190">
        <f>IF(AND(Input_Product=Elig!$C507,Elig_MatchAll_Ct&lt;22,$BC507=(Elig_MatchAll_Ct-1),AH507=0),E507,0)</f>
        <v>0</v>
      </c>
      <c r="BK507" s="190">
        <f>IF(AND(Input_Product=Elig!$C507,Elig_MatchAll_Ct&lt;22,$BC507=(Elig_MatchAll_Ct-1),AI507=0),F507,0)</f>
        <v>0</v>
      </c>
      <c r="BL507" s="190">
        <f>IF(AND(Input_Product=Elig!$C507,Elig_MatchAll_Ct&lt;22,$BC507=(Elig_MatchAll_Ct-1),AJ507=0),G507,0)</f>
        <v>0</v>
      </c>
      <c r="BM507" s="190">
        <f>IF(AND(Input_Product=Elig!$C507,Elig_MatchAll_Ct&lt;22,$BC507=(Elig_MatchAll_Ct-1),AK507=0),H507,0)</f>
        <v>0</v>
      </c>
      <c r="BN507" s="190">
        <f>IF(AND(Input_Product=Elig!$C507,Elig_MatchAll_Ct&lt;22,$BC507=(Elig_MatchAll_Ct-1),AL507=0),I507,0)</f>
        <v>0</v>
      </c>
      <c r="BO507" s="190">
        <f>IF(AND(Input_Product=Elig!$C507,Elig_MatchAll_Ct&lt;22,$BC507=(Elig_MatchAll_Ct-1),AM507=0),J507,0)</f>
        <v>0</v>
      </c>
      <c r="BP507" s="190">
        <f>IF(AND(Input_Product=Elig!$C507,Elig_MatchAll_Ct&lt;22,$BC507=(Elig_MatchAll_Ct-1),AN507=0),K507,0)</f>
        <v>0</v>
      </c>
      <c r="BQ507" s="190">
        <f>IF(AND(Input_Product=Elig!$C507,Elig_MatchAll_Ct&lt;22,$BC507=(Elig_MatchAll_Ct-1),AP507=0),L507,0)</f>
        <v>0</v>
      </c>
      <c r="BR507" s="190">
        <f>IF(AND(Input_Product=Elig!$C507,Elig_MatchAll_Ct&lt;22,$BC507=(Elig_MatchAll_Ct-1),AO507=0),M507,0)</f>
        <v>0</v>
      </c>
      <c r="BS507" s="190">
        <f>IF(AND(Input_Product=Elig!$C507,Elig_MatchAll_Ct&lt;22,$BC507=(Elig_MatchAll_Ct-1),AQ507=0),N507,0)</f>
        <v>0</v>
      </c>
      <c r="BT507" s="190">
        <f>IF(AND(Input_Product=Elig!$C507,Elig_MatchAll_Ct&lt;22,$BC507=(Elig_MatchAll_Ct-1),AR507=0),O507,0)</f>
        <v>0</v>
      </c>
      <c r="BU507" s="190">
        <f>IF(AND(Input_Product=Elig!$C507,Elig_MatchAll_Ct&lt;22,$BC507=(Elig_MatchAll_Ct-1),AS507=0),P507,0)</f>
        <v>0</v>
      </c>
      <c r="BV507" s="191">
        <f>IF(AND(Input_Product=Elig!$C507,Elig_MatchAll_Ct&lt;22,$BC507=(Elig_MatchAll_Ct-1),AT507=0),Q507,0)</f>
        <v>0</v>
      </c>
      <c r="BW507" s="273">
        <f>IF(AND(Input_Product=Elig!$C507,Elig_MatchAll_Ct&lt;22,$BC507=(Elig_MatchAll_Ct-1),AU507=0),R507,0)</f>
        <v>0</v>
      </c>
      <c r="BX507" s="274">
        <f>IF(AND(Input_Product=Elig!$C507,Elig_MatchAll_Ct&lt;22,$BC507=(Elig_MatchAll_Ct-1),AU507=0),S507,0)</f>
        <v>0</v>
      </c>
      <c r="BY507" s="273">
        <f>IF(AND(Input_Product=Elig!$C507,Elig_MatchAll_Ct&lt;22,$BC507=(Elig_MatchAll_Ct-1),AV507=0),T507,0)</f>
        <v>0</v>
      </c>
      <c r="BZ507" s="274">
        <f>IF(AND(Input_Product=Elig!$C507,Elig_MatchAll_Ct&lt;22,$BC507=(Elig_MatchAll_Ct-1),AV507=0),U507,0)</f>
        <v>0</v>
      </c>
      <c r="CA507" s="273">
        <f>IF(AND(Input_Product=Elig!$C507,Elig_MatchAll_Ct&lt;22,$BC507=(Elig_MatchAll_Ct-1),AW507=0),V507,0)</f>
        <v>0</v>
      </c>
      <c r="CB507" s="274">
        <f>IF(AND(Input_Product=Elig!$C507,Elig_MatchAll_Ct&lt;22,$BC507=(Elig_MatchAll_Ct-1),AW507=0),W507,0)</f>
        <v>0</v>
      </c>
      <c r="CC507" s="273">
        <f>IF(AND(Input_Product=Elig!$C507,Elig_MatchAll_Ct&lt;22,$BC507=(Elig_MatchAll_Ct-1),AX507=0),X507,0)</f>
        <v>0</v>
      </c>
      <c r="CD507" s="274">
        <f>IF(AND(Input_Product=Elig!$C507,Elig_MatchAll_Ct&lt;22,$BC507=(Elig_MatchAll_Ct-1),AX507=0),Y507,0)</f>
        <v>0</v>
      </c>
      <c r="CE507" s="273">
        <f>IF(AND(Input_LTV&lt;=AE507,Input_Product=Elig!$C507,Elig_MatchAll_Ct&lt;22,$BC507=(Elig_MatchAll_Ct-1),AY507=0),Z507,0)</f>
        <v>0</v>
      </c>
      <c r="CF507" s="274">
        <f>IF(AND(Input_LTV&lt;=AE507,Input_Product=Elig!$C507,Elig_MatchAll_Ct&lt;22,$BC507=(Elig_MatchAll_Ct-1),AY507=0),AA507,0)</f>
        <v>0</v>
      </c>
      <c r="CG507" s="273">
        <f>IF(AND(Input_Product=Elig!$C507,Elig_MatchAll_Ct&lt;22,$BC507=(Elig_MatchAll_Ct-1),AZ507=0),AB507,0)</f>
        <v>0</v>
      </c>
      <c r="CH507" s="274">
        <f>IF(AND(Input_Product=Elig!$C507,Elig_MatchAll_Ct&lt;22,$BC507=(Elig_MatchAll_Ct-1),AZ507=0),AC507,0)</f>
        <v>0</v>
      </c>
      <c r="CI507" s="273">
        <f>IF(AND(Input_Product=Elig!$C507,Elig_MatchAll_Ct&lt;22,$BC507=(Elig_MatchAll_Ct-1),BA507=0),AD507,0)</f>
        <v>0</v>
      </c>
      <c r="CJ507" s="274">
        <f>IF(AND(Input_Product=Elig!$C507,Elig_MatchAll_Ct&lt;22,$BC507=(Elig_MatchAll_Ct-1),BA507=0),AE507,0)</f>
        <v>0</v>
      </c>
    </row>
    <row r="508" spans="1:88" ht="10.15" customHeight="1" x14ac:dyDescent="0.25">
      <c r="A508" s="252" t="s">
        <v>76</v>
      </c>
      <c r="B508" s="252" t="s">
        <v>2234</v>
      </c>
      <c r="C508" s="251" t="str">
        <f t="shared" si="183"/>
        <v>NonQM NOO</v>
      </c>
      <c r="D508" s="252" t="s">
        <v>1995</v>
      </c>
      <c r="E508" s="252" t="s">
        <v>166</v>
      </c>
      <c r="F508" s="252" t="s">
        <v>329</v>
      </c>
      <c r="G508" s="252" t="s">
        <v>180</v>
      </c>
      <c r="H508" s="252" t="s">
        <v>135</v>
      </c>
      <c r="I508" s="253" t="s">
        <v>16</v>
      </c>
      <c r="J508" s="253" t="s">
        <v>1130</v>
      </c>
      <c r="K508" s="253" t="s">
        <v>1398</v>
      </c>
      <c r="L508" s="252" t="s">
        <v>311</v>
      </c>
      <c r="M508" s="252" t="s">
        <v>2289</v>
      </c>
      <c r="N508" s="252" t="s">
        <v>1844</v>
      </c>
      <c r="O508" s="252" t="s">
        <v>309</v>
      </c>
      <c r="P508" s="252" t="s">
        <v>2434</v>
      </c>
      <c r="Q508" s="252" t="s">
        <v>293</v>
      </c>
      <c r="R508" s="252">
        <v>2500000.0099999998</v>
      </c>
      <c r="S508" s="252">
        <v>3000000</v>
      </c>
      <c r="T508" s="252">
        <v>0</v>
      </c>
      <c r="U508" s="252">
        <f t="shared" si="194"/>
        <v>3000000</v>
      </c>
      <c r="V508" s="252">
        <v>0</v>
      </c>
      <c r="W508" s="252">
        <v>50</v>
      </c>
      <c r="X508" s="252">
        <v>1</v>
      </c>
      <c r="Y508" s="252">
        <v>999</v>
      </c>
      <c r="Z508" s="254">
        <v>700</v>
      </c>
      <c r="AA508" s="254">
        <v>719</v>
      </c>
      <c r="AB508" s="1883">
        <v>0</v>
      </c>
      <c r="AC508" s="254">
        <v>999999</v>
      </c>
      <c r="AD508" s="252">
        <v>0</v>
      </c>
      <c r="AE508" s="255">
        <v>65</v>
      </c>
      <c r="AF508" s="144">
        <v>0</v>
      </c>
      <c r="AG508" s="145">
        <v>1</v>
      </c>
      <c r="AH508" s="145">
        <v>1</v>
      </c>
      <c r="AI508" s="145">
        <v>1</v>
      </c>
      <c r="AJ508" s="145">
        <v>1</v>
      </c>
      <c r="AK508" s="145">
        <v>1</v>
      </c>
      <c r="AL508" s="145">
        <v>0</v>
      </c>
      <c r="AM508" s="145">
        <v>1</v>
      </c>
      <c r="AN508" s="145">
        <v>1</v>
      </c>
      <c r="AO508" s="145">
        <v>1</v>
      </c>
      <c r="AP508" s="145">
        <v>1</v>
      </c>
      <c r="AQ508" s="145">
        <v>1</v>
      </c>
      <c r="AR508" s="145">
        <v>1</v>
      </c>
      <c r="AS508" s="145">
        <v>1</v>
      </c>
      <c r="AT508" s="145">
        <v>1</v>
      </c>
      <c r="AU508" s="145">
        <f t="shared" si="148"/>
        <v>0</v>
      </c>
      <c r="AV508" s="145">
        <f t="shared" si="149"/>
        <v>1</v>
      </c>
      <c r="AW508" s="145">
        <f t="shared" si="150"/>
        <v>1</v>
      </c>
      <c r="AX508" s="145">
        <f t="shared" si="161"/>
        <v>1</v>
      </c>
      <c r="AY508" s="145">
        <f t="shared" si="151"/>
        <v>0</v>
      </c>
      <c r="AZ508" s="145">
        <f t="shared" si="152"/>
        <v>1</v>
      </c>
      <c r="BA508" s="146">
        <f t="shared" si="153"/>
        <v>0</v>
      </c>
      <c r="BB508" s="149">
        <f t="shared" si="190"/>
        <v>17</v>
      </c>
      <c r="BC508" s="150">
        <f t="shared" si="191"/>
        <v>17</v>
      </c>
      <c r="BD508" s="150">
        <f t="shared" si="192"/>
        <v>17</v>
      </c>
      <c r="BE508" s="211" t="str">
        <f t="shared" si="193"/>
        <v/>
      </c>
      <c r="BH508" s="184">
        <f>IF(AND(Input_Product=Elig!$C508,Elig_MatchAll_Ct&lt;22,$BC508=(Elig_MatchAll_Ct-1),AF508=0),C508,0)</f>
        <v>0</v>
      </c>
      <c r="BI508" s="184">
        <f>IF(AND(Input_Product=Elig!$C508,Elig_MatchAll_Ct&lt;22,$BC508=(Elig_MatchAll_Ct-1),AG508=0),D508,0)</f>
        <v>0</v>
      </c>
      <c r="BJ508" s="184">
        <f>IF(AND(Input_Product=Elig!$C508,Elig_MatchAll_Ct&lt;22,$BC508=(Elig_MatchAll_Ct-1),AH508=0),E508,0)</f>
        <v>0</v>
      </c>
      <c r="BK508" s="184">
        <f>IF(AND(Input_Product=Elig!$C508,Elig_MatchAll_Ct&lt;22,$BC508=(Elig_MatchAll_Ct-1),AI508=0),F508,0)</f>
        <v>0</v>
      </c>
      <c r="BL508" s="184">
        <f>IF(AND(Input_Product=Elig!$C508,Elig_MatchAll_Ct&lt;22,$BC508=(Elig_MatchAll_Ct-1),AJ508=0),G508,0)</f>
        <v>0</v>
      </c>
      <c r="BM508" s="184">
        <f>IF(AND(Input_Product=Elig!$C508,Elig_MatchAll_Ct&lt;22,$BC508=(Elig_MatchAll_Ct-1),AK508=0),H508,0)</f>
        <v>0</v>
      </c>
      <c r="BN508" s="184">
        <f>IF(AND(Input_Product=Elig!$C508,Elig_MatchAll_Ct&lt;22,$BC508=(Elig_MatchAll_Ct-1),AL508=0),I508,0)</f>
        <v>0</v>
      </c>
      <c r="BO508" s="184">
        <f>IF(AND(Input_Product=Elig!$C508,Elig_MatchAll_Ct&lt;22,$BC508=(Elig_MatchAll_Ct-1),AM508=0),J508,0)</f>
        <v>0</v>
      </c>
      <c r="BP508" s="184">
        <f>IF(AND(Input_Product=Elig!$C508,Elig_MatchAll_Ct&lt;22,$BC508=(Elig_MatchAll_Ct-1),AN508=0),K508,0)</f>
        <v>0</v>
      </c>
      <c r="BQ508" s="184">
        <f>IF(AND(Input_Product=Elig!$C508,Elig_MatchAll_Ct&lt;22,$BC508=(Elig_MatchAll_Ct-1),AP508=0),L508,0)</f>
        <v>0</v>
      </c>
      <c r="BR508" s="184">
        <f>IF(AND(Input_Product=Elig!$C508,Elig_MatchAll_Ct&lt;22,$BC508=(Elig_MatchAll_Ct-1),AO508=0),M508,0)</f>
        <v>0</v>
      </c>
      <c r="BS508" s="184">
        <f>IF(AND(Input_Product=Elig!$C508,Elig_MatchAll_Ct&lt;22,$BC508=(Elig_MatchAll_Ct-1),AQ508=0),N508,0)</f>
        <v>0</v>
      </c>
      <c r="BT508" s="184">
        <f>IF(AND(Input_Product=Elig!$C508,Elig_MatchAll_Ct&lt;22,$BC508=(Elig_MatchAll_Ct-1),AR508=0),O508,0)</f>
        <v>0</v>
      </c>
      <c r="BU508" s="184">
        <f>IF(AND(Input_Product=Elig!$C508,Elig_MatchAll_Ct&lt;22,$BC508=(Elig_MatchAll_Ct-1),AS508=0),P508,0)</f>
        <v>0</v>
      </c>
      <c r="BV508" s="185">
        <f>IF(AND(Input_Product=Elig!$C508,Elig_MatchAll_Ct&lt;22,$BC508=(Elig_MatchAll_Ct-1),AT508=0),Q508,0)</f>
        <v>0</v>
      </c>
      <c r="BW508" s="186">
        <f>IF(AND(Input_Product=Elig!$C508,Elig_MatchAll_Ct&lt;22,$BC508=(Elig_MatchAll_Ct-1),AU508=0),R508,0)</f>
        <v>0</v>
      </c>
      <c r="BX508" s="187">
        <f>IF(AND(Input_Product=Elig!$C508,Elig_MatchAll_Ct&lt;22,$BC508=(Elig_MatchAll_Ct-1),AU508=0),S508,0)</f>
        <v>0</v>
      </c>
      <c r="BY508" s="186">
        <f>IF(AND(Input_Product=Elig!$C508,Elig_MatchAll_Ct&lt;22,$BC508=(Elig_MatchAll_Ct-1),AV508=0),T508,0)</f>
        <v>0</v>
      </c>
      <c r="BZ508" s="187">
        <f>IF(AND(Input_Product=Elig!$C508,Elig_MatchAll_Ct&lt;22,$BC508=(Elig_MatchAll_Ct-1),AV508=0),U508,0)</f>
        <v>0</v>
      </c>
      <c r="CA508" s="186">
        <f>IF(AND(Input_Product=Elig!$C508,Elig_MatchAll_Ct&lt;22,$BC508=(Elig_MatchAll_Ct-1),AW508=0),V508,0)</f>
        <v>0</v>
      </c>
      <c r="CB508" s="187">
        <f>IF(AND(Input_Product=Elig!$C508,Elig_MatchAll_Ct&lt;22,$BC508=(Elig_MatchAll_Ct-1),AW508=0),W508,0)</f>
        <v>0</v>
      </c>
      <c r="CC508" s="186">
        <f>IF(AND(Input_Product=Elig!$C508,Elig_MatchAll_Ct&lt;22,$BC508=(Elig_MatchAll_Ct-1),AX508=0),X508,0)</f>
        <v>0</v>
      </c>
      <c r="CD508" s="187">
        <f>IF(AND(Input_Product=Elig!$C508,Elig_MatchAll_Ct&lt;22,$BC508=(Elig_MatchAll_Ct-1),AX508=0),Y508,0)</f>
        <v>0</v>
      </c>
      <c r="CE508" s="186">
        <f>IF(AND(Input_LTV&lt;=AE508,Input_Product=Elig!$C508,Elig_MatchAll_Ct&lt;22,$BC508=(Elig_MatchAll_Ct-1),AY508=0),Z508,0)</f>
        <v>0</v>
      </c>
      <c r="CF508" s="187">
        <f>IF(AND(Input_LTV&lt;=AE508,Input_Product=Elig!$C508,Elig_MatchAll_Ct&lt;22,$BC508=(Elig_MatchAll_Ct-1),AY508=0),AA508,0)</f>
        <v>0</v>
      </c>
      <c r="CG508" s="186">
        <f>IF(AND(Input_Product=Elig!$C508,Elig_MatchAll_Ct&lt;22,$BC508=(Elig_MatchAll_Ct-1),AZ508=0),AB508,0)</f>
        <v>0</v>
      </c>
      <c r="CH508" s="187">
        <f>IF(AND(Input_Product=Elig!$C508,Elig_MatchAll_Ct&lt;22,$BC508=(Elig_MatchAll_Ct-1),AZ508=0),AC508,0)</f>
        <v>0</v>
      </c>
      <c r="CI508" s="186">
        <f>IF(AND(Input_Product=Elig!$C508,Elig_MatchAll_Ct&lt;22,$BC508=(Elig_MatchAll_Ct-1),BA508=0),AD508,0)</f>
        <v>0</v>
      </c>
      <c r="CJ508" s="187">
        <f>IF(AND(Input_Product=Elig!$C508,Elig_MatchAll_Ct&lt;22,$BC508=(Elig_MatchAll_Ct-1),BA508=0),AE508,0)</f>
        <v>0</v>
      </c>
    </row>
    <row r="509" spans="1:88" ht="10.15" customHeight="1" x14ac:dyDescent="0.25">
      <c r="A509" s="252" t="s">
        <v>76</v>
      </c>
      <c r="B509" s="252" t="s">
        <v>2235</v>
      </c>
      <c r="C509" s="256" t="str">
        <f t="shared" si="183"/>
        <v>NonQM NOO</v>
      </c>
      <c r="D509" s="257" t="s">
        <v>1995</v>
      </c>
      <c r="E509" s="257" t="s">
        <v>166</v>
      </c>
      <c r="F509" s="257" t="s">
        <v>329</v>
      </c>
      <c r="G509" s="257" t="s">
        <v>180</v>
      </c>
      <c r="H509" s="257" t="s">
        <v>135</v>
      </c>
      <c r="I509" s="260" t="s">
        <v>16</v>
      </c>
      <c r="J509" s="260" t="s">
        <v>1130</v>
      </c>
      <c r="K509" s="260" t="s">
        <v>1398</v>
      </c>
      <c r="L509" s="257" t="s">
        <v>311</v>
      </c>
      <c r="M509" s="257" t="s">
        <v>2289</v>
      </c>
      <c r="N509" s="257" t="s">
        <v>1844</v>
      </c>
      <c r="O509" s="257" t="s">
        <v>309</v>
      </c>
      <c r="P509" s="257" t="s">
        <v>2434</v>
      </c>
      <c r="Q509" s="257" t="s">
        <v>293</v>
      </c>
      <c r="R509" s="257">
        <v>2500000.0099999998</v>
      </c>
      <c r="S509" s="257">
        <v>3000000</v>
      </c>
      <c r="T509" s="257">
        <v>0</v>
      </c>
      <c r="U509" s="257">
        <f t="shared" si="194"/>
        <v>3000000</v>
      </c>
      <c r="V509" s="257">
        <v>0</v>
      </c>
      <c r="W509" s="257">
        <v>50</v>
      </c>
      <c r="X509" s="257">
        <v>1</v>
      </c>
      <c r="Y509" s="257">
        <v>999</v>
      </c>
      <c r="Z509" s="258">
        <v>680</v>
      </c>
      <c r="AA509" s="258">
        <v>699</v>
      </c>
      <c r="AB509" s="1884">
        <v>0</v>
      </c>
      <c r="AC509" s="258">
        <v>999999</v>
      </c>
      <c r="AD509" s="257">
        <v>0</v>
      </c>
      <c r="AE509" s="259">
        <v>60</v>
      </c>
      <c r="AF509" s="144">
        <v>0</v>
      </c>
      <c r="AG509" s="145">
        <v>1</v>
      </c>
      <c r="AH509" s="145">
        <v>1</v>
      </c>
      <c r="AI509" s="145">
        <v>1</v>
      </c>
      <c r="AJ509" s="145">
        <v>1</v>
      </c>
      <c r="AK509" s="145">
        <v>1</v>
      </c>
      <c r="AL509" s="145">
        <v>0</v>
      </c>
      <c r="AM509" s="145">
        <v>1</v>
      </c>
      <c r="AN509" s="145">
        <v>1</v>
      </c>
      <c r="AO509" s="145">
        <v>1</v>
      </c>
      <c r="AP509" s="145">
        <v>1</v>
      </c>
      <c r="AQ509" s="145">
        <v>1</v>
      </c>
      <c r="AR509" s="145">
        <v>1</v>
      </c>
      <c r="AS509" s="145">
        <v>1</v>
      </c>
      <c r="AT509" s="145">
        <v>1</v>
      </c>
      <c r="AU509" s="145">
        <f t="shared" si="148"/>
        <v>0</v>
      </c>
      <c r="AV509" s="145">
        <f t="shared" si="149"/>
        <v>1</v>
      </c>
      <c r="AW509" s="145">
        <f t="shared" si="150"/>
        <v>1</v>
      </c>
      <c r="AX509" s="145">
        <f t="shared" si="161"/>
        <v>1</v>
      </c>
      <c r="AY509" s="145">
        <f t="shared" si="151"/>
        <v>0</v>
      </c>
      <c r="AZ509" s="145">
        <f t="shared" si="152"/>
        <v>1</v>
      </c>
      <c r="BA509" s="146">
        <f t="shared" si="153"/>
        <v>0</v>
      </c>
      <c r="BB509" s="149">
        <f t="shared" si="190"/>
        <v>17</v>
      </c>
      <c r="BC509" s="150">
        <f t="shared" si="191"/>
        <v>17</v>
      </c>
      <c r="BD509" s="150">
        <f t="shared" si="192"/>
        <v>17</v>
      </c>
      <c r="BE509" s="211" t="str">
        <f t="shared" si="193"/>
        <v/>
      </c>
      <c r="BH509" s="188">
        <f>IF(AND(Input_Product=Elig!$C509,Elig_MatchAll_Ct&lt;22,$BC509=(Elig_MatchAll_Ct-1),AF509=0),C509,0)</f>
        <v>0</v>
      </c>
      <c r="BI509" s="188">
        <f>IF(AND(Input_Product=Elig!$C509,Elig_MatchAll_Ct&lt;22,$BC509=(Elig_MatchAll_Ct-1),AG509=0),D509,0)</f>
        <v>0</v>
      </c>
      <c r="BJ509" s="188">
        <f>IF(AND(Input_Product=Elig!$C509,Elig_MatchAll_Ct&lt;22,$BC509=(Elig_MatchAll_Ct-1),AH509=0),E509,0)</f>
        <v>0</v>
      </c>
      <c r="BK509" s="188">
        <f>IF(AND(Input_Product=Elig!$C509,Elig_MatchAll_Ct&lt;22,$BC509=(Elig_MatchAll_Ct-1),AI509=0),F509,0)</f>
        <v>0</v>
      </c>
      <c r="BL509" s="188">
        <f>IF(AND(Input_Product=Elig!$C509,Elig_MatchAll_Ct&lt;22,$BC509=(Elig_MatchAll_Ct-1),AJ509=0),G509,0)</f>
        <v>0</v>
      </c>
      <c r="BM509" s="188">
        <f>IF(AND(Input_Product=Elig!$C509,Elig_MatchAll_Ct&lt;22,$BC509=(Elig_MatchAll_Ct-1),AK509=0),H509,0)</f>
        <v>0</v>
      </c>
      <c r="BN509" s="188">
        <f>IF(AND(Input_Product=Elig!$C509,Elig_MatchAll_Ct&lt;22,$BC509=(Elig_MatchAll_Ct-1),AL509=0),I509,0)</f>
        <v>0</v>
      </c>
      <c r="BO509" s="188">
        <f>IF(AND(Input_Product=Elig!$C509,Elig_MatchAll_Ct&lt;22,$BC509=(Elig_MatchAll_Ct-1),AM509=0),J509,0)</f>
        <v>0</v>
      </c>
      <c r="BP509" s="188">
        <f>IF(AND(Input_Product=Elig!$C509,Elig_MatchAll_Ct&lt;22,$BC509=(Elig_MatchAll_Ct-1),AN509=0),K509,0)</f>
        <v>0</v>
      </c>
      <c r="BQ509" s="188">
        <f>IF(AND(Input_Product=Elig!$C509,Elig_MatchAll_Ct&lt;22,$BC509=(Elig_MatchAll_Ct-1),AP509=0),L509,0)</f>
        <v>0</v>
      </c>
      <c r="BR509" s="188">
        <f>IF(AND(Input_Product=Elig!$C509,Elig_MatchAll_Ct&lt;22,$BC509=(Elig_MatchAll_Ct-1),AO509=0),M509,0)</f>
        <v>0</v>
      </c>
      <c r="BS509" s="188">
        <f>IF(AND(Input_Product=Elig!$C509,Elig_MatchAll_Ct&lt;22,$BC509=(Elig_MatchAll_Ct-1),AQ509=0),N509,0)</f>
        <v>0</v>
      </c>
      <c r="BT509" s="188">
        <f>IF(AND(Input_Product=Elig!$C509,Elig_MatchAll_Ct&lt;22,$BC509=(Elig_MatchAll_Ct-1),AR509=0),O509,0)</f>
        <v>0</v>
      </c>
      <c r="BU509" s="188">
        <f>IF(AND(Input_Product=Elig!$C509,Elig_MatchAll_Ct&lt;22,$BC509=(Elig_MatchAll_Ct-1),AS509=0),P509,0)</f>
        <v>0</v>
      </c>
      <c r="BV509" s="189">
        <f>IF(AND(Input_Product=Elig!$C509,Elig_MatchAll_Ct&lt;22,$BC509=(Elig_MatchAll_Ct-1),AT509=0),Q509,0)</f>
        <v>0</v>
      </c>
      <c r="BW509" s="271">
        <f>IF(AND(Input_Product=Elig!$C509,Elig_MatchAll_Ct&lt;22,$BC509=(Elig_MatchAll_Ct-1),AU509=0),R509,0)</f>
        <v>0</v>
      </c>
      <c r="BX509" s="272">
        <f>IF(AND(Input_Product=Elig!$C509,Elig_MatchAll_Ct&lt;22,$BC509=(Elig_MatchAll_Ct-1),AU509=0),S509,0)</f>
        <v>0</v>
      </c>
      <c r="BY509" s="271">
        <f>IF(AND(Input_Product=Elig!$C509,Elig_MatchAll_Ct&lt;22,$BC509=(Elig_MatchAll_Ct-1),AV509=0),T509,0)</f>
        <v>0</v>
      </c>
      <c r="BZ509" s="272">
        <f>IF(AND(Input_Product=Elig!$C509,Elig_MatchAll_Ct&lt;22,$BC509=(Elig_MatchAll_Ct-1),AV509=0),U509,0)</f>
        <v>0</v>
      </c>
      <c r="CA509" s="271">
        <f>IF(AND(Input_Product=Elig!$C509,Elig_MatchAll_Ct&lt;22,$BC509=(Elig_MatchAll_Ct-1),AW509=0),V509,0)</f>
        <v>0</v>
      </c>
      <c r="CB509" s="272">
        <f>IF(AND(Input_Product=Elig!$C509,Elig_MatchAll_Ct&lt;22,$BC509=(Elig_MatchAll_Ct-1),AW509=0),W509,0)</f>
        <v>0</v>
      </c>
      <c r="CC509" s="271">
        <f>IF(AND(Input_Product=Elig!$C509,Elig_MatchAll_Ct&lt;22,$BC509=(Elig_MatchAll_Ct-1),AX509=0),X509,0)</f>
        <v>0</v>
      </c>
      <c r="CD509" s="272">
        <f>IF(AND(Input_Product=Elig!$C509,Elig_MatchAll_Ct&lt;22,$BC509=(Elig_MatchAll_Ct-1),AX509=0),Y509,0)</f>
        <v>0</v>
      </c>
      <c r="CE509" s="271">
        <f>IF(AND(Input_LTV&lt;=AE509,Input_Product=Elig!$C509,Elig_MatchAll_Ct&lt;22,$BC509=(Elig_MatchAll_Ct-1),AY509=0),Z509,0)</f>
        <v>0</v>
      </c>
      <c r="CF509" s="272">
        <f>IF(AND(Input_LTV&lt;=AE509,Input_Product=Elig!$C509,Elig_MatchAll_Ct&lt;22,$BC509=(Elig_MatchAll_Ct-1),AY509=0),AA509,0)</f>
        <v>0</v>
      </c>
      <c r="CG509" s="271">
        <f>IF(AND(Input_Product=Elig!$C509,Elig_MatchAll_Ct&lt;22,$BC509=(Elig_MatchAll_Ct-1),AZ509=0),AB509,0)</f>
        <v>0</v>
      </c>
      <c r="CH509" s="272">
        <f>IF(AND(Input_Product=Elig!$C509,Elig_MatchAll_Ct&lt;22,$BC509=(Elig_MatchAll_Ct-1),AZ509=0),AC509,0)</f>
        <v>0</v>
      </c>
      <c r="CI509" s="271">
        <f>IF(AND(Input_Product=Elig!$C509,Elig_MatchAll_Ct&lt;22,$BC509=(Elig_MatchAll_Ct-1),BA509=0),AD509,0)</f>
        <v>0</v>
      </c>
      <c r="CJ509" s="272">
        <f>IF(AND(Input_Product=Elig!$C509,Elig_MatchAll_Ct&lt;22,$BC509=(Elig_MatchAll_Ct-1),BA509=0),AE509,0)</f>
        <v>0</v>
      </c>
    </row>
    <row r="510" spans="1:88" ht="10.15" customHeight="1" x14ac:dyDescent="0.25">
      <c r="A510" s="261" t="s">
        <v>2507</v>
      </c>
      <c r="B510" s="261" t="s">
        <v>2503</v>
      </c>
      <c r="C510" s="1930" t="str">
        <f t="shared" si="183"/>
        <v>NonQM NOO</v>
      </c>
      <c r="D510" s="276" t="s">
        <v>1995</v>
      </c>
      <c r="E510" s="1537" t="s">
        <v>166</v>
      </c>
      <c r="F510" s="1537" t="s">
        <v>329</v>
      </c>
      <c r="G510" s="1537" t="s">
        <v>180</v>
      </c>
      <c r="H510" s="1537" t="s">
        <v>135</v>
      </c>
      <c r="I510" s="276" t="s">
        <v>273</v>
      </c>
      <c r="J510" s="276" t="s">
        <v>1130</v>
      </c>
      <c r="K510" s="1930" t="s">
        <v>2516</v>
      </c>
      <c r="L510" s="261" t="s">
        <v>311</v>
      </c>
      <c r="M510" s="261" t="s">
        <v>2289</v>
      </c>
      <c r="N510" s="261" t="s">
        <v>1844</v>
      </c>
      <c r="O510" s="1985" t="s">
        <v>2196</v>
      </c>
      <c r="P510" s="1985" t="s">
        <v>2422</v>
      </c>
      <c r="Q510" s="1985" t="s">
        <v>49</v>
      </c>
      <c r="R510" s="261">
        <v>2500000.0099999998</v>
      </c>
      <c r="S510" s="276">
        <v>3000000</v>
      </c>
      <c r="T510" s="276">
        <v>0</v>
      </c>
      <c r="U510" s="276">
        <v>0</v>
      </c>
      <c r="V510" s="276">
        <v>0</v>
      </c>
      <c r="W510" s="276">
        <v>50</v>
      </c>
      <c r="X510" s="276">
        <v>0.01</v>
      </c>
      <c r="Y510" s="276">
        <v>0.74999999999989997</v>
      </c>
      <c r="Z510" s="1882">
        <v>720</v>
      </c>
      <c r="AA510" s="1882">
        <v>999</v>
      </c>
      <c r="AB510" s="1882">
        <v>0</v>
      </c>
      <c r="AC510" s="1882">
        <v>999999</v>
      </c>
      <c r="AD510" s="276">
        <v>0</v>
      </c>
      <c r="AE510" s="1538">
        <v>70</v>
      </c>
      <c r="AF510" s="144">
        <v>0</v>
      </c>
      <c r="AG510" s="145">
        <v>1</v>
      </c>
      <c r="AH510" s="145">
        <v>1</v>
      </c>
      <c r="AI510" s="145">
        <v>1</v>
      </c>
      <c r="AJ510" s="145">
        <v>1</v>
      </c>
      <c r="AK510" s="145">
        <v>1</v>
      </c>
      <c r="AL510" s="145">
        <v>1</v>
      </c>
      <c r="AM510" s="145">
        <v>1</v>
      </c>
      <c r="AN510" s="145">
        <v>1</v>
      </c>
      <c r="AO510" s="145">
        <v>1</v>
      </c>
      <c r="AP510" s="145">
        <v>1</v>
      </c>
      <c r="AQ510" s="145">
        <v>1</v>
      </c>
      <c r="AR510" s="145">
        <v>1</v>
      </c>
      <c r="AS510" s="145">
        <v>1</v>
      </c>
      <c r="AT510" s="145">
        <v>0</v>
      </c>
      <c r="AU510" s="145">
        <f t="shared" si="148"/>
        <v>0</v>
      </c>
      <c r="AV510" s="145">
        <f t="shared" si="149"/>
        <v>1</v>
      </c>
      <c r="AW510" s="145">
        <f t="shared" si="150"/>
        <v>1</v>
      </c>
      <c r="AX510" s="145">
        <f t="shared" si="161"/>
        <v>0</v>
      </c>
      <c r="AY510" s="145">
        <f t="shared" si="151"/>
        <v>1</v>
      </c>
      <c r="AZ510" s="145">
        <f t="shared" si="152"/>
        <v>1</v>
      </c>
      <c r="BA510" s="146">
        <f t="shared" si="153"/>
        <v>1</v>
      </c>
      <c r="BB510" s="149">
        <f t="shared" si="190"/>
        <v>18</v>
      </c>
      <c r="BC510" s="150">
        <f t="shared" si="191"/>
        <v>17</v>
      </c>
      <c r="BD510" s="150">
        <f t="shared" si="192"/>
        <v>18</v>
      </c>
      <c r="BE510" s="211" t="str">
        <f t="shared" si="193"/>
        <v/>
      </c>
      <c r="BH510" s="184">
        <f>IF(AND(Input_Product=Elig!$C510,Elig_MatchAll_Ct&lt;22,$BC510=(Elig_MatchAll_Ct-1),AF510=0),C510,0)</f>
        <v>0</v>
      </c>
      <c r="BI510" s="184">
        <f>IF(AND(Input_Product=Elig!$C510,Elig_MatchAll_Ct&lt;22,$BC510=(Elig_MatchAll_Ct-1),AG510=0),D510,0)</f>
        <v>0</v>
      </c>
      <c r="BJ510" s="184">
        <f>IF(AND(Input_Product=Elig!$C510,Elig_MatchAll_Ct&lt;22,$BC510=(Elig_MatchAll_Ct-1),AH510=0),E510,0)</f>
        <v>0</v>
      </c>
      <c r="BK510" s="184">
        <f>IF(AND(Input_Product=Elig!$C510,Elig_MatchAll_Ct&lt;22,$BC510=(Elig_MatchAll_Ct-1),AI510=0),F510,0)</f>
        <v>0</v>
      </c>
      <c r="BL510" s="184">
        <f>IF(AND(Input_Product=Elig!$C510,Elig_MatchAll_Ct&lt;22,$BC510=(Elig_MatchAll_Ct-1),AJ510=0),G510,0)</f>
        <v>0</v>
      </c>
      <c r="BM510" s="184">
        <f>IF(AND(Input_Product=Elig!$C510,Elig_MatchAll_Ct&lt;22,$BC510=(Elig_MatchAll_Ct-1),AK510=0),H510,0)</f>
        <v>0</v>
      </c>
      <c r="BN510" s="184">
        <f>IF(AND(Input_Product=Elig!$C510,Elig_MatchAll_Ct&lt;22,$BC510=(Elig_MatchAll_Ct-1),AL510=0),I510,0)</f>
        <v>0</v>
      </c>
      <c r="BO510" s="184">
        <f>IF(AND(Input_Product=Elig!$C510,Elig_MatchAll_Ct&lt;22,$BC510=(Elig_MatchAll_Ct-1),AM510=0),J510,0)</f>
        <v>0</v>
      </c>
      <c r="BP510" s="184">
        <f>IF(AND(Input_Product=Elig!$C510,Elig_MatchAll_Ct&lt;22,$BC510=(Elig_MatchAll_Ct-1),AN510=0),K510,0)</f>
        <v>0</v>
      </c>
      <c r="BQ510" s="184">
        <f>IF(AND(Input_Product=Elig!$C510,Elig_MatchAll_Ct&lt;22,$BC510=(Elig_MatchAll_Ct-1),AP510=0),L510,0)</f>
        <v>0</v>
      </c>
      <c r="BR510" s="184">
        <f>IF(AND(Input_Product=Elig!$C510,Elig_MatchAll_Ct&lt;22,$BC510=(Elig_MatchAll_Ct-1),AO510=0),M510,0)</f>
        <v>0</v>
      </c>
      <c r="BS510" s="184">
        <f>IF(AND(Input_Product=Elig!$C510,Elig_MatchAll_Ct&lt;22,$BC510=(Elig_MatchAll_Ct-1),AQ510=0),N510,0)</f>
        <v>0</v>
      </c>
      <c r="BT510" s="184">
        <f>IF(AND(Input_Product=Elig!$C510,Elig_MatchAll_Ct&lt;22,$BC510=(Elig_MatchAll_Ct-1),AR510=0),O510,0)</f>
        <v>0</v>
      </c>
      <c r="BU510" s="184">
        <f>IF(AND(Input_Product=Elig!$C510,Elig_MatchAll_Ct&lt;22,$BC510=(Elig_MatchAll_Ct-1),AS510=0),P510,0)</f>
        <v>0</v>
      </c>
      <c r="BV510" s="185">
        <f>IF(AND(Input_Product=Elig!$C510,Elig_MatchAll_Ct&lt;22,$BC510=(Elig_MatchAll_Ct-1),AT510=0),Q510,0)</f>
        <v>0</v>
      </c>
      <c r="BW510" s="186">
        <f>IF(AND(Input_Product=Elig!$C510,Elig_MatchAll_Ct&lt;22,$BC510=(Elig_MatchAll_Ct-1),AU510=0),R510,0)</f>
        <v>0</v>
      </c>
      <c r="BX510" s="187">
        <f>IF(AND(Input_Product=Elig!$C510,Elig_MatchAll_Ct&lt;22,$BC510=(Elig_MatchAll_Ct-1),AU510=0),S510,0)</f>
        <v>0</v>
      </c>
      <c r="BY510" s="186">
        <f>IF(AND(Input_Product=Elig!$C510,Elig_MatchAll_Ct&lt;22,$BC510=(Elig_MatchAll_Ct-1),AV510=0),T510,0)</f>
        <v>0</v>
      </c>
      <c r="BZ510" s="187">
        <f>IF(AND(Input_Product=Elig!$C510,Elig_MatchAll_Ct&lt;22,$BC510=(Elig_MatchAll_Ct-1),AV510=0),U510,0)</f>
        <v>0</v>
      </c>
      <c r="CA510" s="186">
        <f>IF(AND(Input_Product=Elig!$C510,Elig_MatchAll_Ct&lt;22,$BC510=(Elig_MatchAll_Ct-1),AW510=0),V510,0)</f>
        <v>0</v>
      </c>
      <c r="CB510" s="187">
        <f>IF(AND(Input_Product=Elig!$C510,Elig_MatchAll_Ct&lt;22,$BC510=(Elig_MatchAll_Ct-1),AW510=0),W510,0)</f>
        <v>0</v>
      </c>
      <c r="CC510" s="186">
        <f>IF(AND(Input_Product=Elig!$C510,Elig_MatchAll_Ct&lt;22,$BC510=(Elig_MatchAll_Ct-1),AX510=0),X510,0)</f>
        <v>0</v>
      </c>
      <c r="CD510" s="187">
        <f>IF(AND(Input_Product=Elig!$C510,Elig_MatchAll_Ct&lt;22,$BC510=(Elig_MatchAll_Ct-1),AX510=0),Y510,0)</f>
        <v>0</v>
      </c>
      <c r="CE510" s="186">
        <f>IF(AND(Input_LTV&lt;=AE510,Input_Product=Elig!$C510,Elig_MatchAll_Ct&lt;22,$BC510=(Elig_MatchAll_Ct-1),AY510=0),Z510,0)</f>
        <v>0</v>
      </c>
      <c r="CF510" s="187">
        <f>IF(AND(Input_LTV&lt;=AE510,Input_Product=Elig!$C510,Elig_MatchAll_Ct&lt;22,$BC510=(Elig_MatchAll_Ct-1),AY510=0),AA510,0)</f>
        <v>0</v>
      </c>
      <c r="CG510" s="186">
        <f>IF(AND(Input_Product=Elig!$C510,Elig_MatchAll_Ct&lt;22,$BC510=(Elig_MatchAll_Ct-1),AZ510=0),AB510,0)</f>
        <v>0</v>
      </c>
      <c r="CH510" s="187">
        <f>IF(AND(Input_Product=Elig!$C510,Elig_MatchAll_Ct&lt;22,$BC510=(Elig_MatchAll_Ct-1),AZ510=0),AC510,0)</f>
        <v>0</v>
      </c>
      <c r="CI510" s="186">
        <f>IF(AND(Input_Product=Elig!$C510,Elig_MatchAll_Ct&lt;22,$BC510=(Elig_MatchAll_Ct-1),BA510=0),AD510,0)</f>
        <v>0</v>
      </c>
      <c r="CJ510" s="187">
        <f>IF(AND(Input_Product=Elig!$C510,Elig_MatchAll_Ct&lt;22,$BC510=(Elig_MatchAll_Ct-1),BA510=0),AE510,0)</f>
        <v>0</v>
      </c>
    </row>
    <row r="511" spans="1:88" ht="10.15" customHeight="1" x14ac:dyDescent="0.25">
      <c r="A511" s="261" t="s">
        <v>2507</v>
      </c>
      <c r="B511" s="261" t="s">
        <v>2504</v>
      </c>
      <c r="C511" s="1970" t="str">
        <f t="shared" si="183"/>
        <v>NonQM NOO</v>
      </c>
      <c r="D511" s="261" t="s">
        <v>1995</v>
      </c>
      <c r="E511" s="261" t="s">
        <v>166</v>
      </c>
      <c r="F511" s="261" t="s">
        <v>329</v>
      </c>
      <c r="G511" s="261" t="s">
        <v>180</v>
      </c>
      <c r="H511" s="261" t="s">
        <v>135</v>
      </c>
      <c r="I511" s="1544" t="s">
        <v>273</v>
      </c>
      <c r="J511" s="1544" t="s">
        <v>1130</v>
      </c>
      <c r="K511" s="1930" t="s">
        <v>2516</v>
      </c>
      <c r="L511" s="261" t="s">
        <v>311</v>
      </c>
      <c r="M511" s="261" t="s">
        <v>2289</v>
      </c>
      <c r="N511" s="261" t="s">
        <v>1844</v>
      </c>
      <c r="O511" s="1985" t="s">
        <v>2196</v>
      </c>
      <c r="P511" s="1985" t="s">
        <v>2422</v>
      </c>
      <c r="Q511" s="1985" t="s">
        <v>49</v>
      </c>
      <c r="R511" s="261">
        <v>2500000.0099999998</v>
      </c>
      <c r="S511" s="261">
        <v>3000000</v>
      </c>
      <c r="T511" s="261">
        <v>0</v>
      </c>
      <c r="U511" s="261">
        <v>0</v>
      </c>
      <c r="V511" s="261">
        <v>0</v>
      </c>
      <c r="W511" s="261">
        <v>50</v>
      </c>
      <c r="X511" s="276">
        <v>0.01</v>
      </c>
      <c r="Y511" s="261">
        <v>0.74999999999989997</v>
      </c>
      <c r="Z511" s="1883">
        <v>700</v>
      </c>
      <c r="AA511" s="1883">
        <v>719</v>
      </c>
      <c r="AB511" s="1883">
        <v>0</v>
      </c>
      <c r="AC511" s="1883">
        <v>999999</v>
      </c>
      <c r="AD511" s="261">
        <v>0</v>
      </c>
      <c r="AE511" s="1539">
        <v>70</v>
      </c>
      <c r="AF511" s="144">
        <v>0</v>
      </c>
      <c r="AG511" s="145">
        <v>1</v>
      </c>
      <c r="AH511" s="145">
        <v>1</v>
      </c>
      <c r="AI511" s="145">
        <v>1</v>
      </c>
      <c r="AJ511" s="145">
        <v>1</v>
      </c>
      <c r="AK511" s="145">
        <v>1</v>
      </c>
      <c r="AL511" s="145">
        <v>1</v>
      </c>
      <c r="AM511" s="145">
        <v>1</v>
      </c>
      <c r="AN511" s="145">
        <v>1</v>
      </c>
      <c r="AO511" s="145">
        <v>1</v>
      </c>
      <c r="AP511" s="145">
        <v>1</v>
      </c>
      <c r="AQ511" s="145">
        <v>1</v>
      </c>
      <c r="AR511" s="145">
        <v>1</v>
      </c>
      <c r="AS511" s="145">
        <v>1</v>
      </c>
      <c r="AT511" s="145">
        <v>0</v>
      </c>
      <c r="AU511" s="145">
        <f t="shared" si="148"/>
        <v>0</v>
      </c>
      <c r="AV511" s="145">
        <f t="shared" si="149"/>
        <v>1</v>
      </c>
      <c r="AW511" s="145">
        <f t="shared" si="150"/>
        <v>1</v>
      </c>
      <c r="AX511" s="145">
        <f t="shared" si="161"/>
        <v>0</v>
      </c>
      <c r="AY511" s="145">
        <f t="shared" si="151"/>
        <v>0</v>
      </c>
      <c r="AZ511" s="145">
        <f t="shared" si="152"/>
        <v>1</v>
      </c>
      <c r="BA511" s="146">
        <f t="shared" si="153"/>
        <v>1</v>
      </c>
      <c r="BB511" s="149">
        <f t="shared" si="190"/>
        <v>17</v>
      </c>
      <c r="BC511" s="150">
        <f t="shared" si="191"/>
        <v>16</v>
      </c>
      <c r="BD511" s="150">
        <f t="shared" si="192"/>
        <v>17</v>
      </c>
      <c r="BE511" s="211" t="str">
        <f t="shared" si="193"/>
        <v/>
      </c>
      <c r="BH511" s="173">
        <f>IF(AND(Input_Product=Elig!$C511,Elig_MatchAll_Ct&lt;22,$BC511=(Elig_MatchAll_Ct-1),AF511=0),C511,0)</f>
        <v>0</v>
      </c>
      <c r="BI511" s="173">
        <f>IF(AND(Input_Product=Elig!$C511,Elig_MatchAll_Ct&lt;22,$BC511=(Elig_MatchAll_Ct-1),AG511=0),D511,0)</f>
        <v>0</v>
      </c>
      <c r="BJ511" s="173">
        <f>IF(AND(Input_Product=Elig!$C511,Elig_MatchAll_Ct&lt;22,$BC511=(Elig_MatchAll_Ct-1),AH511=0),E511,0)</f>
        <v>0</v>
      </c>
      <c r="BK511" s="173">
        <f>IF(AND(Input_Product=Elig!$C511,Elig_MatchAll_Ct&lt;22,$BC511=(Elig_MatchAll_Ct-1),AI511=0),F511,0)</f>
        <v>0</v>
      </c>
      <c r="BL511" s="173">
        <f>IF(AND(Input_Product=Elig!$C511,Elig_MatchAll_Ct&lt;22,$BC511=(Elig_MatchAll_Ct-1),AJ511=0),G511,0)</f>
        <v>0</v>
      </c>
      <c r="BM511" s="173">
        <f>IF(AND(Input_Product=Elig!$C511,Elig_MatchAll_Ct&lt;22,$BC511=(Elig_MatchAll_Ct-1),AK511=0),H511,0)</f>
        <v>0</v>
      </c>
      <c r="BN511" s="173">
        <f>IF(AND(Input_Product=Elig!$C511,Elig_MatchAll_Ct&lt;22,$BC511=(Elig_MatchAll_Ct-1),AL511=0),I511,0)</f>
        <v>0</v>
      </c>
      <c r="BO511" s="173">
        <f>IF(AND(Input_Product=Elig!$C511,Elig_MatchAll_Ct&lt;22,$BC511=(Elig_MatchAll_Ct-1),AM511=0),J511,0)</f>
        <v>0</v>
      </c>
      <c r="BP511" s="173">
        <f>IF(AND(Input_Product=Elig!$C511,Elig_MatchAll_Ct&lt;22,$BC511=(Elig_MatchAll_Ct-1),AN511=0),K511,0)</f>
        <v>0</v>
      </c>
      <c r="BQ511" s="173">
        <f>IF(AND(Input_Product=Elig!$C511,Elig_MatchAll_Ct&lt;22,$BC511=(Elig_MatchAll_Ct-1),AP511=0),L511,0)</f>
        <v>0</v>
      </c>
      <c r="BR511" s="173">
        <f>IF(AND(Input_Product=Elig!$C511,Elig_MatchAll_Ct&lt;22,$BC511=(Elig_MatchAll_Ct-1),AO511=0),M511,0)</f>
        <v>0</v>
      </c>
      <c r="BS511" s="173">
        <f>IF(AND(Input_Product=Elig!$C511,Elig_MatchAll_Ct&lt;22,$BC511=(Elig_MatchAll_Ct-1),AQ511=0),N511,0)</f>
        <v>0</v>
      </c>
      <c r="BT511" s="173">
        <f>IF(AND(Input_Product=Elig!$C511,Elig_MatchAll_Ct&lt;22,$BC511=(Elig_MatchAll_Ct-1),AR511=0),O511,0)</f>
        <v>0</v>
      </c>
      <c r="BU511" s="173">
        <f>IF(AND(Input_Product=Elig!$C511,Elig_MatchAll_Ct&lt;22,$BC511=(Elig_MatchAll_Ct-1),AS511=0),P511,0)</f>
        <v>0</v>
      </c>
      <c r="BV511" s="174">
        <f>IF(AND(Input_Product=Elig!$C511,Elig_MatchAll_Ct&lt;22,$BC511=(Elig_MatchAll_Ct-1),AT511=0),Q511,0)</f>
        <v>0</v>
      </c>
      <c r="BW511" s="175">
        <f>IF(AND(Input_Product=Elig!$C511,Elig_MatchAll_Ct&lt;22,$BC511=(Elig_MatchAll_Ct-1),AU511=0),R511,0)</f>
        <v>0</v>
      </c>
      <c r="BX511" s="176">
        <f>IF(AND(Input_Product=Elig!$C511,Elig_MatchAll_Ct&lt;22,$BC511=(Elig_MatchAll_Ct-1),AU511=0),S511,0)</f>
        <v>0</v>
      </c>
      <c r="BY511" s="175">
        <f>IF(AND(Input_Product=Elig!$C511,Elig_MatchAll_Ct&lt;22,$BC511=(Elig_MatchAll_Ct-1),AV511=0),T511,0)</f>
        <v>0</v>
      </c>
      <c r="BZ511" s="176">
        <f>IF(AND(Input_Product=Elig!$C511,Elig_MatchAll_Ct&lt;22,$BC511=(Elig_MatchAll_Ct-1),AV511=0),U511,0)</f>
        <v>0</v>
      </c>
      <c r="CA511" s="175">
        <f>IF(AND(Input_Product=Elig!$C511,Elig_MatchAll_Ct&lt;22,$BC511=(Elig_MatchAll_Ct-1),AW511=0),V511,0)</f>
        <v>0</v>
      </c>
      <c r="CB511" s="176">
        <f>IF(AND(Input_Product=Elig!$C511,Elig_MatchAll_Ct&lt;22,$BC511=(Elig_MatchAll_Ct-1),AW511=0),W511,0)</f>
        <v>0</v>
      </c>
      <c r="CC511" s="175">
        <f>IF(AND(Input_Product=Elig!$C511,Elig_MatchAll_Ct&lt;22,$BC511=(Elig_MatchAll_Ct-1),AX511=0),X511,0)</f>
        <v>0</v>
      </c>
      <c r="CD511" s="176">
        <f>IF(AND(Input_Product=Elig!$C511,Elig_MatchAll_Ct&lt;22,$BC511=(Elig_MatchAll_Ct-1),AX511=0),Y511,0)</f>
        <v>0</v>
      </c>
      <c r="CE511" s="175">
        <f>IF(AND(Input_LTV&lt;=AE511,Input_Product=Elig!$C511,Elig_MatchAll_Ct&lt;22,$BC511=(Elig_MatchAll_Ct-1),AY511=0),Z511,0)</f>
        <v>0</v>
      </c>
      <c r="CF511" s="176">
        <f>IF(AND(Input_LTV&lt;=AE511,Input_Product=Elig!$C511,Elig_MatchAll_Ct&lt;22,$BC511=(Elig_MatchAll_Ct-1),AY511=0),AA511,0)</f>
        <v>0</v>
      </c>
      <c r="CG511" s="175">
        <f>IF(AND(Input_Product=Elig!$C511,Elig_MatchAll_Ct&lt;22,$BC511=(Elig_MatchAll_Ct-1),AZ511=0),AB511,0)</f>
        <v>0</v>
      </c>
      <c r="CH511" s="176">
        <f>IF(AND(Input_Product=Elig!$C511,Elig_MatchAll_Ct&lt;22,$BC511=(Elig_MatchAll_Ct-1),AZ511=0),AC511,0)</f>
        <v>0</v>
      </c>
      <c r="CI511" s="175">
        <f>IF(AND(Input_Product=Elig!$C511,Elig_MatchAll_Ct&lt;22,$BC511=(Elig_MatchAll_Ct-1),BA511=0),AD511,0)</f>
        <v>0</v>
      </c>
      <c r="CJ511" s="176">
        <f>IF(AND(Input_Product=Elig!$C511,Elig_MatchAll_Ct&lt;22,$BC511=(Elig_MatchAll_Ct-1),BA511=0),AE511,0)</f>
        <v>0</v>
      </c>
    </row>
    <row r="512" spans="1:88" ht="10.15" customHeight="1" x14ac:dyDescent="0.25">
      <c r="A512" s="261" t="s">
        <v>2507</v>
      </c>
      <c r="B512" s="261" t="s">
        <v>2505</v>
      </c>
      <c r="C512" s="1930" t="str">
        <f t="shared" si="183"/>
        <v>NonQM NOO</v>
      </c>
      <c r="D512" s="276" t="s">
        <v>1995</v>
      </c>
      <c r="E512" s="1537" t="s">
        <v>166</v>
      </c>
      <c r="F512" s="1537" t="s">
        <v>329</v>
      </c>
      <c r="G512" s="1537" t="s">
        <v>180</v>
      </c>
      <c r="H512" s="1537" t="s">
        <v>135</v>
      </c>
      <c r="I512" s="1537" t="s">
        <v>16</v>
      </c>
      <c r="J512" s="276" t="s">
        <v>1130</v>
      </c>
      <c r="K512" s="1930" t="s">
        <v>2516</v>
      </c>
      <c r="L512" s="261" t="s">
        <v>311</v>
      </c>
      <c r="M512" s="261" t="s">
        <v>2289</v>
      </c>
      <c r="N512" s="261" t="s">
        <v>1844</v>
      </c>
      <c r="O512" s="1985" t="s">
        <v>2196</v>
      </c>
      <c r="P512" s="1985" t="s">
        <v>2422</v>
      </c>
      <c r="Q512" s="1985" t="s">
        <v>49</v>
      </c>
      <c r="R512" s="261">
        <v>2500000.0099999998</v>
      </c>
      <c r="S512" s="276">
        <v>3000000</v>
      </c>
      <c r="T512" s="276">
        <v>0</v>
      </c>
      <c r="U512" s="276">
        <f t="shared" ref="U512:U513" si="195">S512</f>
        <v>3000000</v>
      </c>
      <c r="V512" s="276">
        <v>0</v>
      </c>
      <c r="W512" s="276">
        <v>50</v>
      </c>
      <c r="X512" s="276">
        <v>0.01</v>
      </c>
      <c r="Y512" s="276">
        <v>0.74999999999989997</v>
      </c>
      <c r="Z512" s="1882">
        <v>720</v>
      </c>
      <c r="AA512" s="1882">
        <v>999</v>
      </c>
      <c r="AB512" s="1882">
        <v>0</v>
      </c>
      <c r="AC512" s="1882">
        <v>999999</v>
      </c>
      <c r="AD512" s="276">
        <v>0</v>
      </c>
      <c r="AE512" s="1538">
        <v>65</v>
      </c>
      <c r="AF512" s="144">
        <v>0</v>
      </c>
      <c r="AG512" s="145">
        <v>1</v>
      </c>
      <c r="AH512" s="145">
        <v>1</v>
      </c>
      <c r="AI512" s="145">
        <v>1</v>
      </c>
      <c r="AJ512" s="145">
        <v>1</v>
      </c>
      <c r="AK512" s="145">
        <v>1</v>
      </c>
      <c r="AL512" s="145">
        <v>0</v>
      </c>
      <c r="AM512" s="145">
        <v>1</v>
      </c>
      <c r="AN512" s="145">
        <v>1</v>
      </c>
      <c r="AO512" s="145">
        <v>1</v>
      </c>
      <c r="AP512" s="145">
        <v>1</v>
      </c>
      <c r="AQ512" s="145">
        <v>1</v>
      </c>
      <c r="AR512" s="145">
        <v>1</v>
      </c>
      <c r="AS512" s="145">
        <v>1</v>
      </c>
      <c r="AT512" s="145">
        <v>0</v>
      </c>
      <c r="AU512" s="145">
        <f t="shared" si="148"/>
        <v>0</v>
      </c>
      <c r="AV512" s="145">
        <f t="shared" si="149"/>
        <v>1</v>
      </c>
      <c r="AW512" s="145">
        <f t="shared" si="150"/>
        <v>1</v>
      </c>
      <c r="AX512" s="145">
        <f t="shared" si="161"/>
        <v>0</v>
      </c>
      <c r="AY512" s="145">
        <f t="shared" si="151"/>
        <v>1</v>
      </c>
      <c r="AZ512" s="145">
        <f t="shared" si="152"/>
        <v>1</v>
      </c>
      <c r="BA512" s="146">
        <f t="shared" si="153"/>
        <v>0</v>
      </c>
      <c r="BB512" s="149">
        <f t="shared" ref="BB512:BB513" si="196">SUM(AF512:BA512)</f>
        <v>16</v>
      </c>
      <c r="BC512" s="150">
        <f t="shared" ref="BC512:BC513" si="197">SUM(AF512:AZ512)</f>
        <v>16</v>
      </c>
      <c r="BD512" s="150">
        <f t="shared" ref="BD512:BD513" si="198">SUM(AG512:BA512)</f>
        <v>16</v>
      </c>
      <c r="BE512" s="211" t="str">
        <f t="shared" ref="BE512:BE513" si="199">IF(BD512=21,C512,"")</f>
        <v/>
      </c>
      <c r="BH512" s="190">
        <f>IF(AND(Input_Product=Elig!$C512,Elig_MatchAll_Ct&lt;22,$BC512=(Elig_MatchAll_Ct-1),AF512=0),C512,0)</f>
        <v>0</v>
      </c>
      <c r="BI512" s="190">
        <f>IF(AND(Input_Product=Elig!$C512,Elig_MatchAll_Ct&lt;22,$BC512=(Elig_MatchAll_Ct-1),AG512=0),D512,0)</f>
        <v>0</v>
      </c>
      <c r="BJ512" s="190">
        <f>IF(AND(Input_Product=Elig!$C512,Elig_MatchAll_Ct&lt;22,$BC512=(Elig_MatchAll_Ct-1),AH512=0),E512,0)</f>
        <v>0</v>
      </c>
      <c r="BK512" s="190">
        <f>IF(AND(Input_Product=Elig!$C512,Elig_MatchAll_Ct&lt;22,$BC512=(Elig_MatchAll_Ct-1),AI512=0),F512,0)</f>
        <v>0</v>
      </c>
      <c r="BL512" s="190">
        <f>IF(AND(Input_Product=Elig!$C512,Elig_MatchAll_Ct&lt;22,$BC512=(Elig_MatchAll_Ct-1),AJ512=0),G512,0)</f>
        <v>0</v>
      </c>
      <c r="BM512" s="190">
        <f>IF(AND(Input_Product=Elig!$C512,Elig_MatchAll_Ct&lt;22,$BC512=(Elig_MatchAll_Ct-1),AK512=0),H512,0)</f>
        <v>0</v>
      </c>
      <c r="BN512" s="190">
        <f>IF(AND(Input_Product=Elig!$C512,Elig_MatchAll_Ct&lt;22,$BC512=(Elig_MatchAll_Ct-1),AL512=0),I512,0)</f>
        <v>0</v>
      </c>
      <c r="BO512" s="190">
        <f>IF(AND(Input_Product=Elig!$C512,Elig_MatchAll_Ct&lt;22,$BC512=(Elig_MatchAll_Ct-1),AM512=0),J512,0)</f>
        <v>0</v>
      </c>
      <c r="BP512" s="190">
        <f>IF(AND(Input_Product=Elig!$C512,Elig_MatchAll_Ct&lt;22,$BC512=(Elig_MatchAll_Ct-1),AN512=0),K512,0)</f>
        <v>0</v>
      </c>
      <c r="BQ512" s="190">
        <f>IF(AND(Input_Product=Elig!$C512,Elig_MatchAll_Ct&lt;22,$BC512=(Elig_MatchAll_Ct-1),AP512=0),L512,0)</f>
        <v>0</v>
      </c>
      <c r="BR512" s="190">
        <f>IF(AND(Input_Product=Elig!$C512,Elig_MatchAll_Ct&lt;22,$BC512=(Elig_MatchAll_Ct-1),AO512=0),M512,0)</f>
        <v>0</v>
      </c>
      <c r="BS512" s="190">
        <f>IF(AND(Input_Product=Elig!$C512,Elig_MatchAll_Ct&lt;22,$BC512=(Elig_MatchAll_Ct-1),AQ512=0),N512,0)</f>
        <v>0</v>
      </c>
      <c r="BT512" s="190">
        <f>IF(AND(Input_Product=Elig!$C512,Elig_MatchAll_Ct&lt;22,$BC512=(Elig_MatchAll_Ct-1),AR512=0),O512,0)</f>
        <v>0</v>
      </c>
      <c r="BU512" s="190">
        <f>IF(AND(Input_Product=Elig!$C512,Elig_MatchAll_Ct&lt;22,$BC512=(Elig_MatchAll_Ct-1),AS512=0),P512,0)</f>
        <v>0</v>
      </c>
      <c r="BV512" s="191">
        <f>IF(AND(Input_Product=Elig!$C512,Elig_MatchAll_Ct&lt;22,$BC512=(Elig_MatchAll_Ct-1),AT512=0),Q512,0)</f>
        <v>0</v>
      </c>
      <c r="BW512" s="273">
        <f>IF(AND(Input_Product=Elig!$C512,Elig_MatchAll_Ct&lt;22,$BC512=(Elig_MatchAll_Ct-1),AU512=0),R512,0)</f>
        <v>0</v>
      </c>
      <c r="BX512" s="274">
        <f>IF(AND(Input_Product=Elig!$C512,Elig_MatchAll_Ct&lt;22,$BC512=(Elig_MatchAll_Ct-1),AU512=0),S512,0)</f>
        <v>0</v>
      </c>
      <c r="BY512" s="273">
        <f>IF(AND(Input_Product=Elig!$C512,Elig_MatchAll_Ct&lt;22,$BC512=(Elig_MatchAll_Ct-1),AV512=0),T512,0)</f>
        <v>0</v>
      </c>
      <c r="BZ512" s="274">
        <f>IF(AND(Input_Product=Elig!$C512,Elig_MatchAll_Ct&lt;22,$BC512=(Elig_MatchAll_Ct-1),AV512=0),U512,0)</f>
        <v>0</v>
      </c>
      <c r="CA512" s="273">
        <f>IF(AND(Input_Product=Elig!$C512,Elig_MatchAll_Ct&lt;22,$BC512=(Elig_MatchAll_Ct-1),AW512=0),V512,0)</f>
        <v>0</v>
      </c>
      <c r="CB512" s="274">
        <f>IF(AND(Input_Product=Elig!$C512,Elig_MatchAll_Ct&lt;22,$BC512=(Elig_MatchAll_Ct-1),AW512=0),W512,0)</f>
        <v>0</v>
      </c>
      <c r="CC512" s="273">
        <f>IF(AND(Input_Product=Elig!$C512,Elig_MatchAll_Ct&lt;22,$BC512=(Elig_MatchAll_Ct-1),AX512=0),X512,0)</f>
        <v>0</v>
      </c>
      <c r="CD512" s="274">
        <f>IF(AND(Input_Product=Elig!$C512,Elig_MatchAll_Ct&lt;22,$BC512=(Elig_MatchAll_Ct-1),AX512=0),Y512,0)</f>
        <v>0</v>
      </c>
      <c r="CE512" s="273">
        <f>IF(AND(Input_LTV&lt;=AE512,Input_Product=Elig!$C512,Elig_MatchAll_Ct&lt;22,$BC512=(Elig_MatchAll_Ct-1),AY512=0),Z512,0)</f>
        <v>0</v>
      </c>
      <c r="CF512" s="274">
        <f>IF(AND(Input_LTV&lt;=AE512,Input_Product=Elig!$C512,Elig_MatchAll_Ct&lt;22,$BC512=(Elig_MatchAll_Ct-1),AY512=0),AA512,0)</f>
        <v>0</v>
      </c>
      <c r="CG512" s="273">
        <f>IF(AND(Input_Product=Elig!$C512,Elig_MatchAll_Ct&lt;22,$BC512=(Elig_MatchAll_Ct-1),AZ512=0),AB512,0)</f>
        <v>0</v>
      </c>
      <c r="CH512" s="274">
        <f>IF(AND(Input_Product=Elig!$C512,Elig_MatchAll_Ct&lt;22,$BC512=(Elig_MatchAll_Ct-1),AZ512=0),AC512,0)</f>
        <v>0</v>
      </c>
      <c r="CI512" s="273">
        <f>IF(AND(Input_Product=Elig!$C512,Elig_MatchAll_Ct&lt;22,$BC512=(Elig_MatchAll_Ct-1),BA512=0),AD512,0)</f>
        <v>0</v>
      </c>
      <c r="CJ512" s="274">
        <f>IF(AND(Input_Product=Elig!$C512,Elig_MatchAll_Ct&lt;22,$BC512=(Elig_MatchAll_Ct-1),BA512=0),AE512,0)</f>
        <v>0</v>
      </c>
    </row>
    <row r="513" spans="1:88" ht="10.15" customHeight="1" x14ac:dyDescent="0.25">
      <c r="A513" s="261" t="s">
        <v>2507</v>
      </c>
      <c r="B513" s="261" t="s">
        <v>2506</v>
      </c>
      <c r="C513" s="1970" t="str">
        <f t="shared" si="183"/>
        <v>NonQM NOO</v>
      </c>
      <c r="D513" s="261" t="s">
        <v>1995</v>
      </c>
      <c r="E513" s="261" t="s">
        <v>166</v>
      </c>
      <c r="F513" s="261" t="s">
        <v>329</v>
      </c>
      <c r="G513" s="261" t="s">
        <v>180</v>
      </c>
      <c r="H513" s="261" t="s">
        <v>135</v>
      </c>
      <c r="I513" s="1544" t="s">
        <v>16</v>
      </c>
      <c r="J513" s="1544" t="s">
        <v>1130</v>
      </c>
      <c r="K513" s="1930" t="s">
        <v>2516</v>
      </c>
      <c r="L513" s="261" t="s">
        <v>311</v>
      </c>
      <c r="M513" s="261" t="s">
        <v>2289</v>
      </c>
      <c r="N513" s="261" t="s">
        <v>1844</v>
      </c>
      <c r="O513" s="1985" t="s">
        <v>2196</v>
      </c>
      <c r="P513" s="1985" t="s">
        <v>2422</v>
      </c>
      <c r="Q513" s="1985" t="s">
        <v>49</v>
      </c>
      <c r="R513" s="261">
        <v>2500000.0099999998</v>
      </c>
      <c r="S513" s="261">
        <v>3000000</v>
      </c>
      <c r="T513" s="261">
        <v>0</v>
      </c>
      <c r="U513" s="261">
        <f t="shared" si="195"/>
        <v>3000000</v>
      </c>
      <c r="V513" s="261">
        <v>0</v>
      </c>
      <c r="W513" s="261">
        <v>50</v>
      </c>
      <c r="X513" s="276">
        <v>0.01</v>
      </c>
      <c r="Y513" s="261">
        <v>0.74999999999989997</v>
      </c>
      <c r="Z513" s="1883">
        <v>700</v>
      </c>
      <c r="AA513" s="1883">
        <v>719</v>
      </c>
      <c r="AB513" s="1883">
        <v>0</v>
      </c>
      <c r="AC513" s="1883">
        <v>999999</v>
      </c>
      <c r="AD513" s="261">
        <v>0</v>
      </c>
      <c r="AE513" s="1539">
        <v>65</v>
      </c>
      <c r="AF513" s="144">
        <v>0</v>
      </c>
      <c r="AG513" s="145">
        <v>1</v>
      </c>
      <c r="AH513" s="145">
        <v>1</v>
      </c>
      <c r="AI513" s="145">
        <v>1</v>
      </c>
      <c r="AJ513" s="145">
        <v>1</v>
      </c>
      <c r="AK513" s="145">
        <v>1</v>
      </c>
      <c r="AL513" s="145">
        <v>0</v>
      </c>
      <c r="AM513" s="145">
        <v>1</v>
      </c>
      <c r="AN513" s="145">
        <v>1</v>
      </c>
      <c r="AO513" s="145">
        <v>1</v>
      </c>
      <c r="AP513" s="145">
        <v>1</v>
      </c>
      <c r="AQ513" s="145">
        <v>1</v>
      </c>
      <c r="AR513" s="145">
        <v>1</v>
      </c>
      <c r="AS513" s="145">
        <v>1</v>
      </c>
      <c r="AT513" s="145">
        <v>0</v>
      </c>
      <c r="AU513" s="145">
        <f t="shared" si="148"/>
        <v>0</v>
      </c>
      <c r="AV513" s="145">
        <f t="shared" si="149"/>
        <v>1</v>
      </c>
      <c r="AW513" s="145">
        <f t="shared" si="150"/>
        <v>1</v>
      </c>
      <c r="AX513" s="145">
        <f t="shared" si="161"/>
        <v>0</v>
      </c>
      <c r="AY513" s="145">
        <f t="shared" si="151"/>
        <v>0</v>
      </c>
      <c r="AZ513" s="145">
        <f t="shared" si="152"/>
        <v>1</v>
      </c>
      <c r="BA513" s="146">
        <f t="shared" si="153"/>
        <v>0</v>
      </c>
      <c r="BB513" s="149">
        <f t="shared" si="196"/>
        <v>15</v>
      </c>
      <c r="BC513" s="150">
        <f t="shared" si="197"/>
        <v>15</v>
      </c>
      <c r="BD513" s="150">
        <f t="shared" si="198"/>
        <v>15</v>
      </c>
      <c r="BE513" s="211" t="str">
        <f t="shared" si="199"/>
        <v/>
      </c>
      <c r="BH513" s="184">
        <f>IF(AND(Input_Product=Elig!$C513,Elig_MatchAll_Ct&lt;22,$BC513=(Elig_MatchAll_Ct-1),AF513=0),C513,0)</f>
        <v>0</v>
      </c>
      <c r="BI513" s="184">
        <f>IF(AND(Input_Product=Elig!$C513,Elig_MatchAll_Ct&lt;22,$BC513=(Elig_MatchAll_Ct-1),AG513=0),D513,0)</f>
        <v>0</v>
      </c>
      <c r="BJ513" s="184">
        <f>IF(AND(Input_Product=Elig!$C513,Elig_MatchAll_Ct&lt;22,$BC513=(Elig_MatchAll_Ct-1),AH513=0),E513,0)</f>
        <v>0</v>
      </c>
      <c r="BK513" s="184">
        <f>IF(AND(Input_Product=Elig!$C513,Elig_MatchAll_Ct&lt;22,$BC513=(Elig_MatchAll_Ct-1),AI513=0),F513,0)</f>
        <v>0</v>
      </c>
      <c r="BL513" s="184">
        <f>IF(AND(Input_Product=Elig!$C513,Elig_MatchAll_Ct&lt;22,$BC513=(Elig_MatchAll_Ct-1),AJ513=0),G513,0)</f>
        <v>0</v>
      </c>
      <c r="BM513" s="184">
        <f>IF(AND(Input_Product=Elig!$C513,Elig_MatchAll_Ct&lt;22,$BC513=(Elig_MatchAll_Ct-1),AK513=0),H513,0)</f>
        <v>0</v>
      </c>
      <c r="BN513" s="184">
        <f>IF(AND(Input_Product=Elig!$C513,Elig_MatchAll_Ct&lt;22,$BC513=(Elig_MatchAll_Ct-1),AL513=0),I513,0)</f>
        <v>0</v>
      </c>
      <c r="BO513" s="184">
        <f>IF(AND(Input_Product=Elig!$C513,Elig_MatchAll_Ct&lt;22,$BC513=(Elig_MatchAll_Ct-1),AM513=0),J513,0)</f>
        <v>0</v>
      </c>
      <c r="BP513" s="184">
        <f>IF(AND(Input_Product=Elig!$C513,Elig_MatchAll_Ct&lt;22,$BC513=(Elig_MatchAll_Ct-1),AN513=0),K513,0)</f>
        <v>0</v>
      </c>
      <c r="BQ513" s="184">
        <f>IF(AND(Input_Product=Elig!$C513,Elig_MatchAll_Ct&lt;22,$BC513=(Elig_MatchAll_Ct-1),AP513=0),L513,0)</f>
        <v>0</v>
      </c>
      <c r="BR513" s="184">
        <f>IF(AND(Input_Product=Elig!$C513,Elig_MatchAll_Ct&lt;22,$BC513=(Elig_MatchAll_Ct-1),AO513=0),M513,0)</f>
        <v>0</v>
      </c>
      <c r="BS513" s="184">
        <f>IF(AND(Input_Product=Elig!$C513,Elig_MatchAll_Ct&lt;22,$BC513=(Elig_MatchAll_Ct-1),AQ513=0),N513,0)</f>
        <v>0</v>
      </c>
      <c r="BT513" s="184">
        <f>IF(AND(Input_Product=Elig!$C513,Elig_MatchAll_Ct&lt;22,$BC513=(Elig_MatchAll_Ct-1),AR513=0),O513,0)</f>
        <v>0</v>
      </c>
      <c r="BU513" s="184">
        <f>IF(AND(Input_Product=Elig!$C513,Elig_MatchAll_Ct&lt;22,$BC513=(Elig_MatchAll_Ct-1),AS513=0),P513,0)</f>
        <v>0</v>
      </c>
      <c r="BV513" s="185">
        <f>IF(AND(Input_Product=Elig!$C513,Elig_MatchAll_Ct&lt;22,$BC513=(Elig_MatchAll_Ct-1),AT513=0),Q513,0)</f>
        <v>0</v>
      </c>
      <c r="BW513" s="186">
        <f>IF(AND(Input_Product=Elig!$C513,Elig_MatchAll_Ct&lt;22,$BC513=(Elig_MatchAll_Ct-1),AU513=0),R513,0)</f>
        <v>0</v>
      </c>
      <c r="BX513" s="187">
        <f>IF(AND(Input_Product=Elig!$C513,Elig_MatchAll_Ct&lt;22,$BC513=(Elig_MatchAll_Ct-1),AU513=0),S513,0)</f>
        <v>0</v>
      </c>
      <c r="BY513" s="186">
        <f>IF(AND(Input_Product=Elig!$C513,Elig_MatchAll_Ct&lt;22,$BC513=(Elig_MatchAll_Ct-1),AV513=0),T513,0)</f>
        <v>0</v>
      </c>
      <c r="BZ513" s="187">
        <f>IF(AND(Input_Product=Elig!$C513,Elig_MatchAll_Ct&lt;22,$BC513=(Elig_MatchAll_Ct-1),AV513=0),U513,0)</f>
        <v>0</v>
      </c>
      <c r="CA513" s="186">
        <f>IF(AND(Input_Product=Elig!$C513,Elig_MatchAll_Ct&lt;22,$BC513=(Elig_MatchAll_Ct-1),AW513=0),V513,0)</f>
        <v>0</v>
      </c>
      <c r="CB513" s="187">
        <f>IF(AND(Input_Product=Elig!$C513,Elig_MatchAll_Ct&lt;22,$BC513=(Elig_MatchAll_Ct-1),AW513=0),W513,0)</f>
        <v>0</v>
      </c>
      <c r="CC513" s="186">
        <f>IF(AND(Input_Product=Elig!$C513,Elig_MatchAll_Ct&lt;22,$BC513=(Elig_MatchAll_Ct-1),AX513=0),X513,0)</f>
        <v>0</v>
      </c>
      <c r="CD513" s="187">
        <f>IF(AND(Input_Product=Elig!$C513,Elig_MatchAll_Ct&lt;22,$BC513=(Elig_MatchAll_Ct-1),AX513=0),Y513,0)</f>
        <v>0</v>
      </c>
      <c r="CE513" s="186">
        <f>IF(AND(Input_LTV&lt;=AE513,Input_Product=Elig!$C513,Elig_MatchAll_Ct&lt;22,$BC513=(Elig_MatchAll_Ct-1),AY513=0),Z513,0)</f>
        <v>0</v>
      </c>
      <c r="CF513" s="187">
        <f>IF(AND(Input_LTV&lt;=AE513,Input_Product=Elig!$C513,Elig_MatchAll_Ct&lt;22,$BC513=(Elig_MatchAll_Ct-1),AY513=0),AA513,0)</f>
        <v>0</v>
      </c>
      <c r="CG513" s="186">
        <f>IF(AND(Input_Product=Elig!$C513,Elig_MatchAll_Ct&lt;22,$BC513=(Elig_MatchAll_Ct-1),AZ513=0),AB513,0)</f>
        <v>0</v>
      </c>
      <c r="CH513" s="187">
        <f>IF(AND(Input_Product=Elig!$C513,Elig_MatchAll_Ct&lt;22,$BC513=(Elig_MatchAll_Ct-1),AZ513=0),AC513,0)</f>
        <v>0</v>
      </c>
      <c r="CI513" s="186">
        <f>IF(AND(Input_Product=Elig!$C513,Elig_MatchAll_Ct&lt;22,$BC513=(Elig_MatchAll_Ct-1),BA513=0),AD513,0)</f>
        <v>0</v>
      </c>
      <c r="CJ513" s="187">
        <f>IF(AND(Input_Product=Elig!$C513,Elig_MatchAll_Ct&lt;22,$BC513=(Elig_MatchAll_Ct-1),BA513=0),AE513,0)</f>
        <v>0</v>
      </c>
    </row>
    <row r="514" spans="1:88" ht="10.15" customHeight="1" x14ac:dyDescent="0.25">
      <c r="A514" s="252" t="s">
        <v>76</v>
      </c>
      <c r="B514" s="252" t="s">
        <v>2236</v>
      </c>
      <c r="C514" s="246" t="str">
        <f t="shared" si="183"/>
        <v>NonQM NOO</v>
      </c>
      <c r="D514" s="247" t="s">
        <v>1995</v>
      </c>
      <c r="E514" s="248" t="s">
        <v>166</v>
      </c>
      <c r="F514" s="248" t="s">
        <v>329</v>
      </c>
      <c r="G514" s="248" t="s">
        <v>302</v>
      </c>
      <c r="H514" s="248" t="s">
        <v>135</v>
      </c>
      <c r="I514" s="247" t="s">
        <v>273</v>
      </c>
      <c r="J514" s="247" t="s">
        <v>1130</v>
      </c>
      <c r="K514" s="247" t="s">
        <v>1398</v>
      </c>
      <c r="L514" s="248" t="s">
        <v>311</v>
      </c>
      <c r="M514" s="248" t="s">
        <v>2289</v>
      </c>
      <c r="N514" s="248" t="s">
        <v>1844</v>
      </c>
      <c r="O514" s="248" t="s">
        <v>309</v>
      </c>
      <c r="P514" s="248" t="s">
        <v>2434</v>
      </c>
      <c r="Q514" s="248" t="s">
        <v>293</v>
      </c>
      <c r="R514" s="247">
        <v>3000000.01</v>
      </c>
      <c r="S514" s="247">
        <v>3500000</v>
      </c>
      <c r="T514" s="247">
        <v>0</v>
      </c>
      <c r="U514" s="247">
        <v>0</v>
      </c>
      <c r="V514" s="247">
        <v>0</v>
      </c>
      <c r="W514" s="247">
        <v>50</v>
      </c>
      <c r="X514" s="247">
        <v>0</v>
      </c>
      <c r="Y514" s="247">
        <v>999</v>
      </c>
      <c r="Z514" s="249">
        <v>720</v>
      </c>
      <c r="AA514" s="249">
        <v>999</v>
      </c>
      <c r="AB514" s="1882">
        <v>0</v>
      </c>
      <c r="AC514" s="249">
        <v>999999</v>
      </c>
      <c r="AD514" s="247">
        <v>0</v>
      </c>
      <c r="AE514" s="250">
        <v>70</v>
      </c>
      <c r="AF514" s="144">
        <v>0</v>
      </c>
      <c r="AG514" s="145">
        <v>1</v>
      </c>
      <c r="AH514" s="145">
        <v>1</v>
      </c>
      <c r="AI514" s="145">
        <v>1</v>
      </c>
      <c r="AJ514" s="145">
        <v>0</v>
      </c>
      <c r="AK514" s="145">
        <v>1</v>
      </c>
      <c r="AL514" s="145">
        <v>1</v>
      </c>
      <c r="AM514" s="145">
        <v>1</v>
      </c>
      <c r="AN514" s="145">
        <v>1</v>
      </c>
      <c r="AO514" s="145">
        <v>1</v>
      </c>
      <c r="AP514" s="145">
        <v>1</v>
      </c>
      <c r="AQ514" s="145">
        <v>1</v>
      </c>
      <c r="AR514" s="145">
        <v>1</v>
      </c>
      <c r="AS514" s="145">
        <v>1</v>
      </c>
      <c r="AT514" s="145">
        <v>1</v>
      </c>
      <c r="AU514" s="145">
        <f t="shared" si="148"/>
        <v>0</v>
      </c>
      <c r="AV514" s="145">
        <f t="shared" si="149"/>
        <v>1</v>
      </c>
      <c r="AW514" s="145">
        <f t="shared" si="150"/>
        <v>1</v>
      </c>
      <c r="AX514" s="145">
        <f t="shared" si="184"/>
        <v>1</v>
      </c>
      <c r="AY514" s="145">
        <f t="shared" si="151"/>
        <v>1</v>
      </c>
      <c r="AZ514" s="145">
        <f t="shared" si="152"/>
        <v>1</v>
      </c>
      <c r="BA514" s="146">
        <f t="shared" si="153"/>
        <v>1</v>
      </c>
      <c r="BB514" s="149">
        <f t="shared" si="190"/>
        <v>19</v>
      </c>
      <c r="BC514" s="150">
        <f t="shared" si="191"/>
        <v>18</v>
      </c>
      <c r="BD514" s="150">
        <f t="shared" si="192"/>
        <v>19</v>
      </c>
      <c r="BE514" s="211" t="str">
        <f t="shared" si="193"/>
        <v/>
      </c>
      <c r="BH514" s="184">
        <f>IF(AND(Input_Product=Elig!$C514,Elig_MatchAll_Ct&lt;22,$BC514=(Elig_MatchAll_Ct-1),AF514=0),C514,0)</f>
        <v>0</v>
      </c>
      <c r="BI514" s="184">
        <f>IF(AND(Input_Product=Elig!$C514,Elig_MatchAll_Ct&lt;22,$BC514=(Elig_MatchAll_Ct-1),AG514=0),D514,0)</f>
        <v>0</v>
      </c>
      <c r="BJ514" s="184">
        <f>IF(AND(Input_Product=Elig!$C514,Elig_MatchAll_Ct&lt;22,$BC514=(Elig_MatchAll_Ct-1),AH514=0),E514,0)</f>
        <v>0</v>
      </c>
      <c r="BK514" s="184">
        <f>IF(AND(Input_Product=Elig!$C514,Elig_MatchAll_Ct&lt;22,$BC514=(Elig_MatchAll_Ct-1),AI514=0),F514,0)</f>
        <v>0</v>
      </c>
      <c r="BL514" s="184">
        <f>IF(AND(Input_Product=Elig!$C514,Elig_MatchAll_Ct&lt;22,$BC514=(Elig_MatchAll_Ct-1),AJ514=0),G514,0)</f>
        <v>0</v>
      </c>
      <c r="BM514" s="184">
        <f>IF(AND(Input_Product=Elig!$C514,Elig_MatchAll_Ct&lt;22,$BC514=(Elig_MatchAll_Ct-1),AK514=0),H514,0)</f>
        <v>0</v>
      </c>
      <c r="BN514" s="184">
        <f>IF(AND(Input_Product=Elig!$C514,Elig_MatchAll_Ct&lt;22,$BC514=(Elig_MatchAll_Ct-1),AL514=0),I514,0)</f>
        <v>0</v>
      </c>
      <c r="BO514" s="184">
        <f>IF(AND(Input_Product=Elig!$C514,Elig_MatchAll_Ct&lt;22,$BC514=(Elig_MatchAll_Ct-1),AM514=0),J514,0)</f>
        <v>0</v>
      </c>
      <c r="BP514" s="184">
        <f>IF(AND(Input_Product=Elig!$C514,Elig_MatchAll_Ct&lt;22,$BC514=(Elig_MatchAll_Ct-1),AN514=0),K514,0)</f>
        <v>0</v>
      </c>
      <c r="BQ514" s="184">
        <f>IF(AND(Input_Product=Elig!$C514,Elig_MatchAll_Ct&lt;22,$BC514=(Elig_MatchAll_Ct-1),AP514=0),L514,0)</f>
        <v>0</v>
      </c>
      <c r="BR514" s="184">
        <f>IF(AND(Input_Product=Elig!$C514,Elig_MatchAll_Ct&lt;22,$BC514=(Elig_MatchAll_Ct-1),AO514=0),M514,0)</f>
        <v>0</v>
      </c>
      <c r="BS514" s="184">
        <f>IF(AND(Input_Product=Elig!$C514,Elig_MatchAll_Ct&lt;22,$BC514=(Elig_MatchAll_Ct-1),AQ514=0),N514,0)</f>
        <v>0</v>
      </c>
      <c r="BT514" s="184">
        <f>IF(AND(Input_Product=Elig!$C514,Elig_MatchAll_Ct&lt;22,$BC514=(Elig_MatchAll_Ct-1),AR514=0),O514,0)</f>
        <v>0</v>
      </c>
      <c r="BU514" s="184">
        <f>IF(AND(Input_Product=Elig!$C514,Elig_MatchAll_Ct&lt;22,$BC514=(Elig_MatchAll_Ct-1),AS514=0),P514,0)</f>
        <v>0</v>
      </c>
      <c r="BV514" s="185">
        <f>IF(AND(Input_Product=Elig!$C514,Elig_MatchAll_Ct&lt;22,$BC514=(Elig_MatchAll_Ct-1),AT514=0),Q514,0)</f>
        <v>0</v>
      </c>
      <c r="BW514" s="186">
        <f>IF(AND(Input_Product=Elig!$C514,Elig_MatchAll_Ct&lt;22,$BC514=(Elig_MatchAll_Ct-1),AU514=0),R514,0)</f>
        <v>0</v>
      </c>
      <c r="BX514" s="187">
        <f>IF(AND(Input_Product=Elig!$C514,Elig_MatchAll_Ct&lt;22,$BC514=(Elig_MatchAll_Ct-1),AU514=0),S514,0)</f>
        <v>0</v>
      </c>
      <c r="BY514" s="186">
        <f>IF(AND(Input_Product=Elig!$C514,Elig_MatchAll_Ct&lt;22,$BC514=(Elig_MatchAll_Ct-1),AV514=0),T514,0)</f>
        <v>0</v>
      </c>
      <c r="BZ514" s="187">
        <f>IF(AND(Input_Product=Elig!$C514,Elig_MatchAll_Ct&lt;22,$BC514=(Elig_MatchAll_Ct-1),AV514=0),U514,0)</f>
        <v>0</v>
      </c>
      <c r="CA514" s="186">
        <f>IF(AND(Input_Product=Elig!$C514,Elig_MatchAll_Ct&lt;22,$BC514=(Elig_MatchAll_Ct-1),AW514=0),V514,0)</f>
        <v>0</v>
      </c>
      <c r="CB514" s="187">
        <f>IF(AND(Input_Product=Elig!$C514,Elig_MatchAll_Ct&lt;22,$BC514=(Elig_MatchAll_Ct-1),AW514=0),W514,0)</f>
        <v>0</v>
      </c>
      <c r="CC514" s="186">
        <f>IF(AND(Input_Product=Elig!$C514,Elig_MatchAll_Ct&lt;22,$BC514=(Elig_MatchAll_Ct-1),AX514=0),X514,0)</f>
        <v>0</v>
      </c>
      <c r="CD514" s="187">
        <f>IF(AND(Input_Product=Elig!$C514,Elig_MatchAll_Ct&lt;22,$BC514=(Elig_MatchAll_Ct-1),AX514=0),Y514,0)</f>
        <v>0</v>
      </c>
      <c r="CE514" s="186">
        <f>IF(AND(Input_LTV&lt;=AE514,Input_Product=Elig!$C514,Elig_MatchAll_Ct&lt;22,$BC514=(Elig_MatchAll_Ct-1),AY514=0),Z514,0)</f>
        <v>0</v>
      </c>
      <c r="CF514" s="187">
        <f>IF(AND(Input_LTV&lt;=AE514,Input_Product=Elig!$C514,Elig_MatchAll_Ct&lt;22,$BC514=(Elig_MatchAll_Ct-1),AY514=0),AA514,0)</f>
        <v>0</v>
      </c>
      <c r="CG514" s="186">
        <f>IF(AND(Input_Product=Elig!$C514,Elig_MatchAll_Ct&lt;22,$BC514=(Elig_MatchAll_Ct-1),AZ514=0),AB514,0)</f>
        <v>0</v>
      </c>
      <c r="CH514" s="187">
        <f>IF(AND(Input_Product=Elig!$C514,Elig_MatchAll_Ct&lt;22,$BC514=(Elig_MatchAll_Ct-1),AZ514=0),AC514,0)</f>
        <v>0</v>
      </c>
      <c r="CI514" s="186">
        <f>IF(AND(Input_Product=Elig!$C514,Elig_MatchAll_Ct&lt;22,$BC514=(Elig_MatchAll_Ct-1),BA514=0),AD514,0)</f>
        <v>0</v>
      </c>
      <c r="CJ514" s="187">
        <f>IF(AND(Input_Product=Elig!$C514,Elig_MatchAll_Ct&lt;22,$BC514=(Elig_MatchAll_Ct-1),BA514=0),AE514,0)</f>
        <v>0</v>
      </c>
    </row>
    <row r="515" spans="1:88" ht="10.15" customHeight="1" x14ac:dyDescent="0.25">
      <c r="A515" s="252" t="s">
        <v>76</v>
      </c>
      <c r="B515" s="252" t="s">
        <v>2237</v>
      </c>
      <c r="C515" s="251" t="str">
        <f t="shared" si="183"/>
        <v>NonQM NOO</v>
      </c>
      <c r="D515" s="252" t="s">
        <v>1995</v>
      </c>
      <c r="E515" s="252" t="s">
        <v>166</v>
      </c>
      <c r="F515" s="252" t="s">
        <v>329</v>
      </c>
      <c r="G515" s="252" t="s">
        <v>302</v>
      </c>
      <c r="H515" s="252" t="s">
        <v>135</v>
      </c>
      <c r="I515" s="253" t="s">
        <v>273</v>
      </c>
      <c r="J515" s="253" t="s">
        <v>1130</v>
      </c>
      <c r="K515" s="253" t="s">
        <v>1398</v>
      </c>
      <c r="L515" s="252" t="s">
        <v>311</v>
      </c>
      <c r="M515" s="252" t="s">
        <v>2289</v>
      </c>
      <c r="N515" s="252" t="s">
        <v>1844</v>
      </c>
      <c r="O515" s="252" t="s">
        <v>309</v>
      </c>
      <c r="P515" s="252" t="s">
        <v>2434</v>
      </c>
      <c r="Q515" s="252" t="s">
        <v>293</v>
      </c>
      <c r="R515" s="252">
        <v>3000000.01</v>
      </c>
      <c r="S515" s="252">
        <v>3500000</v>
      </c>
      <c r="T515" s="252">
        <v>0</v>
      </c>
      <c r="U515" s="252">
        <v>0</v>
      </c>
      <c r="V515" s="252">
        <v>0</v>
      </c>
      <c r="W515" s="252">
        <v>50</v>
      </c>
      <c r="X515" s="252">
        <v>0</v>
      </c>
      <c r="Y515" s="252">
        <v>999</v>
      </c>
      <c r="Z515" s="254">
        <v>700</v>
      </c>
      <c r="AA515" s="254">
        <v>719</v>
      </c>
      <c r="AB515" s="1883">
        <v>0</v>
      </c>
      <c r="AC515" s="254">
        <v>999999</v>
      </c>
      <c r="AD515" s="252">
        <v>0</v>
      </c>
      <c r="AE515" s="255">
        <v>70</v>
      </c>
      <c r="AF515" s="144">
        <v>0</v>
      </c>
      <c r="AG515" s="145">
        <v>1</v>
      </c>
      <c r="AH515" s="145">
        <v>1</v>
      </c>
      <c r="AI515" s="145">
        <v>1</v>
      </c>
      <c r="AJ515" s="145">
        <v>0</v>
      </c>
      <c r="AK515" s="145">
        <v>1</v>
      </c>
      <c r="AL515" s="145">
        <v>1</v>
      </c>
      <c r="AM515" s="145">
        <v>1</v>
      </c>
      <c r="AN515" s="145">
        <v>1</v>
      </c>
      <c r="AO515" s="145">
        <v>1</v>
      </c>
      <c r="AP515" s="145">
        <v>1</v>
      </c>
      <c r="AQ515" s="145">
        <v>1</v>
      </c>
      <c r="AR515" s="145">
        <v>1</v>
      </c>
      <c r="AS515" s="145">
        <v>1</v>
      </c>
      <c r="AT515" s="145">
        <v>1</v>
      </c>
      <c r="AU515" s="145">
        <f t="shared" si="148"/>
        <v>0</v>
      </c>
      <c r="AV515" s="145">
        <f t="shared" si="149"/>
        <v>1</v>
      </c>
      <c r="AW515" s="145">
        <f t="shared" si="150"/>
        <v>1</v>
      </c>
      <c r="AX515" s="145">
        <f t="shared" si="184"/>
        <v>1</v>
      </c>
      <c r="AY515" s="145">
        <f t="shared" si="151"/>
        <v>0</v>
      </c>
      <c r="AZ515" s="145">
        <f t="shared" si="152"/>
        <v>1</v>
      </c>
      <c r="BA515" s="146">
        <f t="shared" si="153"/>
        <v>1</v>
      </c>
      <c r="BB515" s="149">
        <f t="shared" si="190"/>
        <v>18</v>
      </c>
      <c r="BC515" s="150">
        <f t="shared" si="191"/>
        <v>17</v>
      </c>
      <c r="BD515" s="150">
        <f t="shared" si="192"/>
        <v>18</v>
      </c>
      <c r="BE515" s="211" t="str">
        <f t="shared" si="193"/>
        <v/>
      </c>
      <c r="BH515" s="173">
        <f>IF(AND(Input_Product=Elig!$C515,Elig_MatchAll_Ct&lt;22,$BC515=(Elig_MatchAll_Ct-1),AF515=0),C515,0)</f>
        <v>0</v>
      </c>
      <c r="BI515" s="173">
        <f>IF(AND(Input_Product=Elig!$C515,Elig_MatchAll_Ct&lt;22,$BC515=(Elig_MatchAll_Ct-1),AG515=0),D515,0)</f>
        <v>0</v>
      </c>
      <c r="BJ515" s="173">
        <f>IF(AND(Input_Product=Elig!$C515,Elig_MatchAll_Ct&lt;22,$BC515=(Elig_MatchAll_Ct-1),AH515=0),E515,0)</f>
        <v>0</v>
      </c>
      <c r="BK515" s="173">
        <f>IF(AND(Input_Product=Elig!$C515,Elig_MatchAll_Ct&lt;22,$BC515=(Elig_MatchAll_Ct-1),AI515=0),F515,0)</f>
        <v>0</v>
      </c>
      <c r="BL515" s="173">
        <f>IF(AND(Input_Product=Elig!$C515,Elig_MatchAll_Ct&lt;22,$BC515=(Elig_MatchAll_Ct-1),AJ515=0),G515,0)</f>
        <v>0</v>
      </c>
      <c r="BM515" s="173">
        <f>IF(AND(Input_Product=Elig!$C515,Elig_MatchAll_Ct&lt;22,$BC515=(Elig_MatchAll_Ct-1),AK515=0),H515,0)</f>
        <v>0</v>
      </c>
      <c r="BN515" s="173">
        <f>IF(AND(Input_Product=Elig!$C515,Elig_MatchAll_Ct&lt;22,$BC515=(Elig_MatchAll_Ct-1),AL515=0),I515,0)</f>
        <v>0</v>
      </c>
      <c r="BO515" s="173">
        <f>IF(AND(Input_Product=Elig!$C515,Elig_MatchAll_Ct&lt;22,$BC515=(Elig_MatchAll_Ct-1),AM515=0),J515,0)</f>
        <v>0</v>
      </c>
      <c r="BP515" s="173">
        <f>IF(AND(Input_Product=Elig!$C515,Elig_MatchAll_Ct&lt;22,$BC515=(Elig_MatchAll_Ct-1),AN515=0),K515,0)</f>
        <v>0</v>
      </c>
      <c r="BQ515" s="173">
        <f>IF(AND(Input_Product=Elig!$C515,Elig_MatchAll_Ct&lt;22,$BC515=(Elig_MatchAll_Ct-1),AP515=0),L515,0)</f>
        <v>0</v>
      </c>
      <c r="BR515" s="173">
        <f>IF(AND(Input_Product=Elig!$C515,Elig_MatchAll_Ct&lt;22,$BC515=(Elig_MatchAll_Ct-1),AO515=0),M515,0)</f>
        <v>0</v>
      </c>
      <c r="BS515" s="173">
        <f>IF(AND(Input_Product=Elig!$C515,Elig_MatchAll_Ct&lt;22,$BC515=(Elig_MatchAll_Ct-1),AQ515=0),N515,0)</f>
        <v>0</v>
      </c>
      <c r="BT515" s="173">
        <f>IF(AND(Input_Product=Elig!$C515,Elig_MatchAll_Ct&lt;22,$BC515=(Elig_MatchAll_Ct-1),AR515=0),O515,0)</f>
        <v>0</v>
      </c>
      <c r="BU515" s="173">
        <f>IF(AND(Input_Product=Elig!$C515,Elig_MatchAll_Ct&lt;22,$BC515=(Elig_MatchAll_Ct-1),AS515=0),P515,0)</f>
        <v>0</v>
      </c>
      <c r="BV515" s="174">
        <f>IF(AND(Input_Product=Elig!$C515,Elig_MatchAll_Ct&lt;22,$BC515=(Elig_MatchAll_Ct-1),AT515=0),Q515,0)</f>
        <v>0</v>
      </c>
      <c r="BW515" s="175">
        <f>IF(AND(Input_Product=Elig!$C515,Elig_MatchAll_Ct&lt;22,$BC515=(Elig_MatchAll_Ct-1),AU515=0),R515,0)</f>
        <v>0</v>
      </c>
      <c r="BX515" s="176">
        <f>IF(AND(Input_Product=Elig!$C515,Elig_MatchAll_Ct&lt;22,$BC515=(Elig_MatchAll_Ct-1),AU515=0),S515,0)</f>
        <v>0</v>
      </c>
      <c r="BY515" s="175">
        <f>IF(AND(Input_Product=Elig!$C515,Elig_MatchAll_Ct&lt;22,$BC515=(Elig_MatchAll_Ct-1),AV515=0),T515,0)</f>
        <v>0</v>
      </c>
      <c r="BZ515" s="176">
        <f>IF(AND(Input_Product=Elig!$C515,Elig_MatchAll_Ct&lt;22,$BC515=(Elig_MatchAll_Ct-1),AV515=0),U515,0)</f>
        <v>0</v>
      </c>
      <c r="CA515" s="175">
        <f>IF(AND(Input_Product=Elig!$C515,Elig_MatchAll_Ct&lt;22,$BC515=(Elig_MatchAll_Ct-1),AW515=0),V515,0)</f>
        <v>0</v>
      </c>
      <c r="CB515" s="176">
        <f>IF(AND(Input_Product=Elig!$C515,Elig_MatchAll_Ct&lt;22,$BC515=(Elig_MatchAll_Ct-1),AW515=0),W515,0)</f>
        <v>0</v>
      </c>
      <c r="CC515" s="175">
        <f>IF(AND(Input_Product=Elig!$C515,Elig_MatchAll_Ct&lt;22,$BC515=(Elig_MatchAll_Ct-1),AX515=0),X515,0)</f>
        <v>0</v>
      </c>
      <c r="CD515" s="176">
        <f>IF(AND(Input_Product=Elig!$C515,Elig_MatchAll_Ct&lt;22,$BC515=(Elig_MatchAll_Ct-1),AX515=0),Y515,0)</f>
        <v>0</v>
      </c>
      <c r="CE515" s="175">
        <f>IF(AND(Input_LTV&lt;=AE515,Input_Product=Elig!$C515,Elig_MatchAll_Ct&lt;22,$BC515=(Elig_MatchAll_Ct-1),AY515=0),Z515,0)</f>
        <v>0</v>
      </c>
      <c r="CF515" s="176">
        <f>IF(AND(Input_LTV&lt;=AE515,Input_Product=Elig!$C515,Elig_MatchAll_Ct&lt;22,$BC515=(Elig_MatchAll_Ct-1),AY515=0),AA515,0)</f>
        <v>0</v>
      </c>
      <c r="CG515" s="175">
        <f>IF(AND(Input_Product=Elig!$C515,Elig_MatchAll_Ct&lt;22,$BC515=(Elig_MatchAll_Ct-1),AZ515=0),AB515,0)</f>
        <v>0</v>
      </c>
      <c r="CH515" s="176">
        <f>IF(AND(Input_Product=Elig!$C515,Elig_MatchAll_Ct&lt;22,$BC515=(Elig_MatchAll_Ct-1),AZ515=0),AC515,0)</f>
        <v>0</v>
      </c>
      <c r="CI515" s="175">
        <f>IF(AND(Input_Product=Elig!$C515,Elig_MatchAll_Ct&lt;22,$BC515=(Elig_MatchAll_Ct-1),BA515=0),AD515,0)</f>
        <v>0</v>
      </c>
      <c r="CJ515" s="176">
        <f>IF(AND(Input_Product=Elig!$C515,Elig_MatchAll_Ct&lt;22,$BC515=(Elig_MatchAll_Ct-1),BA515=0),AE515,0)</f>
        <v>0</v>
      </c>
    </row>
    <row r="516" spans="1:88" ht="10.15" customHeight="1" x14ac:dyDescent="0.25">
      <c r="A516" s="252" t="s">
        <v>76</v>
      </c>
      <c r="B516" s="252" t="s">
        <v>2238</v>
      </c>
      <c r="C516" s="246" t="str">
        <f t="shared" si="183"/>
        <v>NonQM NOO</v>
      </c>
      <c r="D516" s="247" t="s">
        <v>1995</v>
      </c>
      <c r="E516" s="248" t="s">
        <v>166</v>
      </c>
      <c r="F516" s="248" t="s">
        <v>329</v>
      </c>
      <c r="G516" s="248" t="s">
        <v>302</v>
      </c>
      <c r="H516" s="248" t="s">
        <v>135</v>
      </c>
      <c r="I516" s="247" t="s">
        <v>16</v>
      </c>
      <c r="J516" s="247" t="s">
        <v>1130</v>
      </c>
      <c r="K516" s="247" t="s">
        <v>1398</v>
      </c>
      <c r="L516" s="248" t="s">
        <v>311</v>
      </c>
      <c r="M516" s="248" t="s">
        <v>2289</v>
      </c>
      <c r="N516" s="248" t="s">
        <v>1844</v>
      </c>
      <c r="O516" s="248" t="s">
        <v>309</v>
      </c>
      <c r="P516" s="248" t="s">
        <v>2434</v>
      </c>
      <c r="Q516" s="248" t="s">
        <v>293</v>
      </c>
      <c r="R516" s="247">
        <v>3000000.01</v>
      </c>
      <c r="S516" s="247">
        <v>3500000</v>
      </c>
      <c r="T516" s="247">
        <v>0</v>
      </c>
      <c r="U516" s="247">
        <f t="shared" ref="U516:U517" si="200">S516</f>
        <v>3500000</v>
      </c>
      <c r="V516" s="247">
        <v>0</v>
      </c>
      <c r="W516" s="247">
        <v>50</v>
      </c>
      <c r="X516" s="247">
        <v>0</v>
      </c>
      <c r="Y516" s="247">
        <v>999</v>
      </c>
      <c r="Z516" s="249">
        <v>720</v>
      </c>
      <c r="AA516" s="249">
        <v>999</v>
      </c>
      <c r="AB516" s="1882">
        <v>0</v>
      </c>
      <c r="AC516" s="249">
        <v>999999</v>
      </c>
      <c r="AD516" s="247">
        <v>0</v>
      </c>
      <c r="AE516" s="250">
        <v>55</v>
      </c>
      <c r="AF516" s="144">
        <v>0</v>
      </c>
      <c r="AG516" s="145">
        <v>1</v>
      </c>
      <c r="AH516" s="145">
        <v>1</v>
      </c>
      <c r="AI516" s="145">
        <v>1</v>
      </c>
      <c r="AJ516" s="145">
        <v>0</v>
      </c>
      <c r="AK516" s="145">
        <v>1</v>
      </c>
      <c r="AL516" s="145">
        <v>0</v>
      </c>
      <c r="AM516" s="145">
        <v>1</v>
      </c>
      <c r="AN516" s="145">
        <v>1</v>
      </c>
      <c r="AO516" s="145">
        <v>1</v>
      </c>
      <c r="AP516" s="145">
        <v>1</v>
      </c>
      <c r="AQ516" s="145">
        <v>1</v>
      </c>
      <c r="AR516" s="145">
        <v>1</v>
      </c>
      <c r="AS516" s="145">
        <v>1</v>
      </c>
      <c r="AT516" s="145">
        <v>1</v>
      </c>
      <c r="AU516" s="145">
        <f t="shared" si="148"/>
        <v>0</v>
      </c>
      <c r="AV516" s="145">
        <f t="shared" si="149"/>
        <v>1</v>
      </c>
      <c r="AW516" s="145">
        <f t="shared" si="150"/>
        <v>1</v>
      </c>
      <c r="AX516" s="145">
        <f t="shared" si="161"/>
        <v>1</v>
      </c>
      <c r="AY516" s="145">
        <f t="shared" si="151"/>
        <v>1</v>
      </c>
      <c r="AZ516" s="145">
        <f t="shared" si="152"/>
        <v>1</v>
      </c>
      <c r="BA516" s="146">
        <f t="shared" si="153"/>
        <v>0</v>
      </c>
      <c r="BB516" s="149">
        <f t="shared" si="190"/>
        <v>17</v>
      </c>
      <c r="BC516" s="150">
        <f t="shared" si="191"/>
        <v>17</v>
      </c>
      <c r="BD516" s="150">
        <f t="shared" si="192"/>
        <v>17</v>
      </c>
      <c r="BE516" s="211" t="str">
        <f t="shared" si="193"/>
        <v/>
      </c>
      <c r="BH516" s="184">
        <f>IF(AND(Input_Product=Elig!$C516,Elig_MatchAll_Ct&lt;22,$BC516=(Elig_MatchAll_Ct-1),AF516=0),C516,0)</f>
        <v>0</v>
      </c>
      <c r="BI516" s="184">
        <f>IF(AND(Input_Product=Elig!$C516,Elig_MatchAll_Ct&lt;22,$BC516=(Elig_MatchAll_Ct-1),AG516=0),D516,0)</f>
        <v>0</v>
      </c>
      <c r="BJ516" s="184">
        <f>IF(AND(Input_Product=Elig!$C516,Elig_MatchAll_Ct&lt;22,$BC516=(Elig_MatchAll_Ct-1),AH516=0),E516,0)</f>
        <v>0</v>
      </c>
      <c r="BK516" s="184">
        <f>IF(AND(Input_Product=Elig!$C516,Elig_MatchAll_Ct&lt;22,$BC516=(Elig_MatchAll_Ct-1),AI516=0),F516,0)</f>
        <v>0</v>
      </c>
      <c r="BL516" s="184">
        <f>IF(AND(Input_Product=Elig!$C516,Elig_MatchAll_Ct&lt;22,$BC516=(Elig_MatchAll_Ct-1),AJ516=0),G516,0)</f>
        <v>0</v>
      </c>
      <c r="BM516" s="184">
        <f>IF(AND(Input_Product=Elig!$C516,Elig_MatchAll_Ct&lt;22,$BC516=(Elig_MatchAll_Ct-1),AK516=0),H516,0)</f>
        <v>0</v>
      </c>
      <c r="BN516" s="184">
        <f>IF(AND(Input_Product=Elig!$C516,Elig_MatchAll_Ct&lt;22,$BC516=(Elig_MatchAll_Ct-1),AL516=0),I516,0)</f>
        <v>0</v>
      </c>
      <c r="BO516" s="184">
        <f>IF(AND(Input_Product=Elig!$C516,Elig_MatchAll_Ct&lt;22,$BC516=(Elig_MatchAll_Ct-1),AM516=0),J516,0)</f>
        <v>0</v>
      </c>
      <c r="BP516" s="184">
        <f>IF(AND(Input_Product=Elig!$C516,Elig_MatchAll_Ct&lt;22,$BC516=(Elig_MatchAll_Ct-1),AN516=0),K516,0)</f>
        <v>0</v>
      </c>
      <c r="BQ516" s="184">
        <f>IF(AND(Input_Product=Elig!$C516,Elig_MatchAll_Ct&lt;22,$BC516=(Elig_MatchAll_Ct-1),AP516=0),L516,0)</f>
        <v>0</v>
      </c>
      <c r="BR516" s="184">
        <f>IF(AND(Input_Product=Elig!$C516,Elig_MatchAll_Ct&lt;22,$BC516=(Elig_MatchAll_Ct-1),AO516=0),M516,0)</f>
        <v>0</v>
      </c>
      <c r="BS516" s="184">
        <f>IF(AND(Input_Product=Elig!$C516,Elig_MatchAll_Ct&lt;22,$BC516=(Elig_MatchAll_Ct-1),AQ516=0),N516,0)</f>
        <v>0</v>
      </c>
      <c r="BT516" s="184">
        <f>IF(AND(Input_Product=Elig!$C516,Elig_MatchAll_Ct&lt;22,$BC516=(Elig_MatchAll_Ct-1),AR516=0),O516,0)</f>
        <v>0</v>
      </c>
      <c r="BU516" s="184">
        <f>IF(AND(Input_Product=Elig!$C516,Elig_MatchAll_Ct&lt;22,$BC516=(Elig_MatchAll_Ct-1),AS516=0),P516,0)</f>
        <v>0</v>
      </c>
      <c r="BV516" s="185">
        <f>IF(AND(Input_Product=Elig!$C516,Elig_MatchAll_Ct&lt;22,$BC516=(Elig_MatchAll_Ct-1),AT516=0),Q516,0)</f>
        <v>0</v>
      </c>
      <c r="BW516" s="186">
        <f>IF(AND(Input_Product=Elig!$C516,Elig_MatchAll_Ct&lt;22,$BC516=(Elig_MatchAll_Ct-1),AU516=0),R516,0)</f>
        <v>0</v>
      </c>
      <c r="BX516" s="187">
        <f>IF(AND(Input_Product=Elig!$C516,Elig_MatchAll_Ct&lt;22,$BC516=(Elig_MatchAll_Ct-1),AU516=0),S516,0)</f>
        <v>0</v>
      </c>
      <c r="BY516" s="186">
        <f>IF(AND(Input_Product=Elig!$C516,Elig_MatchAll_Ct&lt;22,$BC516=(Elig_MatchAll_Ct-1),AV516=0),T516,0)</f>
        <v>0</v>
      </c>
      <c r="BZ516" s="187">
        <f>IF(AND(Input_Product=Elig!$C516,Elig_MatchAll_Ct&lt;22,$BC516=(Elig_MatchAll_Ct-1),AV516=0),U516,0)</f>
        <v>0</v>
      </c>
      <c r="CA516" s="186">
        <f>IF(AND(Input_Product=Elig!$C516,Elig_MatchAll_Ct&lt;22,$BC516=(Elig_MatchAll_Ct-1),AW516=0),V516,0)</f>
        <v>0</v>
      </c>
      <c r="CB516" s="187">
        <f>IF(AND(Input_Product=Elig!$C516,Elig_MatchAll_Ct&lt;22,$BC516=(Elig_MatchAll_Ct-1),AW516=0),W516,0)</f>
        <v>0</v>
      </c>
      <c r="CC516" s="186">
        <f>IF(AND(Input_Product=Elig!$C516,Elig_MatchAll_Ct&lt;22,$BC516=(Elig_MatchAll_Ct-1),AX516=0),X516,0)</f>
        <v>0</v>
      </c>
      <c r="CD516" s="187">
        <f>IF(AND(Input_Product=Elig!$C516,Elig_MatchAll_Ct&lt;22,$BC516=(Elig_MatchAll_Ct-1),AX516=0),Y516,0)</f>
        <v>0</v>
      </c>
      <c r="CE516" s="186">
        <f>IF(AND(Input_LTV&lt;=AE516,Input_Product=Elig!$C516,Elig_MatchAll_Ct&lt;22,$BC516=(Elig_MatchAll_Ct-1),AY516=0),Z516,0)</f>
        <v>0</v>
      </c>
      <c r="CF516" s="187">
        <f>IF(AND(Input_LTV&lt;=AE516,Input_Product=Elig!$C516,Elig_MatchAll_Ct&lt;22,$BC516=(Elig_MatchAll_Ct-1),AY516=0),AA516,0)</f>
        <v>0</v>
      </c>
      <c r="CG516" s="186">
        <f>IF(AND(Input_Product=Elig!$C516,Elig_MatchAll_Ct&lt;22,$BC516=(Elig_MatchAll_Ct-1),AZ516=0),AB516,0)</f>
        <v>0</v>
      </c>
      <c r="CH516" s="187">
        <f>IF(AND(Input_Product=Elig!$C516,Elig_MatchAll_Ct&lt;22,$BC516=(Elig_MatchAll_Ct-1),AZ516=0),AC516,0)</f>
        <v>0</v>
      </c>
      <c r="CI516" s="186">
        <f>IF(AND(Input_Product=Elig!$C516,Elig_MatchAll_Ct&lt;22,$BC516=(Elig_MatchAll_Ct-1),BA516=0),AD516,0)</f>
        <v>0</v>
      </c>
      <c r="CJ516" s="187">
        <f>IF(AND(Input_Product=Elig!$C516,Elig_MatchAll_Ct&lt;22,$BC516=(Elig_MatchAll_Ct-1),BA516=0),AE516,0)</f>
        <v>0</v>
      </c>
    </row>
    <row r="517" spans="1:88" ht="10.15" customHeight="1" x14ac:dyDescent="0.25">
      <c r="A517" s="252" t="s">
        <v>76</v>
      </c>
      <c r="B517" s="252" t="s">
        <v>2239</v>
      </c>
      <c r="C517" s="251" t="str">
        <f t="shared" si="183"/>
        <v>NonQM NOO</v>
      </c>
      <c r="D517" s="252" t="s">
        <v>1995</v>
      </c>
      <c r="E517" s="252" t="s">
        <v>166</v>
      </c>
      <c r="F517" s="252" t="s">
        <v>329</v>
      </c>
      <c r="G517" s="252" t="s">
        <v>302</v>
      </c>
      <c r="H517" s="252" t="s">
        <v>135</v>
      </c>
      <c r="I517" s="253" t="s">
        <v>16</v>
      </c>
      <c r="J517" s="253" t="s">
        <v>1130</v>
      </c>
      <c r="K517" s="253" t="s">
        <v>1398</v>
      </c>
      <c r="L517" s="252" t="s">
        <v>311</v>
      </c>
      <c r="M517" s="252" t="s">
        <v>2289</v>
      </c>
      <c r="N517" s="252" t="s">
        <v>1844</v>
      </c>
      <c r="O517" s="252" t="s">
        <v>309</v>
      </c>
      <c r="P517" s="252" t="s">
        <v>2434</v>
      </c>
      <c r="Q517" s="252" t="s">
        <v>293</v>
      </c>
      <c r="R517" s="252">
        <v>3000000.01</v>
      </c>
      <c r="S517" s="252">
        <v>3500000</v>
      </c>
      <c r="T517" s="252">
        <v>0</v>
      </c>
      <c r="U517" s="252">
        <f t="shared" si="200"/>
        <v>3500000</v>
      </c>
      <c r="V517" s="252">
        <v>0</v>
      </c>
      <c r="W517" s="252">
        <v>50</v>
      </c>
      <c r="X517" s="252">
        <v>0</v>
      </c>
      <c r="Y517" s="252">
        <v>999</v>
      </c>
      <c r="Z517" s="254">
        <v>700</v>
      </c>
      <c r="AA517" s="254">
        <v>719</v>
      </c>
      <c r="AB517" s="1883">
        <v>0</v>
      </c>
      <c r="AC517" s="254">
        <v>999999</v>
      </c>
      <c r="AD517" s="252">
        <v>0</v>
      </c>
      <c r="AE517" s="255">
        <v>55</v>
      </c>
      <c r="AF517" s="144">
        <v>0</v>
      </c>
      <c r="AG517" s="145">
        <v>1</v>
      </c>
      <c r="AH517" s="145">
        <v>1</v>
      </c>
      <c r="AI517" s="145">
        <v>1</v>
      </c>
      <c r="AJ517" s="145">
        <v>0</v>
      </c>
      <c r="AK517" s="145">
        <v>1</v>
      </c>
      <c r="AL517" s="145">
        <v>0</v>
      </c>
      <c r="AM517" s="145">
        <v>1</v>
      </c>
      <c r="AN517" s="145">
        <v>1</v>
      </c>
      <c r="AO517" s="145">
        <v>1</v>
      </c>
      <c r="AP517" s="145">
        <v>1</v>
      </c>
      <c r="AQ517" s="145">
        <v>1</v>
      </c>
      <c r="AR517" s="145">
        <v>1</v>
      </c>
      <c r="AS517" s="145">
        <v>1</v>
      </c>
      <c r="AT517" s="145">
        <v>1</v>
      </c>
      <c r="AU517" s="145">
        <f t="shared" si="148"/>
        <v>0</v>
      </c>
      <c r="AV517" s="145">
        <f t="shared" si="149"/>
        <v>1</v>
      </c>
      <c r="AW517" s="145">
        <f t="shared" si="150"/>
        <v>1</v>
      </c>
      <c r="AX517" s="145">
        <f t="shared" si="161"/>
        <v>1</v>
      </c>
      <c r="AY517" s="145">
        <f t="shared" si="151"/>
        <v>0</v>
      </c>
      <c r="AZ517" s="145">
        <f t="shared" si="152"/>
        <v>1</v>
      </c>
      <c r="BA517" s="146">
        <f t="shared" si="153"/>
        <v>0</v>
      </c>
      <c r="BB517" s="149">
        <f t="shared" si="190"/>
        <v>16</v>
      </c>
      <c r="BC517" s="150">
        <f t="shared" si="191"/>
        <v>16</v>
      </c>
      <c r="BD517" s="150">
        <f t="shared" si="192"/>
        <v>16</v>
      </c>
      <c r="BE517" s="211" t="str">
        <f t="shared" si="193"/>
        <v/>
      </c>
      <c r="BH517" s="173">
        <f>IF(AND(Input_Product=Elig!$C517,Elig_MatchAll_Ct&lt;22,$BC517=(Elig_MatchAll_Ct-1),AF517=0),C517,0)</f>
        <v>0</v>
      </c>
      <c r="BI517" s="173">
        <f>IF(AND(Input_Product=Elig!$C517,Elig_MatchAll_Ct&lt;22,$BC517=(Elig_MatchAll_Ct-1),AG517=0),D517,0)</f>
        <v>0</v>
      </c>
      <c r="BJ517" s="173">
        <f>IF(AND(Input_Product=Elig!$C517,Elig_MatchAll_Ct&lt;22,$BC517=(Elig_MatchAll_Ct-1),AH517=0),E517,0)</f>
        <v>0</v>
      </c>
      <c r="BK517" s="173">
        <f>IF(AND(Input_Product=Elig!$C517,Elig_MatchAll_Ct&lt;22,$BC517=(Elig_MatchAll_Ct-1),AI517=0),F517,0)</f>
        <v>0</v>
      </c>
      <c r="BL517" s="173">
        <f>IF(AND(Input_Product=Elig!$C517,Elig_MatchAll_Ct&lt;22,$BC517=(Elig_MatchAll_Ct-1),AJ517=0),G517,0)</f>
        <v>0</v>
      </c>
      <c r="BM517" s="173">
        <f>IF(AND(Input_Product=Elig!$C517,Elig_MatchAll_Ct&lt;22,$BC517=(Elig_MatchAll_Ct-1),AK517=0),H517,0)</f>
        <v>0</v>
      </c>
      <c r="BN517" s="173">
        <f>IF(AND(Input_Product=Elig!$C517,Elig_MatchAll_Ct&lt;22,$BC517=(Elig_MatchAll_Ct-1),AL517=0),I517,0)</f>
        <v>0</v>
      </c>
      <c r="BO517" s="173">
        <f>IF(AND(Input_Product=Elig!$C517,Elig_MatchAll_Ct&lt;22,$BC517=(Elig_MatchAll_Ct-1),AM517=0),J517,0)</f>
        <v>0</v>
      </c>
      <c r="BP517" s="173">
        <f>IF(AND(Input_Product=Elig!$C517,Elig_MatchAll_Ct&lt;22,$BC517=(Elig_MatchAll_Ct-1),AN517=0),K517,0)</f>
        <v>0</v>
      </c>
      <c r="BQ517" s="173">
        <f>IF(AND(Input_Product=Elig!$C517,Elig_MatchAll_Ct&lt;22,$BC517=(Elig_MatchAll_Ct-1),AP517=0),L517,0)</f>
        <v>0</v>
      </c>
      <c r="BR517" s="173">
        <f>IF(AND(Input_Product=Elig!$C517,Elig_MatchAll_Ct&lt;22,$BC517=(Elig_MatchAll_Ct-1),AO517=0),M517,0)</f>
        <v>0</v>
      </c>
      <c r="BS517" s="173">
        <f>IF(AND(Input_Product=Elig!$C517,Elig_MatchAll_Ct&lt;22,$BC517=(Elig_MatchAll_Ct-1),AQ517=0),N517,0)</f>
        <v>0</v>
      </c>
      <c r="BT517" s="173">
        <f>IF(AND(Input_Product=Elig!$C517,Elig_MatchAll_Ct&lt;22,$BC517=(Elig_MatchAll_Ct-1),AR517=0),O517,0)</f>
        <v>0</v>
      </c>
      <c r="BU517" s="173">
        <f>IF(AND(Input_Product=Elig!$C517,Elig_MatchAll_Ct&lt;22,$BC517=(Elig_MatchAll_Ct-1),AS517=0),P517,0)</f>
        <v>0</v>
      </c>
      <c r="BV517" s="174">
        <f>IF(AND(Input_Product=Elig!$C517,Elig_MatchAll_Ct&lt;22,$BC517=(Elig_MatchAll_Ct-1),AT517=0),Q517,0)</f>
        <v>0</v>
      </c>
      <c r="BW517" s="175">
        <f>IF(AND(Input_Product=Elig!$C517,Elig_MatchAll_Ct&lt;22,$BC517=(Elig_MatchAll_Ct-1),AU517=0),R517,0)</f>
        <v>0</v>
      </c>
      <c r="BX517" s="176">
        <f>IF(AND(Input_Product=Elig!$C517,Elig_MatchAll_Ct&lt;22,$BC517=(Elig_MatchAll_Ct-1),AU517=0),S517,0)</f>
        <v>0</v>
      </c>
      <c r="BY517" s="175">
        <f>IF(AND(Input_Product=Elig!$C517,Elig_MatchAll_Ct&lt;22,$BC517=(Elig_MatchAll_Ct-1),AV517=0),T517,0)</f>
        <v>0</v>
      </c>
      <c r="BZ517" s="176">
        <f>IF(AND(Input_Product=Elig!$C517,Elig_MatchAll_Ct&lt;22,$BC517=(Elig_MatchAll_Ct-1),AV517=0),U517,0)</f>
        <v>0</v>
      </c>
      <c r="CA517" s="175">
        <f>IF(AND(Input_Product=Elig!$C517,Elig_MatchAll_Ct&lt;22,$BC517=(Elig_MatchAll_Ct-1),AW517=0),V517,0)</f>
        <v>0</v>
      </c>
      <c r="CB517" s="176">
        <f>IF(AND(Input_Product=Elig!$C517,Elig_MatchAll_Ct&lt;22,$BC517=(Elig_MatchAll_Ct-1),AW517=0),W517,0)</f>
        <v>0</v>
      </c>
      <c r="CC517" s="175">
        <f>IF(AND(Input_Product=Elig!$C517,Elig_MatchAll_Ct&lt;22,$BC517=(Elig_MatchAll_Ct-1),AX517=0),X517,0)</f>
        <v>0</v>
      </c>
      <c r="CD517" s="176">
        <f>IF(AND(Input_Product=Elig!$C517,Elig_MatchAll_Ct&lt;22,$BC517=(Elig_MatchAll_Ct-1),AX517=0),Y517,0)</f>
        <v>0</v>
      </c>
      <c r="CE517" s="175">
        <f>IF(AND(Input_LTV&lt;=AE517,Input_Product=Elig!$C517,Elig_MatchAll_Ct&lt;22,$BC517=(Elig_MatchAll_Ct-1),AY517=0),Z517,0)</f>
        <v>0</v>
      </c>
      <c r="CF517" s="176">
        <f>IF(AND(Input_LTV&lt;=AE517,Input_Product=Elig!$C517,Elig_MatchAll_Ct&lt;22,$BC517=(Elig_MatchAll_Ct-1),AY517=0),AA517,0)</f>
        <v>0</v>
      </c>
      <c r="CG517" s="175">
        <f>IF(AND(Input_Product=Elig!$C517,Elig_MatchAll_Ct&lt;22,$BC517=(Elig_MatchAll_Ct-1),AZ517=0),AB517,0)</f>
        <v>0</v>
      </c>
      <c r="CH517" s="176">
        <f>IF(AND(Input_Product=Elig!$C517,Elig_MatchAll_Ct&lt;22,$BC517=(Elig_MatchAll_Ct-1),AZ517=0),AC517,0)</f>
        <v>0</v>
      </c>
      <c r="CI517" s="175">
        <f>IF(AND(Input_Product=Elig!$C517,Elig_MatchAll_Ct&lt;22,$BC517=(Elig_MatchAll_Ct-1),BA517=0),AD517,0)</f>
        <v>0</v>
      </c>
      <c r="CJ517" s="176">
        <f>IF(AND(Input_Product=Elig!$C517,Elig_MatchAll_Ct&lt;22,$BC517=(Elig_MatchAll_Ct-1),BA517=0),AE517,0)</f>
        <v>0</v>
      </c>
    </row>
    <row r="518" spans="1:88" ht="10.15" customHeight="1" x14ac:dyDescent="0.25">
      <c r="A518" s="252" t="s">
        <v>76</v>
      </c>
      <c r="B518" s="252" t="s">
        <v>2240</v>
      </c>
      <c r="C518" s="246" t="str">
        <f t="shared" si="183"/>
        <v>NonQM NOO</v>
      </c>
      <c r="D518" s="247" t="s">
        <v>1995</v>
      </c>
      <c r="E518" s="248" t="s">
        <v>166</v>
      </c>
      <c r="F518" s="248" t="s">
        <v>329</v>
      </c>
      <c r="G518" s="248" t="s">
        <v>303</v>
      </c>
      <c r="H518" s="248" t="s">
        <v>444</v>
      </c>
      <c r="I518" s="247" t="s">
        <v>273</v>
      </c>
      <c r="J518" s="247" t="s">
        <v>1130</v>
      </c>
      <c r="K518" s="247" t="s">
        <v>1398</v>
      </c>
      <c r="L518" s="248" t="s">
        <v>311</v>
      </c>
      <c r="M518" s="248" t="s">
        <v>2289</v>
      </c>
      <c r="N518" s="248" t="s">
        <v>1844</v>
      </c>
      <c r="O518" s="248" t="s">
        <v>309</v>
      </c>
      <c r="P518" s="248" t="s">
        <v>2434</v>
      </c>
      <c r="Q518" s="248" t="s">
        <v>293</v>
      </c>
      <c r="R518" s="247">
        <v>3000000.01</v>
      </c>
      <c r="S518" s="247">
        <v>3500000</v>
      </c>
      <c r="T518" s="247">
        <v>0</v>
      </c>
      <c r="U518" s="247">
        <v>0</v>
      </c>
      <c r="V518" s="247">
        <v>0</v>
      </c>
      <c r="W518" s="247">
        <v>50</v>
      </c>
      <c r="X518" s="247">
        <v>0</v>
      </c>
      <c r="Y518" s="247">
        <v>999</v>
      </c>
      <c r="Z518" s="249">
        <v>720</v>
      </c>
      <c r="AA518" s="249">
        <v>999</v>
      </c>
      <c r="AB518" s="1882">
        <v>0</v>
      </c>
      <c r="AC518" s="249">
        <v>999999</v>
      </c>
      <c r="AD518" s="247">
        <v>0</v>
      </c>
      <c r="AE518" s="250">
        <v>70</v>
      </c>
      <c r="AF518" s="144">
        <v>0</v>
      </c>
      <c r="AG518" s="145">
        <v>1</v>
      </c>
      <c r="AH518" s="145">
        <v>1</v>
      </c>
      <c r="AI518" s="145">
        <v>1</v>
      </c>
      <c r="AJ518" s="145">
        <v>0</v>
      </c>
      <c r="AK518" s="145">
        <v>0</v>
      </c>
      <c r="AL518" s="145">
        <v>1</v>
      </c>
      <c r="AM518" s="145">
        <v>1</v>
      </c>
      <c r="AN518" s="145">
        <v>1</v>
      </c>
      <c r="AO518" s="145">
        <v>1</v>
      </c>
      <c r="AP518" s="145">
        <v>1</v>
      </c>
      <c r="AQ518" s="145">
        <v>1</v>
      </c>
      <c r="AR518" s="145">
        <v>1</v>
      </c>
      <c r="AS518" s="145">
        <v>1</v>
      </c>
      <c r="AT518" s="145">
        <v>1</v>
      </c>
      <c r="AU518" s="145">
        <f t="shared" si="148"/>
        <v>0</v>
      </c>
      <c r="AV518" s="145">
        <f t="shared" si="149"/>
        <v>1</v>
      </c>
      <c r="AW518" s="145">
        <f t="shared" si="150"/>
        <v>1</v>
      </c>
      <c r="AX518" s="145">
        <f t="shared" si="161"/>
        <v>1</v>
      </c>
      <c r="AY518" s="145">
        <f t="shared" si="151"/>
        <v>1</v>
      </c>
      <c r="AZ518" s="145">
        <f t="shared" si="152"/>
        <v>1</v>
      </c>
      <c r="BA518" s="146">
        <f t="shared" si="153"/>
        <v>1</v>
      </c>
      <c r="BB518" s="149">
        <f t="shared" si="190"/>
        <v>18</v>
      </c>
      <c r="BC518" s="150">
        <f t="shared" si="191"/>
        <v>17</v>
      </c>
      <c r="BD518" s="150">
        <f t="shared" si="192"/>
        <v>18</v>
      </c>
      <c r="BE518" s="211" t="str">
        <f t="shared" si="193"/>
        <v/>
      </c>
      <c r="BH518" s="184">
        <f>IF(AND(Input_Product=Elig!$C518,Elig_MatchAll_Ct&lt;22,$BC518=(Elig_MatchAll_Ct-1),AF518=0),C518,0)</f>
        <v>0</v>
      </c>
      <c r="BI518" s="184">
        <f>IF(AND(Input_Product=Elig!$C518,Elig_MatchAll_Ct&lt;22,$BC518=(Elig_MatchAll_Ct-1),AG518=0),D518,0)</f>
        <v>0</v>
      </c>
      <c r="BJ518" s="184">
        <f>IF(AND(Input_Product=Elig!$C518,Elig_MatchAll_Ct&lt;22,$BC518=(Elig_MatchAll_Ct-1),AH518=0),E518,0)</f>
        <v>0</v>
      </c>
      <c r="BK518" s="184">
        <f>IF(AND(Input_Product=Elig!$C518,Elig_MatchAll_Ct&lt;22,$BC518=(Elig_MatchAll_Ct-1),AI518=0),F518,0)</f>
        <v>0</v>
      </c>
      <c r="BL518" s="184">
        <f>IF(AND(Input_Product=Elig!$C518,Elig_MatchAll_Ct&lt;22,$BC518=(Elig_MatchAll_Ct-1),AJ518=0),G518,0)</f>
        <v>0</v>
      </c>
      <c r="BM518" s="184">
        <f>IF(AND(Input_Product=Elig!$C518,Elig_MatchAll_Ct&lt;22,$BC518=(Elig_MatchAll_Ct-1),AK518=0),H518,0)</f>
        <v>0</v>
      </c>
      <c r="BN518" s="184">
        <f>IF(AND(Input_Product=Elig!$C518,Elig_MatchAll_Ct&lt;22,$BC518=(Elig_MatchAll_Ct-1),AL518=0),I518,0)</f>
        <v>0</v>
      </c>
      <c r="BO518" s="184">
        <f>IF(AND(Input_Product=Elig!$C518,Elig_MatchAll_Ct&lt;22,$BC518=(Elig_MatchAll_Ct-1),AM518=0),J518,0)</f>
        <v>0</v>
      </c>
      <c r="BP518" s="184">
        <f>IF(AND(Input_Product=Elig!$C518,Elig_MatchAll_Ct&lt;22,$BC518=(Elig_MatchAll_Ct-1),AN518=0),K518,0)</f>
        <v>0</v>
      </c>
      <c r="BQ518" s="184">
        <f>IF(AND(Input_Product=Elig!$C518,Elig_MatchAll_Ct&lt;22,$BC518=(Elig_MatchAll_Ct-1),AP518=0),L518,0)</f>
        <v>0</v>
      </c>
      <c r="BR518" s="184">
        <f>IF(AND(Input_Product=Elig!$C518,Elig_MatchAll_Ct&lt;22,$BC518=(Elig_MatchAll_Ct-1),AO518=0),M518,0)</f>
        <v>0</v>
      </c>
      <c r="BS518" s="184">
        <f>IF(AND(Input_Product=Elig!$C518,Elig_MatchAll_Ct&lt;22,$BC518=(Elig_MatchAll_Ct-1),AQ518=0),N518,0)</f>
        <v>0</v>
      </c>
      <c r="BT518" s="184">
        <f>IF(AND(Input_Product=Elig!$C518,Elig_MatchAll_Ct&lt;22,$BC518=(Elig_MatchAll_Ct-1),AR518=0),O518,0)</f>
        <v>0</v>
      </c>
      <c r="BU518" s="184">
        <f>IF(AND(Input_Product=Elig!$C518,Elig_MatchAll_Ct&lt;22,$BC518=(Elig_MatchAll_Ct-1),AS518=0),P518,0)</f>
        <v>0</v>
      </c>
      <c r="BV518" s="185">
        <f>IF(AND(Input_Product=Elig!$C518,Elig_MatchAll_Ct&lt;22,$BC518=(Elig_MatchAll_Ct-1),AT518=0),Q518,0)</f>
        <v>0</v>
      </c>
      <c r="BW518" s="186">
        <f>IF(AND(Input_Product=Elig!$C518,Elig_MatchAll_Ct&lt;22,$BC518=(Elig_MatchAll_Ct-1),AU518=0),R518,0)</f>
        <v>0</v>
      </c>
      <c r="BX518" s="187">
        <f>IF(AND(Input_Product=Elig!$C518,Elig_MatchAll_Ct&lt;22,$BC518=(Elig_MatchAll_Ct-1),AU518=0),S518,0)</f>
        <v>0</v>
      </c>
      <c r="BY518" s="186">
        <f>IF(AND(Input_Product=Elig!$C518,Elig_MatchAll_Ct&lt;22,$BC518=(Elig_MatchAll_Ct-1),AV518=0),T518,0)</f>
        <v>0</v>
      </c>
      <c r="BZ518" s="187">
        <f>IF(AND(Input_Product=Elig!$C518,Elig_MatchAll_Ct&lt;22,$BC518=(Elig_MatchAll_Ct-1),AV518=0),U518,0)</f>
        <v>0</v>
      </c>
      <c r="CA518" s="186">
        <f>IF(AND(Input_Product=Elig!$C518,Elig_MatchAll_Ct&lt;22,$BC518=(Elig_MatchAll_Ct-1),AW518=0),V518,0)</f>
        <v>0</v>
      </c>
      <c r="CB518" s="187">
        <f>IF(AND(Input_Product=Elig!$C518,Elig_MatchAll_Ct&lt;22,$BC518=(Elig_MatchAll_Ct-1),AW518=0),W518,0)</f>
        <v>0</v>
      </c>
      <c r="CC518" s="186">
        <f>IF(AND(Input_Product=Elig!$C518,Elig_MatchAll_Ct&lt;22,$BC518=(Elig_MatchAll_Ct-1),AX518=0),X518,0)</f>
        <v>0</v>
      </c>
      <c r="CD518" s="187">
        <f>IF(AND(Input_Product=Elig!$C518,Elig_MatchAll_Ct&lt;22,$BC518=(Elig_MatchAll_Ct-1),AX518=0),Y518,0)</f>
        <v>0</v>
      </c>
      <c r="CE518" s="186">
        <f>IF(AND(Input_LTV&lt;=AE518,Input_Product=Elig!$C518,Elig_MatchAll_Ct&lt;22,$BC518=(Elig_MatchAll_Ct-1),AY518=0),Z518,0)</f>
        <v>0</v>
      </c>
      <c r="CF518" s="187">
        <f>IF(AND(Input_LTV&lt;=AE518,Input_Product=Elig!$C518,Elig_MatchAll_Ct&lt;22,$BC518=(Elig_MatchAll_Ct-1),AY518=0),AA518,0)</f>
        <v>0</v>
      </c>
      <c r="CG518" s="186">
        <f>IF(AND(Input_Product=Elig!$C518,Elig_MatchAll_Ct&lt;22,$BC518=(Elig_MatchAll_Ct-1),AZ518=0),AB518,0)</f>
        <v>0</v>
      </c>
      <c r="CH518" s="187">
        <f>IF(AND(Input_Product=Elig!$C518,Elig_MatchAll_Ct&lt;22,$BC518=(Elig_MatchAll_Ct-1),AZ518=0),AC518,0)</f>
        <v>0</v>
      </c>
      <c r="CI518" s="186">
        <f>IF(AND(Input_Product=Elig!$C518,Elig_MatchAll_Ct&lt;22,$BC518=(Elig_MatchAll_Ct-1),BA518=0),AD518,0)</f>
        <v>0</v>
      </c>
      <c r="CJ518" s="187">
        <f>IF(AND(Input_Product=Elig!$C518,Elig_MatchAll_Ct&lt;22,$BC518=(Elig_MatchAll_Ct-1),BA518=0),AE518,0)</f>
        <v>0</v>
      </c>
    </row>
    <row r="519" spans="1:88" ht="10.15" customHeight="1" x14ac:dyDescent="0.25">
      <c r="A519" s="252" t="s">
        <v>76</v>
      </c>
      <c r="B519" s="252" t="s">
        <v>2241</v>
      </c>
      <c r="C519" s="251" t="str">
        <f t="shared" si="183"/>
        <v>NonQM NOO</v>
      </c>
      <c r="D519" s="252" t="s">
        <v>1995</v>
      </c>
      <c r="E519" s="252" t="s">
        <v>166</v>
      </c>
      <c r="F519" s="252" t="s">
        <v>329</v>
      </c>
      <c r="G519" s="252" t="s">
        <v>303</v>
      </c>
      <c r="H519" s="252" t="s">
        <v>444</v>
      </c>
      <c r="I519" s="253" t="s">
        <v>273</v>
      </c>
      <c r="J519" s="253" t="s">
        <v>1130</v>
      </c>
      <c r="K519" s="253" t="s">
        <v>1398</v>
      </c>
      <c r="L519" s="252" t="s">
        <v>311</v>
      </c>
      <c r="M519" s="252" t="s">
        <v>2289</v>
      </c>
      <c r="N519" s="252" t="s">
        <v>1844</v>
      </c>
      <c r="O519" s="252" t="s">
        <v>309</v>
      </c>
      <c r="P519" s="252" t="s">
        <v>2434</v>
      </c>
      <c r="Q519" s="252" t="s">
        <v>293</v>
      </c>
      <c r="R519" s="252">
        <v>3000000.01</v>
      </c>
      <c r="S519" s="252">
        <v>3500000</v>
      </c>
      <c r="T519" s="252">
        <v>0</v>
      </c>
      <c r="U519" s="252">
        <v>0</v>
      </c>
      <c r="V519" s="252">
        <v>0</v>
      </c>
      <c r="W519" s="252">
        <v>50</v>
      </c>
      <c r="X519" s="252">
        <v>0</v>
      </c>
      <c r="Y519" s="252">
        <v>999</v>
      </c>
      <c r="Z519" s="254">
        <v>700</v>
      </c>
      <c r="AA519" s="254">
        <v>719</v>
      </c>
      <c r="AB519" s="1883">
        <v>0</v>
      </c>
      <c r="AC519" s="254">
        <v>999999</v>
      </c>
      <c r="AD519" s="252">
        <v>0</v>
      </c>
      <c r="AE519" s="255">
        <v>70</v>
      </c>
      <c r="AF519" s="144">
        <v>0</v>
      </c>
      <c r="AG519" s="145">
        <v>1</v>
      </c>
      <c r="AH519" s="145">
        <v>1</v>
      </c>
      <c r="AI519" s="145">
        <v>1</v>
      </c>
      <c r="AJ519" s="145">
        <v>0</v>
      </c>
      <c r="AK519" s="145">
        <v>0</v>
      </c>
      <c r="AL519" s="145">
        <v>1</v>
      </c>
      <c r="AM519" s="145">
        <v>1</v>
      </c>
      <c r="AN519" s="145">
        <v>1</v>
      </c>
      <c r="AO519" s="145">
        <v>1</v>
      </c>
      <c r="AP519" s="145">
        <v>1</v>
      </c>
      <c r="AQ519" s="145">
        <v>1</v>
      </c>
      <c r="AR519" s="145">
        <v>1</v>
      </c>
      <c r="AS519" s="145">
        <v>1</v>
      </c>
      <c r="AT519" s="145">
        <v>1</v>
      </c>
      <c r="AU519" s="145">
        <f t="shared" si="148"/>
        <v>0</v>
      </c>
      <c r="AV519" s="145">
        <f t="shared" si="149"/>
        <v>1</v>
      </c>
      <c r="AW519" s="145">
        <f t="shared" si="150"/>
        <v>1</v>
      </c>
      <c r="AX519" s="145">
        <f t="shared" si="161"/>
        <v>1</v>
      </c>
      <c r="AY519" s="145">
        <f t="shared" si="151"/>
        <v>0</v>
      </c>
      <c r="AZ519" s="145">
        <f t="shared" si="152"/>
        <v>1</v>
      </c>
      <c r="BA519" s="146">
        <f t="shared" si="153"/>
        <v>1</v>
      </c>
      <c r="BB519" s="149">
        <f t="shared" si="190"/>
        <v>17</v>
      </c>
      <c r="BC519" s="150">
        <f t="shared" si="191"/>
        <v>16</v>
      </c>
      <c r="BD519" s="150">
        <f t="shared" si="192"/>
        <v>17</v>
      </c>
      <c r="BE519" s="211" t="str">
        <f t="shared" si="193"/>
        <v/>
      </c>
      <c r="BH519" s="173">
        <f>IF(AND(Input_Product=Elig!$C519,Elig_MatchAll_Ct&lt;22,$BC519=(Elig_MatchAll_Ct-1),AF519=0),C519,0)</f>
        <v>0</v>
      </c>
      <c r="BI519" s="173">
        <f>IF(AND(Input_Product=Elig!$C519,Elig_MatchAll_Ct&lt;22,$BC519=(Elig_MatchAll_Ct-1),AG519=0),D519,0)</f>
        <v>0</v>
      </c>
      <c r="BJ519" s="173">
        <f>IF(AND(Input_Product=Elig!$C519,Elig_MatchAll_Ct&lt;22,$BC519=(Elig_MatchAll_Ct-1),AH519=0),E519,0)</f>
        <v>0</v>
      </c>
      <c r="BK519" s="173">
        <f>IF(AND(Input_Product=Elig!$C519,Elig_MatchAll_Ct&lt;22,$BC519=(Elig_MatchAll_Ct-1),AI519=0),F519,0)</f>
        <v>0</v>
      </c>
      <c r="BL519" s="173">
        <f>IF(AND(Input_Product=Elig!$C519,Elig_MatchAll_Ct&lt;22,$BC519=(Elig_MatchAll_Ct-1),AJ519=0),G519,0)</f>
        <v>0</v>
      </c>
      <c r="BM519" s="173">
        <f>IF(AND(Input_Product=Elig!$C519,Elig_MatchAll_Ct&lt;22,$BC519=(Elig_MatchAll_Ct-1),AK519=0),H519,0)</f>
        <v>0</v>
      </c>
      <c r="BN519" s="173">
        <f>IF(AND(Input_Product=Elig!$C519,Elig_MatchAll_Ct&lt;22,$BC519=(Elig_MatchAll_Ct-1),AL519=0),I519,0)</f>
        <v>0</v>
      </c>
      <c r="BO519" s="173">
        <f>IF(AND(Input_Product=Elig!$C519,Elig_MatchAll_Ct&lt;22,$BC519=(Elig_MatchAll_Ct-1),AM519=0),J519,0)</f>
        <v>0</v>
      </c>
      <c r="BP519" s="173">
        <f>IF(AND(Input_Product=Elig!$C519,Elig_MatchAll_Ct&lt;22,$BC519=(Elig_MatchAll_Ct-1),AN519=0),K519,0)</f>
        <v>0</v>
      </c>
      <c r="BQ519" s="173">
        <f>IF(AND(Input_Product=Elig!$C519,Elig_MatchAll_Ct&lt;22,$BC519=(Elig_MatchAll_Ct-1),AP519=0),L519,0)</f>
        <v>0</v>
      </c>
      <c r="BR519" s="173">
        <f>IF(AND(Input_Product=Elig!$C519,Elig_MatchAll_Ct&lt;22,$BC519=(Elig_MatchAll_Ct-1),AO519=0),M519,0)</f>
        <v>0</v>
      </c>
      <c r="BS519" s="173">
        <f>IF(AND(Input_Product=Elig!$C519,Elig_MatchAll_Ct&lt;22,$BC519=(Elig_MatchAll_Ct-1),AQ519=0),N519,0)</f>
        <v>0</v>
      </c>
      <c r="BT519" s="173">
        <f>IF(AND(Input_Product=Elig!$C519,Elig_MatchAll_Ct&lt;22,$BC519=(Elig_MatchAll_Ct-1),AR519=0),O519,0)</f>
        <v>0</v>
      </c>
      <c r="BU519" s="173">
        <f>IF(AND(Input_Product=Elig!$C519,Elig_MatchAll_Ct&lt;22,$BC519=(Elig_MatchAll_Ct-1),AS519=0),P519,0)</f>
        <v>0</v>
      </c>
      <c r="BV519" s="174">
        <f>IF(AND(Input_Product=Elig!$C519,Elig_MatchAll_Ct&lt;22,$BC519=(Elig_MatchAll_Ct-1),AT519=0),Q519,0)</f>
        <v>0</v>
      </c>
      <c r="BW519" s="175">
        <f>IF(AND(Input_Product=Elig!$C519,Elig_MatchAll_Ct&lt;22,$BC519=(Elig_MatchAll_Ct-1),AU519=0),R519,0)</f>
        <v>0</v>
      </c>
      <c r="BX519" s="176">
        <f>IF(AND(Input_Product=Elig!$C519,Elig_MatchAll_Ct&lt;22,$BC519=(Elig_MatchAll_Ct-1),AU519=0),S519,0)</f>
        <v>0</v>
      </c>
      <c r="BY519" s="175">
        <f>IF(AND(Input_Product=Elig!$C519,Elig_MatchAll_Ct&lt;22,$BC519=(Elig_MatchAll_Ct-1),AV519=0),T519,0)</f>
        <v>0</v>
      </c>
      <c r="BZ519" s="176">
        <f>IF(AND(Input_Product=Elig!$C519,Elig_MatchAll_Ct&lt;22,$BC519=(Elig_MatchAll_Ct-1),AV519=0),U519,0)</f>
        <v>0</v>
      </c>
      <c r="CA519" s="175">
        <f>IF(AND(Input_Product=Elig!$C519,Elig_MatchAll_Ct&lt;22,$BC519=(Elig_MatchAll_Ct-1),AW519=0),V519,0)</f>
        <v>0</v>
      </c>
      <c r="CB519" s="176">
        <f>IF(AND(Input_Product=Elig!$C519,Elig_MatchAll_Ct&lt;22,$BC519=(Elig_MatchAll_Ct-1),AW519=0),W519,0)</f>
        <v>0</v>
      </c>
      <c r="CC519" s="175">
        <f>IF(AND(Input_Product=Elig!$C519,Elig_MatchAll_Ct&lt;22,$BC519=(Elig_MatchAll_Ct-1),AX519=0),X519,0)</f>
        <v>0</v>
      </c>
      <c r="CD519" s="176">
        <f>IF(AND(Input_Product=Elig!$C519,Elig_MatchAll_Ct&lt;22,$BC519=(Elig_MatchAll_Ct-1),AX519=0),Y519,0)</f>
        <v>0</v>
      </c>
      <c r="CE519" s="175">
        <f>IF(AND(Input_LTV&lt;=AE519,Input_Product=Elig!$C519,Elig_MatchAll_Ct&lt;22,$BC519=(Elig_MatchAll_Ct-1),AY519=0),Z519,0)</f>
        <v>0</v>
      </c>
      <c r="CF519" s="176">
        <f>IF(AND(Input_LTV&lt;=AE519,Input_Product=Elig!$C519,Elig_MatchAll_Ct&lt;22,$BC519=(Elig_MatchAll_Ct-1),AY519=0),AA519,0)</f>
        <v>0</v>
      </c>
      <c r="CG519" s="175">
        <f>IF(AND(Input_Product=Elig!$C519,Elig_MatchAll_Ct&lt;22,$BC519=(Elig_MatchAll_Ct-1),AZ519=0),AB519,0)</f>
        <v>0</v>
      </c>
      <c r="CH519" s="176">
        <f>IF(AND(Input_Product=Elig!$C519,Elig_MatchAll_Ct&lt;22,$BC519=(Elig_MatchAll_Ct-1),AZ519=0),AC519,0)</f>
        <v>0</v>
      </c>
      <c r="CI519" s="175">
        <f>IF(AND(Input_Product=Elig!$C519,Elig_MatchAll_Ct&lt;22,$BC519=(Elig_MatchAll_Ct-1),BA519=0),AD519,0)</f>
        <v>0</v>
      </c>
      <c r="CJ519" s="176">
        <f>IF(AND(Input_Product=Elig!$C519,Elig_MatchAll_Ct&lt;22,$BC519=(Elig_MatchAll_Ct-1),BA519=0),AE519,0)</f>
        <v>0</v>
      </c>
    </row>
    <row r="520" spans="1:88" ht="10.15" customHeight="1" x14ac:dyDescent="0.25">
      <c r="A520" s="252" t="s">
        <v>76</v>
      </c>
      <c r="B520" s="252" t="s">
        <v>2242</v>
      </c>
      <c r="C520" s="246" t="str">
        <f t="shared" si="183"/>
        <v>NonQM NOO</v>
      </c>
      <c r="D520" s="247" t="s">
        <v>1995</v>
      </c>
      <c r="E520" s="248" t="s">
        <v>166</v>
      </c>
      <c r="F520" s="248" t="s">
        <v>329</v>
      </c>
      <c r="G520" s="248" t="s">
        <v>303</v>
      </c>
      <c r="H520" s="248" t="s">
        <v>444</v>
      </c>
      <c r="I520" s="247" t="s">
        <v>16</v>
      </c>
      <c r="J520" s="247" t="s">
        <v>1130</v>
      </c>
      <c r="K520" s="247" t="s">
        <v>1398</v>
      </c>
      <c r="L520" s="248" t="s">
        <v>311</v>
      </c>
      <c r="M520" s="248" t="s">
        <v>2289</v>
      </c>
      <c r="N520" s="248" t="s">
        <v>1844</v>
      </c>
      <c r="O520" s="248" t="s">
        <v>309</v>
      </c>
      <c r="P520" s="248" t="s">
        <v>2434</v>
      </c>
      <c r="Q520" s="248" t="s">
        <v>293</v>
      </c>
      <c r="R520" s="247">
        <v>3000000.01</v>
      </c>
      <c r="S520" s="247">
        <v>3500000</v>
      </c>
      <c r="T520" s="247">
        <v>0</v>
      </c>
      <c r="U520" s="247">
        <f t="shared" ref="U520:U521" si="201">S520</f>
        <v>3500000</v>
      </c>
      <c r="V520" s="247">
        <v>0</v>
      </c>
      <c r="W520" s="247">
        <v>50</v>
      </c>
      <c r="X520" s="247">
        <v>0</v>
      </c>
      <c r="Y520" s="247">
        <v>999</v>
      </c>
      <c r="Z520" s="249">
        <v>720</v>
      </c>
      <c r="AA520" s="249">
        <v>999</v>
      </c>
      <c r="AB520" s="1882">
        <v>0</v>
      </c>
      <c r="AC520" s="249">
        <v>999999</v>
      </c>
      <c r="AD520" s="247">
        <v>0</v>
      </c>
      <c r="AE520" s="250">
        <v>55</v>
      </c>
      <c r="AF520" s="144">
        <v>0</v>
      </c>
      <c r="AG520" s="145">
        <v>1</v>
      </c>
      <c r="AH520" s="145">
        <v>1</v>
      </c>
      <c r="AI520" s="145">
        <v>1</v>
      </c>
      <c r="AJ520" s="145">
        <v>0</v>
      </c>
      <c r="AK520" s="145">
        <v>0</v>
      </c>
      <c r="AL520" s="145">
        <v>0</v>
      </c>
      <c r="AM520" s="145">
        <v>1</v>
      </c>
      <c r="AN520" s="145">
        <v>1</v>
      </c>
      <c r="AO520" s="145">
        <v>1</v>
      </c>
      <c r="AP520" s="145">
        <v>1</v>
      </c>
      <c r="AQ520" s="145">
        <v>1</v>
      </c>
      <c r="AR520" s="145">
        <v>1</v>
      </c>
      <c r="AS520" s="145">
        <v>1</v>
      </c>
      <c r="AT520" s="145">
        <v>1</v>
      </c>
      <c r="AU520" s="145">
        <f t="shared" si="148"/>
        <v>0</v>
      </c>
      <c r="AV520" s="145">
        <f t="shared" si="149"/>
        <v>1</v>
      </c>
      <c r="AW520" s="145">
        <f t="shared" si="150"/>
        <v>1</v>
      </c>
      <c r="AX520" s="145">
        <f t="shared" si="161"/>
        <v>1</v>
      </c>
      <c r="AY520" s="145">
        <f t="shared" si="151"/>
        <v>1</v>
      </c>
      <c r="AZ520" s="145">
        <f t="shared" si="152"/>
        <v>1</v>
      </c>
      <c r="BA520" s="146">
        <f t="shared" si="153"/>
        <v>0</v>
      </c>
      <c r="BB520" s="149">
        <f t="shared" si="190"/>
        <v>16</v>
      </c>
      <c r="BC520" s="150">
        <f t="shared" si="191"/>
        <v>16</v>
      </c>
      <c r="BD520" s="150">
        <f t="shared" si="192"/>
        <v>16</v>
      </c>
      <c r="BE520" s="211" t="str">
        <f t="shared" si="193"/>
        <v/>
      </c>
      <c r="BH520" s="184">
        <f>IF(AND(Input_Product=Elig!$C520,Elig_MatchAll_Ct&lt;22,$BC520=(Elig_MatchAll_Ct-1),AF520=0),C520,0)</f>
        <v>0</v>
      </c>
      <c r="BI520" s="184">
        <f>IF(AND(Input_Product=Elig!$C520,Elig_MatchAll_Ct&lt;22,$BC520=(Elig_MatchAll_Ct-1),AG520=0),D520,0)</f>
        <v>0</v>
      </c>
      <c r="BJ520" s="184">
        <f>IF(AND(Input_Product=Elig!$C520,Elig_MatchAll_Ct&lt;22,$BC520=(Elig_MatchAll_Ct-1),AH520=0),E520,0)</f>
        <v>0</v>
      </c>
      <c r="BK520" s="184">
        <f>IF(AND(Input_Product=Elig!$C520,Elig_MatchAll_Ct&lt;22,$BC520=(Elig_MatchAll_Ct-1),AI520=0),F520,0)</f>
        <v>0</v>
      </c>
      <c r="BL520" s="184">
        <f>IF(AND(Input_Product=Elig!$C520,Elig_MatchAll_Ct&lt;22,$BC520=(Elig_MatchAll_Ct-1),AJ520=0),G520,0)</f>
        <v>0</v>
      </c>
      <c r="BM520" s="184">
        <f>IF(AND(Input_Product=Elig!$C520,Elig_MatchAll_Ct&lt;22,$BC520=(Elig_MatchAll_Ct-1),AK520=0),H520,0)</f>
        <v>0</v>
      </c>
      <c r="BN520" s="184">
        <f>IF(AND(Input_Product=Elig!$C520,Elig_MatchAll_Ct&lt;22,$BC520=(Elig_MatchAll_Ct-1),AL520=0),I520,0)</f>
        <v>0</v>
      </c>
      <c r="BO520" s="184">
        <f>IF(AND(Input_Product=Elig!$C520,Elig_MatchAll_Ct&lt;22,$BC520=(Elig_MatchAll_Ct-1),AM520=0),J520,0)</f>
        <v>0</v>
      </c>
      <c r="BP520" s="184">
        <f>IF(AND(Input_Product=Elig!$C520,Elig_MatchAll_Ct&lt;22,$BC520=(Elig_MatchAll_Ct-1),AN520=0),K520,0)</f>
        <v>0</v>
      </c>
      <c r="BQ520" s="184">
        <f>IF(AND(Input_Product=Elig!$C520,Elig_MatchAll_Ct&lt;22,$BC520=(Elig_MatchAll_Ct-1),AP520=0),L520,0)</f>
        <v>0</v>
      </c>
      <c r="BR520" s="184">
        <f>IF(AND(Input_Product=Elig!$C520,Elig_MatchAll_Ct&lt;22,$BC520=(Elig_MatchAll_Ct-1),AO520=0),M520,0)</f>
        <v>0</v>
      </c>
      <c r="BS520" s="184">
        <f>IF(AND(Input_Product=Elig!$C520,Elig_MatchAll_Ct&lt;22,$BC520=(Elig_MatchAll_Ct-1),AQ520=0),N520,0)</f>
        <v>0</v>
      </c>
      <c r="BT520" s="184">
        <f>IF(AND(Input_Product=Elig!$C520,Elig_MatchAll_Ct&lt;22,$BC520=(Elig_MatchAll_Ct-1),AR520=0),O520,0)</f>
        <v>0</v>
      </c>
      <c r="BU520" s="184">
        <f>IF(AND(Input_Product=Elig!$C520,Elig_MatchAll_Ct&lt;22,$BC520=(Elig_MatchAll_Ct-1),AS520=0),P520,0)</f>
        <v>0</v>
      </c>
      <c r="BV520" s="185">
        <f>IF(AND(Input_Product=Elig!$C520,Elig_MatchAll_Ct&lt;22,$BC520=(Elig_MatchAll_Ct-1),AT520=0),Q520,0)</f>
        <v>0</v>
      </c>
      <c r="BW520" s="186">
        <f>IF(AND(Input_Product=Elig!$C520,Elig_MatchAll_Ct&lt;22,$BC520=(Elig_MatchAll_Ct-1),AU520=0),R520,0)</f>
        <v>0</v>
      </c>
      <c r="BX520" s="187">
        <f>IF(AND(Input_Product=Elig!$C520,Elig_MatchAll_Ct&lt;22,$BC520=(Elig_MatchAll_Ct-1),AU520=0),S520,0)</f>
        <v>0</v>
      </c>
      <c r="BY520" s="186">
        <f>IF(AND(Input_Product=Elig!$C520,Elig_MatchAll_Ct&lt;22,$BC520=(Elig_MatchAll_Ct-1),AV520=0),T520,0)</f>
        <v>0</v>
      </c>
      <c r="BZ520" s="187">
        <f>IF(AND(Input_Product=Elig!$C520,Elig_MatchAll_Ct&lt;22,$BC520=(Elig_MatchAll_Ct-1),AV520=0),U520,0)</f>
        <v>0</v>
      </c>
      <c r="CA520" s="186">
        <f>IF(AND(Input_Product=Elig!$C520,Elig_MatchAll_Ct&lt;22,$BC520=(Elig_MatchAll_Ct-1),AW520=0),V520,0)</f>
        <v>0</v>
      </c>
      <c r="CB520" s="187">
        <f>IF(AND(Input_Product=Elig!$C520,Elig_MatchAll_Ct&lt;22,$BC520=(Elig_MatchAll_Ct-1),AW520=0),W520,0)</f>
        <v>0</v>
      </c>
      <c r="CC520" s="186">
        <f>IF(AND(Input_Product=Elig!$C520,Elig_MatchAll_Ct&lt;22,$BC520=(Elig_MatchAll_Ct-1),AX520=0),X520,0)</f>
        <v>0</v>
      </c>
      <c r="CD520" s="187">
        <f>IF(AND(Input_Product=Elig!$C520,Elig_MatchAll_Ct&lt;22,$BC520=(Elig_MatchAll_Ct-1),AX520=0),Y520,0)</f>
        <v>0</v>
      </c>
      <c r="CE520" s="186">
        <f>IF(AND(Input_LTV&lt;=AE520,Input_Product=Elig!$C520,Elig_MatchAll_Ct&lt;22,$BC520=(Elig_MatchAll_Ct-1),AY520=0),Z520,0)</f>
        <v>0</v>
      </c>
      <c r="CF520" s="187">
        <f>IF(AND(Input_LTV&lt;=AE520,Input_Product=Elig!$C520,Elig_MatchAll_Ct&lt;22,$BC520=(Elig_MatchAll_Ct-1),AY520=0),AA520,0)</f>
        <v>0</v>
      </c>
      <c r="CG520" s="186">
        <f>IF(AND(Input_Product=Elig!$C520,Elig_MatchAll_Ct&lt;22,$BC520=(Elig_MatchAll_Ct-1),AZ520=0),AB520,0)</f>
        <v>0</v>
      </c>
      <c r="CH520" s="187">
        <f>IF(AND(Input_Product=Elig!$C520,Elig_MatchAll_Ct&lt;22,$BC520=(Elig_MatchAll_Ct-1),AZ520=0),AC520,0)</f>
        <v>0</v>
      </c>
      <c r="CI520" s="186">
        <f>IF(AND(Input_Product=Elig!$C520,Elig_MatchAll_Ct&lt;22,$BC520=(Elig_MatchAll_Ct-1),BA520=0),AD520,0)</f>
        <v>0</v>
      </c>
      <c r="CJ520" s="187">
        <f>IF(AND(Input_Product=Elig!$C520,Elig_MatchAll_Ct&lt;22,$BC520=(Elig_MatchAll_Ct-1),BA520=0),AE520,0)</f>
        <v>0</v>
      </c>
    </row>
    <row r="521" spans="1:88" ht="10.15" customHeight="1" x14ac:dyDescent="0.25">
      <c r="A521" s="252" t="s">
        <v>76</v>
      </c>
      <c r="B521" s="252" t="s">
        <v>2243</v>
      </c>
      <c r="C521" s="251" t="str">
        <f t="shared" si="183"/>
        <v>NonQM NOO</v>
      </c>
      <c r="D521" s="252" t="s">
        <v>1995</v>
      </c>
      <c r="E521" s="252" t="s">
        <v>166</v>
      </c>
      <c r="F521" s="252" t="s">
        <v>329</v>
      </c>
      <c r="G521" s="252" t="s">
        <v>303</v>
      </c>
      <c r="H521" s="252" t="s">
        <v>444</v>
      </c>
      <c r="I521" s="253" t="s">
        <v>16</v>
      </c>
      <c r="J521" s="253" t="s">
        <v>1130</v>
      </c>
      <c r="K521" s="253" t="s">
        <v>1398</v>
      </c>
      <c r="L521" s="252" t="s">
        <v>311</v>
      </c>
      <c r="M521" s="252" t="s">
        <v>2289</v>
      </c>
      <c r="N521" s="252" t="s">
        <v>1844</v>
      </c>
      <c r="O521" s="252" t="s">
        <v>309</v>
      </c>
      <c r="P521" s="252" t="s">
        <v>2434</v>
      </c>
      <c r="Q521" s="252" t="s">
        <v>293</v>
      </c>
      <c r="R521" s="252">
        <v>3000000.01</v>
      </c>
      <c r="S521" s="252">
        <v>3500000</v>
      </c>
      <c r="T521" s="252">
        <v>0</v>
      </c>
      <c r="U521" s="252">
        <f t="shared" si="201"/>
        <v>3500000</v>
      </c>
      <c r="V521" s="252">
        <v>0</v>
      </c>
      <c r="W521" s="252">
        <v>50</v>
      </c>
      <c r="X521" s="252">
        <v>0</v>
      </c>
      <c r="Y521" s="252">
        <v>999</v>
      </c>
      <c r="Z521" s="254">
        <v>700</v>
      </c>
      <c r="AA521" s="254">
        <v>719</v>
      </c>
      <c r="AB521" s="1883">
        <v>0</v>
      </c>
      <c r="AC521" s="254">
        <v>999999</v>
      </c>
      <c r="AD521" s="252">
        <v>0</v>
      </c>
      <c r="AE521" s="255">
        <v>55</v>
      </c>
      <c r="AF521" s="144">
        <v>0</v>
      </c>
      <c r="AG521" s="145">
        <v>1</v>
      </c>
      <c r="AH521" s="145">
        <v>1</v>
      </c>
      <c r="AI521" s="145">
        <v>1</v>
      </c>
      <c r="AJ521" s="145">
        <v>0</v>
      </c>
      <c r="AK521" s="145">
        <v>0</v>
      </c>
      <c r="AL521" s="145">
        <v>0</v>
      </c>
      <c r="AM521" s="145">
        <v>1</v>
      </c>
      <c r="AN521" s="145">
        <v>1</v>
      </c>
      <c r="AO521" s="145">
        <v>1</v>
      </c>
      <c r="AP521" s="145">
        <v>1</v>
      </c>
      <c r="AQ521" s="145">
        <v>1</v>
      </c>
      <c r="AR521" s="145">
        <v>1</v>
      </c>
      <c r="AS521" s="145">
        <v>1</v>
      </c>
      <c r="AT521" s="145">
        <v>1</v>
      </c>
      <c r="AU521" s="145">
        <f t="shared" si="148"/>
        <v>0</v>
      </c>
      <c r="AV521" s="145">
        <f t="shared" si="149"/>
        <v>1</v>
      </c>
      <c r="AW521" s="145">
        <f t="shared" si="150"/>
        <v>1</v>
      </c>
      <c r="AX521" s="145">
        <f t="shared" si="161"/>
        <v>1</v>
      </c>
      <c r="AY521" s="145">
        <f t="shared" si="151"/>
        <v>0</v>
      </c>
      <c r="AZ521" s="145">
        <f t="shared" si="152"/>
        <v>1</v>
      </c>
      <c r="BA521" s="146">
        <f t="shared" si="153"/>
        <v>0</v>
      </c>
      <c r="BB521" s="149">
        <f t="shared" si="190"/>
        <v>15</v>
      </c>
      <c r="BC521" s="150">
        <f t="shared" si="191"/>
        <v>15</v>
      </c>
      <c r="BD521" s="150">
        <f t="shared" si="192"/>
        <v>15</v>
      </c>
      <c r="BE521" s="211" t="str">
        <f t="shared" si="193"/>
        <v/>
      </c>
      <c r="BH521" s="173">
        <f>IF(AND(Input_Product=Elig!$C521,Elig_MatchAll_Ct&lt;22,$BC521=(Elig_MatchAll_Ct-1),AF521=0),C521,0)</f>
        <v>0</v>
      </c>
      <c r="BI521" s="173">
        <f>IF(AND(Input_Product=Elig!$C521,Elig_MatchAll_Ct&lt;22,$BC521=(Elig_MatchAll_Ct-1),AG521=0),D521,0)</f>
        <v>0</v>
      </c>
      <c r="BJ521" s="173">
        <f>IF(AND(Input_Product=Elig!$C521,Elig_MatchAll_Ct&lt;22,$BC521=(Elig_MatchAll_Ct-1),AH521=0),E521,0)</f>
        <v>0</v>
      </c>
      <c r="BK521" s="173">
        <f>IF(AND(Input_Product=Elig!$C521,Elig_MatchAll_Ct&lt;22,$BC521=(Elig_MatchAll_Ct-1),AI521=0),F521,0)</f>
        <v>0</v>
      </c>
      <c r="BL521" s="173">
        <f>IF(AND(Input_Product=Elig!$C521,Elig_MatchAll_Ct&lt;22,$BC521=(Elig_MatchAll_Ct-1),AJ521=0),G521,0)</f>
        <v>0</v>
      </c>
      <c r="BM521" s="173">
        <f>IF(AND(Input_Product=Elig!$C521,Elig_MatchAll_Ct&lt;22,$BC521=(Elig_MatchAll_Ct-1),AK521=0),H521,0)</f>
        <v>0</v>
      </c>
      <c r="BN521" s="173">
        <f>IF(AND(Input_Product=Elig!$C521,Elig_MatchAll_Ct&lt;22,$BC521=(Elig_MatchAll_Ct-1),AL521=0),I521,0)</f>
        <v>0</v>
      </c>
      <c r="BO521" s="173">
        <f>IF(AND(Input_Product=Elig!$C521,Elig_MatchAll_Ct&lt;22,$BC521=(Elig_MatchAll_Ct-1),AM521=0),J521,0)</f>
        <v>0</v>
      </c>
      <c r="BP521" s="173">
        <f>IF(AND(Input_Product=Elig!$C521,Elig_MatchAll_Ct&lt;22,$BC521=(Elig_MatchAll_Ct-1),AN521=0),K521,0)</f>
        <v>0</v>
      </c>
      <c r="BQ521" s="173">
        <f>IF(AND(Input_Product=Elig!$C521,Elig_MatchAll_Ct&lt;22,$BC521=(Elig_MatchAll_Ct-1),AP521=0),L521,0)</f>
        <v>0</v>
      </c>
      <c r="BR521" s="173">
        <f>IF(AND(Input_Product=Elig!$C521,Elig_MatchAll_Ct&lt;22,$BC521=(Elig_MatchAll_Ct-1),AO521=0),M521,0)</f>
        <v>0</v>
      </c>
      <c r="BS521" s="173">
        <f>IF(AND(Input_Product=Elig!$C521,Elig_MatchAll_Ct&lt;22,$BC521=(Elig_MatchAll_Ct-1),AQ521=0),N521,0)</f>
        <v>0</v>
      </c>
      <c r="BT521" s="173">
        <f>IF(AND(Input_Product=Elig!$C521,Elig_MatchAll_Ct&lt;22,$BC521=(Elig_MatchAll_Ct-1),AR521=0),O521,0)</f>
        <v>0</v>
      </c>
      <c r="BU521" s="173">
        <f>IF(AND(Input_Product=Elig!$C521,Elig_MatchAll_Ct&lt;22,$BC521=(Elig_MatchAll_Ct-1),AS521=0),P521,0)</f>
        <v>0</v>
      </c>
      <c r="BV521" s="174">
        <f>IF(AND(Input_Product=Elig!$C521,Elig_MatchAll_Ct&lt;22,$BC521=(Elig_MatchAll_Ct-1),AT521=0),Q521,0)</f>
        <v>0</v>
      </c>
      <c r="BW521" s="175">
        <f>IF(AND(Input_Product=Elig!$C521,Elig_MatchAll_Ct&lt;22,$BC521=(Elig_MatchAll_Ct-1),AU521=0),R521,0)</f>
        <v>0</v>
      </c>
      <c r="BX521" s="176">
        <f>IF(AND(Input_Product=Elig!$C521,Elig_MatchAll_Ct&lt;22,$BC521=(Elig_MatchAll_Ct-1),AU521=0),S521,0)</f>
        <v>0</v>
      </c>
      <c r="BY521" s="175">
        <f>IF(AND(Input_Product=Elig!$C521,Elig_MatchAll_Ct&lt;22,$BC521=(Elig_MatchAll_Ct-1),AV521=0),T521,0)</f>
        <v>0</v>
      </c>
      <c r="BZ521" s="176">
        <f>IF(AND(Input_Product=Elig!$C521,Elig_MatchAll_Ct&lt;22,$BC521=(Elig_MatchAll_Ct-1),AV521=0),U521,0)</f>
        <v>0</v>
      </c>
      <c r="CA521" s="175">
        <f>IF(AND(Input_Product=Elig!$C521,Elig_MatchAll_Ct&lt;22,$BC521=(Elig_MatchAll_Ct-1),AW521=0),V521,0)</f>
        <v>0</v>
      </c>
      <c r="CB521" s="176">
        <f>IF(AND(Input_Product=Elig!$C521,Elig_MatchAll_Ct&lt;22,$BC521=(Elig_MatchAll_Ct-1),AW521=0),W521,0)</f>
        <v>0</v>
      </c>
      <c r="CC521" s="175">
        <f>IF(AND(Input_Product=Elig!$C521,Elig_MatchAll_Ct&lt;22,$BC521=(Elig_MatchAll_Ct-1),AX521=0),X521,0)</f>
        <v>0</v>
      </c>
      <c r="CD521" s="176">
        <f>IF(AND(Input_Product=Elig!$C521,Elig_MatchAll_Ct&lt;22,$BC521=(Elig_MatchAll_Ct-1),AX521=0),Y521,0)</f>
        <v>0</v>
      </c>
      <c r="CE521" s="175">
        <f>IF(AND(Input_LTV&lt;=AE521,Input_Product=Elig!$C521,Elig_MatchAll_Ct&lt;22,$BC521=(Elig_MatchAll_Ct-1),AY521=0),Z521,0)</f>
        <v>0</v>
      </c>
      <c r="CF521" s="176">
        <f>IF(AND(Input_LTV&lt;=AE521,Input_Product=Elig!$C521,Elig_MatchAll_Ct&lt;22,$BC521=(Elig_MatchAll_Ct-1),AY521=0),AA521,0)</f>
        <v>0</v>
      </c>
      <c r="CG521" s="175">
        <f>IF(AND(Input_Product=Elig!$C521,Elig_MatchAll_Ct&lt;22,$BC521=(Elig_MatchAll_Ct-1),AZ521=0),AB521,0)</f>
        <v>0</v>
      </c>
      <c r="CH521" s="176">
        <f>IF(AND(Input_Product=Elig!$C521,Elig_MatchAll_Ct&lt;22,$BC521=(Elig_MatchAll_Ct-1),AZ521=0),AC521,0)</f>
        <v>0</v>
      </c>
      <c r="CI521" s="175">
        <f>IF(AND(Input_Product=Elig!$C521,Elig_MatchAll_Ct&lt;22,$BC521=(Elig_MatchAll_Ct-1),BA521=0),AD521,0)</f>
        <v>0</v>
      </c>
      <c r="CJ521" s="176">
        <f>IF(AND(Input_Product=Elig!$C521,Elig_MatchAll_Ct&lt;22,$BC521=(Elig_MatchAll_Ct-1),BA521=0),AE521,0)</f>
        <v>0</v>
      </c>
    </row>
    <row r="522" spans="1:88" ht="10.15" customHeight="1" x14ac:dyDescent="0.25">
      <c r="A522" s="252" t="s">
        <v>76</v>
      </c>
      <c r="B522" s="252" t="s">
        <v>2244</v>
      </c>
      <c r="C522" s="246" t="str">
        <f t="shared" si="183"/>
        <v>NonQM NOO</v>
      </c>
      <c r="D522" s="247" t="s">
        <v>1995</v>
      </c>
      <c r="E522" s="248" t="s">
        <v>166</v>
      </c>
      <c r="F522" s="248" t="s">
        <v>329</v>
      </c>
      <c r="G522" s="248" t="s">
        <v>465</v>
      </c>
      <c r="H522" s="248" t="s">
        <v>135</v>
      </c>
      <c r="I522" s="247" t="s">
        <v>273</v>
      </c>
      <c r="J522" s="247" t="s">
        <v>1130</v>
      </c>
      <c r="K522" s="247" t="s">
        <v>1398</v>
      </c>
      <c r="L522" s="248" t="s">
        <v>311</v>
      </c>
      <c r="M522" s="248" t="s">
        <v>2289</v>
      </c>
      <c r="N522" s="248" t="s">
        <v>1844</v>
      </c>
      <c r="O522" s="248" t="s">
        <v>309</v>
      </c>
      <c r="P522" s="248" t="s">
        <v>2434</v>
      </c>
      <c r="Q522" s="248" t="s">
        <v>293</v>
      </c>
      <c r="R522" s="247">
        <v>3000000.01</v>
      </c>
      <c r="S522" s="247">
        <v>3500000</v>
      </c>
      <c r="T522" s="247">
        <v>0</v>
      </c>
      <c r="U522" s="247">
        <v>0</v>
      </c>
      <c r="V522" s="247">
        <v>0</v>
      </c>
      <c r="W522" s="247">
        <v>50</v>
      </c>
      <c r="X522" s="247">
        <v>0</v>
      </c>
      <c r="Y522" s="247">
        <v>999</v>
      </c>
      <c r="Z522" s="249">
        <v>720</v>
      </c>
      <c r="AA522" s="249">
        <v>999</v>
      </c>
      <c r="AB522" s="1882">
        <v>0</v>
      </c>
      <c r="AC522" s="249">
        <v>999999</v>
      </c>
      <c r="AD522" s="247">
        <v>0</v>
      </c>
      <c r="AE522" s="250">
        <v>70</v>
      </c>
      <c r="AF522" s="144">
        <v>0</v>
      </c>
      <c r="AG522" s="145">
        <v>1</v>
      </c>
      <c r="AH522" s="145">
        <v>1</v>
      </c>
      <c r="AI522" s="145">
        <v>1</v>
      </c>
      <c r="AJ522" s="145">
        <v>0</v>
      </c>
      <c r="AK522" s="145">
        <v>1</v>
      </c>
      <c r="AL522" s="145">
        <v>1</v>
      </c>
      <c r="AM522" s="145">
        <v>1</v>
      </c>
      <c r="AN522" s="145">
        <v>1</v>
      </c>
      <c r="AO522" s="145">
        <v>1</v>
      </c>
      <c r="AP522" s="145">
        <v>1</v>
      </c>
      <c r="AQ522" s="145">
        <v>1</v>
      </c>
      <c r="AR522" s="145">
        <v>1</v>
      </c>
      <c r="AS522" s="145">
        <v>1</v>
      </c>
      <c r="AT522" s="145">
        <v>1</v>
      </c>
      <c r="AU522" s="145">
        <f t="shared" si="148"/>
        <v>0</v>
      </c>
      <c r="AV522" s="145">
        <f t="shared" si="149"/>
        <v>1</v>
      </c>
      <c r="AW522" s="145">
        <f t="shared" si="150"/>
        <v>1</v>
      </c>
      <c r="AX522" s="145">
        <f t="shared" si="161"/>
        <v>1</v>
      </c>
      <c r="AY522" s="145">
        <f t="shared" si="151"/>
        <v>1</v>
      </c>
      <c r="AZ522" s="145">
        <f t="shared" si="152"/>
        <v>1</v>
      </c>
      <c r="BA522" s="146">
        <f t="shared" si="153"/>
        <v>1</v>
      </c>
      <c r="BB522" s="149">
        <f t="shared" si="190"/>
        <v>19</v>
      </c>
      <c r="BC522" s="150">
        <f t="shared" si="191"/>
        <v>18</v>
      </c>
      <c r="BD522" s="150">
        <f t="shared" si="192"/>
        <v>19</v>
      </c>
      <c r="BE522" s="211" t="str">
        <f t="shared" si="193"/>
        <v/>
      </c>
      <c r="BH522" s="184">
        <f>IF(AND(Input_Product=Elig!$C522,Elig_MatchAll_Ct&lt;22,$BC522=(Elig_MatchAll_Ct-1),AF522=0),C522,0)</f>
        <v>0</v>
      </c>
      <c r="BI522" s="184">
        <f>IF(AND(Input_Product=Elig!$C522,Elig_MatchAll_Ct&lt;22,$BC522=(Elig_MatchAll_Ct-1),AG522=0),D522,0)</f>
        <v>0</v>
      </c>
      <c r="BJ522" s="184">
        <f>IF(AND(Input_Product=Elig!$C522,Elig_MatchAll_Ct&lt;22,$BC522=(Elig_MatchAll_Ct-1),AH522=0),E522,0)</f>
        <v>0</v>
      </c>
      <c r="BK522" s="184">
        <f>IF(AND(Input_Product=Elig!$C522,Elig_MatchAll_Ct&lt;22,$BC522=(Elig_MatchAll_Ct-1),AI522=0),F522,0)</f>
        <v>0</v>
      </c>
      <c r="BL522" s="184">
        <f>IF(AND(Input_Product=Elig!$C522,Elig_MatchAll_Ct&lt;22,$BC522=(Elig_MatchAll_Ct-1),AJ522=0),G522,0)</f>
        <v>0</v>
      </c>
      <c r="BM522" s="184">
        <f>IF(AND(Input_Product=Elig!$C522,Elig_MatchAll_Ct&lt;22,$BC522=(Elig_MatchAll_Ct-1),AK522=0),H522,0)</f>
        <v>0</v>
      </c>
      <c r="BN522" s="184">
        <f>IF(AND(Input_Product=Elig!$C522,Elig_MatchAll_Ct&lt;22,$BC522=(Elig_MatchAll_Ct-1),AL522=0),I522,0)</f>
        <v>0</v>
      </c>
      <c r="BO522" s="184">
        <f>IF(AND(Input_Product=Elig!$C522,Elig_MatchAll_Ct&lt;22,$BC522=(Elig_MatchAll_Ct-1),AM522=0),J522,0)</f>
        <v>0</v>
      </c>
      <c r="BP522" s="184">
        <f>IF(AND(Input_Product=Elig!$C522,Elig_MatchAll_Ct&lt;22,$BC522=(Elig_MatchAll_Ct-1),AN522=0),K522,0)</f>
        <v>0</v>
      </c>
      <c r="BQ522" s="184">
        <f>IF(AND(Input_Product=Elig!$C522,Elig_MatchAll_Ct&lt;22,$BC522=(Elig_MatchAll_Ct-1),AP522=0),L522,0)</f>
        <v>0</v>
      </c>
      <c r="BR522" s="184">
        <f>IF(AND(Input_Product=Elig!$C522,Elig_MatchAll_Ct&lt;22,$BC522=(Elig_MatchAll_Ct-1),AO522=0),M522,0)</f>
        <v>0</v>
      </c>
      <c r="BS522" s="184">
        <f>IF(AND(Input_Product=Elig!$C522,Elig_MatchAll_Ct&lt;22,$BC522=(Elig_MatchAll_Ct-1),AQ522=0),N522,0)</f>
        <v>0</v>
      </c>
      <c r="BT522" s="184">
        <f>IF(AND(Input_Product=Elig!$C522,Elig_MatchAll_Ct&lt;22,$BC522=(Elig_MatchAll_Ct-1),AR522=0),O522,0)</f>
        <v>0</v>
      </c>
      <c r="BU522" s="184">
        <f>IF(AND(Input_Product=Elig!$C522,Elig_MatchAll_Ct&lt;22,$BC522=(Elig_MatchAll_Ct-1),AS522=0),P522,0)</f>
        <v>0</v>
      </c>
      <c r="BV522" s="185">
        <f>IF(AND(Input_Product=Elig!$C522,Elig_MatchAll_Ct&lt;22,$BC522=(Elig_MatchAll_Ct-1),AT522=0),Q522,0)</f>
        <v>0</v>
      </c>
      <c r="BW522" s="186">
        <f>IF(AND(Input_Product=Elig!$C522,Elig_MatchAll_Ct&lt;22,$BC522=(Elig_MatchAll_Ct-1),AU522=0),R522,0)</f>
        <v>0</v>
      </c>
      <c r="BX522" s="187">
        <f>IF(AND(Input_Product=Elig!$C522,Elig_MatchAll_Ct&lt;22,$BC522=(Elig_MatchAll_Ct-1),AU522=0),S522,0)</f>
        <v>0</v>
      </c>
      <c r="BY522" s="186">
        <f>IF(AND(Input_Product=Elig!$C522,Elig_MatchAll_Ct&lt;22,$BC522=(Elig_MatchAll_Ct-1),AV522=0),T522,0)</f>
        <v>0</v>
      </c>
      <c r="BZ522" s="187">
        <f>IF(AND(Input_Product=Elig!$C522,Elig_MatchAll_Ct&lt;22,$BC522=(Elig_MatchAll_Ct-1),AV522=0),U522,0)</f>
        <v>0</v>
      </c>
      <c r="CA522" s="186">
        <f>IF(AND(Input_Product=Elig!$C522,Elig_MatchAll_Ct&lt;22,$BC522=(Elig_MatchAll_Ct-1),AW522=0),V522,0)</f>
        <v>0</v>
      </c>
      <c r="CB522" s="187">
        <f>IF(AND(Input_Product=Elig!$C522,Elig_MatchAll_Ct&lt;22,$BC522=(Elig_MatchAll_Ct-1),AW522=0),W522,0)</f>
        <v>0</v>
      </c>
      <c r="CC522" s="186">
        <f>IF(AND(Input_Product=Elig!$C522,Elig_MatchAll_Ct&lt;22,$BC522=(Elig_MatchAll_Ct-1),AX522=0),X522,0)</f>
        <v>0</v>
      </c>
      <c r="CD522" s="187">
        <f>IF(AND(Input_Product=Elig!$C522,Elig_MatchAll_Ct&lt;22,$BC522=(Elig_MatchAll_Ct-1),AX522=0),Y522,0)</f>
        <v>0</v>
      </c>
      <c r="CE522" s="186">
        <f>IF(AND(Input_LTV&lt;=AE522,Input_Product=Elig!$C522,Elig_MatchAll_Ct&lt;22,$BC522=(Elig_MatchAll_Ct-1),AY522=0),Z522,0)</f>
        <v>0</v>
      </c>
      <c r="CF522" s="187">
        <f>IF(AND(Input_LTV&lt;=AE522,Input_Product=Elig!$C522,Elig_MatchAll_Ct&lt;22,$BC522=(Elig_MatchAll_Ct-1),AY522=0),AA522,0)</f>
        <v>0</v>
      </c>
      <c r="CG522" s="186">
        <f>IF(AND(Input_Product=Elig!$C522,Elig_MatchAll_Ct&lt;22,$BC522=(Elig_MatchAll_Ct-1),AZ522=0),AB522,0)</f>
        <v>0</v>
      </c>
      <c r="CH522" s="187">
        <f>IF(AND(Input_Product=Elig!$C522,Elig_MatchAll_Ct&lt;22,$BC522=(Elig_MatchAll_Ct-1),AZ522=0),AC522,0)</f>
        <v>0</v>
      </c>
      <c r="CI522" s="186">
        <f>IF(AND(Input_Product=Elig!$C522,Elig_MatchAll_Ct&lt;22,$BC522=(Elig_MatchAll_Ct-1),BA522=0),AD522,0)</f>
        <v>0</v>
      </c>
      <c r="CJ522" s="187">
        <f>IF(AND(Input_Product=Elig!$C522,Elig_MatchAll_Ct&lt;22,$BC522=(Elig_MatchAll_Ct-1),BA522=0),AE522,0)</f>
        <v>0</v>
      </c>
    </row>
    <row r="523" spans="1:88" ht="10.15" customHeight="1" x14ac:dyDescent="0.25">
      <c r="A523" s="252" t="s">
        <v>76</v>
      </c>
      <c r="B523" s="252" t="s">
        <v>2245</v>
      </c>
      <c r="C523" s="251" t="str">
        <f t="shared" si="183"/>
        <v>NonQM NOO</v>
      </c>
      <c r="D523" s="252" t="s">
        <v>1995</v>
      </c>
      <c r="E523" s="252" t="s">
        <v>166</v>
      </c>
      <c r="F523" s="252" t="s">
        <v>329</v>
      </c>
      <c r="G523" s="252" t="s">
        <v>465</v>
      </c>
      <c r="H523" s="252" t="s">
        <v>135</v>
      </c>
      <c r="I523" s="253" t="s">
        <v>273</v>
      </c>
      <c r="J523" s="253" t="s">
        <v>1130</v>
      </c>
      <c r="K523" s="253" t="s">
        <v>1398</v>
      </c>
      <c r="L523" s="252" t="s">
        <v>311</v>
      </c>
      <c r="M523" s="252" t="s">
        <v>2289</v>
      </c>
      <c r="N523" s="252" t="s">
        <v>1844</v>
      </c>
      <c r="O523" s="252" t="s">
        <v>309</v>
      </c>
      <c r="P523" s="252" t="s">
        <v>2434</v>
      </c>
      <c r="Q523" s="252" t="s">
        <v>293</v>
      </c>
      <c r="R523" s="252">
        <v>3000000.01</v>
      </c>
      <c r="S523" s="252">
        <v>3500000</v>
      </c>
      <c r="T523" s="252">
        <v>0</v>
      </c>
      <c r="U523" s="252">
        <v>0</v>
      </c>
      <c r="V523" s="252">
        <v>0</v>
      </c>
      <c r="W523" s="252">
        <v>50</v>
      </c>
      <c r="X523" s="252">
        <v>0</v>
      </c>
      <c r="Y523" s="252">
        <v>999</v>
      </c>
      <c r="Z523" s="254">
        <v>700</v>
      </c>
      <c r="AA523" s="254">
        <v>719</v>
      </c>
      <c r="AB523" s="1883">
        <v>0</v>
      </c>
      <c r="AC523" s="254">
        <v>999999</v>
      </c>
      <c r="AD523" s="252">
        <v>0</v>
      </c>
      <c r="AE523" s="255">
        <v>70</v>
      </c>
      <c r="AF523" s="144">
        <v>0</v>
      </c>
      <c r="AG523" s="145">
        <v>1</v>
      </c>
      <c r="AH523" s="145">
        <v>1</v>
      </c>
      <c r="AI523" s="145">
        <v>1</v>
      </c>
      <c r="AJ523" s="145">
        <v>0</v>
      </c>
      <c r="AK523" s="145">
        <v>1</v>
      </c>
      <c r="AL523" s="145">
        <v>1</v>
      </c>
      <c r="AM523" s="145">
        <v>1</v>
      </c>
      <c r="AN523" s="145">
        <v>1</v>
      </c>
      <c r="AO523" s="145">
        <v>1</v>
      </c>
      <c r="AP523" s="145">
        <v>1</v>
      </c>
      <c r="AQ523" s="145">
        <v>1</v>
      </c>
      <c r="AR523" s="145">
        <v>1</v>
      </c>
      <c r="AS523" s="145">
        <v>1</v>
      </c>
      <c r="AT523" s="145">
        <v>1</v>
      </c>
      <c r="AU523" s="145">
        <f t="shared" si="148"/>
        <v>0</v>
      </c>
      <c r="AV523" s="145">
        <f t="shared" si="149"/>
        <v>1</v>
      </c>
      <c r="AW523" s="145">
        <f t="shared" si="150"/>
        <v>1</v>
      </c>
      <c r="AX523" s="145">
        <f t="shared" si="161"/>
        <v>1</v>
      </c>
      <c r="AY523" s="145">
        <f t="shared" si="151"/>
        <v>0</v>
      </c>
      <c r="AZ523" s="145">
        <f t="shared" si="152"/>
        <v>1</v>
      </c>
      <c r="BA523" s="146">
        <f t="shared" si="153"/>
        <v>1</v>
      </c>
      <c r="BB523" s="149">
        <f t="shared" si="190"/>
        <v>18</v>
      </c>
      <c r="BC523" s="150">
        <f t="shared" si="191"/>
        <v>17</v>
      </c>
      <c r="BD523" s="150">
        <f t="shared" si="192"/>
        <v>18</v>
      </c>
      <c r="BE523" s="211" t="str">
        <f t="shared" si="193"/>
        <v/>
      </c>
      <c r="BH523" s="173">
        <f>IF(AND(Input_Product=Elig!$C523,Elig_MatchAll_Ct&lt;22,$BC523=(Elig_MatchAll_Ct-1),AF523=0),C523,0)</f>
        <v>0</v>
      </c>
      <c r="BI523" s="173">
        <f>IF(AND(Input_Product=Elig!$C523,Elig_MatchAll_Ct&lt;22,$BC523=(Elig_MatchAll_Ct-1),AG523=0),D523,0)</f>
        <v>0</v>
      </c>
      <c r="BJ523" s="173">
        <f>IF(AND(Input_Product=Elig!$C523,Elig_MatchAll_Ct&lt;22,$BC523=(Elig_MatchAll_Ct-1),AH523=0),E523,0)</f>
        <v>0</v>
      </c>
      <c r="BK523" s="173">
        <f>IF(AND(Input_Product=Elig!$C523,Elig_MatchAll_Ct&lt;22,$BC523=(Elig_MatchAll_Ct-1),AI523=0),F523,0)</f>
        <v>0</v>
      </c>
      <c r="BL523" s="173">
        <f>IF(AND(Input_Product=Elig!$C523,Elig_MatchAll_Ct&lt;22,$BC523=(Elig_MatchAll_Ct-1),AJ523=0),G523,0)</f>
        <v>0</v>
      </c>
      <c r="BM523" s="173">
        <f>IF(AND(Input_Product=Elig!$C523,Elig_MatchAll_Ct&lt;22,$BC523=(Elig_MatchAll_Ct-1),AK523=0),H523,0)</f>
        <v>0</v>
      </c>
      <c r="BN523" s="173">
        <f>IF(AND(Input_Product=Elig!$C523,Elig_MatchAll_Ct&lt;22,$BC523=(Elig_MatchAll_Ct-1),AL523=0),I523,0)</f>
        <v>0</v>
      </c>
      <c r="BO523" s="173">
        <f>IF(AND(Input_Product=Elig!$C523,Elig_MatchAll_Ct&lt;22,$BC523=(Elig_MatchAll_Ct-1),AM523=0),J523,0)</f>
        <v>0</v>
      </c>
      <c r="BP523" s="173">
        <f>IF(AND(Input_Product=Elig!$C523,Elig_MatchAll_Ct&lt;22,$BC523=(Elig_MatchAll_Ct-1),AN523=0),K523,0)</f>
        <v>0</v>
      </c>
      <c r="BQ523" s="173">
        <f>IF(AND(Input_Product=Elig!$C523,Elig_MatchAll_Ct&lt;22,$BC523=(Elig_MatchAll_Ct-1),AP523=0),L523,0)</f>
        <v>0</v>
      </c>
      <c r="BR523" s="173">
        <f>IF(AND(Input_Product=Elig!$C523,Elig_MatchAll_Ct&lt;22,$BC523=(Elig_MatchAll_Ct-1),AO523=0),M523,0)</f>
        <v>0</v>
      </c>
      <c r="BS523" s="173">
        <f>IF(AND(Input_Product=Elig!$C523,Elig_MatchAll_Ct&lt;22,$BC523=(Elig_MatchAll_Ct-1),AQ523=0),N523,0)</f>
        <v>0</v>
      </c>
      <c r="BT523" s="173">
        <f>IF(AND(Input_Product=Elig!$C523,Elig_MatchAll_Ct&lt;22,$BC523=(Elig_MatchAll_Ct-1),AR523=0),O523,0)</f>
        <v>0</v>
      </c>
      <c r="BU523" s="173">
        <f>IF(AND(Input_Product=Elig!$C523,Elig_MatchAll_Ct&lt;22,$BC523=(Elig_MatchAll_Ct-1),AS523=0),P523,0)</f>
        <v>0</v>
      </c>
      <c r="BV523" s="174">
        <f>IF(AND(Input_Product=Elig!$C523,Elig_MatchAll_Ct&lt;22,$BC523=(Elig_MatchAll_Ct-1),AT523=0),Q523,0)</f>
        <v>0</v>
      </c>
      <c r="BW523" s="175">
        <f>IF(AND(Input_Product=Elig!$C523,Elig_MatchAll_Ct&lt;22,$BC523=(Elig_MatchAll_Ct-1),AU523=0),R523,0)</f>
        <v>0</v>
      </c>
      <c r="BX523" s="176">
        <f>IF(AND(Input_Product=Elig!$C523,Elig_MatchAll_Ct&lt;22,$BC523=(Elig_MatchAll_Ct-1),AU523=0),S523,0)</f>
        <v>0</v>
      </c>
      <c r="BY523" s="175">
        <f>IF(AND(Input_Product=Elig!$C523,Elig_MatchAll_Ct&lt;22,$BC523=(Elig_MatchAll_Ct-1),AV523=0),T523,0)</f>
        <v>0</v>
      </c>
      <c r="BZ523" s="176">
        <f>IF(AND(Input_Product=Elig!$C523,Elig_MatchAll_Ct&lt;22,$BC523=(Elig_MatchAll_Ct-1),AV523=0),U523,0)</f>
        <v>0</v>
      </c>
      <c r="CA523" s="175">
        <f>IF(AND(Input_Product=Elig!$C523,Elig_MatchAll_Ct&lt;22,$BC523=(Elig_MatchAll_Ct-1),AW523=0),V523,0)</f>
        <v>0</v>
      </c>
      <c r="CB523" s="176">
        <f>IF(AND(Input_Product=Elig!$C523,Elig_MatchAll_Ct&lt;22,$BC523=(Elig_MatchAll_Ct-1),AW523=0),W523,0)</f>
        <v>0</v>
      </c>
      <c r="CC523" s="175">
        <f>IF(AND(Input_Product=Elig!$C523,Elig_MatchAll_Ct&lt;22,$BC523=(Elig_MatchAll_Ct-1),AX523=0),X523,0)</f>
        <v>0</v>
      </c>
      <c r="CD523" s="176">
        <f>IF(AND(Input_Product=Elig!$C523,Elig_MatchAll_Ct&lt;22,$BC523=(Elig_MatchAll_Ct-1),AX523=0),Y523,0)</f>
        <v>0</v>
      </c>
      <c r="CE523" s="175">
        <f>IF(AND(Input_LTV&lt;=AE523,Input_Product=Elig!$C523,Elig_MatchAll_Ct&lt;22,$BC523=(Elig_MatchAll_Ct-1),AY523=0),Z523,0)</f>
        <v>0</v>
      </c>
      <c r="CF523" s="176">
        <f>IF(AND(Input_LTV&lt;=AE523,Input_Product=Elig!$C523,Elig_MatchAll_Ct&lt;22,$BC523=(Elig_MatchAll_Ct-1),AY523=0),AA523,0)</f>
        <v>0</v>
      </c>
      <c r="CG523" s="175">
        <f>IF(AND(Input_Product=Elig!$C523,Elig_MatchAll_Ct&lt;22,$BC523=(Elig_MatchAll_Ct-1),AZ523=0),AB523,0)</f>
        <v>0</v>
      </c>
      <c r="CH523" s="176">
        <f>IF(AND(Input_Product=Elig!$C523,Elig_MatchAll_Ct&lt;22,$BC523=(Elig_MatchAll_Ct-1),AZ523=0),AC523,0)</f>
        <v>0</v>
      </c>
      <c r="CI523" s="175">
        <f>IF(AND(Input_Product=Elig!$C523,Elig_MatchAll_Ct&lt;22,$BC523=(Elig_MatchAll_Ct-1),BA523=0),AD523,0)</f>
        <v>0</v>
      </c>
      <c r="CJ523" s="176">
        <f>IF(AND(Input_Product=Elig!$C523,Elig_MatchAll_Ct&lt;22,$BC523=(Elig_MatchAll_Ct-1),BA523=0),AE523,0)</f>
        <v>0</v>
      </c>
    </row>
    <row r="524" spans="1:88" ht="10.15" customHeight="1" x14ac:dyDescent="0.25">
      <c r="A524" s="252" t="s">
        <v>76</v>
      </c>
      <c r="B524" s="252" t="s">
        <v>2246</v>
      </c>
      <c r="C524" s="246" t="str">
        <f t="shared" si="183"/>
        <v>NonQM NOO</v>
      </c>
      <c r="D524" s="247" t="s">
        <v>1995</v>
      </c>
      <c r="E524" s="248" t="s">
        <v>166</v>
      </c>
      <c r="F524" s="248" t="s">
        <v>329</v>
      </c>
      <c r="G524" s="248" t="s">
        <v>465</v>
      </c>
      <c r="H524" s="248" t="s">
        <v>135</v>
      </c>
      <c r="I524" s="247" t="s">
        <v>16</v>
      </c>
      <c r="J524" s="247" t="s">
        <v>1130</v>
      </c>
      <c r="K524" s="247" t="s">
        <v>1398</v>
      </c>
      <c r="L524" s="248" t="s">
        <v>311</v>
      </c>
      <c r="M524" s="248" t="s">
        <v>2289</v>
      </c>
      <c r="N524" s="248" t="s">
        <v>1844</v>
      </c>
      <c r="O524" s="248" t="s">
        <v>309</v>
      </c>
      <c r="P524" s="248" t="s">
        <v>2434</v>
      </c>
      <c r="Q524" s="248" t="s">
        <v>293</v>
      </c>
      <c r="R524" s="247">
        <v>3000000.01</v>
      </c>
      <c r="S524" s="247">
        <v>3500000</v>
      </c>
      <c r="T524" s="247">
        <v>0</v>
      </c>
      <c r="U524" s="247">
        <f t="shared" ref="U524:U525" si="202">S524</f>
        <v>3500000</v>
      </c>
      <c r="V524" s="247">
        <v>0</v>
      </c>
      <c r="W524" s="247">
        <v>50</v>
      </c>
      <c r="X524" s="247">
        <v>0</v>
      </c>
      <c r="Y524" s="247">
        <v>999</v>
      </c>
      <c r="Z524" s="249">
        <v>720</v>
      </c>
      <c r="AA524" s="249">
        <v>999</v>
      </c>
      <c r="AB524" s="1882">
        <v>0</v>
      </c>
      <c r="AC524" s="249">
        <v>999999</v>
      </c>
      <c r="AD524" s="247">
        <v>0</v>
      </c>
      <c r="AE524" s="250">
        <v>55</v>
      </c>
      <c r="AF524" s="144">
        <v>0</v>
      </c>
      <c r="AG524" s="145">
        <v>1</v>
      </c>
      <c r="AH524" s="145">
        <v>1</v>
      </c>
      <c r="AI524" s="145">
        <v>1</v>
      </c>
      <c r="AJ524" s="145">
        <v>0</v>
      </c>
      <c r="AK524" s="145">
        <v>1</v>
      </c>
      <c r="AL524" s="145">
        <v>0</v>
      </c>
      <c r="AM524" s="145">
        <v>1</v>
      </c>
      <c r="AN524" s="145">
        <v>1</v>
      </c>
      <c r="AO524" s="145">
        <v>1</v>
      </c>
      <c r="AP524" s="145">
        <v>1</v>
      </c>
      <c r="AQ524" s="145">
        <v>1</v>
      </c>
      <c r="AR524" s="145">
        <v>1</v>
      </c>
      <c r="AS524" s="145">
        <v>1</v>
      </c>
      <c r="AT524" s="145">
        <v>1</v>
      </c>
      <c r="AU524" s="145">
        <f t="shared" si="148"/>
        <v>0</v>
      </c>
      <c r="AV524" s="145">
        <f t="shared" si="149"/>
        <v>1</v>
      </c>
      <c r="AW524" s="145">
        <f t="shared" si="150"/>
        <v>1</v>
      </c>
      <c r="AX524" s="145">
        <f t="shared" si="161"/>
        <v>1</v>
      </c>
      <c r="AY524" s="145">
        <f t="shared" si="151"/>
        <v>1</v>
      </c>
      <c r="AZ524" s="145">
        <f t="shared" si="152"/>
        <v>1</v>
      </c>
      <c r="BA524" s="146">
        <f t="shared" si="153"/>
        <v>0</v>
      </c>
      <c r="BB524" s="149">
        <f t="shared" si="190"/>
        <v>17</v>
      </c>
      <c r="BC524" s="150">
        <f t="shared" si="191"/>
        <v>17</v>
      </c>
      <c r="BD524" s="150">
        <f t="shared" si="192"/>
        <v>17</v>
      </c>
      <c r="BE524" s="211" t="str">
        <f t="shared" si="193"/>
        <v/>
      </c>
      <c r="BH524" s="184">
        <f>IF(AND(Input_Product=Elig!$C524,Elig_MatchAll_Ct&lt;22,$BC524=(Elig_MatchAll_Ct-1),AF524=0),C524,0)</f>
        <v>0</v>
      </c>
      <c r="BI524" s="184">
        <f>IF(AND(Input_Product=Elig!$C524,Elig_MatchAll_Ct&lt;22,$BC524=(Elig_MatchAll_Ct-1),AG524=0),D524,0)</f>
        <v>0</v>
      </c>
      <c r="BJ524" s="184">
        <f>IF(AND(Input_Product=Elig!$C524,Elig_MatchAll_Ct&lt;22,$BC524=(Elig_MatchAll_Ct-1),AH524=0),E524,0)</f>
        <v>0</v>
      </c>
      <c r="BK524" s="184">
        <f>IF(AND(Input_Product=Elig!$C524,Elig_MatchAll_Ct&lt;22,$BC524=(Elig_MatchAll_Ct-1),AI524=0),F524,0)</f>
        <v>0</v>
      </c>
      <c r="BL524" s="184">
        <f>IF(AND(Input_Product=Elig!$C524,Elig_MatchAll_Ct&lt;22,$BC524=(Elig_MatchAll_Ct-1),AJ524=0),G524,0)</f>
        <v>0</v>
      </c>
      <c r="BM524" s="184">
        <f>IF(AND(Input_Product=Elig!$C524,Elig_MatchAll_Ct&lt;22,$BC524=(Elig_MatchAll_Ct-1),AK524=0),H524,0)</f>
        <v>0</v>
      </c>
      <c r="BN524" s="184">
        <f>IF(AND(Input_Product=Elig!$C524,Elig_MatchAll_Ct&lt;22,$BC524=(Elig_MatchAll_Ct-1),AL524=0),I524,0)</f>
        <v>0</v>
      </c>
      <c r="BO524" s="184">
        <f>IF(AND(Input_Product=Elig!$C524,Elig_MatchAll_Ct&lt;22,$BC524=(Elig_MatchAll_Ct-1),AM524=0),J524,0)</f>
        <v>0</v>
      </c>
      <c r="BP524" s="184">
        <f>IF(AND(Input_Product=Elig!$C524,Elig_MatchAll_Ct&lt;22,$BC524=(Elig_MatchAll_Ct-1),AN524=0),K524,0)</f>
        <v>0</v>
      </c>
      <c r="BQ524" s="184">
        <f>IF(AND(Input_Product=Elig!$C524,Elig_MatchAll_Ct&lt;22,$BC524=(Elig_MatchAll_Ct-1),AP524=0),L524,0)</f>
        <v>0</v>
      </c>
      <c r="BR524" s="184">
        <f>IF(AND(Input_Product=Elig!$C524,Elig_MatchAll_Ct&lt;22,$BC524=(Elig_MatchAll_Ct-1),AO524=0),M524,0)</f>
        <v>0</v>
      </c>
      <c r="BS524" s="184">
        <f>IF(AND(Input_Product=Elig!$C524,Elig_MatchAll_Ct&lt;22,$BC524=(Elig_MatchAll_Ct-1),AQ524=0),N524,0)</f>
        <v>0</v>
      </c>
      <c r="BT524" s="184">
        <f>IF(AND(Input_Product=Elig!$C524,Elig_MatchAll_Ct&lt;22,$BC524=(Elig_MatchAll_Ct-1),AR524=0),O524,0)</f>
        <v>0</v>
      </c>
      <c r="BU524" s="184">
        <f>IF(AND(Input_Product=Elig!$C524,Elig_MatchAll_Ct&lt;22,$BC524=(Elig_MatchAll_Ct-1),AS524=0),P524,0)</f>
        <v>0</v>
      </c>
      <c r="BV524" s="185">
        <f>IF(AND(Input_Product=Elig!$C524,Elig_MatchAll_Ct&lt;22,$BC524=(Elig_MatchAll_Ct-1),AT524=0),Q524,0)</f>
        <v>0</v>
      </c>
      <c r="BW524" s="186">
        <f>IF(AND(Input_Product=Elig!$C524,Elig_MatchAll_Ct&lt;22,$BC524=(Elig_MatchAll_Ct-1),AU524=0),R524,0)</f>
        <v>0</v>
      </c>
      <c r="BX524" s="187">
        <f>IF(AND(Input_Product=Elig!$C524,Elig_MatchAll_Ct&lt;22,$BC524=(Elig_MatchAll_Ct-1),AU524=0),S524,0)</f>
        <v>0</v>
      </c>
      <c r="BY524" s="186">
        <f>IF(AND(Input_Product=Elig!$C524,Elig_MatchAll_Ct&lt;22,$BC524=(Elig_MatchAll_Ct-1),AV524=0),T524,0)</f>
        <v>0</v>
      </c>
      <c r="BZ524" s="187">
        <f>IF(AND(Input_Product=Elig!$C524,Elig_MatchAll_Ct&lt;22,$BC524=(Elig_MatchAll_Ct-1),AV524=0),U524,0)</f>
        <v>0</v>
      </c>
      <c r="CA524" s="186">
        <f>IF(AND(Input_Product=Elig!$C524,Elig_MatchAll_Ct&lt;22,$BC524=(Elig_MatchAll_Ct-1),AW524=0),V524,0)</f>
        <v>0</v>
      </c>
      <c r="CB524" s="187">
        <f>IF(AND(Input_Product=Elig!$C524,Elig_MatchAll_Ct&lt;22,$BC524=(Elig_MatchAll_Ct-1),AW524=0),W524,0)</f>
        <v>0</v>
      </c>
      <c r="CC524" s="186">
        <f>IF(AND(Input_Product=Elig!$C524,Elig_MatchAll_Ct&lt;22,$BC524=(Elig_MatchAll_Ct-1),AX524=0),X524,0)</f>
        <v>0</v>
      </c>
      <c r="CD524" s="187">
        <f>IF(AND(Input_Product=Elig!$C524,Elig_MatchAll_Ct&lt;22,$BC524=(Elig_MatchAll_Ct-1),AX524=0),Y524,0)</f>
        <v>0</v>
      </c>
      <c r="CE524" s="186">
        <f>IF(AND(Input_LTV&lt;=AE524,Input_Product=Elig!$C524,Elig_MatchAll_Ct&lt;22,$BC524=(Elig_MatchAll_Ct-1),AY524=0),Z524,0)</f>
        <v>0</v>
      </c>
      <c r="CF524" s="187">
        <f>IF(AND(Input_LTV&lt;=AE524,Input_Product=Elig!$C524,Elig_MatchAll_Ct&lt;22,$BC524=(Elig_MatchAll_Ct-1),AY524=0),AA524,0)</f>
        <v>0</v>
      </c>
      <c r="CG524" s="186">
        <f>IF(AND(Input_Product=Elig!$C524,Elig_MatchAll_Ct&lt;22,$BC524=(Elig_MatchAll_Ct-1),AZ524=0),AB524,0)</f>
        <v>0</v>
      </c>
      <c r="CH524" s="187">
        <f>IF(AND(Input_Product=Elig!$C524,Elig_MatchAll_Ct&lt;22,$BC524=(Elig_MatchAll_Ct-1),AZ524=0),AC524,0)</f>
        <v>0</v>
      </c>
      <c r="CI524" s="186">
        <f>IF(AND(Input_Product=Elig!$C524,Elig_MatchAll_Ct&lt;22,$BC524=(Elig_MatchAll_Ct-1),BA524=0),AD524,0)</f>
        <v>0</v>
      </c>
      <c r="CJ524" s="187">
        <f>IF(AND(Input_Product=Elig!$C524,Elig_MatchAll_Ct&lt;22,$BC524=(Elig_MatchAll_Ct-1),BA524=0),AE524,0)</f>
        <v>0</v>
      </c>
    </row>
    <row r="525" spans="1:88" ht="10.15" customHeight="1" x14ac:dyDescent="0.25">
      <c r="A525" s="252" t="s">
        <v>76</v>
      </c>
      <c r="B525" s="252" t="s">
        <v>2247</v>
      </c>
      <c r="C525" s="251" t="str">
        <f t="shared" si="183"/>
        <v>NonQM NOO</v>
      </c>
      <c r="D525" s="252" t="s">
        <v>1995</v>
      </c>
      <c r="E525" s="252" t="s">
        <v>166</v>
      </c>
      <c r="F525" s="252" t="s">
        <v>329</v>
      </c>
      <c r="G525" s="252" t="s">
        <v>465</v>
      </c>
      <c r="H525" s="252" t="s">
        <v>135</v>
      </c>
      <c r="I525" s="253" t="s">
        <v>16</v>
      </c>
      <c r="J525" s="253" t="s">
        <v>1130</v>
      </c>
      <c r="K525" s="253" t="s">
        <v>1398</v>
      </c>
      <c r="L525" s="252" t="s">
        <v>311</v>
      </c>
      <c r="M525" s="252" t="s">
        <v>2289</v>
      </c>
      <c r="N525" s="252" t="s">
        <v>1844</v>
      </c>
      <c r="O525" s="252" t="s">
        <v>309</v>
      </c>
      <c r="P525" s="252" t="s">
        <v>2434</v>
      </c>
      <c r="Q525" s="252" t="s">
        <v>293</v>
      </c>
      <c r="R525" s="252">
        <v>3000000.01</v>
      </c>
      <c r="S525" s="252">
        <v>3500000</v>
      </c>
      <c r="T525" s="252">
        <v>0</v>
      </c>
      <c r="U525" s="252">
        <f t="shared" si="202"/>
        <v>3500000</v>
      </c>
      <c r="V525" s="252">
        <v>0</v>
      </c>
      <c r="W525" s="252">
        <v>50</v>
      </c>
      <c r="X525" s="252">
        <v>0</v>
      </c>
      <c r="Y525" s="252">
        <v>999</v>
      </c>
      <c r="Z525" s="254">
        <v>700</v>
      </c>
      <c r="AA525" s="254">
        <v>719</v>
      </c>
      <c r="AB525" s="1883">
        <v>0</v>
      </c>
      <c r="AC525" s="254">
        <v>999999</v>
      </c>
      <c r="AD525" s="252">
        <v>0</v>
      </c>
      <c r="AE525" s="255">
        <v>55</v>
      </c>
      <c r="AF525" s="144">
        <v>0</v>
      </c>
      <c r="AG525" s="145">
        <v>1</v>
      </c>
      <c r="AH525" s="145">
        <v>1</v>
      </c>
      <c r="AI525" s="145">
        <v>1</v>
      </c>
      <c r="AJ525" s="145">
        <v>0</v>
      </c>
      <c r="AK525" s="145">
        <v>1</v>
      </c>
      <c r="AL525" s="145">
        <v>0</v>
      </c>
      <c r="AM525" s="145">
        <v>1</v>
      </c>
      <c r="AN525" s="145">
        <v>1</v>
      </c>
      <c r="AO525" s="145">
        <v>1</v>
      </c>
      <c r="AP525" s="145">
        <v>1</v>
      </c>
      <c r="AQ525" s="145">
        <v>1</v>
      </c>
      <c r="AR525" s="145">
        <v>1</v>
      </c>
      <c r="AS525" s="145">
        <v>1</v>
      </c>
      <c r="AT525" s="145">
        <v>1</v>
      </c>
      <c r="AU525" s="145">
        <f t="shared" si="148"/>
        <v>0</v>
      </c>
      <c r="AV525" s="145">
        <f t="shared" si="149"/>
        <v>1</v>
      </c>
      <c r="AW525" s="145">
        <f t="shared" si="150"/>
        <v>1</v>
      </c>
      <c r="AX525" s="145">
        <f t="shared" si="161"/>
        <v>1</v>
      </c>
      <c r="AY525" s="145">
        <f t="shared" si="151"/>
        <v>0</v>
      </c>
      <c r="AZ525" s="145">
        <f t="shared" si="152"/>
        <v>1</v>
      </c>
      <c r="BA525" s="146">
        <f t="shared" si="153"/>
        <v>0</v>
      </c>
      <c r="BB525" s="149">
        <f t="shared" si="190"/>
        <v>16</v>
      </c>
      <c r="BC525" s="150">
        <f t="shared" si="191"/>
        <v>16</v>
      </c>
      <c r="BD525" s="150">
        <f t="shared" si="192"/>
        <v>16</v>
      </c>
      <c r="BE525" s="211" t="str">
        <f t="shared" si="193"/>
        <v/>
      </c>
      <c r="BH525" s="173">
        <f>IF(AND(Input_Product=Elig!$C525,Elig_MatchAll_Ct&lt;22,$BC525=(Elig_MatchAll_Ct-1),AF525=0),C525,0)</f>
        <v>0</v>
      </c>
      <c r="BI525" s="173">
        <f>IF(AND(Input_Product=Elig!$C525,Elig_MatchAll_Ct&lt;22,$BC525=(Elig_MatchAll_Ct-1),AG525=0),D525,0)</f>
        <v>0</v>
      </c>
      <c r="BJ525" s="173">
        <f>IF(AND(Input_Product=Elig!$C525,Elig_MatchAll_Ct&lt;22,$BC525=(Elig_MatchAll_Ct-1),AH525=0),E525,0)</f>
        <v>0</v>
      </c>
      <c r="BK525" s="173">
        <f>IF(AND(Input_Product=Elig!$C525,Elig_MatchAll_Ct&lt;22,$BC525=(Elig_MatchAll_Ct-1),AI525=0),F525,0)</f>
        <v>0</v>
      </c>
      <c r="BL525" s="173">
        <f>IF(AND(Input_Product=Elig!$C525,Elig_MatchAll_Ct&lt;22,$BC525=(Elig_MatchAll_Ct-1),AJ525=0),G525,0)</f>
        <v>0</v>
      </c>
      <c r="BM525" s="173">
        <f>IF(AND(Input_Product=Elig!$C525,Elig_MatchAll_Ct&lt;22,$BC525=(Elig_MatchAll_Ct-1),AK525=0),H525,0)</f>
        <v>0</v>
      </c>
      <c r="BN525" s="173">
        <f>IF(AND(Input_Product=Elig!$C525,Elig_MatchAll_Ct&lt;22,$BC525=(Elig_MatchAll_Ct-1),AL525=0),I525,0)</f>
        <v>0</v>
      </c>
      <c r="BO525" s="173">
        <f>IF(AND(Input_Product=Elig!$C525,Elig_MatchAll_Ct&lt;22,$BC525=(Elig_MatchAll_Ct-1),AM525=0),J525,0)</f>
        <v>0</v>
      </c>
      <c r="BP525" s="173">
        <f>IF(AND(Input_Product=Elig!$C525,Elig_MatchAll_Ct&lt;22,$BC525=(Elig_MatchAll_Ct-1),AN525=0),K525,0)</f>
        <v>0</v>
      </c>
      <c r="BQ525" s="173">
        <f>IF(AND(Input_Product=Elig!$C525,Elig_MatchAll_Ct&lt;22,$BC525=(Elig_MatchAll_Ct-1),AP525=0),L525,0)</f>
        <v>0</v>
      </c>
      <c r="BR525" s="173">
        <f>IF(AND(Input_Product=Elig!$C525,Elig_MatchAll_Ct&lt;22,$BC525=(Elig_MatchAll_Ct-1),AO525=0),M525,0)</f>
        <v>0</v>
      </c>
      <c r="BS525" s="173">
        <f>IF(AND(Input_Product=Elig!$C525,Elig_MatchAll_Ct&lt;22,$BC525=(Elig_MatchAll_Ct-1),AQ525=0),N525,0)</f>
        <v>0</v>
      </c>
      <c r="BT525" s="173">
        <f>IF(AND(Input_Product=Elig!$C525,Elig_MatchAll_Ct&lt;22,$BC525=(Elig_MatchAll_Ct-1),AR525=0),O525,0)</f>
        <v>0</v>
      </c>
      <c r="BU525" s="173">
        <f>IF(AND(Input_Product=Elig!$C525,Elig_MatchAll_Ct&lt;22,$BC525=(Elig_MatchAll_Ct-1),AS525=0),P525,0)</f>
        <v>0</v>
      </c>
      <c r="BV525" s="174">
        <f>IF(AND(Input_Product=Elig!$C525,Elig_MatchAll_Ct&lt;22,$BC525=(Elig_MatchAll_Ct-1),AT525=0),Q525,0)</f>
        <v>0</v>
      </c>
      <c r="BW525" s="175">
        <f>IF(AND(Input_Product=Elig!$C525,Elig_MatchAll_Ct&lt;22,$BC525=(Elig_MatchAll_Ct-1),AU525=0),R525,0)</f>
        <v>0</v>
      </c>
      <c r="BX525" s="176">
        <f>IF(AND(Input_Product=Elig!$C525,Elig_MatchAll_Ct&lt;22,$BC525=(Elig_MatchAll_Ct-1),AU525=0),S525,0)</f>
        <v>0</v>
      </c>
      <c r="BY525" s="175">
        <f>IF(AND(Input_Product=Elig!$C525,Elig_MatchAll_Ct&lt;22,$BC525=(Elig_MatchAll_Ct-1),AV525=0),T525,0)</f>
        <v>0</v>
      </c>
      <c r="BZ525" s="176">
        <f>IF(AND(Input_Product=Elig!$C525,Elig_MatchAll_Ct&lt;22,$BC525=(Elig_MatchAll_Ct-1),AV525=0),U525,0)</f>
        <v>0</v>
      </c>
      <c r="CA525" s="175">
        <f>IF(AND(Input_Product=Elig!$C525,Elig_MatchAll_Ct&lt;22,$BC525=(Elig_MatchAll_Ct-1),AW525=0),V525,0)</f>
        <v>0</v>
      </c>
      <c r="CB525" s="176">
        <f>IF(AND(Input_Product=Elig!$C525,Elig_MatchAll_Ct&lt;22,$BC525=(Elig_MatchAll_Ct-1),AW525=0),W525,0)</f>
        <v>0</v>
      </c>
      <c r="CC525" s="175">
        <f>IF(AND(Input_Product=Elig!$C525,Elig_MatchAll_Ct&lt;22,$BC525=(Elig_MatchAll_Ct-1),AX525=0),X525,0)</f>
        <v>0</v>
      </c>
      <c r="CD525" s="176">
        <f>IF(AND(Input_Product=Elig!$C525,Elig_MatchAll_Ct&lt;22,$BC525=(Elig_MatchAll_Ct-1),AX525=0),Y525,0)</f>
        <v>0</v>
      </c>
      <c r="CE525" s="175">
        <f>IF(AND(Input_LTV&lt;=AE525,Input_Product=Elig!$C525,Elig_MatchAll_Ct&lt;22,$BC525=(Elig_MatchAll_Ct-1),AY525=0),Z525,0)</f>
        <v>0</v>
      </c>
      <c r="CF525" s="176">
        <f>IF(AND(Input_LTV&lt;=AE525,Input_Product=Elig!$C525,Elig_MatchAll_Ct&lt;22,$BC525=(Elig_MatchAll_Ct-1),AY525=0),AA525,0)</f>
        <v>0</v>
      </c>
      <c r="CG525" s="175">
        <f>IF(AND(Input_Product=Elig!$C525,Elig_MatchAll_Ct&lt;22,$BC525=(Elig_MatchAll_Ct-1),AZ525=0),AB525,0)</f>
        <v>0</v>
      </c>
      <c r="CH525" s="176">
        <f>IF(AND(Input_Product=Elig!$C525,Elig_MatchAll_Ct&lt;22,$BC525=(Elig_MatchAll_Ct-1),AZ525=0),AC525,0)</f>
        <v>0</v>
      </c>
      <c r="CI525" s="175">
        <f>IF(AND(Input_Product=Elig!$C525,Elig_MatchAll_Ct&lt;22,$BC525=(Elig_MatchAll_Ct-1),BA525=0),AD525,0)</f>
        <v>0</v>
      </c>
      <c r="CJ525" s="176">
        <f>IF(AND(Input_Product=Elig!$C525,Elig_MatchAll_Ct&lt;22,$BC525=(Elig_MatchAll_Ct-1),BA525=0),AE525,0)</f>
        <v>0</v>
      </c>
    </row>
    <row r="526" spans="1:88" ht="10.15" customHeight="1" x14ac:dyDescent="0.25">
      <c r="A526" s="252" t="s">
        <v>76</v>
      </c>
      <c r="B526" s="252" t="s">
        <v>2248</v>
      </c>
      <c r="C526" s="246" t="str">
        <f t="shared" si="183"/>
        <v>NonQM NOO</v>
      </c>
      <c r="D526" s="247" t="s">
        <v>1995</v>
      </c>
      <c r="E526" s="248" t="s">
        <v>166</v>
      </c>
      <c r="F526" s="248" t="s">
        <v>329</v>
      </c>
      <c r="G526" s="248" t="s">
        <v>180</v>
      </c>
      <c r="H526" s="248" t="s">
        <v>135</v>
      </c>
      <c r="I526" s="247" t="s">
        <v>273</v>
      </c>
      <c r="J526" s="247" t="s">
        <v>1130</v>
      </c>
      <c r="K526" s="247" t="s">
        <v>1398</v>
      </c>
      <c r="L526" s="248" t="s">
        <v>311</v>
      </c>
      <c r="M526" s="248" t="s">
        <v>2289</v>
      </c>
      <c r="N526" s="248" t="s">
        <v>1844</v>
      </c>
      <c r="O526" s="248" t="s">
        <v>309</v>
      </c>
      <c r="P526" s="248" t="s">
        <v>2434</v>
      </c>
      <c r="Q526" s="248" t="s">
        <v>293</v>
      </c>
      <c r="R526" s="247">
        <v>3000000.01</v>
      </c>
      <c r="S526" s="247">
        <v>3500000</v>
      </c>
      <c r="T526" s="247">
        <v>0</v>
      </c>
      <c r="U526" s="247">
        <v>0</v>
      </c>
      <c r="V526" s="247">
        <v>0</v>
      </c>
      <c r="W526" s="247">
        <v>50</v>
      </c>
      <c r="X526" s="247">
        <v>0.75</v>
      </c>
      <c r="Y526" s="247">
        <v>999</v>
      </c>
      <c r="Z526" s="249">
        <v>720</v>
      </c>
      <c r="AA526" s="249">
        <v>999</v>
      </c>
      <c r="AB526" s="1882">
        <v>0</v>
      </c>
      <c r="AC526" s="249">
        <v>999999</v>
      </c>
      <c r="AD526" s="247">
        <v>0</v>
      </c>
      <c r="AE526" s="250">
        <v>70</v>
      </c>
      <c r="AF526" s="144">
        <v>0</v>
      </c>
      <c r="AG526" s="145">
        <v>1</v>
      </c>
      <c r="AH526" s="145">
        <v>1</v>
      </c>
      <c r="AI526" s="145">
        <v>1</v>
      </c>
      <c r="AJ526" s="145">
        <v>1</v>
      </c>
      <c r="AK526" s="145">
        <v>1</v>
      </c>
      <c r="AL526" s="145">
        <v>1</v>
      </c>
      <c r="AM526" s="145">
        <v>1</v>
      </c>
      <c r="AN526" s="145">
        <v>1</v>
      </c>
      <c r="AO526" s="145">
        <v>1</v>
      </c>
      <c r="AP526" s="145">
        <v>1</v>
      </c>
      <c r="AQ526" s="145">
        <v>1</v>
      </c>
      <c r="AR526" s="145">
        <v>1</v>
      </c>
      <c r="AS526" s="145">
        <v>1</v>
      </c>
      <c r="AT526" s="145">
        <v>1</v>
      </c>
      <c r="AU526" s="145">
        <f t="shared" si="148"/>
        <v>0</v>
      </c>
      <c r="AV526" s="145">
        <f t="shared" si="149"/>
        <v>1</v>
      </c>
      <c r="AW526" s="145">
        <f t="shared" si="150"/>
        <v>1</v>
      </c>
      <c r="AX526" s="145">
        <f t="shared" si="161"/>
        <v>1</v>
      </c>
      <c r="AY526" s="145">
        <f t="shared" si="151"/>
        <v>1</v>
      </c>
      <c r="AZ526" s="145">
        <f t="shared" si="152"/>
        <v>1</v>
      </c>
      <c r="BA526" s="146">
        <f t="shared" si="153"/>
        <v>1</v>
      </c>
      <c r="BB526" s="149">
        <f t="shared" si="190"/>
        <v>20</v>
      </c>
      <c r="BC526" s="150">
        <f t="shared" si="191"/>
        <v>19</v>
      </c>
      <c r="BD526" s="150">
        <f t="shared" si="192"/>
        <v>20</v>
      </c>
      <c r="BE526" s="211" t="str">
        <f t="shared" si="193"/>
        <v/>
      </c>
      <c r="BH526" s="184">
        <f>IF(AND(Input_Product=Elig!$C526,Elig_MatchAll_Ct&lt;22,$BC526=(Elig_MatchAll_Ct-1),AF526=0),C526,0)</f>
        <v>0</v>
      </c>
      <c r="BI526" s="184">
        <f>IF(AND(Input_Product=Elig!$C526,Elig_MatchAll_Ct&lt;22,$BC526=(Elig_MatchAll_Ct-1),AG526=0),D526,0)</f>
        <v>0</v>
      </c>
      <c r="BJ526" s="184">
        <f>IF(AND(Input_Product=Elig!$C526,Elig_MatchAll_Ct&lt;22,$BC526=(Elig_MatchAll_Ct-1),AH526=0),E526,0)</f>
        <v>0</v>
      </c>
      <c r="BK526" s="184">
        <f>IF(AND(Input_Product=Elig!$C526,Elig_MatchAll_Ct&lt;22,$BC526=(Elig_MatchAll_Ct-1),AI526=0),F526,0)</f>
        <v>0</v>
      </c>
      <c r="BL526" s="184">
        <f>IF(AND(Input_Product=Elig!$C526,Elig_MatchAll_Ct&lt;22,$BC526=(Elig_MatchAll_Ct-1),AJ526=0),G526,0)</f>
        <v>0</v>
      </c>
      <c r="BM526" s="184">
        <f>IF(AND(Input_Product=Elig!$C526,Elig_MatchAll_Ct&lt;22,$BC526=(Elig_MatchAll_Ct-1),AK526=0),H526,0)</f>
        <v>0</v>
      </c>
      <c r="BN526" s="184">
        <f>IF(AND(Input_Product=Elig!$C526,Elig_MatchAll_Ct&lt;22,$BC526=(Elig_MatchAll_Ct-1),AL526=0),I526,0)</f>
        <v>0</v>
      </c>
      <c r="BO526" s="184">
        <f>IF(AND(Input_Product=Elig!$C526,Elig_MatchAll_Ct&lt;22,$BC526=(Elig_MatchAll_Ct-1),AM526=0),J526,0)</f>
        <v>0</v>
      </c>
      <c r="BP526" s="184">
        <f>IF(AND(Input_Product=Elig!$C526,Elig_MatchAll_Ct&lt;22,$BC526=(Elig_MatchAll_Ct-1),AN526=0),K526,0)</f>
        <v>0</v>
      </c>
      <c r="BQ526" s="184">
        <f>IF(AND(Input_Product=Elig!$C526,Elig_MatchAll_Ct&lt;22,$BC526=(Elig_MatchAll_Ct-1),AP526=0),L526,0)</f>
        <v>0</v>
      </c>
      <c r="BR526" s="184">
        <f>IF(AND(Input_Product=Elig!$C526,Elig_MatchAll_Ct&lt;22,$BC526=(Elig_MatchAll_Ct-1),AO526=0),M526,0)</f>
        <v>0</v>
      </c>
      <c r="BS526" s="184">
        <f>IF(AND(Input_Product=Elig!$C526,Elig_MatchAll_Ct&lt;22,$BC526=(Elig_MatchAll_Ct-1),AQ526=0),N526,0)</f>
        <v>0</v>
      </c>
      <c r="BT526" s="184">
        <f>IF(AND(Input_Product=Elig!$C526,Elig_MatchAll_Ct&lt;22,$BC526=(Elig_MatchAll_Ct-1),AR526=0),O526,0)</f>
        <v>0</v>
      </c>
      <c r="BU526" s="184">
        <f>IF(AND(Input_Product=Elig!$C526,Elig_MatchAll_Ct&lt;22,$BC526=(Elig_MatchAll_Ct-1),AS526=0),P526,0)</f>
        <v>0</v>
      </c>
      <c r="BV526" s="185">
        <f>IF(AND(Input_Product=Elig!$C526,Elig_MatchAll_Ct&lt;22,$BC526=(Elig_MatchAll_Ct-1),AT526=0),Q526,0)</f>
        <v>0</v>
      </c>
      <c r="BW526" s="186">
        <f>IF(AND(Input_Product=Elig!$C526,Elig_MatchAll_Ct&lt;22,$BC526=(Elig_MatchAll_Ct-1),AU526=0),R526,0)</f>
        <v>0</v>
      </c>
      <c r="BX526" s="187">
        <f>IF(AND(Input_Product=Elig!$C526,Elig_MatchAll_Ct&lt;22,$BC526=(Elig_MatchAll_Ct-1),AU526=0),S526,0)</f>
        <v>0</v>
      </c>
      <c r="BY526" s="186">
        <f>IF(AND(Input_Product=Elig!$C526,Elig_MatchAll_Ct&lt;22,$BC526=(Elig_MatchAll_Ct-1),AV526=0),T526,0)</f>
        <v>0</v>
      </c>
      <c r="BZ526" s="187">
        <f>IF(AND(Input_Product=Elig!$C526,Elig_MatchAll_Ct&lt;22,$BC526=(Elig_MatchAll_Ct-1),AV526=0),U526,0)</f>
        <v>0</v>
      </c>
      <c r="CA526" s="186">
        <f>IF(AND(Input_Product=Elig!$C526,Elig_MatchAll_Ct&lt;22,$BC526=(Elig_MatchAll_Ct-1),AW526=0),V526,0)</f>
        <v>0</v>
      </c>
      <c r="CB526" s="187">
        <f>IF(AND(Input_Product=Elig!$C526,Elig_MatchAll_Ct&lt;22,$BC526=(Elig_MatchAll_Ct-1),AW526=0),W526,0)</f>
        <v>0</v>
      </c>
      <c r="CC526" s="186">
        <f>IF(AND(Input_Product=Elig!$C526,Elig_MatchAll_Ct&lt;22,$BC526=(Elig_MatchAll_Ct-1),AX526=0),X526,0)</f>
        <v>0</v>
      </c>
      <c r="CD526" s="187">
        <f>IF(AND(Input_Product=Elig!$C526,Elig_MatchAll_Ct&lt;22,$BC526=(Elig_MatchAll_Ct-1),AX526=0),Y526,0)</f>
        <v>0</v>
      </c>
      <c r="CE526" s="186">
        <f>IF(AND(Input_LTV&lt;=AE526,Input_Product=Elig!$C526,Elig_MatchAll_Ct&lt;22,$BC526=(Elig_MatchAll_Ct-1),AY526=0),Z526,0)</f>
        <v>0</v>
      </c>
      <c r="CF526" s="187">
        <f>IF(AND(Input_LTV&lt;=AE526,Input_Product=Elig!$C526,Elig_MatchAll_Ct&lt;22,$BC526=(Elig_MatchAll_Ct-1),AY526=0),AA526,0)</f>
        <v>0</v>
      </c>
      <c r="CG526" s="186">
        <f>IF(AND(Input_Product=Elig!$C526,Elig_MatchAll_Ct&lt;22,$BC526=(Elig_MatchAll_Ct-1),AZ526=0),AB526,0)</f>
        <v>0</v>
      </c>
      <c r="CH526" s="187">
        <f>IF(AND(Input_Product=Elig!$C526,Elig_MatchAll_Ct&lt;22,$BC526=(Elig_MatchAll_Ct-1),AZ526=0),AC526,0)</f>
        <v>0</v>
      </c>
      <c r="CI526" s="186">
        <f>IF(AND(Input_Product=Elig!$C526,Elig_MatchAll_Ct&lt;22,$BC526=(Elig_MatchAll_Ct-1),BA526=0),AD526,0)</f>
        <v>0</v>
      </c>
      <c r="CJ526" s="187">
        <f>IF(AND(Input_Product=Elig!$C526,Elig_MatchAll_Ct&lt;22,$BC526=(Elig_MatchAll_Ct-1),BA526=0),AE526,0)</f>
        <v>0</v>
      </c>
    </row>
    <row r="527" spans="1:88" ht="10.15" customHeight="1" x14ac:dyDescent="0.25">
      <c r="A527" s="252" t="s">
        <v>76</v>
      </c>
      <c r="B527" s="252" t="s">
        <v>2249</v>
      </c>
      <c r="C527" s="251" t="str">
        <f t="shared" si="183"/>
        <v>NonQM NOO</v>
      </c>
      <c r="D527" s="252" t="s">
        <v>1995</v>
      </c>
      <c r="E527" s="252" t="s">
        <v>166</v>
      </c>
      <c r="F527" s="252" t="s">
        <v>329</v>
      </c>
      <c r="G527" s="252" t="s">
        <v>180</v>
      </c>
      <c r="H527" s="252" t="s">
        <v>135</v>
      </c>
      <c r="I527" s="253" t="s">
        <v>273</v>
      </c>
      <c r="J527" s="253" t="s">
        <v>1130</v>
      </c>
      <c r="K527" s="253" t="s">
        <v>1398</v>
      </c>
      <c r="L527" s="252" t="s">
        <v>311</v>
      </c>
      <c r="M527" s="252" t="s">
        <v>2289</v>
      </c>
      <c r="N527" s="252" t="s">
        <v>1844</v>
      </c>
      <c r="O527" s="252" t="s">
        <v>309</v>
      </c>
      <c r="P527" s="252" t="s">
        <v>2434</v>
      </c>
      <c r="Q527" s="252" t="s">
        <v>293</v>
      </c>
      <c r="R527" s="252">
        <v>3000000.01</v>
      </c>
      <c r="S527" s="252">
        <v>3500000</v>
      </c>
      <c r="T527" s="252">
        <v>0</v>
      </c>
      <c r="U527" s="252">
        <v>0</v>
      </c>
      <c r="V527" s="252">
        <v>0</v>
      </c>
      <c r="W527" s="252">
        <v>50</v>
      </c>
      <c r="X527" s="252">
        <v>0.75</v>
      </c>
      <c r="Y527" s="252">
        <v>999</v>
      </c>
      <c r="Z527" s="254">
        <v>700</v>
      </c>
      <c r="AA527" s="254">
        <v>719</v>
      </c>
      <c r="AB527" s="1883">
        <v>0</v>
      </c>
      <c r="AC527" s="254">
        <v>999999</v>
      </c>
      <c r="AD527" s="252">
        <v>0</v>
      </c>
      <c r="AE527" s="255">
        <v>70</v>
      </c>
      <c r="AF527" s="144">
        <v>0</v>
      </c>
      <c r="AG527" s="145">
        <v>1</v>
      </c>
      <c r="AH527" s="145">
        <v>1</v>
      </c>
      <c r="AI527" s="145">
        <v>1</v>
      </c>
      <c r="AJ527" s="145">
        <v>1</v>
      </c>
      <c r="AK527" s="145">
        <v>1</v>
      </c>
      <c r="AL527" s="145">
        <v>1</v>
      </c>
      <c r="AM527" s="145">
        <v>1</v>
      </c>
      <c r="AN527" s="145">
        <v>1</v>
      </c>
      <c r="AO527" s="145">
        <v>1</v>
      </c>
      <c r="AP527" s="145">
        <v>1</v>
      </c>
      <c r="AQ527" s="145">
        <v>1</v>
      </c>
      <c r="AR527" s="145">
        <v>1</v>
      </c>
      <c r="AS527" s="145">
        <v>1</v>
      </c>
      <c r="AT527" s="145">
        <v>1</v>
      </c>
      <c r="AU527" s="145">
        <f t="shared" si="148"/>
        <v>0</v>
      </c>
      <c r="AV527" s="145">
        <f t="shared" si="149"/>
        <v>1</v>
      </c>
      <c r="AW527" s="145">
        <f t="shared" si="150"/>
        <v>1</v>
      </c>
      <c r="AX527" s="145">
        <f t="shared" si="161"/>
        <v>1</v>
      </c>
      <c r="AY527" s="145">
        <f t="shared" si="151"/>
        <v>0</v>
      </c>
      <c r="AZ527" s="145">
        <f t="shared" si="152"/>
        <v>1</v>
      </c>
      <c r="BA527" s="146">
        <f t="shared" si="153"/>
        <v>1</v>
      </c>
      <c r="BB527" s="149">
        <f t="shared" si="190"/>
        <v>19</v>
      </c>
      <c r="BC527" s="150">
        <f t="shared" si="191"/>
        <v>18</v>
      </c>
      <c r="BD527" s="150">
        <f t="shared" si="192"/>
        <v>19</v>
      </c>
      <c r="BE527" s="211" t="str">
        <f t="shared" si="193"/>
        <v/>
      </c>
      <c r="BH527" s="173">
        <f>IF(AND(Input_Product=Elig!$C527,Elig_MatchAll_Ct&lt;22,$BC527=(Elig_MatchAll_Ct-1),AF527=0),C527,0)</f>
        <v>0</v>
      </c>
      <c r="BI527" s="173">
        <f>IF(AND(Input_Product=Elig!$C527,Elig_MatchAll_Ct&lt;22,$BC527=(Elig_MatchAll_Ct-1),AG527=0),D527,0)</f>
        <v>0</v>
      </c>
      <c r="BJ527" s="173">
        <f>IF(AND(Input_Product=Elig!$C527,Elig_MatchAll_Ct&lt;22,$BC527=(Elig_MatchAll_Ct-1),AH527=0),E527,0)</f>
        <v>0</v>
      </c>
      <c r="BK527" s="173">
        <f>IF(AND(Input_Product=Elig!$C527,Elig_MatchAll_Ct&lt;22,$BC527=(Elig_MatchAll_Ct-1),AI527=0),F527,0)</f>
        <v>0</v>
      </c>
      <c r="BL527" s="173">
        <f>IF(AND(Input_Product=Elig!$C527,Elig_MatchAll_Ct&lt;22,$BC527=(Elig_MatchAll_Ct-1),AJ527=0),G527,0)</f>
        <v>0</v>
      </c>
      <c r="BM527" s="173">
        <f>IF(AND(Input_Product=Elig!$C527,Elig_MatchAll_Ct&lt;22,$BC527=(Elig_MatchAll_Ct-1),AK527=0),H527,0)</f>
        <v>0</v>
      </c>
      <c r="BN527" s="173">
        <f>IF(AND(Input_Product=Elig!$C527,Elig_MatchAll_Ct&lt;22,$BC527=(Elig_MatchAll_Ct-1),AL527=0),I527,0)</f>
        <v>0</v>
      </c>
      <c r="BO527" s="173">
        <f>IF(AND(Input_Product=Elig!$C527,Elig_MatchAll_Ct&lt;22,$BC527=(Elig_MatchAll_Ct-1),AM527=0),J527,0)</f>
        <v>0</v>
      </c>
      <c r="BP527" s="173">
        <f>IF(AND(Input_Product=Elig!$C527,Elig_MatchAll_Ct&lt;22,$BC527=(Elig_MatchAll_Ct-1),AN527=0),K527,0)</f>
        <v>0</v>
      </c>
      <c r="BQ527" s="173">
        <f>IF(AND(Input_Product=Elig!$C527,Elig_MatchAll_Ct&lt;22,$BC527=(Elig_MatchAll_Ct-1),AP527=0),L527,0)</f>
        <v>0</v>
      </c>
      <c r="BR527" s="173">
        <f>IF(AND(Input_Product=Elig!$C527,Elig_MatchAll_Ct&lt;22,$BC527=(Elig_MatchAll_Ct-1),AO527=0),M527,0)</f>
        <v>0</v>
      </c>
      <c r="BS527" s="173">
        <f>IF(AND(Input_Product=Elig!$C527,Elig_MatchAll_Ct&lt;22,$BC527=(Elig_MatchAll_Ct-1),AQ527=0),N527,0)</f>
        <v>0</v>
      </c>
      <c r="BT527" s="173">
        <f>IF(AND(Input_Product=Elig!$C527,Elig_MatchAll_Ct&lt;22,$BC527=(Elig_MatchAll_Ct-1),AR527=0),O527,0)</f>
        <v>0</v>
      </c>
      <c r="BU527" s="173">
        <f>IF(AND(Input_Product=Elig!$C527,Elig_MatchAll_Ct&lt;22,$BC527=(Elig_MatchAll_Ct-1),AS527=0),P527,0)</f>
        <v>0</v>
      </c>
      <c r="BV527" s="174">
        <f>IF(AND(Input_Product=Elig!$C527,Elig_MatchAll_Ct&lt;22,$BC527=(Elig_MatchAll_Ct-1),AT527=0),Q527,0)</f>
        <v>0</v>
      </c>
      <c r="BW527" s="175">
        <f>IF(AND(Input_Product=Elig!$C527,Elig_MatchAll_Ct&lt;22,$BC527=(Elig_MatchAll_Ct-1),AU527=0),R527,0)</f>
        <v>0</v>
      </c>
      <c r="BX527" s="176">
        <f>IF(AND(Input_Product=Elig!$C527,Elig_MatchAll_Ct&lt;22,$BC527=(Elig_MatchAll_Ct-1),AU527=0),S527,0)</f>
        <v>0</v>
      </c>
      <c r="BY527" s="175">
        <f>IF(AND(Input_Product=Elig!$C527,Elig_MatchAll_Ct&lt;22,$BC527=(Elig_MatchAll_Ct-1),AV527=0),T527,0)</f>
        <v>0</v>
      </c>
      <c r="BZ527" s="176">
        <f>IF(AND(Input_Product=Elig!$C527,Elig_MatchAll_Ct&lt;22,$BC527=(Elig_MatchAll_Ct-1),AV527=0),U527,0)</f>
        <v>0</v>
      </c>
      <c r="CA527" s="175">
        <f>IF(AND(Input_Product=Elig!$C527,Elig_MatchAll_Ct&lt;22,$BC527=(Elig_MatchAll_Ct-1),AW527=0),V527,0)</f>
        <v>0</v>
      </c>
      <c r="CB527" s="176">
        <f>IF(AND(Input_Product=Elig!$C527,Elig_MatchAll_Ct&lt;22,$BC527=(Elig_MatchAll_Ct-1),AW527=0),W527,0)</f>
        <v>0</v>
      </c>
      <c r="CC527" s="175">
        <f>IF(AND(Input_Product=Elig!$C527,Elig_MatchAll_Ct&lt;22,$BC527=(Elig_MatchAll_Ct-1),AX527=0),X527,0)</f>
        <v>0</v>
      </c>
      <c r="CD527" s="176">
        <f>IF(AND(Input_Product=Elig!$C527,Elig_MatchAll_Ct&lt;22,$BC527=(Elig_MatchAll_Ct-1),AX527=0),Y527,0)</f>
        <v>0</v>
      </c>
      <c r="CE527" s="175">
        <f>IF(AND(Input_LTV&lt;=AE527,Input_Product=Elig!$C527,Elig_MatchAll_Ct&lt;22,$BC527=(Elig_MatchAll_Ct-1),AY527=0),Z527,0)</f>
        <v>0</v>
      </c>
      <c r="CF527" s="176">
        <f>IF(AND(Input_LTV&lt;=AE527,Input_Product=Elig!$C527,Elig_MatchAll_Ct&lt;22,$BC527=(Elig_MatchAll_Ct-1),AY527=0),AA527,0)</f>
        <v>0</v>
      </c>
      <c r="CG527" s="175">
        <f>IF(AND(Input_Product=Elig!$C527,Elig_MatchAll_Ct&lt;22,$BC527=(Elig_MatchAll_Ct-1),AZ527=0),AB527,0)</f>
        <v>0</v>
      </c>
      <c r="CH527" s="176">
        <f>IF(AND(Input_Product=Elig!$C527,Elig_MatchAll_Ct&lt;22,$BC527=(Elig_MatchAll_Ct-1),AZ527=0),AC527,0)</f>
        <v>0</v>
      </c>
      <c r="CI527" s="175">
        <f>IF(AND(Input_Product=Elig!$C527,Elig_MatchAll_Ct&lt;22,$BC527=(Elig_MatchAll_Ct-1),BA527=0),AD527,0)</f>
        <v>0</v>
      </c>
      <c r="CJ527" s="176">
        <f>IF(AND(Input_Product=Elig!$C527,Elig_MatchAll_Ct&lt;22,$BC527=(Elig_MatchAll_Ct-1),BA527=0),AE527,0)</f>
        <v>0</v>
      </c>
    </row>
    <row r="528" spans="1:88" ht="10.15" customHeight="1" x14ac:dyDescent="0.25">
      <c r="A528" s="252" t="s">
        <v>76</v>
      </c>
      <c r="B528" s="252" t="s">
        <v>2250</v>
      </c>
      <c r="C528" s="246" t="str">
        <f t="shared" si="183"/>
        <v>NonQM NOO</v>
      </c>
      <c r="D528" s="247" t="s">
        <v>1995</v>
      </c>
      <c r="E528" s="248" t="s">
        <v>166</v>
      </c>
      <c r="F528" s="248" t="s">
        <v>329</v>
      </c>
      <c r="G528" s="248" t="s">
        <v>180</v>
      </c>
      <c r="H528" s="248" t="s">
        <v>135</v>
      </c>
      <c r="I528" s="248" t="s">
        <v>16</v>
      </c>
      <c r="J528" s="247" t="s">
        <v>1130</v>
      </c>
      <c r="K528" s="247" t="s">
        <v>1398</v>
      </c>
      <c r="L528" s="248" t="s">
        <v>311</v>
      </c>
      <c r="M528" s="248" t="s">
        <v>2289</v>
      </c>
      <c r="N528" s="248" t="s">
        <v>1844</v>
      </c>
      <c r="O528" s="248" t="s">
        <v>309</v>
      </c>
      <c r="P528" s="248" t="s">
        <v>2434</v>
      </c>
      <c r="Q528" s="248" t="s">
        <v>293</v>
      </c>
      <c r="R528" s="247">
        <v>3000000.01</v>
      </c>
      <c r="S528" s="247">
        <v>3500000</v>
      </c>
      <c r="T528" s="247">
        <v>0</v>
      </c>
      <c r="U528" s="247">
        <f t="shared" ref="U528:U529" si="203">S528</f>
        <v>3500000</v>
      </c>
      <c r="V528" s="247">
        <v>0</v>
      </c>
      <c r="W528" s="247">
        <v>50</v>
      </c>
      <c r="X528" s="247">
        <v>1</v>
      </c>
      <c r="Y528" s="247">
        <v>999</v>
      </c>
      <c r="Z528" s="249">
        <v>720</v>
      </c>
      <c r="AA528" s="249">
        <v>999</v>
      </c>
      <c r="AB528" s="1882">
        <v>0</v>
      </c>
      <c r="AC528" s="249">
        <v>999999</v>
      </c>
      <c r="AD528" s="247">
        <v>0</v>
      </c>
      <c r="AE528" s="250">
        <v>55</v>
      </c>
      <c r="AF528" s="144">
        <v>0</v>
      </c>
      <c r="AG528" s="145">
        <v>1</v>
      </c>
      <c r="AH528" s="145">
        <v>1</v>
      </c>
      <c r="AI528" s="145">
        <v>1</v>
      </c>
      <c r="AJ528" s="145">
        <v>1</v>
      </c>
      <c r="AK528" s="145">
        <v>1</v>
      </c>
      <c r="AL528" s="145">
        <v>0</v>
      </c>
      <c r="AM528" s="145">
        <v>1</v>
      </c>
      <c r="AN528" s="145">
        <v>1</v>
      </c>
      <c r="AO528" s="145">
        <v>1</v>
      </c>
      <c r="AP528" s="145">
        <v>1</v>
      </c>
      <c r="AQ528" s="145">
        <v>1</v>
      </c>
      <c r="AR528" s="145">
        <v>1</v>
      </c>
      <c r="AS528" s="145">
        <v>1</v>
      </c>
      <c r="AT528" s="145">
        <v>1</v>
      </c>
      <c r="AU528" s="145">
        <f t="shared" si="148"/>
        <v>0</v>
      </c>
      <c r="AV528" s="145">
        <f t="shared" si="149"/>
        <v>1</v>
      </c>
      <c r="AW528" s="145">
        <f t="shared" si="150"/>
        <v>1</v>
      </c>
      <c r="AX528" s="145">
        <f t="shared" si="161"/>
        <v>1</v>
      </c>
      <c r="AY528" s="145">
        <f t="shared" si="151"/>
        <v>1</v>
      </c>
      <c r="AZ528" s="145">
        <f t="shared" si="152"/>
        <v>1</v>
      </c>
      <c r="BA528" s="146">
        <f t="shared" si="153"/>
        <v>0</v>
      </c>
      <c r="BB528" s="149">
        <f t="shared" si="190"/>
        <v>18</v>
      </c>
      <c r="BC528" s="150">
        <f t="shared" si="191"/>
        <v>18</v>
      </c>
      <c r="BD528" s="150">
        <f t="shared" si="192"/>
        <v>18</v>
      </c>
      <c r="BE528" s="211" t="str">
        <f t="shared" si="193"/>
        <v/>
      </c>
      <c r="BH528" s="190">
        <f>IF(AND(Input_Product=Elig!$C528,Elig_MatchAll_Ct&lt;22,$BC528=(Elig_MatchAll_Ct-1),AF528=0),C528,0)</f>
        <v>0</v>
      </c>
      <c r="BI528" s="190">
        <f>IF(AND(Input_Product=Elig!$C528,Elig_MatchAll_Ct&lt;22,$BC528=(Elig_MatchAll_Ct-1),AG528=0),D528,0)</f>
        <v>0</v>
      </c>
      <c r="BJ528" s="190">
        <f>IF(AND(Input_Product=Elig!$C528,Elig_MatchAll_Ct&lt;22,$BC528=(Elig_MatchAll_Ct-1),AH528=0),E528,0)</f>
        <v>0</v>
      </c>
      <c r="BK528" s="190">
        <f>IF(AND(Input_Product=Elig!$C528,Elig_MatchAll_Ct&lt;22,$BC528=(Elig_MatchAll_Ct-1),AI528=0),F528,0)</f>
        <v>0</v>
      </c>
      <c r="BL528" s="190">
        <f>IF(AND(Input_Product=Elig!$C528,Elig_MatchAll_Ct&lt;22,$BC528=(Elig_MatchAll_Ct-1),AJ528=0),G528,0)</f>
        <v>0</v>
      </c>
      <c r="BM528" s="190">
        <f>IF(AND(Input_Product=Elig!$C528,Elig_MatchAll_Ct&lt;22,$BC528=(Elig_MatchAll_Ct-1),AK528=0),H528,0)</f>
        <v>0</v>
      </c>
      <c r="BN528" s="190">
        <f>IF(AND(Input_Product=Elig!$C528,Elig_MatchAll_Ct&lt;22,$BC528=(Elig_MatchAll_Ct-1),AL528=0),I528,0)</f>
        <v>0</v>
      </c>
      <c r="BO528" s="190">
        <f>IF(AND(Input_Product=Elig!$C528,Elig_MatchAll_Ct&lt;22,$BC528=(Elig_MatchAll_Ct-1),AM528=0),J528,0)</f>
        <v>0</v>
      </c>
      <c r="BP528" s="190">
        <f>IF(AND(Input_Product=Elig!$C528,Elig_MatchAll_Ct&lt;22,$BC528=(Elig_MatchAll_Ct-1),AN528=0),K528,0)</f>
        <v>0</v>
      </c>
      <c r="BQ528" s="190">
        <f>IF(AND(Input_Product=Elig!$C528,Elig_MatchAll_Ct&lt;22,$BC528=(Elig_MatchAll_Ct-1),AP528=0),L528,0)</f>
        <v>0</v>
      </c>
      <c r="BR528" s="190">
        <f>IF(AND(Input_Product=Elig!$C528,Elig_MatchAll_Ct&lt;22,$BC528=(Elig_MatchAll_Ct-1),AO528=0),M528,0)</f>
        <v>0</v>
      </c>
      <c r="BS528" s="190">
        <f>IF(AND(Input_Product=Elig!$C528,Elig_MatchAll_Ct&lt;22,$BC528=(Elig_MatchAll_Ct-1),AQ528=0),N528,0)</f>
        <v>0</v>
      </c>
      <c r="BT528" s="190">
        <f>IF(AND(Input_Product=Elig!$C528,Elig_MatchAll_Ct&lt;22,$BC528=(Elig_MatchAll_Ct-1),AR528=0),O528,0)</f>
        <v>0</v>
      </c>
      <c r="BU528" s="190">
        <f>IF(AND(Input_Product=Elig!$C528,Elig_MatchAll_Ct&lt;22,$BC528=(Elig_MatchAll_Ct-1),AS528=0),P528,0)</f>
        <v>0</v>
      </c>
      <c r="BV528" s="191">
        <f>IF(AND(Input_Product=Elig!$C528,Elig_MatchAll_Ct&lt;22,$BC528=(Elig_MatchAll_Ct-1),AT528=0),Q528,0)</f>
        <v>0</v>
      </c>
      <c r="BW528" s="273">
        <f>IF(AND(Input_Product=Elig!$C528,Elig_MatchAll_Ct&lt;22,$BC528=(Elig_MatchAll_Ct-1),AU528=0),R528,0)</f>
        <v>0</v>
      </c>
      <c r="BX528" s="274">
        <f>IF(AND(Input_Product=Elig!$C528,Elig_MatchAll_Ct&lt;22,$BC528=(Elig_MatchAll_Ct-1),AU528=0),S528,0)</f>
        <v>0</v>
      </c>
      <c r="BY528" s="273">
        <f>IF(AND(Input_Product=Elig!$C528,Elig_MatchAll_Ct&lt;22,$BC528=(Elig_MatchAll_Ct-1),AV528=0),T528,0)</f>
        <v>0</v>
      </c>
      <c r="BZ528" s="274">
        <f>IF(AND(Input_Product=Elig!$C528,Elig_MatchAll_Ct&lt;22,$BC528=(Elig_MatchAll_Ct-1),AV528=0),U528,0)</f>
        <v>0</v>
      </c>
      <c r="CA528" s="273">
        <f>IF(AND(Input_Product=Elig!$C528,Elig_MatchAll_Ct&lt;22,$BC528=(Elig_MatchAll_Ct-1),AW528=0),V528,0)</f>
        <v>0</v>
      </c>
      <c r="CB528" s="274">
        <f>IF(AND(Input_Product=Elig!$C528,Elig_MatchAll_Ct&lt;22,$BC528=(Elig_MatchAll_Ct-1),AW528=0),W528,0)</f>
        <v>0</v>
      </c>
      <c r="CC528" s="273">
        <f>IF(AND(Input_Product=Elig!$C528,Elig_MatchAll_Ct&lt;22,$BC528=(Elig_MatchAll_Ct-1),AX528=0),X528,0)</f>
        <v>0</v>
      </c>
      <c r="CD528" s="274">
        <f>IF(AND(Input_Product=Elig!$C528,Elig_MatchAll_Ct&lt;22,$BC528=(Elig_MatchAll_Ct-1),AX528=0),Y528,0)</f>
        <v>0</v>
      </c>
      <c r="CE528" s="273">
        <f>IF(AND(Input_LTV&lt;=AE528,Input_Product=Elig!$C528,Elig_MatchAll_Ct&lt;22,$BC528=(Elig_MatchAll_Ct-1),AY528=0),Z528,0)</f>
        <v>0</v>
      </c>
      <c r="CF528" s="274">
        <f>IF(AND(Input_LTV&lt;=AE528,Input_Product=Elig!$C528,Elig_MatchAll_Ct&lt;22,$BC528=(Elig_MatchAll_Ct-1),AY528=0),AA528,0)</f>
        <v>0</v>
      </c>
      <c r="CG528" s="273">
        <f>IF(AND(Input_Product=Elig!$C528,Elig_MatchAll_Ct&lt;22,$BC528=(Elig_MatchAll_Ct-1),AZ528=0),AB528,0)</f>
        <v>0</v>
      </c>
      <c r="CH528" s="274">
        <f>IF(AND(Input_Product=Elig!$C528,Elig_MatchAll_Ct&lt;22,$BC528=(Elig_MatchAll_Ct-1),AZ528=0),AC528,0)</f>
        <v>0</v>
      </c>
      <c r="CI528" s="273">
        <f>IF(AND(Input_Product=Elig!$C528,Elig_MatchAll_Ct&lt;22,$BC528=(Elig_MatchAll_Ct-1),BA528=0),AD528,0)</f>
        <v>0</v>
      </c>
      <c r="CJ528" s="274">
        <f>IF(AND(Input_Product=Elig!$C528,Elig_MatchAll_Ct&lt;22,$BC528=(Elig_MatchAll_Ct-1),BA528=0),AE528,0)</f>
        <v>0</v>
      </c>
    </row>
    <row r="529" spans="1:88" ht="10.15" customHeight="1" x14ac:dyDescent="0.25">
      <c r="A529" s="252" t="s">
        <v>76</v>
      </c>
      <c r="B529" s="252" t="s">
        <v>2251</v>
      </c>
      <c r="C529" s="251" t="str">
        <f t="shared" si="183"/>
        <v>NonQM NOO</v>
      </c>
      <c r="D529" s="252" t="s">
        <v>1995</v>
      </c>
      <c r="E529" s="252" t="s">
        <v>166</v>
      </c>
      <c r="F529" s="252" t="s">
        <v>329</v>
      </c>
      <c r="G529" s="252" t="s">
        <v>180</v>
      </c>
      <c r="H529" s="252" t="s">
        <v>135</v>
      </c>
      <c r="I529" s="253" t="s">
        <v>16</v>
      </c>
      <c r="J529" s="253" t="s">
        <v>1130</v>
      </c>
      <c r="K529" s="253" t="s">
        <v>1398</v>
      </c>
      <c r="L529" s="252" t="s">
        <v>311</v>
      </c>
      <c r="M529" s="252" t="s">
        <v>2289</v>
      </c>
      <c r="N529" s="252" t="s">
        <v>1844</v>
      </c>
      <c r="O529" s="252" t="s">
        <v>309</v>
      </c>
      <c r="P529" s="252" t="s">
        <v>2434</v>
      </c>
      <c r="Q529" s="252" t="s">
        <v>293</v>
      </c>
      <c r="R529" s="252">
        <v>3000000.01</v>
      </c>
      <c r="S529" s="252">
        <v>3500000</v>
      </c>
      <c r="T529" s="252">
        <v>0</v>
      </c>
      <c r="U529" s="252">
        <f t="shared" si="203"/>
        <v>3500000</v>
      </c>
      <c r="V529" s="252">
        <v>0</v>
      </c>
      <c r="W529" s="252">
        <v>50</v>
      </c>
      <c r="X529" s="252">
        <v>1</v>
      </c>
      <c r="Y529" s="252">
        <v>999</v>
      </c>
      <c r="Z529" s="254">
        <v>700</v>
      </c>
      <c r="AA529" s="254">
        <v>719</v>
      </c>
      <c r="AB529" s="1883">
        <v>0</v>
      </c>
      <c r="AC529" s="254">
        <v>999999</v>
      </c>
      <c r="AD529" s="252">
        <v>0</v>
      </c>
      <c r="AE529" s="255">
        <v>55</v>
      </c>
      <c r="AF529" s="144">
        <v>0</v>
      </c>
      <c r="AG529" s="145">
        <v>1</v>
      </c>
      <c r="AH529" s="145">
        <v>1</v>
      </c>
      <c r="AI529" s="145">
        <v>1</v>
      </c>
      <c r="AJ529" s="145">
        <v>1</v>
      </c>
      <c r="AK529" s="145">
        <v>1</v>
      </c>
      <c r="AL529" s="145">
        <v>0</v>
      </c>
      <c r="AM529" s="145">
        <v>1</v>
      </c>
      <c r="AN529" s="145">
        <v>1</v>
      </c>
      <c r="AO529" s="145">
        <v>1</v>
      </c>
      <c r="AP529" s="145">
        <v>1</v>
      </c>
      <c r="AQ529" s="145">
        <v>1</v>
      </c>
      <c r="AR529" s="145">
        <v>1</v>
      </c>
      <c r="AS529" s="145">
        <v>1</v>
      </c>
      <c r="AT529" s="145">
        <v>1</v>
      </c>
      <c r="AU529" s="145">
        <f t="shared" si="148"/>
        <v>0</v>
      </c>
      <c r="AV529" s="145">
        <f t="shared" si="149"/>
        <v>1</v>
      </c>
      <c r="AW529" s="145">
        <f t="shared" si="150"/>
        <v>1</v>
      </c>
      <c r="AX529" s="145">
        <f t="shared" si="161"/>
        <v>1</v>
      </c>
      <c r="AY529" s="145">
        <f t="shared" si="151"/>
        <v>0</v>
      </c>
      <c r="AZ529" s="145">
        <f t="shared" si="152"/>
        <v>1</v>
      </c>
      <c r="BA529" s="146">
        <f t="shared" si="153"/>
        <v>0</v>
      </c>
      <c r="BB529" s="149">
        <f t="shared" si="190"/>
        <v>17</v>
      </c>
      <c r="BC529" s="150">
        <f t="shared" si="191"/>
        <v>17</v>
      </c>
      <c r="BD529" s="150">
        <f t="shared" si="192"/>
        <v>17</v>
      </c>
      <c r="BE529" s="211" t="str">
        <f t="shared" si="193"/>
        <v/>
      </c>
      <c r="BH529" s="184">
        <f>IF(AND(Input_Product=Elig!$C529,Elig_MatchAll_Ct&lt;22,$BC529=(Elig_MatchAll_Ct-1),AF529=0),C529,0)</f>
        <v>0</v>
      </c>
      <c r="BI529" s="184">
        <f>IF(AND(Input_Product=Elig!$C529,Elig_MatchAll_Ct&lt;22,$BC529=(Elig_MatchAll_Ct-1),AG529=0),D529,0)</f>
        <v>0</v>
      </c>
      <c r="BJ529" s="184">
        <f>IF(AND(Input_Product=Elig!$C529,Elig_MatchAll_Ct&lt;22,$BC529=(Elig_MatchAll_Ct-1),AH529=0),E529,0)</f>
        <v>0</v>
      </c>
      <c r="BK529" s="184">
        <f>IF(AND(Input_Product=Elig!$C529,Elig_MatchAll_Ct&lt;22,$BC529=(Elig_MatchAll_Ct-1),AI529=0),F529,0)</f>
        <v>0</v>
      </c>
      <c r="BL529" s="184">
        <f>IF(AND(Input_Product=Elig!$C529,Elig_MatchAll_Ct&lt;22,$BC529=(Elig_MatchAll_Ct-1),AJ529=0),G529,0)</f>
        <v>0</v>
      </c>
      <c r="BM529" s="184">
        <f>IF(AND(Input_Product=Elig!$C529,Elig_MatchAll_Ct&lt;22,$BC529=(Elig_MatchAll_Ct-1),AK529=0),H529,0)</f>
        <v>0</v>
      </c>
      <c r="BN529" s="184">
        <f>IF(AND(Input_Product=Elig!$C529,Elig_MatchAll_Ct&lt;22,$BC529=(Elig_MatchAll_Ct-1),AL529=0),I529,0)</f>
        <v>0</v>
      </c>
      <c r="BO529" s="184">
        <f>IF(AND(Input_Product=Elig!$C529,Elig_MatchAll_Ct&lt;22,$BC529=(Elig_MatchAll_Ct-1),AM529=0),J529,0)</f>
        <v>0</v>
      </c>
      <c r="BP529" s="184">
        <f>IF(AND(Input_Product=Elig!$C529,Elig_MatchAll_Ct&lt;22,$BC529=(Elig_MatchAll_Ct-1),AN529=0),K529,0)</f>
        <v>0</v>
      </c>
      <c r="BQ529" s="184">
        <f>IF(AND(Input_Product=Elig!$C529,Elig_MatchAll_Ct&lt;22,$BC529=(Elig_MatchAll_Ct-1),AP529=0),L529,0)</f>
        <v>0</v>
      </c>
      <c r="BR529" s="184">
        <f>IF(AND(Input_Product=Elig!$C529,Elig_MatchAll_Ct&lt;22,$BC529=(Elig_MatchAll_Ct-1),AO529=0),M529,0)</f>
        <v>0</v>
      </c>
      <c r="BS529" s="184">
        <f>IF(AND(Input_Product=Elig!$C529,Elig_MatchAll_Ct&lt;22,$BC529=(Elig_MatchAll_Ct-1),AQ529=0),N529,0)</f>
        <v>0</v>
      </c>
      <c r="BT529" s="184">
        <f>IF(AND(Input_Product=Elig!$C529,Elig_MatchAll_Ct&lt;22,$BC529=(Elig_MatchAll_Ct-1),AR529=0),O529,0)</f>
        <v>0</v>
      </c>
      <c r="BU529" s="184">
        <f>IF(AND(Input_Product=Elig!$C529,Elig_MatchAll_Ct&lt;22,$BC529=(Elig_MatchAll_Ct-1),AS529=0),P529,0)</f>
        <v>0</v>
      </c>
      <c r="BV529" s="185">
        <f>IF(AND(Input_Product=Elig!$C529,Elig_MatchAll_Ct&lt;22,$BC529=(Elig_MatchAll_Ct-1),AT529=0),Q529,0)</f>
        <v>0</v>
      </c>
      <c r="BW529" s="186">
        <f>IF(AND(Input_Product=Elig!$C529,Elig_MatchAll_Ct&lt;22,$BC529=(Elig_MatchAll_Ct-1),AU529=0),R529,0)</f>
        <v>0</v>
      </c>
      <c r="BX529" s="187">
        <f>IF(AND(Input_Product=Elig!$C529,Elig_MatchAll_Ct&lt;22,$BC529=(Elig_MatchAll_Ct-1),AU529=0),S529,0)</f>
        <v>0</v>
      </c>
      <c r="BY529" s="186">
        <f>IF(AND(Input_Product=Elig!$C529,Elig_MatchAll_Ct&lt;22,$BC529=(Elig_MatchAll_Ct-1),AV529=0),T529,0)</f>
        <v>0</v>
      </c>
      <c r="BZ529" s="187">
        <f>IF(AND(Input_Product=Elig!$C529,Elig_MatchAll_Ct&lt;22,$BC529=(Elig_MatchAll_Ct-1),AV529=0),U529,0)</f>
        <v>0</v>
      </c>
      <c r="CA529" s="186">
        <f>IF(AND(Input_Product=Elig!$C529,Elig_MatchAll_Ct&lt;22,$BC529=(Elig_MatchAll_Ct-1),AW529=0),V529,0)</f>
        <v>0</v>
      </c>
      <c r="CB529" s="187">
        <f>IF(AND(Input_Product=Elig!$C529,Elig_MatchAll_Ct&lt;22,$BC529=(Elig_MatchAll_Ct-1),AW529=0),W529,0)</f>
        <v>0</v>
      </c>
      <c r="CC529" s="186">
        <f>IF(AND(Input_Product=Elig!$C529,Elig_MatchAll_Ct&lt;22,$BC529=(Elig_MatchAll_Ct-1),AX529=0),X529,0)</f>
        <v>0</v>
      </c>
      <c r="CD529" s="187">
        <f>IF(AND(Input_Product=Elig!$C529,Elig_MatchAll_Ct&lt;22,$BC529=(Elig_MatchAll_Ct-1),AX529=0),Y529,0)</f>
        <v>0</v>
      </c>
      <c r="CE529" s="186">
        <f>IF(AND(Input_LTV&lt;=AE529,Input_Product=Elig!$C529,Elig_MatchAll_Ct&lt;22,$BC529=(Elig_MatchAll_Ct-1),AY529=0),Z529,0)</f>
        <v>0</v>
      </c>
      <c r="CF529" s="187">
        <f>IF(AND(Input_LTV&lt;=AE529,Input_Product=Elig!$C529,Elig_MatchAll_Ct&lt;22,$BC529=(Elig_MatchAll_Ct-1),AY529=0),AA529,0)</f>
        <v>0</v>
      </c>
      <c r="CG529" s="186">
        <f>IF(AND(Input_Product=Elig!$C529,Elig_MatchAll_Ct&lt;22,$BC529=(Elig_MatchAll_Ct-1),AZ529=0),AB529,0)</f>
        <v>0</v>
      </c>
      <c r="CH529" s="187">
        <f>IF(AND(Input_Product=Elig!$C529,Elig_MatchAll_Ct&lt;22,$BC529=(Elig_MatchAll_Ct-1),AZ529=0),AC529,0)</f>
        <v>0</v>
      </c>
      <c r="CI529" s="186">
        <f>IF(AND(Input_Product=Elig!$C529,Elig_MatchAll_Ct&lt;22,$BC529=(Elig_MatchAll_Ct-1),BA529=0),AD529,0)</f>
        <v>0</v>
      </c>
      <c r="CJ529" s="187">
        <f>IF(AND(Input_Product=Elig!$C529,Elig_MatchAll_Ct&lt;22,$BC529=(Elig_MatchAll_Ct-1),BA529=0),AE529,0)</f>
        <v>0</v>
      </c>
    </row>
    <row r="530" spans="1:88" ht="10.15" customHeight="1" x14ac:dyDescent="0.25">
      <c r="A530" s="252" t="s">
        <v>76</v>
      </c>
      <c r="B530" s="252" t="s">
        <v>2252</v>
      </c>
      <c r="C530" s="246" t="str">
        <f t="shared" si="183"/>
        <v>NonQM NOO</v>
      </c>
      <c r="D530" s="247" t="s">
        <v>1995</v>
      </c>
      <c r="E530" s="248" t="s">
        <v>166</v>
      </c>
      <c r="F530" s="248" t="s">
        <v>329</v>
      </c>
      <c r="G530" s="248" t="s">
        <v>180</v>
      </c>
      <c r="H530" s="248" t="s">
        <v>135</v>
      </c>
      <c r="I530" s="247" t="s">
        <v>273</v>
      </c>
      <c r="J530" s="247" t="s">
        <v>1130</v>
      </c>
      <c r="K530" s="247" t="s">
        <v>1398</v>
      </c>
      <c r="L530" s="248" t="s">
        <v>311</v>
      </c>
      <c r="M530" s="248" t="s">
        <v>2289</v>
      </c>
      <c r="N530" s="248" t="s">
        <v>1844</v>
      </c>
      <c r="O530" s="248" t="s">
        <v>309</v>
      </c>
      <c r="P530" s="248" t="s">
        <v>2434</v>
      </c>
      <c r="Q530" s="248" t="s">
        <v>293</v>
      </c>
      <c r="R530" s="247">
        <v>3500000.01</v>
      </c>
      <c r="S530" s="247">
        <v>4000000</v>
      </c>
      <c r="T530" s="247">
        <v>0</v>
      </c>
      <c r="U530" s="247">
        <v>0</v>
      </c>
      <c r="V530" s="247">
        <v>0</v>
      </c>
      <c r="W530" s="247">
        <v>50</v>
      </c>
      <c r="X530" s="247">
        <v>0.75</v>
      </c>
      <c r="Y530" s="247">
        <v>999</v>
      </c>
      <c r="Z530" s="249">
        <v>720</v>
      </c>
      <c r="AA530" s="249">
        <v>999</v>
      </c>
      <c r="AB530" s="1882">
        <v>0</v>
      </c>
      <c r="AC530" s="249">
        <v>999999</v>
      </c>
      <c r="AD530" s="247">
        <v>0</v>
      </c>
      <c r="AE530" s="250">
        <v>60</v>
      </c>
      <c r="AF530" s="144">
        <v>0</v>
      </c>
      <c r="AG530" s="145">
        <v>1</v>
      </c>
      <c r="AH530" s="145">
        <v>1</v>
      </c>
      <c r="AI530" s="145">
        <v>1</v>
      </c>
      <c r="AJ530" s="145">
        <v>1</v>
      </c>
      <c r="AK530" s="145">
        <v>1</v>
      </c>
      <c r="AL530" s="145">
        <v>1</v>
      </c>
      <c r="AM530" s="145">
        <v>1</v>
      </c>
      <c r="AN530" s="145">
        <v>1</v>
      </c>
      <c r="AO530" s="145">
        <v>1</v>
      </c>
      <c r="AP530" s="145">
        <v>1</v>
      </c>
      <c r="AQ530" s="145">
        <v>1</v>
      </c>
      <c r="AR530" s="145">
        <v>1</v>
      </c>
      <c r="AS530" s="145">
        <v>1</v>
      </c>
      <c r="AT530" s="145">
        <v>1</v>
      </c>
      <c r="AU530" s="145">
        <f t="shared" si="148"/>
        <v>0</v>
      </c>
      <c r="AV530" s="145">
        <f t="shared" si="149"/>
        <v>1</v>
      </c>
      <c r="AW530" s="145">
        <f t="shared" si="150"/>
        <v>1</v>
      </c>
      <c r="AX530" s="145">
        <f t="shared" si="161"/>
        <v>1</v>
      </c>
      <c r="AY530" s="145">
        <f t="shared" si="151"/>
        <v>1</v>
      </c>
      <c r="AZ530" s="145">
        <f t="shared" si="152"/>
        <v>1</v>
      </c>
      <c r="BA530" s="146">
        <f t="shared" si="153"/>
        <v>0</v>
      </c>
      <c r="BB530" s="149">
        <f t="shared" si="190"/>
        <v>19</v>
      </c>
      <c r="BC530" s="150">
        <f t="shared" si="191"/>
        <v>19</v>
      </c>
      <c r="BD530" s="150">
        <f t="shared" si="192"/>
        <v>19</v>
      </c>
      <c r="BE530" s="211" t="str">
        <f t="shared" si="193"/>
        <v/>
      </c>
      <c r="BH530" s="184">
        <f>IF(AND(Input_Product=Elig!$C530,Elig_MatchAll_Ct&lt;22,$BC530=(Elig_MatchAll_Ct-1),AF530=0),C530,0)</f>
        <v>0</v>
      </c>
      <c r="BI530" s="184">
        <f>IF(AND(Input_Product=Elig!$C530,Elig_MatchAll_Ct&lt;22,$BC530=(Elig_MatchAll_Ct-1),AG530=0),D530,0)</f>
        <v>0</v>
      </c>
      <c r="BJ530" s="184">
        <f>IF(AND(Input_Product=Elig!$C530,Elig_MatchAll_Ct&lt;22,$BC530=(Elig_MatchAll_Ct-1),AH530=0),E530,0)</f>
        <v>0</v>
      </c>
      <c r="BK530" s="184">
        <f>IF(AND(Input_Product=Elig!$C530,Elig_MatchAll_Ct&lt;22,$BC530=(Elig_MatchAll_Ct-1),AI530=0),F530,0)</f>
        <v>0</v>
      </c>
      <c r="BL530" s="184">
        <f>IF(AND(Input_Product=Elig!$C530,Elig_MatchAll_Ct&lt;22,$BC530=(Elig_MatchAll_Ct-1),AJ530=0),G530,0)</f>
        <v>0</v>
      </c>
      <c r="BM530" s="184">
        <f>IF(AND(Input_Product=Elig!$C530,Elig_MatchAll_Ct&lt;22,$BC530=(Elig_MatchAll_Ct-1),AK530=0),H530,0)</f>
        <v>0</v>
      </c>
      <c r="BN530" s="184">
        <f>IF(AND(Input_Product=Elig!$C530,Elig_MatchAll_Ct&lt;22,$BC530=(Elig_MatchAll_Ct-1),AL530=0),I530,0)</f>
        <v>0</v>
      </c>
      <c r="BO530" s="184">
        <f>IF(AND(Input_Product=Elig!$C530,Elig_MatchAll_Ct&lt;22,$BC530=(Elig_MatchAll_Ct-1),AM530=0),J530,0)</f>
        <v>0</v>
      </c>
      <c r="BP530" s="184">
        <f>IF(AND(Input_Product=Elig!$C530,Elig_MatchAll_Ct&lt;22,$BC530=(Elig_MatchAll_Ct-1),AN530=0),K530,0)</f>
        <v>0</v>
      </c>
      <c r="BQ530" s="184">
        <f>IF(AND(Input_Product=Elig!$C530,Elig_MatchAll_Ct&lt;22,$BC530=(Elig_MatchAll_Ct-1),AP530=0),L530,0)</f>
        <v>0</v>
      </c>
      <c r="BR530" s="184">
        <f>IF(AND(Input_Product=Elig!$C530,Elig_MatchAll_Ct&lt;22,$BC530=(Elig_MatchAll_Ct-1),AO530=0),M530,0)</f>
        <v>0</v>
      </c>
      <c r="BS530" s="184">
        <f>IF(AND(Input_Product=Elig!$C530,Elig_MatchAll_Ct&lt;22,$BC530=(Elig_MatchAll_Ct-1),AQ530=0),N530,0)</f>
        <v>0</v>
      </c>
      <c r="BT530" s="184">
        <f>IF(AND(Input_Product=Elig!$C530,Elig_MatchAll_Ct&lt;22,$BC530=(Elig_MatchAll_Ct-1),AR530=0),O530,0)</f>
        <v>0</v>
      </c>
      <c r="BU530" s="184">
        <f>IF(AND(Input_Product=Elig!$C530,Elig_MatchAll_Ct&lt;22,$BC530=(Elig_MatchAll_Ct-1),AS530=0),P530,0)</f>
        <v>0</v>
      </c>
      <c r="BV530" s="185">
        <f>IF(AND(Input_Product=Elig!$C530,Elig_MatchAll_Ct&lt;22,$BC530=(Elig_MatchAll_Ct-1),AT530=0),Q530,0)</f>
        <v>0</v>
      </c>
      <c r="BW530" s="186">
        <f>IF(AND(Input_Product=Elig!$C530,Elig_MatchAll_Ct&lt;22,$BC530=(Elig_MatchAll_Ct-1),AU530=0),R530,0)</f>
        <v>0</v>
      </c>
      <c r="BX530" s="187">
        <f>IF(AND(Input_Product=Elig!$C530,Elig_MatchAll_Ct&lt;22,$BC530=(Elig_MatchAll_Ct-1),AU530=0),S530,0)</f>
        <v>0</v>
      </c>
      <c r="BY530" s="186">
        <f>IF(AND(Input_Product=Elig!$C530,Elig_MatchAll_Ct&lt;22,$BC530=(Elig_MatchAll_Ct-1),AV530=0),T530,0)</f>
        <v>0</v>
      </c>
      <c r="BZ530" s="187">
        <f>IF(AND(Input_Product=Elig!$C530,Elig_MatchAll_Ct&lt;22,$BC530=(Elig_MatchAll_Ct-1),AV530=0),U530,0)</f>
        <v>0</v>
      </c>
      <c r="CA530" s="186">
        <f>IF(AND(Input_Product=Elig!$C530,Elig_MatchAll_Ct&lt;22,$BC530=(Elig_MatchAll_Ct-1),AW530=0),V530,0)</f>
        <v>0</v>
      </c>
      <c r="CB530" s="187">
        <f>IF(AND(Input_Product=Elig!$C530,Elig_MatchAll_Ct&lt;22,$BC530=(Elig_MatchAll_Ct-1),AW530=0),W530,0)</f>
        <v>0</v>
      </c>
      <c r="CC530" s="186">
        <f>IF(AND(Input_Product=Elig!$C530,Elig_MatchAll_Ct&lt;22,$BC530=(Elig_MatchAll_Ct-1),AX530=0),X530,0)</f>
        <v>0</v>
      </c>
      <c r="CD530" s="187">
        <f>IF(AND(Input_Product=Elig!$C530,Elig_MatchAll_Ct&lt;22,$BC530=(Elig_MatchAll_Ct-1),AX530=0),Y530,0)</f>
        <v>0</v>
      </c>
      <c r="CE530" s="186">
        <f>IF(AND(Input_LTV&lt;=AE530,Input_Product=Elig!$C530,Elig_MatchAll_Ct&lt;22,$BC530=(Elig_MatchAll_Ct-1),AY530=0),Z530,0)</f>
        <v>0</v>
      </c>
      <c r="CF530" s="187">
        <f>IF(AND(Input_LTV&lt;=AE530,Input_Product=Elig!$C530,Elig_MatchAll_Ct&lt;22,$BC530=(Elig_MatchAll_Ct-1),AY530=0),AA530,0)</f>
        <v>0</v>
      </c>
      <c r="CG530" s="186">
        <f>IF(AND(Input_Product=Elig!$C530,Elig_MatchAll_Ct&lt;22,$BC530=(Elig_MatchAll_Ct-1),AZ530=0),AB530,0)</f>
        <v>0</v>
      </c>
      <c r="CH530" s="187">
        <f>IF(AND(Input_Product=Elig!$C530,Elig_MatchAll_Ct&lt;22,$BC530=(Elig_MatchAll_Ct-1),AZ530=0),AC530,0)</f>
        <v>0</v>
      </c>
      <c r="CI530" s="186">
        <f>IF(AND(Input_Product=Elig!$C530,Elig_MatchAll_Ct&lt;22,$BC530=(Elig_MatchAll_Ct-1),BA530=0),AD530,0)</f>
        <v>0</v>
      </c>
      <c r="CJ530" s="187">
        <f>IF(AND(Input_Product=Elig!$C530,Elig_MatchAll_Ct&lt;22,$BC530=(Elig_MatchAll_Ct-1),BA530=0),AE530,0)</f>
        <v>0</v>
      </c>
    </row>
    <row r="531" spans="1:88" ht="10.15" customHeight="1" x14ac:dyDescent="0.25">
      <c r="A531" s="1472" t="s">
        <v>76</v>
      </c>
      <c r="B531" s="1472" t="s">
        <v>1075</v>
      </c>
      <c r="C531" s="1473" t="str">
        <f t="shared" ref="C531:C687" si="204">Input_Name_Product4</f>
        <v>Second OO</v>
      </c>
      <c r="D531" s="1474" t="s">
        <v>1331</v>
      </c>
      <c r="E531" s="1474" t="s">
        <v>98</v>
      </c>
      <c r="F531" s="1474" t="s">
        <v>327</v>
      </c>
      <c r="G531" s="1474" t="s">
        <v>302</v>
      </c>
      <c r="H531" s="1474" t="s">
        <v>135</v>
      </c>
      <c r="I531" s="1474" t="s">
        <v>1141</v>
      </c>
      <c r="J531" s="1472" t="s">
        <v>1130</v>
      </c>
      <c r="K531" s="1474" t="s">
        <v>2464</v>
      </c>
      <c r="L531" s="1472" t="s">
        <v>428</v>
      </c>
      <c r="M531" s="1472" t="s">
        <v>1835</v>
      </c>
      <c r="N531" s="1474" t="s">
        <v>82</v>
      </c>
      <c r="O531" s="1472" t="s">
        <v>309</v>
      </c>
      <c r="P531" s="1472" t="s">
        <v>2433</v>
      </c>
      <c r="Q531" s="1472" t="s">
        <v>293</v>
      </c>
      <c r="R531" s="1472">
        <v>50000</v>
      </c>
      <c r="S531" s="1472">
        <v>350000</v>
      </c>
      <c r="T531" s="1472">
        <v>0</v>
      </c>
      <c r="U531" s="1472">
        <f t="shared" ref="U531:U610" si="205">S531</f>
        <v>350000</v>
      </c>
      <c r="V531" s="1472">
        <v>0</v>
      </c>
      <c r="W531" s="1472">
        <v>50</v>
      </c>
      <c r="X531" s="1472">
        <v>0</v>
      </c>
      <c r="Y531" s="1472">
        <v>999</v>
      </c>
      <c r="Z531" s="1475">
        <v>720</v>
      </c>
      <c r="AA531" s="1475">
        <v>999</v>
      </c>
      <c r="AB531" s="1475">
        <v>0</v>
      </c>
      <c r="AC531" s="1475">
        <v>999999</v>
      </c>
      <c r="AD531" s="1472">
        <v>0</v>
      </c>
      <c r="AE531" s="1218">
        <v>90</v>
      </c>
      <c r="AF531" s="144">
        <v>0</v>
      </c>
      <c r="AG531" s="145">
        <v>1</v>
      </c>
      <c r="AH531" s="145">
        <v>1</v>
      </c>
      <c r="AI531" s="145">
        <v>0</v>
      </c>
      <c r="AJ531" s="145">
        <v>0</v>
      </c>
      <c r="AK531" s="145">
        <v>1</v>
      </c>
      <c r="AL531" s="145">
        <v>1</v>
      </c>
      <c r="AM531" s="145">
        <v>1</v>
      </c>
      <c r="AN531" s="145">
        <v>1</v>
      </c>
      <c r="AO531" s="145">
        <v>1</v>
      </c>
      <c r="AP531" s="145">
        <v>1</v>
      </c>
      <c r="AQ531" s="145">
        <v>0</v>
      </c>
      <c r="AR531" s="145">
        <v>1</v>
      </c>
      <c r="AS531" s="145">
        <v>1</v>
      </c>
      <c r="AT531" s="145">
        <v>1</v>
      </c>
      <c r="AU531" s="145">
        <f t="shared" ref="AU531:AU608" si="206">IF(AND(Input_LoanAmt&gt;=Elig_LoanAmt_Min,Input_LoanAmt&lt;=Elig_LoanAmt_Max),1,0)</f>
        <v>1</v>
      </c>
      <c r="AV531" s="145">
        <f t="shared" ref="AV531:AV608" si="207">IF(AND(Input_CashoutAmt&gt;=Elig_CashoutAmt_Min,Input_CashoutAmt&lt;=Elig_CashoutAmt_Max),1,0)</f>
        <v>1</v>
      </c>
      <c r="AW531" s="145">
        <f t="shared" ref="AW531:AW608" si="208">IF(AND(Input_DTI&gt;=Elig_DTI_Min,Input_DTI&lt;=Elig_DTI_Max),1,0)</f>
        <v>1</v>
      </c>
      <c r="AX531" s="145">
        <f t="shared" si="161"/>
        <v>1</v>
      </c>
      <c r="AY531" s="145">
        <f t="shared" ref="AY531:AY608" si="209">IF(AND(Input_CreditScore&gt;=Elig_CreditScore_Min,Input_CreditScore&lt;=Elig_CreditScore_Max),1,0)</f>
        <v>1</v>
      </c>
      <c r="AZ531" s="145">
        <f t="shared" ref="AZ531:AZ608" si="210">IF(AND(Input_ReservesMonths&gt;=Elig_Reserves_Min,Input_ReservesMonths&lt;=Elig_Reserves_Max),1,0)</f>
        <v>1</v>
      </c>
      <c r="BA531" s="146">
        <f t="shared" ref="BA531:BA608" si="211">IF(AND(Input_LTV&gt;=Elig_LTV_Min,Input_LTV&lt;=Elig_LTV_Max),1,0)</f>
        <v>1</v>
      </c>
      <c r="BB531" s="149">
        <f t="shared" si="190"/>
        <v>18</v>
      </c>
      <c r="BC531" s="150">
        <f t="shared" si="191"/>
        <v>17</v>
      </c>
      <c r="BD531" s="150">
        <f t="shared" si="192"/>
        <v>18</v>
      </c>
      <c r="BE531" s="211" t="str">
        <f t="shared" si="193"/>
        <v/>
      </c>
      <c r="BF531" s="194"/>
      <c r="BG531" s="194"/>
      <c r="BH531" s="190">
        <f>IF(AND(Input_Product=Elig!$C531,Elig_MatchAll_Ct&lt;22,$BC531=(Elig_MatchAll_Ct-1),AF531=0),C531,0)</f>
        <v>0</v>
      </c>
      <c r="BI531" s="190">
        <f>IF(AND(Input_Product=Elig!$C531,Elig_MatchAll_Ct&lt;22,$BC531=(Elig_MatchAll_Ct-1),AG531=0),D531,0)</f>
        <v>0</v>
      </c>
      <c r="BJ531" s="190">
        <f>IF(AND(Input_Product=Elig!$C531,Elig_MatchAll_Ct&lt;22,$BC531=(Elig_MatchAll_Ct-1),AH531=0),E531,0)</f>
        <v>0</v>
      </c>
      <c r="BK531" s="190">
        <f>IF(AND(Input_Product=Elig!$C531,Elig_MatchAll_Ct&lt;22,$BC531=(Elig_MatchAll_Ct-1),AI531=0),F531,0)</f>
        <v>0</v>
      </c>
      <c r="BL531" s="190">
        <f>IF(AND(Input_Product=Elig!$C531,Elig_MatchAll_Ct&lt;22,$BC531=(Elig_MatchAll_Ct-1),AJ531=0),G531,0)</f>
        <v>0</v>
      </c>
      <c r="BM531" s="190">
        <f>IF(AND(Input_Product=Elig!$C531,Elig_MatchAll_Ct&lt;22,$BC531=(Elig_MatchAll_Ct-1),AK531=0),H531,0)</f>
        <v>0</v>
      </c>
      <c r="BN531" s="190">
        <f>IF(AND(Input_Product=Elig!$C531,Elig_MatchAll_Ct&lt;22,$BC531=(Elig_MatchAll_Ct-1),AL531=0),I531,0)</f>
        <v>0</v>
      </c>
      <c r="BO531" s="190">
        <f>IF(AND(Input_Product=Elig!$C531,Elig_MatchAll_Ct&lt;22,$BC531=(Elig_MatchAll_Ct-1),AM531=0),J531,0)</f>
        <v>0</v>
      </c>
      <c r="BP531" s="190">
        <f>IF(AND(Input_Product=Elig!$C531,Elig_MatchAll_Ct&lt;22,$BC531=(Elig_MatchAll_Ct-1),AN531=0),K531,0)</f>
        <v>0</v>
      </c>
      <c r="BQ531" s="190">
        <f>IF(AND(Input_Product=Elig!$C531,Elig_MatchAll_Ct&lt;22,$BC531=(Elig_MatchAll_Ct-1),AP531=0),L531,0)</f>
        <v>0</v>
      </c>
      <c r="BR531" s="190">
        <f>IF(AND(Input_Product=Elig!$C531,Elig_MatchAll_Ct&lt;22,$BC531=(Elig_MatchAll_Ct-1),AO531=0),M531,0)</f>
        <v>0</v>
      </c>
      <c r="BS531" s="190">
        <f>IF(AND(Input_Product=Elig!$C531,Elig_MatchAll_Ct&lt;22,$BC531=(Elig_MatchAll_Ct-1),AQ531=0),N531,0)</f>
        <v>0</v>
      </c>
      <c r="BT531" s="190">
        <f>IF(AND(Input_Product=Elig!$C531,Elig_MatchAll_Ct&lt;22,$BC531=(Elig_MatchAll_Ct-1),AR531=0),O531,0)</f>
        <v>0</v>
      </c>
      <c r="BU531" s="190">
        <f>IF(AND(Input_Product=Elig!$C531,Elig_MatchAll_Ct&lt;22,$BC531=(Elig_MatchAll_Ct-1),AS531=0),P531,0)</f>
        <v>0</v>
      </c>
      <c r="BV531" s="191">
        <f>IF(AND(Input_Product=Elig!$C531,Elig_MatchAll_Ct&lt;22,$BC531=(Elig_MatchAll_Ct-1),AT531=0),Q531,0)</f>
        <v>0</v>
      </c>
      <c r="BW531" s="273">
        <f>IF(AND(Input_Product=Elig!$C531,Elig_MatchAll_Ct&lt;22,$BC531=(Elig_MatchAll_Ct-1),AU531=0),R531,0)</f>
        <v>0</v>
      </c>
      <c r="BX531" s="274">
        <f>IF(AND(Input_Product=Elig!$C531,Elig_MatchAll_Ct&lt;22,$BC531=(Elig_MatchAll_Ct-1),AU531=0),S531,0)</f>
        <v>0</v>
      </c>
      <c r="BY531" s="273">
        <f>IF(AND(Input_Product=Elig!$C531,Elig_MatchAll_Ct&lt;22,$BC531=(Elig_MatchAll_Ct-1),AV531=0),T531,0)</f>
        <v>0</v>
      </c>
      <c r="BZ531" s="274">
        <f>IF(AND(Input_Product=Elig!$C531,Elig_MatchAll_Ct&lt;22,$BC531=(Elig_MatchAll_Ct-1),AV531=0),U531,0)</f>
        <v>0</v>
      </c>
      <c r="CA531" s="273">
        <f>IF(AND(Input_Product=Elig!$C531,Elig_MatchAll_Ct&lt;22,$BC531=(Elig_MatchAll_Ct-1),AW531=0),V531,0)</f>
        <v>0</v>
      </c>
      <c r="CB531" s="274">
        <f>IF(AND(Input_Product=Elig!$C531,Elig_MatchAll_Ct&lt;22,$BC531=(Elig_MatchAll_Ct-1),AW531=0),W531,0)</f>
        <v>0</v>
      </c>
      <c r="CC531" s="273">
        <f>IF(AND(Input_Product=Elig!$C531,Elig_MatchAll_Ct&lt;22,$BC531=(Elig_MatchAll_Ct-1),AX531=0),X531,0)</f>
        <v>0</v>
      </c>
      <c r="CD531" s="274">
        <f>IF(AND(Input_Product=Elig!$C531,Elig_MatchAll_Ct&lt;22,$BC531=(Elig_MatchAll_Ct-1),AX531=0),Y531,0)</f>
        <v>0</v>
      </c>
      <c r="CE531" s="273">
        <f>IF(AND(Input_LTV&lt;=AE531,Input_Product=Elig!$C531,Elig_MatchAll_Ct&lt;22,$BC531=(Elig_MatchAll_Ct-1),AY531=0),Z531,0)</f>
        <v>0</v>
      </c>
      <c r="CF531" s="274">
        <f>IF(AND(Input_LTV&lt;=AE531,Input_Product=Elig!$C531,Elig_MatchAll_Ct&lt;22,$BC531=(Elig_MatchAll_Ct-1),AY531=0),AA531,0)</f>
        <v>0</v>
      </c>
      <c r="CG531" s="273">
        <f>IF(AND(Input_Product=Elig!$C531,Elig_MatchAll_Ct&lt;22,$BC531=(Elig_MatchAll_Ct-1),AZ531=0),AB531,0)</f>
        <v>0</v>
      </c>
      <c r="CH531" s="274">
        <f>IF(AND(Input_Product=Elig!$C531,Elig_MatchAll_Ct&lt;22,$BC531=(Elig_MatchAll_Ct-1),AZ531=0),AC531,0)</f>
        <v>0</v>
      </c>
      <c r="CI531" s="273">
        <f>IF(AND(Input_Product=Elig!$C531,Elig_MatchAll_Ct&lt;22,$BC531=(Elig_MatchAll_Ct-1),BA531=0),AD531,0)</f>
        <v>0</v>
      </c>
      <c r="CJ531" s="274">
        <f>IF(AND(Input_Product=Elig!$C531,Elig_MatchAll_Ct&lt;22,$BC531=(Elig_MatchAll_Ct-1),BA531=0),AE531,0)</f>
        <v>0</v>
      </c>
    </row>
    <row r="532" spans="1:88" ht="10.15" customHeight="1" x14ac:dyDescent="0.25">
      <c r="A532" s="1476" t="s">
        <v>76</v>
      </c>
      <c r="B532" s="1476" t="s">
        <v>1076</v>
      </c>
      <c r="C532" s="1477" t="str">
        <f t="shared" si="204"/>
        <v>Second OO</v>
      </c>
      <c r="D532" s="1476" t="s">
        <v>1331</v>
      </c>
      <c r="E532" s="1476" t="s">
        <v>98</v>
      </c>
      <c r="F532" s="1476" t="s">
        <v>327</v>
      </c>
      <c r="G532" s="1478" t="s">
        <v>302</v>
      </c>
      <c r="H532" s="1478" t="s">
        <v>135</v>
      </c>
      <c r="I532" s="1476" t="s">
        <v>1141</v>
      </c>
      <c r="J532" s="1476" t="s">
        <v>1130</v>
      </c>
      <c r="K532" s="1478" t="s">
        <v>2464</v>
      </c>
      <c r="L532" s="1476" t="s">
        <v>428</v>
      </c>
      <c r="M532" s="1476" t="s">
        <v>1835</v>
      </c>
      <c r="N532" s="1478" t="s">
        <v>82</v>
      </c>
      <c r="O532" s="1476" t="s">
        <v>309</v>
      </c>
      <c r="P532" s="1476" t="s">
        <v>2433</v>
      </c>
      <c r="Q532" s="1476" t="s">
        <v>293</v>
      </c>
      <c r="R532" s="1476">
        <v>50000</v>
      </c>
      <c r="S532" s="1476">
        <v>350000</v>
      </c>
      <c r="T532" s="1476">
        <v>0</v>
      </c>
      <c r="U532" s="1476">
        <f t="shared" si="205"/>
        <v>350000</v>
      </c>
      <c r="V532" s="1476">
        <v>0</v>
      </c>
      <c r="W532" s="1476">
        <v>50</v>
      </c>
      <c r="X532" s="1476">
        <v>0</v>
      </c>
      <c r="Y532" s="1476">
        <v>999</v>
      </c>
      <c r="Z532" s="1479">
        <v>700</v>
      </c>
      <c r="AA532" s="1479">
        <v>719</v>
      </c>
      <c r="AB532" s="1479">
        <v>0</v>
      </c>
      <c r="AC532" s="1479">
        <v>999999</v>
      </c>
      <c r="AD532" s="1476">
        <v>0</v>
      </c>
      <c r="AE532" s="1219">
        <v>90</v>
      </c>
      <c r="AF532" s="144">
        <v>0</v>
      </c>
      <c r="AG532" s="145">
        <v>1</v>
      </c>
      <c r="AH532" s="145">
        <v>1</v>
      </c>
      <c r="AI532" s="145">
        <v>0</v>
      </c>
      <c r="AJ532" s="145">
        <v>0</v>
      </c>
      <c r="AK532" s="145">
        <v>1</v>
      </c>
      <c r="AL532" s="145">
        <v>1</v>
      </c>
      <c r="AM532" s="145">
        <v>1</v>
      </c>
      <c r="AN532" s="145">
        <v>1</v>
      </c>
      <c r="AO532" s="145">
        <v>1</v>
      </c>
      <c r="AP532" s="145">
        <v>1</v>
      </c>
      <c r="AQ532" s="145">
        <v>0</v>
      </c>
      <c r="AR532" s="145">
        <v>1</v>
      </c>
      <c r="AS532" s="145">
        <v>1</v>
      </c>
      <c r="AT532" s="145">
        <v>1</v>
      </c>
      <c r="AU532" s="145">
        <f t="shared" si="206"/>
        <v>1</v>
      </c>
      <c r="AV532" s="145">
        <f t="shared" si="207"/>
        <v>1</v>
      </c>
      <c r="AW532" s="145">
        <f t="shared" si="208"/>
        <v>1</v>
      </c>
      <c r="AX532" s="145">
        <f t="shared" si="161"/>
        <v>1</v>
      </c>
      <c r="AY532" s="145">
        <f t="shared" si="209"/>
        <v>0</v>
      </c>
      <c r="AZ532" s="145">
        <f t="shared" si="210"/>
        <v>1</v>
      </c>
      <c r="BA532" s="146">
        <f t="shared" si="211"/>
        <v>1</v>
      </c>
      <c r="BB532" s="149">
        <f t="shared" si="190"/>
        <v>17</v>
      </c>
      <c r="BC532" s="150">
        <f t="shared" si="191"/>
        <v>16</v>
      </c>
      <c r="BD532" s="150">
        <f t="shared" si="192"/>
        <v>17</v>
      </c>
      <c r="BE532" s="211" t="str">
        <f t="shared" si="193"/>
        <v/>
      </c>
      <c r="BF532" s="205"/>
      <c r="BG532" s="205"/>
      <c r="BH532" s="173">
        <f>IF(AND(Input_Product=Elig!$C532,Elig_MatchAll_Ct&lt;22,$BC532=(Elig_MatchAll_Ct-1),AF532=0),C532,0)</f>
        <v>0</v>
      </c>
      <c r="BI532" s="173">
        <f>IF(AND(Input_Product=Elig!$C532,Elig_MatchAll_Ct&lt;22,$BC532=(Elig_MatchAll_Ct-1),AG532=0),D532,0)</f>
        <v>0</v>
      </c>
      <c r="BJ532" s="173">
        <f>IF(AND(Input_Product=Elig!$C532,Elig_MatchAll_Ct&lt;22,$BC532=(Elig_MatchAll_Ct-1),AH532=0),E532,0)</f>
        <v>0</v>
      </c>
      <c r="BK532" s="173">
        <f>IF(AND(Input_Product=Elig!$C532,Elig_MatchAll_Ct&lt;22,$BC532=(Elig_MatchAll_Ct-1),AI532=0),F532,0)</f>
        <v>0</v>
      </c>
      <c r="BL532" s="173">
        <f>IF(AND(Input_Product=Elig!$C532,Elig_MatchAll_Ct&lt;22,$BC532=(Elig_MatchAll_Ct-1),AJ532=0),G532,0)</f>
        <v>0</v>
      </c>
      <c r="BM532" s="173">
        <f>IF(AND(Input_Product=Elig!$C532,Elig_MatchAll_Ct&lt;22,$BC532=(Elig_MatchAll_Ct-1),AK532=0),H532,0)</f>
        <v>0</v>
      </c>
      <c r="BN532" s="173">
        <f>IF(AND(Input_Product=Elig!$C532,Elig_MatchAll_Ct&lt;22,$BC532=(Elig_MatchAll_Ct-1),AL532=0),I532,0)</f>
        <v>0</v>
      </c>
      <c r="BO532" s="173">
        <f>IF(AND(Input_Product=Elig!$C532,Elig_MatchAll_Ct&lt;22,$BC532=(Elig_MatchAll_Ct-1),AM532=0),J532,0)</f>
        <v>0</v>
      </c>
      <c r="BP532" s="173">
        <f>IF(AND(Input_Product=Elig!$C532,Elig_MatchAll_Ct&lt;22,$BC532=(Elig_MatchAll_Ct-1),AN532=0),K532,0)</f>
        <v>0</v>
      </c>
      <c r="BQ532" s="173">
        <f>IF(AND(Input_Product=Elig!$C532,Elig_MatchAll_Ct&lt;22,$BC532=(Elig_MatchAll_Ct-1),AP532=0),L532,0)</f>
        <v>0</v>
      </c>
      <c r="BR532" s="173">
        <f>IF(AND(Input_Product=Elig!$C532,Elig_MatchAll_Ct&lt;22,$BC532=(Elig_MatchAll_Ct-1),AO532=0),M532,0)</f>
        <v>0</v>
      </c>
      <c r="BS532" s="173">
        <f>IF(AND(Input_Product=Elig!$C532,Elig_MatchAll_Ct&lt;22,$BC532=(Elig_MatchAll_Ct-1),AQ532=0),N532,0)</f>
        <v>0</v>
      </c>
      <c r="BT532" s="173">
        <f>IF(AND(Input_Product=Elig!$C532,Elig_MatchAll_Ct&lt;22,$BC532=(Elig_MatchAll_Ct-1),AR532=0),O532,0)</f>
        <v>0</v>
      </c>
      <c r="BU532" s="173">
        <f>IF(AND(Input_Product=Elig!$C532,Elig_MatchAll_Ct&lt;22,$BC532=(Elig_MatchAll_Ct-1),AS532=0),P532,0)</f>
        <v>0</v>
      </c>
      <c r="BV532" s="174">
        <f>IF(AND(Input_Product=Elig!$C532,Elig_MatchAll_Ct&lt;22,$BC532=(Elig_MatchAll_Ct-1),AT532=0),Q532,0)</f>
        <v>0</v>
      </c>
      <c r="BW532" s="175">
        <f>IF(AND(Input_Product=Elig!$C532,Elig_MatchAll_Ct&lt;22,$BC532=(Elig_MatchAll_Ct-1),AU532=0),R532,0)</f>
        <v>0</v>
      </c>
      <c r="BX532" s="176">
        <f>IF(AND(Input_Product=Elig!$C532,Elig_MatchAll_Ct&lt;22,$BC532=(Elig_MatchAll_Ct-1),AU532=0),S532,0)</f>
        <v>0</v>
      </c>
      <c r="BY532" s="175">
        <f>IF(AND(Input_Product=Elig!$C532,Elig_MatchAll_Ct&lt;22,$BC532=(Elig_MatchAll_Ct-1),AV532=0),T532,0)</f>
        <v>0</v>
      </c>
      <c r="BZ532" s="176">
        <f>IF(AND(Input_Product=Elig!$C532,Elig_MatchAll_Ct&lt;22,$BC532=(Elig_MatchAll_Ct-1),AV532=0),U532,0)</f>
        <v>0</v>
      </c>
      <c r="CA532" s="175">
        <f>IF(AND(Input_Product=Elig!$C532,Elig_MatchAll_Ct&lt;22,$BC532=(Elig_MatchAll_Ct-1),AW532=0),V532,0)</f>
        <v>0</v>
      </c>
      <c r="CB532" s="176">
        <f>IF(AND(Input_Product=Elig!$C532,Elig_MatchAll_Ct&lt;22,$BC532=(Elig_MatchAll_Ct-1),AW532=0),W532,0)</f>
        <v>0</v>
      </c>
      <c r="CC532" s="175">
        <f>IF(AND(Input_Product=Elig!$C532,Elig_MatchAll_Ct&lt;22,$BC532=(Elig_MatchAll_Ct-1),AX532=0),X532,0)</f>
        <v>0</v>
      </c>
      <c r="CD532" s="176">
        <f>IF(AND(Input_Product=Elig!$C532,Elig_MatchAll_Ct&lt;22,$BC532=(Elig_MatchAll_Ct-1),AX532=0),Y532,0)</f>
        <v>0</v>
      </c>
      <c r="CE532" s="175">
        <f>IF(AND(Input_LTV&lt;=AE532,Input_Product=Elig!$C532,Elig_MatchAll_Ct&lt;22,$BC532=(Elig_MatchAll_Ct-1),AY532=0),Z532,0)</f>
        <v>0</v>
      </c>
      <c r="CF532" s="176">
        <f>IF(AND(Input_LTV&lt;=AE532,Input_Product=Elig!$C532,Elig_MatchAll_Ct&lt;22,$BC532=(Elig_MatchAll_Ct-1),AY532=0),AA532,0)</f>
        <v>0</v>
      </c>
      <c r="CG532" s="175">
        <f>IF(AND(Input_Product=Elig!$C532,Elig_MatchAll_Ct&lt;22,$BC532=(Elig_MatchAll_Ct-1),AZ532=0),AB532,0)</f>
        <v>0</v>
      </c>
      <c r="CH532" s="176">
        <f>IF(AND(Input_Product=Elig!$C532,Elig_MatchAll_Ct&lt;22,$BC532=(Elig_MatchAll_Ct-1),AZ532=0),AC532,0)</f>
        <v>0</v>
      </c>
      <c r="CI532" s="175">
        <f>IF(AND(Input_Product=Elig!$C532,Elig_MatchAll_Ct&lt;22,$BC532=(Elig_MatchAll_Ct-1),BA532=0),AD532,0)</f>
        <v>0</v>
      </c>
      <c r="CJ532" s="176">
        <f>IF(AND(Input_Product=Elig!$C532,Elig_MatchAll_Ct&lt;22,$BC532=(Elig_MatchAll_Ct-1),BA532=0),AE532,0)</f>
        <v>0</v>
      </c>
    </row>
    <row r="533" spans="1:88" ht="10.15" customHeight="1" x14ac:dyDescent="0.25">
      <c r="A533" s="1476" t="s">
        <v>76</v>
      </c>
      <c r="B533" s="1476" t="s">
        <v>1077</v>
      </c>
      <c r="C533" s="1477" t="str">
        <f t="shared" si="204"/>
        <v>Second OO</v>
      </c>
      <c r="D533" s="1476" t="s">
        <v>1331</v>
      </c>
      <c r="E533" s="1476" t="s">
        <v>98</v>
      </c>
      <c r="F533" s="1476" t="s">
        <v>327</v>
      </c>
      <c r="G533" s="1478" t="s">
        <v>302</v>
      </c>
      <c r="H533" s="1478" t="s">
        <v>135</v>
      </c>
      <c r="I533" s="1476" t="s">
        <v>1141</v>
      </c>
      <c r="J533" s="1476" t="s">
        <v>1130</v>
      </c>
      <c r="K533" s="1478" t="s">
        <v>2464</v>
      </c>
      <c r="L533" s="1476" t="s">
        <v>428</v>
      </c>
      <c r="M533" s="1476" t="s">
        <v>1835</v>
      </c>
      <c r="N533" s="1478" t="s">
        <v>82</v>
      </c>
      <c r="O533" s="1476" t="s">
        <v>309</v>
      </c>
      <c r="P533" s="1476" t="s">
        <v>2433</v>
      </c>
      <c r="Q533" s="1476" t="s">
        <v>293</v>
      </c>
      <c r="R533" s="1476">
        <v>50000</v>
      </c>
      <c r="S533" s="1476">
        <v>350000</v>
      </c>
      <c r="T533" s="1476">
        <v>0</v>
      </c>
      <c r="U533" s="1476">
        <f t="shared" si="205"/>
        <v>350000</v>
      </c>
      <c r="V533" s="1476">
        <v>0</v>
      </c>
      <c r="W533" s="1476">
        <v>50</v>
      </c>
      <c r="X533" s="1476">
        <v>0</v>
      </c>
      <c r="Y533" s="1476">
        <v>999</v>
      </c>
      <c r="Z533" s="1479">
        <v>680</v>
      </c>
      <c r="AA533" s="1479">
        <v>699</v>
      </c>
      <c r="AB533" s="1479">
        <v>0</v>
      </c>
      <c r="AC533" s="1479">
        <v>999999</v>
      </c>
      <c r="AD533" s="1476">
        <v>0</v>
      </c>
      <c r="AE533" s="1219">
        <v>85</v>
      </c>
      <c r="AF533" s="144">
        <v>0</v>
      </c>
      <c r="AG533" s="145">
        <v>1</v>
      </c>
      <c r="AH533" s="145">
        <v>1</v>
      </c>
      <c r="AI533" s="145">
        <v>0</v>
      </c>
      <c r="AJ533" s="145">
        <v>0</v>
      </c>
      <c r="AK533" s="145">
        <v>1</v>
      </c>
      <c r="AL533" s="145">
        <v>1</v>
      </c>
      <c r="AM533" s="145">
        <v>1</v>
      </c>
      <c r="AN533" s="145">
        <v>1</v>
      </c>
      <c r="AO533" s="145">
        <v>1</v>
      </c>
      <c r="AP533" s="145">
        <v>1</v>
      </c>
      <c r="AQ533" s="145">
        <v>0</v>
      </c>
      <c r="AR533" s="145">
        <v>1</v>
      </c>
      <c r="AS533" s="145">
        <v>1</v>
      </c>
      <c r="AT533" s="145">
        <v>1</v>
      </c>
      <c r="AU533" s="145">
        <f t="shared" si="206"/>
        <v>1</v>
      </c>
      <c r="AV533" s="145">
        <f t="shared" si="207"/>
        <v>1</v>
      </c>
      <c r="AW533" s="145">
        <f t="shared" si="208"/>
        <v>1</v>
      </c>
      <c r="AX533" s="145">
        <f t="shared" si="161"/>
        <v>1</v>
      </c>
      <c r="AY533" s="145">
        <f t="shared" si="209"/>
        <v>0</v>
      </c>
      <c r="AZ533" s="145">
        <f t="shared" si="210"/>
        <v>1</v>
      </c>
      <c r="BA533" s="146">
        <f t="shared" si="211"/>
        <v>1</v>
      </c>
      <c r="BB533" s="149">
        <f t="shared" si="190"/>
        <v>17</v>
      </c>
      <c r="BC533" s="150">
        <f t="shared" si="191"/>
        <v>16</v>
      </c>
      <c r="BD533" s="150">
        <f t="shared" si="192"/>
        <v>17</v>
      </c>
      <c r="BE533" s="211" t="str">
        <f t="shared" si="193"/>
        <v/>
      </c>
      <c r="BF533" s="205"/>
      <c r="BG533" s="205"/>
      <c r="BH533" s="173">
        <f>IF(AND(Input_Product=Elig!$C533,Elig_MatchAll_Ct&lt;22,$BC533=(Elig_MatchAll_Ct-1),AF533=0),C533,0)</f>
        <v>0</v>
      </c>
      <c r="BI533" s="173">
        <f>IF(AND(Input_Product=Elig!$C533,Elig_MatchAll_Ct&lt;22,$BC533=(Elig_MatchAll_Ct-1),AG533=0),D533,0)</f>
        <v>0</v>
      </c>
      <c r="BJ533" s="173">
        <f>IF(AND(Input_Product=Elig!$C533,Elig_MatchAll_Ct&lt;22,$BC533=(Elig_MatchAll_Ct-1),AH533=0),E533,0)</f>
        <v>0</v>
      </c>
      <c r="BK533" s="173">
        <f>IF(AND(Input_Product=Elig!$C533,Elig_MatchAll_Ct&lt;22,$BC533=(Elig_MatchAll_Ct-1),AI533=0),F533,0)</f>
        <v>0</v>
      </c>
      <c r="BL533" s="173">
        <f>IF(AND(Input_Product=Elig!$C533,Elig_MatchAll_Ct&lt;22,$BC533=(Elig_MatchAll_Ct-1),AJ533=0),G533,0)</f>
        <v>0</v>
      </c>
      <c r="BM533" s="173">
        <f>IF(AND(Input_Product=Elig!$C533,Elig_MatchAll_Ct&lt;22,$BC533=(Elig_MatchAll_Ct-1),AK533=0),H533,0)</f>
        <v>0</v>
      </c>
      <c r="BN533" s="173">
        <f>IF(AND(Input_Product=Elig!$C533,Elig_MatchAll_Ct&lt;22,$BC533=(Elig_MatchAll_Ct-1),AL533=0),I533,0)</f>
        <v>0</v>
      </c>
      <c r="BO533" s="173">
        <f>IF(AND(Input_Product=Elig!$C533,Elig_MatchAll_Ct&lt;22,$BC533=(Elig_MatchAll_Ct-1),AM533=0),J533,0)</f>
        <v>0</v>
      </c>
      <c r="BP533" s="173">
        <f>IF(AND(Input_Product=Elig!$C533,Elig_MatchAll_Ct&lt;22,$BC533=(Elig_MatchAll_Ct-1),AN533=0),K533,0)</f>
        <v>0</v>
      </c>
      <c r="BQ533" s="173">
        <f>IF(AND(Input_Product=Elig!$C533,Elig_MatchAll_Ct&lt;22,$BC533=(Elig_MatchAll_Ct-1),AP533=0),L533,0)</f>
        <v>0</v>
      </c>
      <c r="BR533" s="173">
        <f>IF(AND(Input_Product=Elig!$C533,Elig_MatchAll_Ct&lt;22,$BC533=(Elig_MatchAll_Ct-1),AO533=0),M533,0)</f>
        <v>0</v>
      </c>
      <c r="BS533" s="173">
        <f>IF(AND(Input_Product=Elig!$C533,Elig_MatchAll_Ct&lt;22,$BC533=(Elig_MatchAll_Ct-1),AQ533=0),N533,0)</f>
        <v>0</v>
      </c>
      <c r="BT533" s="173">
        <f>IF(AND(Input_Product=Elig!$C533,Elig_MatchAll_Ct&lt;22,$BC533=(Elig_MatchAll_Ct-1),AR533=0),O533,0)</f>
        <v>0</v>
      </c>
      <c r="BU533" s="173">
        <f>IF(AND(Input_Product=Elig!$C533,Elig_MatchAll_Ct&lt;22,$BC533=(Elig_MatchAll_Ct-1),AS533=0),P533,0)</f>
        <v>0</v>
      </c>
      <c r="BV533" s="174">
        <f>IF(AND(Input_Product=Elig!$C533,Elig_MatchAll_Ct&lt;22,$BC533=(Elig_MatchAll_Ct-1),AT533=0),Q533,0)</f>
        <v>0</v>
      </c>
      <c r="BW533" s="175">
        <f>IF(AND(Input_Product=Elig!$C533,Elig_MatchAll_Ct&lt;22,$BC533=(Elig_MatchAll_Ct-1),AU533=0),R533,0)</f>
        <v>0</v>
      </c>
      <c r="BX533" s="176">
        <f>IF(AND(Input_Product=Elig!$C533,Elig_MatchAll_Ct&lt;22,$BC533=(Elig_MatchAll_Ct-1),AU533=0),S533,0)</f>
        <v>0</v>
      </c>
      <c r="BY533" s="175">
        <f>IF(AND(Input_Product=Elig!$C533,Elig_MatchAll_Ct&lt;22,$BC533=(Elig_MatchAll_Ct-1),AV533=0),T533,0)</f>
        <v>0</v>
      </c>
      <c r="BZ533" s="176">
        <f>IF(AND(Input_Product=Elig!$C533,Elig_MatchAll_Ct&lt;22,$BC533=(Elig_MatchAll_Ct-1),AV533=0),U533,0)</f>
        <v>0</v>
      </c>
      <c r="CA533" s="175">
        <f>IF(AND(Input_Product=Elig!$C533,Elig_MatchAll_Ct&lt;22,$BC533=(Elig_MatchAll_Ct-1),AW533=0),V533,0)</f>
        <v>0</v>
      </c>
      <c r="CB533" s="176">
        <f>IF(AND(Input_Product=Elig!$C533,Elig_MatchAll_Ct&lt;22,$BC533=(Elig_MatchAll_Ct-1),AW533=0),W533,0)</f>
        <v>0</v>
      </c>
      <c r="CC533" s="175">
        <f>IF(AND(Input_Product=Elig!$C533,Elig_MatchAll_Ct&lt;22,$BC533=(Elig_MatchAll_Ct-1),AX533=0),X533,0)</f>
        <v>0</v>
      </c>
      <c r="CD533" s="176">
        <f>IF(AND(Input_Product=Elig!$C533,Elig_MatchAll_Ct&lt;22,$BC533=(Elig_MatchAll_Ct-1),AX533=0),Y533,0)</f>
        <v>0</v>
      </c>
      <c r="CE533" s="175">
        <f>IF(AND(Input_LTV&lt;=AE533,Input_Product=Elig!$C533,Elig_MatchAll_Ct&lt;22,$BC533=(Elig_MatchAll_Ct-1),AY533=0),Z533,0)</f>
        <v>0</v>
      </c>
      <c r="CF533" s="176">
        <f>IF(AND(Input_LTV&lt;=AE533,Input_Product=Elig!$C533,Elig_MatchAll_Ct&lt;22,$BC533=(Elig_MatchAll_Ct-1),AY533=0),AA533,0)</f>
        <v>0</v>
      </c>
      <c r="CG533" s="175">
        <f>IF(AND(Input_Product=Elig!$C533,Elig_MatchAll_Ct&lt;22,$BC533=(Elig_MatchAll_Ct-1),AZ533=0),AB533,0)</f>
        <v>0</v>
      </c>
      <c r="CH533" s="176">
        <f>IF(AND(Input_Product=Elig!$C533,Elig_MatchAll_Ct&lt;22,$BC533=(Elig_MatchAll_Ct-1),AZ533=0),AC533,0)</f>
        <v>0</v>
      </c>
      <c r="CI533" s="175">
        <f>IF(AND(Input_Product=Elig!$C533,Elig_MatchAll_Ct&lt;22,$BC533=(Elig_MatchAll_Ct-1),BA533=0),AD533,0)</f>
        <v>0</v>
      </c>
      <c r="CJ533" s="176">
        <f>IF(AND(Input_Product=Elig!$C533,Elig_MatchAll_Ct&lt;22,$BC533=(Elig_MatchAll_Ct-1),BA533=0),AE533,0)</f>
        <v>0</v>
      </c>
    </row>
    <row r="534" spans="1:88" ht="10.15" customHeight="1" x14ac:dyDescent="0.25">
      <c r="A534" s="1476" t="s">
        <v>76</v>
      </c>
      <c r="B534" s="1476" t="s">
        <v>1078</v>
      </c>
      <c r="C534" s="1481" t="str">
        <f t="shared" si="204"/>
        <v>Second OO</v>
      </c>
      <c r="D534" s="1480" t="s">
        <v>1331</v>
      </c>
      <c r="E534" s="1480" t="s">
        <v>98</v>
      </c>
      <c r="F534" s="1480" t="s">
        <v>327</v>
      </c>
      <c r="G534" s="1482" t="s">
        <v>302</v>
      </c>
      <c r="H534" s="1482" t="s">
        <v>135</v>
      </c>
      <c r="I534" s="1480" t="s">
        <v>1141</v>
      </c>
      <c r="J534" s="1480" t="s">
        <v>1130</v>
      </c>
      <c r="K534" s="1482" t="s">
        <v>2464</v>
      </c>
      <c r="L534" s="1480" t="s">
        <v>428</v>
      </c>
      <c r="M534" s="1480" t="s">
        <v>1835</v>
      </c>
      <c r="N534" s="1482" t="s">
        <v>82</v>
      </c>
      <c r="O534" s="1480" t="s">
        <v>309</v>
      </c>
      <c r="P534" s="1480" t="s">
        <v>2433</v>
      </c>
      <c r="Q534" s="1480" t="s">
        <v>293</v>
      </c>
      <c r="R534" s="1480">
        <v>50000</v>
      </c>
      <c r="S534" s="1480">
        <v>350000</v>
      </c>
      <c r="T534" s="1480">
        <v>0</v>
      </c>
      <c r="U534" s="1480">
        <f t="shared" si="205"/>
        <v>350000</v>
      </c>
      <c r="V534" s="1480">
        <v>0</v>
      </c>
      <c r="W534" s="1480">
        <v>50</v>
      </c>
      <c r="X534" s="1480">
        <v>0</v>
      </c>
      <c r="Y534" s="1480">
        <v>999</v>
      </c>
      <c r="Z534" s="1483">
        <v>660</v>
      </c>
      <c r="AA534" s="1483">
        <v>679</v>
      </c>
      <c r="AB534" s="1483">
        <v>0</v>
      </c>
      <c r="AC534" s="1483">
        <v>999999</v>
      </c>
      <c r="AD534" s="1480">
        <v>0</v>
      </c>
      <c r="AE534" s="1220">
        <v>80</v>
      </c>
      <c r="AF534" s="144">
        <v>0</v>
      </c>
      <c r="AG534" s="145">
        <v>1</v>
      </c>
      <c r="AH534" s="145">
        <v>1</v>
      </c>
      <c r="AI534" s="145">
        <v>0</v>
      </c>
      <c r="AJ534" s="145">
        <v>0</v>
      </c>
      <c r="AK534" s="145">
        <v>1</v>
      </c>
      <c r="AL534" s="145">
        <v>1</v>
      </c>
      <c r="AM534" s="145">
        <v>1</v>
      </c>
      <c r="AN534" s="145">
        <v>1</v>
      </c>
      <c r="AO534" s="145">
        <v>1</v>
      </c>
      <c r="AP534" s="145">
        <v>1</v>
      </c>
      <c r="AQ534" s="145">
        <v>0</v>
      </c>
      <c r="AR534" s="145">
        <v>1</v>
      </c>
      <c r="AS534" s="145">
        <v>1</v>
      </c>
      <c r="AT534" s="145">
        <v>1</v>
      </c>
      <c r="AU534" s="145">
        <f t="shared" si="206"/>
        <v>1</v>
      </c>
      <c r="AV534" s="145">
        <f t="shared" si="207"/>
        <v>1</v>
      </c>
      <c r="AW534" s="145">
        <f t="shared" si="208"/>
        <v>1</v>
      </c>
      <c r="AX534" s="145">
        <f t="shared" si="161"/>
        <v>1</v>
      </c>
      <c r="AY534" s="145">
        <f t="shared" si="209"/>
        <v>0</v>
      </c>
      <c r="AZ534" s="145">
        <f t="shared" si="210"/>
        <v>1</v>
      </c>
      <c r="BA534" s="146">
        <f t="shared" si="211"/>
        <v>1</v>
      </c>
      <c r="BB534" s="149">
        <f t="shared" si="190"/>
        <v>17</v>
      </c>
      <c r="BC534" s="150">
        <f t="shared" si="191"/>
        <v>16</v>
      </c>
      <c r="BD534" s="150">
        <f t="shared" si="192"/>
        <v>17</v>
      </c>
      <c r="BE534" s="211" t="str">
        <f t="shared" si="193"/>
        <v/>
      </c>
      <c r="BF534" s="205"/>
      <c r="BG534" s="205"/>
      <c r="BH534" s="188">
        <f>IF(AND(Input_Product=Elig!$C534,Elig_MatchAll_Ct&lt;22,$BC534=(Elig_MatchAll_Ct-1),AF534=0),C534,0)</f>
        <v>0</v>
      </c>
      <c r="BI534" s="188">
        <f>IF(AND(Input_Product=Elig!$C534,Elig_MatchAll_Ct&lt;22,$BC534=(Elig_MatchAll_Ct-1),AG534=0),D534,0)</f>
        <v>0</v>
      </c>
      <c r="BJ534" s="188">
        <f>IF(AND(Input_Product=Elig!$C534,Elig_MatchAll_Ct&lt;22,$BC534=(Elig_MatchAll_Ct-1),AH534=0),E534,0)</f>
        <v>0</v>
      </c>
      <c r="BK534" s="188">
        <f>IF(AND(Input_Product=Elig!$C534,Elig_MatchAll_Ct&lt;22,$BC534=(Elig_MatchAll_Ct-1),AI534=0),F534,0)</f>
        <v>0</v>
      </c>
      <c r="BL534" s="188">
        <f>IF(AND(Input_Product=Elig!$C534,Elig_MatchAll_Ct&lt;22,$BC534=(Elig_MatchAll_Ct-1),AJ534=0),G534,0)</f>
        <v>0</v>
      </c>
      <c r="BM534" s="188">
        <f>IF(AND(Input_Product=Elig!$C534,Elig_MatchAll_Ct&lt;22,$BC534=(Elig_MatchAll_Ct-1),AK534=0),H534,0)</f>
        <v>0</v>
      </c>
      <c r="BN534" s="188">
        <f>IF(AND(Input_Product=Elig!$C534,Elig_MatchAll_Ct&lt;22,$BC534=(Elig_MatchAll_Ct-1),AL534=0),I534,0)</f>
        <v>0</v>
      </c>
      <c r="BO534" s="188">
        <f>IF(AND(Input_Product=Elig!$C534,Elig_MatchAll_Ct&lt;22,$BC534=(Elig_MatchAll_Ct-1),AM534=0),J534,0)</f>
        <v>0</v>
      </c>
      <c r="BP534" s="188">
        <f>IF(AND(Input_Product=Elig!$C534,Elig_MatchAll_Ct&lt;22,$BC534=(Elig_MatchAll_Ct-1),AN534=0),K534,0)</f>
        <v>0</v>
      </c>
      <c r="BQ534" s="188">
        <f>IF(AND(Input_Product=Elig!$C534,Elig_MatchAll_Ct&lt;22,$BC534=(Elig_MatchAll_Ct-1),AP534=0),L534,0)</f>
        <v>0</v>
      </c>
      <c r="BR534" s="188">
        <f>IF(AND(Input_Product=Elig!$C534,Elig_MatchAll_Ct&lt;22,$BC534=(Elig_MatchAll_Ct-1),AO534=0),M534,0)</f>
        <v>0</v>
      </c>
      <c r="BS534" s="188">
        <f>IF(AND(Input_Product=Elig!$C534,Elig_MatchAll_Ct&lt;22,$BC534=(Elig_MatchAll_Ct-1),AQ534=0),N534,0)</f>
        <v>0</v>
      </c>
      <c r="BT534" s="188">
        <f>IF(AND(Input_Product=Elig!$C534,Elig_MatchAll_Ct&lt;22,$BC534=(Elig_MatchAll_Ct-1),AR534=0),O534,0)</f>
        <v>0</v>
      </c>
      <c r="BU534" s="188">
        <f>IF(AND(Input_Product=Elig!$C534,Elig_MatchAll_Ct&lt;22,$BC534=(Elig_MatchAll_Ct-1),AS534=0),P534,0)</f>
        <v>0</v>
      </c>
      <c r="BV534" s="189">
        <f>IF(AND(Input_Product=Elig!$C534,Elig_MatchAll_Ct&lt;22,$BC534=(Elig_MatchAll_Ct-1),AT534=0),Q534,0)</f>
        <v>0</v>
      </c>
      <c r="BW534" s="271">
        <f>IF(AND(Input_Product=Elig!$C534,Elig_MatchAll_Ct&lt;22,$BC534=(Elig_MatchAll_Ct-1),AU534=0),R534,0)</f>
        <v>0</v>
      </c>
      <c r="BX534" s="272">
        <f>IF(AND(Input_Product=Elig!$C534,Elig_MatchAll_Ct&lt;22,$BC534=(Elig_MatchAll_Ct-1),AU534=0),S534,0)</f>
        <v>0</v>
      </c>
      <c r="BY534" s="271">
        <f>IF(AND(Input_Product=Elig!$C534,Elig_MatchAll_Ct&lt;22,$BC534=(Elig_MatchAll_Ct-1),AV534=0),T534,0)</f>
        <v>0</v>
      </c>
      <c r="BZ534" s="272">
        <f>IF(AND(Input_Product=Elig!$C534,Elig_MatchAll_Ct&lt;22,$BC534=(Elig_MatchAll_Ct-1),AV534=0),U534,0)</f>
        <v>0</v>
      </c>
      <c r="CA534" s="271">
        <f>IF(AND(Input_Product=Elig!$C534,Elig_MatchAll_Ct&lt;22,$BC534=(Elig_MatchAll_Ct-1),AW534=0),V534,0)</f>
        <v>0</v>
      </c>
      <c r="CB534" s="272">
        <f>IF(AND(Input_Product=Elig!$C534,Elig_MatchAll_Ct&lt;22,$BC534=(Elig_MatchAll_Ct-1),AW534=0),W534,0)</f>
        <v>0</v>
      </c>
      <c r="CC534" s="271">
        <f>IF(AND(Input_Product=Elig!$C534,Elig_MatchAll_Ct&lt;22,$BC534=(Elig_MatchAll_Ct-1),AX534=0),X534,0)</f>
        <v>0</v>
      </c>
      <c r="CD534" s="272">
        <f>IF(AND(Input_Product=Elig!$C534,Elig_MatchAll_Ct&lt;22,$BC534=(Elig_MatchAll_Ct-1),AX534=0),Y534,0)</f>
        <v>0</v>
      </c>
      <c r="CE534" s="271">
        <f>IF(AND(Input_LTV&lt;=AE534,Input_Product=Elig!$C534,Elig_MatchAll_Ct&lt;22,$BC534=(Elig_MatchAll_Ct-1),AY534=0),Z534,0)</f>
        <v>0</v>
      </c>
      <c r="CF534" s="272">
        <f>IF(AND(Input_LTV&lt;=AE534,Input_Product=Elig!$C534,Elig_MatchAll_Ct&lt;22,$BC534=(Elig_MatchAll_Ct-1),AY534=0),AA534,0)</f>
        <v>0</v>
      </c>
      <c r="CG534" s="271">
        <f>IF(AND(Input_Product=Elig!$C534,Elig_MatchAll_Ct&lt;22,$BC534=(Elig_MatchAll_Ct-1),AZ534=0),AB534,0)</f>
        <v>0</v>
      </c>
      <c r="CH534" s="272">
        <f>IF(AND(Input_Product=Elig!$C534,Elig_MatchAll_Ct&lt;22,$BC534=(Elig_MatchAll_Ct-1),AZ534=0),AC534,0)</f>
        <v>0</v>
      </c>
      <c r="CI534" s="271">
        <f>IF(AND(Input_Product=Elig!$C534,Elig_MatchAll_Ct&lt;22,$BC534=(Elig_MatchAll_Ct-1),BA534=0),AD534,0)</f>
        <v>0</v>
      </c>
      <c r="CJ534" s="272">
        <f>IF(AND(Input_Product=Elig!$C534,Elig_MatchAll_Ct&lt;22,$BC534=(Elig_MatchAll_Ct-1),BA534=0),AE534,0)</f>
        <v>0</v>
      </c>
    </row>
    <row r="535" spans="1:88" ht="10.15" customHeight="1" x14ac:dyDescent="0.25">
      <c r="A535" s="1476" t="s">
        <v>76</v>
      </c>
      <c r="B535" s="1476" t="s">
        <v>1079</v>
      </c>
      <c r="C535" s="1473" t="str">
        <f t="shared" si="204"/>
        <v>Second OO</v>
      </c>
      <c r="D535" s="1474" t="s">
        <v>1121</v>
      </c>
      <c r="E535" s="1474" t="s">
        <v>98</v>
      </c>
      <c r="F535" s="1474" t="s">
        <v>327</v>
      </c>
      <c r="G535" s="1474" t="s">
        <v>302</v>
      </c>
      <c r="H535" s="1474" t="s">
        <v>135</v>
      </c>
      <c r="I535" s="1472" t="s">
        <v>1141</v>
      </c>
      <c r="J535" s="1472" t="s">
        <v>1130</v>
      </c>
      <c r="K535" s="1474" t="s">
        <v>2464</v>
      </c>
      <c r="L535" s="1472" t="s">
        <v>428</v>
      </c>
      <c r="M535" s="1472" t="s">
        <v>1835</v>
      </c>
      <c r="N535" s="1474" t="s">
        <v>82</v>
      </c>
      <c r="O535" s="1472" t="s">
        <v>309</v>
      </c>
      <c r="P535" s="1472" t="s">
        <v>2433</v>
      </c>
      <c r="Q535" s="1472" t="s">
        <v>293</v>
      </c>
      <c r="R535" s="1472">
        <v>200000</v>
      </c>
      <c r="S535" s="1472">
        <v>350000</v>
      </c>
      <c r="T535" s="1472">
        <v>0</v>
      </c>
      <c r="U535" s="1472">
        <f t="shared" si="205"/>
        <v>350000</v>
      </c>
      <c r="V535" s="1472">
        <v>0</v>
      </c>
      <c r="W535" s="1472">
        <v>50</v>
      </c>
      <c r="X535" s="1472">
        <v>0</v>
      </c>
      <c r="Y535" s="1472">
        <v>999</v>
      </c>
      <c r="Z535" s="1475">
        <v>720</v>
      </c>
      <c r="AA535" s="1475">
        <v>999</v>
      </c>
      <c r="AB535" s="1475">
        <v>0</v>
      </c>
      <c r="AC535" s="1475">
        <v>999999</v>
      </c>
      <c r="AD535" s="1472">
        <v>0</v>
      </c>
      <c r="AE535" s="1218">
        <v>90</v>
      </c>
      <c r="AF535" s="144">
        <v>0</v>
      </c>
      <c r="AG535" s="145">
        <v>0</v>
      </c>
      <c r="AH535" s="145">
        <v>1</v>
      </c>
      <c r="AI535" s="145">
        <v>0</v>
      </c>
      <c r="AJ535" s="145">
        <v>0</v>
      </c>
      <c r="AK535" s="145">
        <v>1</v>
      </c>
      <c r="AL535" s="145">
        <v>1</v>
      </c>
      <c r="AM535" s="145">
        <v>1</v>
      </c>
      <c r="AN535" s="145">
        <v>1</v>
      </c>
      <c r="AO535" s="145">
        <v>1</v>
      </c>
      <c r="AP535" s="145">
        <v>1</v>
      </c>
      <c r="AQ535" s="145">
        <v>0</v>
      </c>
      <c r="AR535" s="145">
        <v>1</v>
      </c>
      <c r="AS535" s="145">
        <v>1</v>
      </c>
      <c r="AT535" s="145">
        <v>1</v>
      </c>
      <c r="AU535" s="145">
        <f t="shared" si="206"/>
        <v>0</v>
      </c>
      <c r="AV535" s="145">
        <f t="shared" si="207"/>
        <v>1</v>
      </c>
      <c r="AW535" s="145">
        <f t="shared" si="208"/>
        <v>1</v>
      </c>
      <c r="AX535" s="145">
        <f t="shared" si="161"/>
        <v>1</v>
      </c>
      <c r="AY535" s="145">
        <f t="shared" si="209"/>
        <v>1</v>
      </c>
      <c r="AZ535" s="145">
        <f t="shared" si="210"/>
        <v>1</v>
      </c>
      <c r="BA535" s="146">
        <f t="shared" si="211"/>
        <v>1</v>
      </c>
      <c r="BB535" s="149">
        <f t="shared" si="190"/>
        <v>16</v>
      </c>
      <c r="BC535" s="150">
        <f t="shared" si="191"/>
        <v>15</v>
      </c>
      <c r="BD535" s="150">
        <f t="shared" si="192"/>
        <v>16</v>
      </c>
      <c r="BE535" s="211" t="str">
        <f t="shared" si="193"/>
        <v/>
      </c>
      <c r="BF535" s="194"/>
      <c r="BG535" s="194"/>
      <c r="BH535" s="190">
        <f>IF(AND(Input_Product=Elig!$C535,Elig_MatchAll_Ct&lt;22,$BC535=(Elig_MatchAll_Ct-1),AF535=0),C535,0)</f>
        <v>0</v>
      </c>
      <c r="BI535" s="190">
        <f>IF(AND(Input_Product=Elig!$C535,Elig_MatchAll_Ct&lt;22,$BC535=(Elig_MatchAll_Ct-1),AG535=0),D535,0)</f>
        <v>0</v>
      </c>
      <c r="BJ535" s="190">
        <f>IF(AND(Input_Product=Elig!$C535,Elig_MatchAll_Ct&lt;22,$BC535=(Elig_MatchAll_Ct-1),AH535=0),E535,0)</f>
        <v>0</v>
      </c>
      <c r="BK535" s="190">
        <f>IF(AND(Input_Product=Elig!$C535,Elig_MatchAll_Ct&lt;22,$BC535=(Elig_MatchAll_Ct-1),AI535=0),F535,0)</f>
        <v>0</v>
      </c>
      <c r="BL535" s="190">
        <f>IF(AND(Input_Product=Elig!$C535,Elig_MatchAll_Ct&lt;22,$BC535=(Elig_MatchAll_Ct-1),AJ535=0),G535,0)</f>
        <v>0</v>
      </c>
      <c r="BM535" s="190">
        <f>IF(AND(Input_Product=Elig!$C535,Elig_MatchAll_Ct&lt;22,$BC535=(Elig_MatchAll_Ct-1),AK535=0),H535,0)</f>
        <v>0</v>
      </c>
      <c r="BN535" s="190">
        <f>IF(AND(Input_Product=Elig!$C535,Elig_MatchAll_Ct&lt;22,$BC535=(Elig_MatchAll_Ct-1),AL535=0),I535,0)</f>
        <v>0</v>
      </c>
      <c r="BO535" s="190">
        <f>IF(AND(Input_Product=Elig!$C535,Elig_MatchAll_Ct&lt;22,$BC535=(Elig_MatchAll_Ct-1),AM535=0),J535,0)</f>
        <v>0</v>
      </c>
      <c r="BP535" s="190">
        <f>IF(AND(Input_Product=Elig!$C535,Elig_MatchAll_Ct&lt;22,$BC535=(Elig_MatchAll_Ct-1),AN535=0),K535,0)</f>
        <v>0</v>
      </c>
      <c r="BQ535" s="190">
        <f>IF(AND(Input_Product=Elig!$C535,Elig_MatchAll_Ct&lt;22,$BC535=(Elig_MatchAll_Ct-1),AP535=0),L535,0)</f>
        <v>0</v>
      </c>
      <c r="BR535" s="190">
        <f>IF(AND(Input_Product=Elig!$C535,Elig_MatchAll_Ct&lt;22,$BC535=(Elig_MatchAll_Ct-1),AO535=0),M535,0)</f>
        <v>0</v>
      </c>
      <c r="BS535" s="190">
        <f>IF(AND(Input_Product=Elig!$C535,Elig_MatchAll_Ct&lt;22,$BC535=(Elig_MatchAll_Ct-1),AQ535=0),N535,0)</f>
        <v>0</v>
      </c>
      <c r="BT535" s="190">
        <f>IF(AND(Input_Product=Elig!$C535,Elig_MatchAll_Ct&lt;22,$BC535=(Elig_MatchAll_Ct-1),AR535=0),O535,0)</f>
        <v>0</v>
      </c>
      <c r="BU535" s="190">
        <f>IF(AND(Input_Product=Elig!$C535,Elig_MatchAll_Ct&lt;22,$BC535=(Elig_MatchAll_Ct-1),AS535=0),P535,0)</f>
        <v>0</v>
      </c>
      <c r="BV535" s="191">
        <f>IF(AND(Input_Product=Elig!$C535,Elig_MatchAll_Ct&lt;22,$BC535=(Elig_MatchAll_Ct-1),AT535=0),Q535,0)</f>
        <v>0</v>
      </c>
      <c r="BW535" s="273">
        <f>IF(AND(Input_Product=Elig!$C535,Elig_MatchAll_Ct&lt;22,$BC535=(Elig_MatchAll_Ct-1),AU535=0),R535,0)</f>
        <v>0</v>
      </c>
      <c r="BX535" s="274">
        <f>IF(AND(Input_Product=Elig!$C535,Elig_MatchAll_Ct&lt;22,$BC535=(Elig_MatchAll_Ct-1),AU535=0),S535,0)</f>
        <v>0</v>
      </c>
      <c r="BY535" s="273">
        <f>IF(AND(Input_Product=Elig!$C535,Elig_MatchAll_Ct&lt;22,$BC535=(Elig_MatchAll_Ct-1),AV535=0),T535,0)</f>
        <v>0</v>
      </c>
      <c r="BZ535" s="274">
        <f>IF(AND(Input_Product=Elig!$C535,Elig_MatchAll_Ct&lt;22,$BC535=(Elig_MatchAll_Ct-1),AV535=0),U535,0)</f>
        <v>0</v>
      </c>
      <c r="CA535" s="273">
        <f>IF(AND(Input_Product=Elig!$C535,Elig_MatchAll_Ct&lt;22,$BC535=(Elig_MatchAll_Ct-1),AW535=0),V535,0)</f>
        <v>0</v>
      </c>
      <c r="CB535" s="274">
        <f>IF(AND(Input_Product=Elig!$C535,Elig_MatchAll_Ct&lt;22,$BC535=(Elig_MatchAll_Ct-1),AW535=0),W535,0)</f>
        <v>0</v>
      </c>
      <c r="CC535" s="273">
        <f>IF(AND(Input_Product=Elig!$C535,Elig_MatchAll_Ct&lt;22,$BC535=(Elig_MatchAll_Ct-1),AX535=0),X535,0)</f>
        <v>0</v>
      </c>
      <c r="CD535" s="274">
        <f>IF(AND(Input_Product=Elig!$C535,Elig_MatchAll_Ct&lt;22,$BC535=(Elig_MatchAll_Ct-1),AX535=0),Y535,0)</f>
        <v>0</v>
      </c>
      <c r="CE535" s="273">
        <f>IF(AND(Input_LTV&lt;=AE535,Input_Product=Elig!$C535,Elig_MatchAll_Ct&lt;22,$BC535=(Elig_MatchAll_Ct-1),AY535=0),Z535,0)</f>
        <v>0</v>
      </c>
      <c r="CF535" s="274">
        <f>IF(AND(Input_LTV&lt;=AE535,Input_Product=Elig!$C535,Elig_MatchAll_Ct&lt;22,$BC535=(Elig_MatchAll_Ct-1),AY535=0),AA535,0)</f>
        <v>0</v>
      </c>
      <c r="CG535" s="273">
        <f>IF(AND(Input_Product=Elig!$C535,Elig_MatchAll_Ct&lt;22,$BC535=(Elig_MatchAll_Ct-1),AZ535=0),AB535,0)</f>
        <v>0</v>
      </c>
      <c r="CH535" s="274">
        <f>IF(AND(Input_Product=Elig!$C535,Elig_MatchAll_Ct&lt;22,$BC535=(Elig_MatchAll_Ct-1),AZ535=0),AC535,0)</f>
        <v>0</v>
      </c>
      <c r="CI535" s="273">
        <f>IF(AND(Input_Product=Elig!$C535,Elig_MatchAll_Ct&lt;22,$BC535=(Elig_MatchAll_Ct-1),BA535=0),AD535,0)</f>
        <v>0</v>
      </c>
      <c r="CJ535" s="274">
        <f>IF(AND(Input_Product=Elig!$C535,Elig_MatchAll_Ct&lt;22,$BC535=(Elig_MatchAll_Ct-1),BA535=0),AE535,0)</f>
        <v>0</v>
      </c>
    </row>
    <row r="536" spans="1:88" ht="10.15" customHeight="1" x14ac:dyDescent="0.25">
      <c r="A536" s="1476" t="s">
        <v>76</v>
      </c>
      <c r="B536" s="1476" t="s">
        <v>1080</v>
      </c>
      <c r="C536" s="1477" t="str">
        <f t="shared" si="204"/>
        <v>Second OO</v>
      </c>
      <c r="D536" s="1476" t="s">
        <v>1121</v>
      </c>
      <c r="E536" s="1476" t="s">
        <v>98</v>
      </c>
      <c r="F536" s="1476" t="s">
        <v>327</v>
      </c>
      <c r="G536" s="1478" t="s">
        <v>302</v>
      </c>
      <c r="H536" s="1478" t="s">
        <v>135</v>
      </c>
      <c r="I536" s="1476" t="s">
        <v>1141</v>
      </c>
      <c r="J536" s="1476" t="s">
        <v>1130</v>
      </c>
      <c r="K536" s="1478" t="s">
        <v>2464</v>
      </c>
      <c r="L536" s="1476" t="s">
        <v>428</v>
      </c>
      <c r="M536" s="1476" t="s">
        <v>1835</v>
      </c>
      <c r="N536" s="1478" t="s">
        <v>82</v>
      </c>
      <c r="O536" s="1476" t="s">
        <v>309</v>
      </c>
      <c r="P536" s="1476" t="s">
        <v>2433</v>
      </c>
      <c r="Q536" s="1476" t="s">
        <v>293</v>
      </c>
      <c r="R536" s="1476">
        <v>200000</v>
      </c>
      <c r="S536" s="1476">
        <v>350000</v>
      </c>
      <c r="T536" s="1476">
        <v>0</v>
      </c>
      <c r="U536" s="1476">
        <f t="shared" si="205"/>
        <v>350000</v>
      </c>
      <c r="V536" s="1476">
        <v>0</v>
      </c>
      <c r="W536" s="1476">
        <v>50</v>
      </c>
      <c r="X536" s="1476">
        <v>0</v>
      </c>
      <c r="Y536" s="1476">
        <v>999</v>
      </c>
      <c r="Z536" s="1479">
        <v>700</v>
      </c>
      <c r="AA536" s="1479">
        <v>719</v>
      </c>
      <c r="AB536" s="1479">
        <v>0</v>
      </c>
      <c r="AC536" s="1479">
        <v>999999</v>
      </c>
      <c r="AD536" s="1476">
        <v>0</v>
      </c>
      <c r="AE536" s="1219">
        <v>90</v>
      </c>
      <c r="AF536" s="144">
        <v>0</v>
      </c>
      <c r="AG536" s="145">
        <v>0</v>
      </c>
      <c r="AH536" s="145">
        <v>1</v>
      </c>
      <c r="AI536" s="145">
        <v>0</v>
      </c>
      <c r="AJ536" s="145">
        <v>0</v>
      </c>
      <c r="AK536" s="145">
        <v>1</v>
      </c>
      <c r="AL536" s="145">
        <v>1</v>
      </c>
      <c r="AM536" s="145">
        <v>1</v>
      </c>
      <c r="AN536" s="145">
        <v>1</v>
      </c>
      <c r="AO536" s="145">
        <v>1</v>
      </c>
      <c r="AP536" s="145">
        <v>1</v>
      </c>
      <c r="AQ536" s="145">
        <v>0</v>
      </c>
      <c r="AR536" s="145">
        <v>1</v>
      </c>
      <c r="AS536" s="145">
        <v>1</v>
      </c>
      <c r="AT536" s="145">
        <v>1</v>
      </c>
      <c r="AU536" s="145">
        <f t="shared" si="206"/>
        <v>0</v>
      </c>
      <c r="AV536" s="145">
        <f t="shared" si="207"/>
        <v>1</v>
      </c>
      <c r="AW536" s="145">
        <f t="shared" si="208"/>
        <v>1</v>
      </c>
      <c r="AX536" s="145">
        <f t="shared" si="161"/>
        <v>1</v>
      </c>
      <c r="AY536" s="145">
        <f t="shared" si="209"/>
        <v>0</v>
      </c>
      <c r="AZ536" s="145">
        <f t="shared" si="210"/>
        <v>1</v>
      </c>
      <c r="BA536" s="146">
        <f t="shared" si="211"/>
        <v>1</v>
      </c>
      <c r="BB536" s="149">
        <f t="shared" si="190"/>
        <v>15</v>
      </c>
      <c r="BC536" s="150">
        <f t="shared" si="191"/>
        <v>14</v>
      </c>
      <c r="BD536" s="150">
        <f t="shared" si="192"/>
        <v>15</v>
      </c>
      <c r="BE536" s="211" t="str">
        <f t="shared" si="193"/>
        <v/>
      </c>
      <c r="BF536" s="205"/>
      <c r="BG536" s="205"/>
      <c r="BH536" s="173">
        <f>IF(AND(Input_Product=Elig!$C536,Elig_MatchAll_Ct&lt;22,$BC536=(Elig_MatchAll_Ct-1),AF536=0),C536,0)</f>
        <v>0</v>
      </c>
      <c r="BI536" s="173">
        <f>IF(AND(Input_Product=Elig!$C536,Elig_MatchAll_Ct&lt;22,$BC536=(Elig_MatchAll_Ct-1),AG536=0),D536,0)</f>
        <v>0</v>
      </c>
      <c r="BJ536" s="173">
        <f>IF(AND(Input_Product=Elig!$C536,Elig_MatchAll_Ct&lt;22,$BC536=(Elig_MatchAll_Ct-1),AH536=0),E536,0)</f>
        <v>0</v>
      </c>
      <c r="BK536" s="173">
        <f>IF(AND(Input_Product=Elig!$C536,Elig_MatchAll_Ct&lt;22,$BC536=(Elig_MatchAll_Ct-1),AI536=0),F536,0)</f>
        <v>0</v>
      </c>
      <c r="BL536" s="173">
        <f>IF(AND(Input_Product=Elig!$C536,Elig_MatchAll_Ct&lt;22,$BC536=(Elig_MatchAll_Ct-1),AJ536=0),G536,0)</f>
        <v>0</v>
      </c>
      <c r="BM536" s="173">
        <f>IF(AND(Input_Product=Elig!$C536,Elig_MatchAll_Ct&lt;22,$BC536=(Elig_MatchAll_Ct-1),AK536=0),H536,0)</f>
        <v>0</v>
      </c>
      <c r="BN536" s="173">
        <f>IF(AND(Input_Product=Elig!$C536,Elig_MatchAll_Ct&lt;22,$BC536=(Elig_MatchAll_Ct-1),AL536=0),I536,0)</f>
        <v>0</v>
      </c>
      <c r="BO536" s="173">
        <f>IF(AND(Input_Product=Elig!$C536,Elig_MatchAll_Ct&lt;22,$BC536=(Elig_MatchAll_Ct-1),AM536=0),J536,0)</f>
        <v>0</v>
      </c>
      <c r="BP536" s="173">
        <f>IF(AND(Input_Product=Elig!$C536,Elig_MatchAll_Ct&lt;22,$BC536=(Elig_MatchAll_Ct-1),AN536=0),K536,0)</f>
        <v>0</v>
      </c>
      <c r="BQ536" s="173">
        <f>IF(AND(Input_Product=Elig!$C536,Elig_MatchAll_Ct&lt;22,$BC536=(Elig_MatchAll_Ct-1),AP536=0),L536,0)</f>
        <v>0</v>
      </c>
      <c r="BR536" s="173">
        <f>IF(AND(Input_Product=Elig!$C536,Elig_MatchAll_Ct&lt;22,$BC536=(Elig_MatchAll_Ct-1),AO536=0),M536,0)</f>
        <v>0</v>
      </c>
      <c r="BS536" s="173">
        <f>IF(AND(Input_Product=Elig!$C536,Elig_MatchAll_Ct&lt;22,$BC536=(Elig_MatchAll_Ct-1),AQ536=0),N536,0)</f>
        <v>0</v>
      </c>
      <c r="BT536" s="173">
        <f>IF(AND(Input_Product=Elig!$C536,Elig_MatchAll_Ct&lt;22,$BC536=(Elig_MatchAll_Ct-1),AR536=0),O536,0)</f>
        <v>0</v>
      </c>
      <c r="BU536" s="173">
        <f>IF(AND(Input_Product=Elig!$C536,Elig_MatchAll_Ct&lt;22,$BC536=(Elig_MatchAll_Ct-1),AS536=0),P536,0)</f>
        <v>0</v>
      </c>
      <c r="BV536" s="174">
        <f>IF(AND(Input_Product=Elig!$C536,Elig_MatchAll_Ct&lt;22,$BC536=(Elig_MatchAll_Ct-1),AT536=0),Q536,0)</f>
        <v>0</v>
      </c>
      <c r="BW536" s="175">
        <f>IF(AND(Input_Product=Elig!$C536,Elig_MatchAll_Ct&lt;22,$BC536=(Elig_MatchAll_Ct-1),AU536=0),R536,0)</f>
        <v>0</v>
      </c>
      <c r="BX536" s="176">
        <f>IF(AND(Input_Product=Elig!$C536,Elig_MatchAll_Ct&lt;22,$BC536=(Elig_MatchAll_Ct-1),AU536=0),S536,0)</f>
        <v>0</v>
      </c>
      <c r="BY536" s="175">
        <f>IF(AND(Input_Product=Elig!$C536,Elig_MatchAll_Ct&lt;22,$BC536=(Elig_MatchAll_Ct-1),AV536=0),T536,0)</f>
        <v>0</v>
      </c>
      <c r="BZ536" s="176">
        <f>IF(AND(Input_Product=Elig!$C536,Elig_MatchAll_Ct&lt;22,$BC536=(Elig_MatchAll_Ct-1),AV536=0),U536,0)</f>
        <v>0</v>
      </c>
      <c r="CA536" s="175">
        <f>IF(AND(Input_Product=Elig!$C536,Elig_MatchAll_Ct&lt;22,$BC536=(Elig_MatchAll_Ct-1),AW536=0),V536,0)</f>
        <v>0</v>
      </c>
      <c r="CB536" s="176">
        <f>IF(AND(Input_Product=Elig!$C536,Elig_MatchAll_Ct&lt;22,$BC536=(Elig_MatchAll_Ct-1),AW536=0),W536,0)</f>
        <v>0</v>
      </c>
      <c r="CC536" s="175">
        <f>IF(AND(Input_Product=Elig!$C536,Elig_MatchAll_Ct&lt;22,$BC536=(Elig_MatchAll_Ct-1),AX536=0),X536,0)</f>
        <v>0</v>
      </c>
      <c r="CD536" s="176">
        <f>IF(AND(Input_Product=Elig!$C536,Elig_MatchAll_Ct&lt;22,$BC536=(Elig_MatchAll_Ct-1),AX536=0),Y536,0)</f>
        <v>0</v>
      </c>
      <c r="CE536" s="175">
        <f>IF(AND(Input_LTV&lt;=AE536,Input_Product=Elig!$C536,Elig_MatchAll_Ct&lt;22,$BC536=(Elig_MatchAll_Ct-1),AY536=0),Z536,0)</f>
        <v>0</v>
      </c>
      <c r="CF536" s="176">
        <f>IF(AND(Input_LTV&lt;=AE536,Input_Product=Elig!$C536,Elig_MatchAll_Ct&lt;22,$BC536=(Elig_MatchAll_Ct-1),AY536=0),AA536,0)</f>
        <v>0</v>
      </c>
      <c r="CG536" s="175">
        <f>IF(AND(Input_Product=Elig!$C536,Elig_MatchAll_Ct&lt;22,$BC536=(Elig_MatchAll_Ct-1),AZ536=0),AB536,0)</f>
        <v>0</v>
      </c>
      <c r="CH536" s="176">
        <f>IF(AND(Input_Product=Elig!$C536,Elig_MatchAll_Ct&lt;22,$BC536=(Elig_MatchAll_Ct-1),AZ536=0),AC536,0)</f>
        <v>0</v>
      </c>
      <c r="CI536" s="175">
        <f>IF(AND(Input_Product=Elig!$C536,Elig_MatchAll_Ct&lt;22,$BC536=(Elig_MatchAll_Ct-1),BA536=0),AD536,0)</f>
        <v>0</v>
      </c>
      <c r="CJ536" s="176">
        <f>IF(AND(Input_Product=Elig!$C536,Elig_MatchAll_Ct&lt;22,$BC536=(Elig_MatchAll_Ct-1),BA536=0),AE536,0)</f>
        <v>0</v>
      </c>
    </row>
    <row r="537" spans="1:88" ht="10.15" customHeight="1" x14ac:dyDescent="0.25">
      <c r="A537" s="1476" t="s">
        <v>76</v>
      </c>
      <c r="B537" s="1476" t="s">
        <v>1081</v>
      </c>
      <c r="C537" s="1477" t="str">
        <f t="shared" si="204"/>
        <v>Second OO</v>
      </c>
      <c r="D537" s="1476" t="s">
        <v>1121</v>
      </c>
      <c r="E537" s="1476" t="s">
        <v>98</v>
      </c>
      <c r="F537" s="1476" t="s">
        <v>327</v>
      </c>
      <c r="G537" s="1478" t="s">
        <v>302</v>
      </c>
      <c r="H537" s="1478" t="s">
        <v>135</v>
      </c>
      <c r="I537" s="1476" t="s">
        <v>1141</v>
      </c>
      <c r="J537" s="1476" t="s">
        <v>1130</v>
      </c>
      <c r="K537" s="1478" t="s">
        <v>2464</v>
      </c>
      <c r="L537" s="1476" t="s">
        <v>428</v>
      </c>
      <c r="M537" s="1476" t="s">
        <v>1835</v>
      </c>
      <c r="N537" s="1478" t="s">
        <v>82</v>
      </c>
      <c r="O537" s="1476" t="s">
        <v>309</v>
      </c>
      <c r="P537" s="1476" t="s">
        <v>2433</v>
      </c>
      <c r="Q537" s="1476" t="s">
        <v>293</v>
      </c>
      <c r="R537" s="1476">
        <v>200000</v>
      </c>
      <c r="S537" s="1476">
        <v>350000</v>
      </c>
      <c r="T537" s="1476">
        <v>0</v>
      </c>
      <c r="U537" s="1476">
        <f t="shared" si="205"/>
        <v>350000</v>
      </c>
      <c r="V537" s="1476">
        <v>0</v>
      </c>
      <c r="W537" s="1476">
        <v>50</v>
      </c>
      <c r="X537" s="1476">
        <v>0</v>
      </c>
      <c r="Y537" s="1476">
        <v>999</v>
      </c>
      <c r="Z537" s="1479">
        <v>680</v>
      </c>
      <c r="AA537" s="1479">
        <v>699</v>
      </c>
      <c r="AB537" s="1479">
        <v>0</v>
      </c>
      <c r="AC537" s="1479">
        <v>999999</v>
      </c>
      <c r="AD537" s="1476">
        <v>0</v>
      </c>
      <c r="AE537" s="1219">
        <v>85</v>
      </c>
      <c r="AF537" s="144">
        <v>0</v>
      </c>
      <c r="AG537" s="145">
        <v>0</v>
      </c>
      <c r="AH537" s="145">
        <v>1</v>
      </c>
      <c r="AI537" s="145">
        <v>0</v>
      </c>
      <c r="AJ537" s="145">
        <v>0</v>
      </c>
      <c r="AK537" s="145">
        <v>1</v>
      </c>
      <c r="AL537" s="145">
        <v>1</v>
      </c>
      <c r="AM537" s="145">
        <v>1</v>
      </c>
      <c r="AN537" s="145">
        <v>1</v>
      </c>
      <c r="AO537" s="145">
        <v>1</v>
      </c>
      <c r="AP537" s="145">
        <v>1</v>
      </c>
      <c r="AQ537" s="145">
        <v>0</v>
      </c>
      <c r="AR537" s="145">
        <v>1</v>
      </c>
      <c r="AS537" s="145">
        <v>1</v>
      </c>
      <c r="AT537" s="145">
        <v>1</v>
      </c>
      <c r="AU537" s="145">
        <f t="shared" si="206"/>
        <v>0</v>
      </c>
      <c r="AV537" s="145">
        <f t="shared" si="207"/>
        <v>1</v>
      </c>
      <c r="AW537" s="145">
        <f t="shared" si="208"/>
        <v>1</v>
      </c>
      <c r="AX537" s="145">
        <f t="shared" ref="AX537:AX616" si="212">IF(AND(Input_DSCR&gt;=Elig_DSCR_Min,Input_DSCR&lt;=Elig_DSCR_Max),1,0)</f>
        <v>1</v>
      </c>
      <c r="AY537" s="145">
        <f t="shared" si="209"/>
        <v>0</v>
      </c>
      <c r="AZ537" s="145">
        <f t="shared" si="210"/>
        <v>1</v>
      </c>
      <c r="BA537" s="146">
        <f t="shared" si="211"/>
        <v>1</v>
      </c>
      <c r="BB537" s="149">
        <f t="shared" si="190"/>
        <v>15</v>
      </c>
      <c r="BC537" s="150">
        <f t="shared" si="191"/>
        <v>14</v>
      </c>
      <c r="BD537" s="150">
        <f t="shared" si="192"/>
        <v>15</v>
      </c>
      <c r="BE537" s="211" t="str">
        <f t="shared" si="193"/>
        <v/>
      </c>
      <c r="BF537" s="205"/>
      <c r="BG537" s="205"/>
      <c r="BH537" s="173">
        <f>IF(AND(Input_Product=Elig!$C537,Elig_MatchAll_Ct&lt;22,$BC537=(Elig_MatchAll_Ct-1),AF537=0),C537,0)</f>
        <v>0</v>
      </c>
      <c r="BI537" s="173">
        <f>IF(AND(Input_Product=Elig!$C537,Elig_MatchAll_Ct&lt;22,$BC537=(Elig_MatchAll_Ct-1),AG537=0),D537,0)</f>
        <v>0</v>
      </c>
      <c r="BJ537" s="173">
        <f>IF(AND(Input_Product=Elig!$C537,Elig_MatchAll_Ct&lt;22,$BC537=(Elig_MatchAll_Ct-1),AH537=0),E537,0)</f>
        <v>0</v>
      </c>
      <c r="BK537" s="173">
        <f>IF(AND(Input_Product=Elig!$C537,Elig_MatchAll_Ct&lt;22,$BC537=(Elig_MatchAll_Ct-1),AI537=0),F537,0)</f>
        <v>0</v>
      </c>
      <c r="BL537" s="173">
        <f>IF(AND(Input_Product=Elig!$C537,Elig_MatchAll_Ct&lt;22,$BC537=(Elig_MatchAll_Ct-1),AJ537=0),G537,0)</f>
        <v>0</v>
      </c>
      <c r="BM537" s="173">
        <f>IF(AND(Input_Product=Elig!$C537,Elig_MatchAll_Ct&lt;22,$BC537=(Elig_MatchAll_Ct-1),AK537=0),H537,0)</f>
        <v>0</v>
      </c>
      <c r="BN537" s="173">
        <f>IF(AND(Input_Product=Elig!$C537,Elig_MatchAll_Ct&lt;22,$BC537=(Elig_MatchAll_Ct-1),AL537=0),I537,0)</f>
        <v>0</v>
      </c>
      <c r="BO537" s="173">
        <f>IF(AND(Input_Product=Elig!$C537,Elig_MatchAll_Ct&lt;22,$BC537=(Elig_MatchAll_Ct-1),AM537=0),J537,0)</f>
        <v>0</v>
      </c>
      <c r="BP537" s="173">
        <f>IF(AND(Input_Product=Elig!$C537,Elig_MatchAll_Ct&lt;22,$BC537=(Elig_MatchAll_Ct-1),AN537=0),K537,0)</f>
        <v>0</v>
      </c>
      <c r="BQ537" s="173">
        <f>IF(AND(Input_Product=Elig!$C537,Elig_MatchAll_Ct&lt;22,$BC537=(Elig_MatchAll_Ct-1),AP537=0),L537,0)</f>
        <v>0</v>
      </c>
      <c r="BR537" s="173">
        <f>IF(AND(Input_Product=Elig!$C537,Elig_MatchAll_Ct&lt;22,$BC537=(Elig_MatchAll_Ct-1),AO537=0),M537,0)</f>
        <v>0</v>
      </c>
      <c r="BS537" s="173">
        <f>IF(AND(Input_Product=Elig!$C537,Elig_MatchAll_Ct&lt;22,$BC537=(Elig_MatchAll_Ct-1),AQ537=0),N537,0)</f>
        <v>0</v>
      </c>
      <c r="BT537" s="173">
        <f>IF(AND(Input_Product=Elig!$C537,Elig_MatchAll_Ct&lt;22,$BC537=(Elig_MatchAll_Ct-1),AR537=0),O537,0)</f>
        <v>0</v>
      </c>
      <c r="BU537" s="173">
        <f>IF(AND(Input_Product=Elig!$C537,Elig_MatchAll_Ct&lt;22,$BC537=(Elig_MatchAll_Ct-1),AS537=0),P537,0)</f>
        <v>0</v>
      </c>
      <c r="BV537" s="174">
        <f>IF(AND(Input_Product=Elig!$C537,Elig_MatchAll_Ct&lt;22,$BC537=(Elig_MatchAll_Ct-1),AT537=0),Q537,0)</f>
        <v>0</v>
      </c>
      <c r="BW537" s="175">
        <f>IF(AND(Input_Product=Elig!$C537,Elig_MatchAll_Ct&lt;22,$BC537=(Elig_MatchAll_Ct-1),AU537=0),R537,0)</f>
        <v>0</v>
      </c>
      <c r="BX537" s="176">
        <f>IF(AND(Input_Product=Elig!$C537,Elig_MatchAll_Ct&lt;22,$BC537=(Elig_MatchAll_Ct-1),AU537=0),S537,0)</f>
        <v>0</v>
      </c>
      <c r="BY537" s="175">
        <f>IF(AND(Input_Product=Elig!$C537,Elig_MatchAll_Ct&lt;22,$BC537=(Elig_MatchAll_Ct-1),AV537=0),T537,0)</f>
        <v>0</v>
      </c>
      <c r="BZ537" s="176">
        <f>IF(AND(Input_Product=Elig!$C537,Elig_MatchAll_Ct&lt;22,$BC537=(Elig_MatchAll_Ct-1),AV537=0),U537,0)</f>
        <v>0</v>
      </c>
      <c r="CA537" s="175">
        <f>IF(AND(Input_Product=Elig!$C537,Elig_MatchAll_Ct&lt;22,$BC537=(Elig_MatchAll_Ct-1),AW537=0),V537,0)</f>
        <v>0</v>
      </c>
      <c r="CB537" s="176">
        <f>IF(AND(Input_Product=Elig!$C537,Elig_MatchAll_Ct&lt;22,$BC537=(Elig_MatchAll_Ct-1),AW537=0),W537,0)</f>
        <v>0</v>
      </c>
      <c r="CC537" s="175">
        <f>IF(AND(Input_Product=Elig!$C537,Elig_MatchAll_Ct&lt;22,$BC537=(Elig_MatchAll_Ct-1),AX537=0),X537,0)</f>
        <v>0</v>
      </c>
      <c r="CD537" s="176">
        <f>IF(AND(Input_Product=Elig!$C537,Elig_MatchAll_Ct&lt;22,$BC537=(Elig_MatchAll_Ct-1),AX537=0),Y537,0)</f>
        <v>0</v>
      </c>
      <c r="CE537" s="175">
        <f>IF(AND(Input_LTV&lt;=AE537,Input_Product=Elig!$C537,Elig_MatchAll_Ct&lt;22,$BC537=(Elig_MatchAll_Ct-1),AY537=0),Z537,0)</f>
        <v>0</v>
      </c>
      <c r="CF537" s="176">
        <f>IF(AND(Input_LTV&lt;=AE537,Input_Product=Elig!$C537,Elig_MatchAll_Ct&lt;22,$BC537=(Elig_MatchAll_Ct-1),AY537=0),AA537,0)</f>
        <v>0</v>
      </c>
      <c r="CG537" s="175">
        <f>IF(AND(Input_Product=Elig!$C537,Elig_MatchAll_Ct&lt;22,$BC537=(Elig_MatchAll_Ct-1),AZ537=0),AB537,0)</f>
        <v>0</v>
      </c>
      <c r="CH537" s="176">
        <f>IF(AND(Input_Product=Elig!$C537,Elig_MatchAll_Ct&lt;22,$BC537=(Elig_MatchAll_Ct-1),AZ537=0),AC537,0)</f>
        <v>0</v>
      </c>
      <c r="CI537" s="175">
        <f>IF(AND(Input_Product=Elig!$C537,Elig_MatchAll_Ct&lt;22,$BC537=(Elig_MatchAll_Ct-1),BA537=0),AD537,0)</f>
        <v>0</v>
      </c>
      <c r="CJ537" s="176">
        <f>IF(AND(Input_Product=Elig!$C537,Elig_MatchAll_Ct&lt;22,$BC537=(Elig_MatchAll_Ct-1),BA537=0),AE537,0)</f>
        <v>0</v>
      </c>
    </row>
    <row r="538" spans="1:88" ht="10.15" customHeight="1" x14ac:dyDescent="0.25">
      <c r="A538" s="1476" t="s">
        <v>76</v>
      </c>
      <c r="B538" s="1476" t="s">
        <v>1082</v>
      </c>
      <c r="C538" s="1481" t="str">
        <f t="shared" si="204"/>
        <v>Second OO</v>
      </c>
      <c r="D538" s="1480" t="s">
        <v>1121</v>
      </c>
      <c r="E538" s="1480" t="s">
        <v>98</v>
      </c>
      <c r="F538" s="1480" t="s">
        <v>327</v>
      </c>
      <c r="G538" s="1482" t="s">
        <v>302</v>
      </c>
      <c r="H538" s="1482" t="s">
        <v>135</v>
      </c>
      <c r="I538" s="1480" t="s">
        <v>1141</v>
      </c>
      <c r="J538" s="1480" t="s">
        <v>1130</v>
      </c>
      <c r="K538" s="1482" t="s">
        <v>2464</v>
      </c>
      <c r="L538" s="1480" t="s">
        <v>428</v>
      </c>
      <c r="M538" s="1480" t="s">
        <v>1835</v>
      </c>
      <c r="N538" s="1482" t="s">
        <v>82</v>
      </c>
      <c r="O538" s="1480" t="s">
        <v>309</v>
      </c>
      <c r="P538" s="1480" t="s">
        <v>2433</v>
      </c>
      <c r="Q538" s="1480" t="s">
        <v>293</v>
      </c>
      <c r="R538" s="1480">
        <v>200000</v>
      </c>
      <c r="S538" s="1480">
        <v>350000</v>
      </c>
      <c r="T538" s="1480">
        <v>0</v>
      </c>
      <c r="U538" s="1480">
        <f t="shared" si="205"/>
        <v>350000</v>
      </c>
      <c r="V538" s="1480">
        <v>0</v>
      </c>
      <c r="W538" s="1480">
        <v>50</v>
      </c>
      <c r="X538" s="1480">
        <v>0</v>
      </c>
      <c r="Y538" s="1480">
        <v>999</v>
      </c>
      <c r="Z538" s="1483">
        <v>660</v>
      </c>
      <c r="AA538" s="1483">
        <v>679</v>
      </c>
      <c r="AB538" s="1483">
        <v>0</v>
      </c>
      <c r="AC538" s="1483">
        <v>999999</v>
      </c>
      <c r="AD538" s="1480">
        <v>0</v>
      </c>
      <c r="AE538" s="1220">
        <v>80</v>
      </c>
      <c r="AF538" s="144">
        <v>0</v>
      </c>
      <c r="AG538" s="145">
        <v>0</v>
      </c>
      <c r="AH538" s="145">
        <v>1</v>
      </c>
      <c r="AI538" s="145">
        <v>0</v>
      </c>
      <c r="AJ538" s="145">
        <v>0</v>
      </c>
      <c r="AK538" s="145">
        <v>1</v>
      </c>
      <c r="AL538" s="145">
        <v>1</v>
      </c>
      <c r="AM538" s="145">
        <v>1</v>
      </c>
      <c r="AN538" s="145">
        <v>1</v>
      </c>
      <c r="AO538" s="145">
        <v>1</v>
      </c>
      <c r="AP538" s="145">
        <v>1</v>
      </c>
      <c r="AQ538" s="145">
        <v>0</v>
      </c>
      <c r="AR538" s="145">
        <v>1</v>
      </c>
      <c r="AS538" s="145">
        <v>1</v>
      </c>
      <c r="AT538" s="145">
        <v>1</v>
      </c>
      <c r="AU538" s="145">
        <f t="shared" si="206"/>
        <v>0</v>
      </c>
      <c r="AV538" s="145">
        <f t="shared" si="207"/>
        <v>1</v>
      </c>
      <c r="AW538" s="145">
        <f t="shared" si="208"/>
        <v>1</v>
      </c>
      <c r="AX538" s="145">
        <f t="shared" si="212"/>
        <v>1</v>
      </c>
      <c r="AY538" s="145">
        <f t="shared" si="209"/>
        <v>0</v>
      </c>
      <c r="AZ538" s="145">
        <f t="shared" si="210"/>
        <v>1</v>
      </c>
      <c r="BA538" s="146">
        <f t="shared" si="211"/>
        <v>1</v>
      </c>
      <c r="BB538" s="149">
        <f t="shared" si="190"/>
        <v>15</v>
      </c>
      <c r="BC538" s="150">
        <f t="shared" si="191"/>
        <v>14</v>
      </c>
      <c r="BD538" s="150">
        <f t="shared" si="192"/>
        <v>15</v>
      </c>
      <c r="BE538" s="211" t="str">
        <f t="shared" si="193"/>
        <v/>
      </c>
      <c r="BF538" s="205"/>
      <c r="BG538" s="205"/>
      <c r="BH538" s="188">
        <f>IF(AND(Input_Product=Elig!$C538,Elig_MatchAll_Ct&lt;22,$BC538=(Elig_MatchAll_Ct-1),AF538=0),C538,0)</f>
        <v>0</v>
      </c>
      <c r="BI538" s="188">
        <f>IF(AND(Input_Product=Elig!$C538,Elig_MatchAll_Ct&lt;22,$BC538=(Elig_MatchAll_Ct-1),AG538=0),D538,0)</f>
        <v>0</v>
      </c>
      <c r="BJ538" s="188">
        <f>IF(AND(Input_Product=Elig!$C538,Elig_MatchAll_Ct&lt;22,$BC538=(Elig_MatchAll_Ct-1),AH538=0),E538,0)</f>
        <v>0</v>
      </c>
      <c r="BK538" s="188">
        <f>IF(AND(Input_Product=Elig!$C538,Elig_MatchAll_Ct&lt;22,$BC538=(Elig_MatchAll_Ct-1),AI538=0),F538,0)</f>
        <v>0</v>
      </c>
      <c r="BL538" s="188">
        <f>IF(AND(Input_Product=Elig!$C538,Elig_MatchAll_Ct&lt;22,$BC538=(Elig_MatchAll_Ct-1),AJ538=0),G538,0)</f>
        <v>0</v>
      </c>
      <c r="BM538" s="188">
        <f>IF(AND(Input_Product=Elig!$C538,Elig_MatchAll_Ct&lt;22,$BC538=(Elig_MatchAll_Ct-1),AK538=0),H538,0)</f>
        <v>0</v>
      </c>
      <c r="BN538" s="188">
        <f>IF(AND(Input_Product=Elig!$C538,Elig_MatchAll_Ct&lt;22,$BC538=(Elig_MatchAll_Ct-1),AL538=0),I538,0)</f>
        <v>0</v>
      </c>
      <c r="BO538" s="188">
        <f>IF(AND(Input_Product=Elig!$C538,Elig_MatchAll_Ct&lt;22,$BC538=(Elig_MatchAll_Ct-1),AM538=0),J538,0)</f>
        <v>0</v>
      </c>
      <c r="BP538" s="188">
        <f>IF(AND(Input_Product=Elig!$C538,Elig_MatchAll_Ct&lt;22,$BC538=(Elig_MatchAll_Ct-1),AN538=0),K538,0)</f>
        <v>0</v>
      </c>
      <c r="BQ538" s="188">
        <f>IF(AND(Input_Product=Elig!$C538,Elig_MatchAll_Ct&lt;22,$BC538=(Elig_MatchAll_Ct-1),AP538=0),L538,0)</f>
        <v>0</v>
      </c>
      <c r="BR538" s="188">
        <f>IF(AND(Input_Product=Elig!$C538,Elig_MatchAll_Ct&lt;22,$BC538=(Elig_MatchAll_Ct-1),AO538=0),M538,0)</f>
        <v>0</v>
      </c>
      <c r="BS538" s="188">
        <f>IF(AND(Input_Product=Elig!$C538,Elig_MatchAll_Ct&lt;22,$BC538=(Elig_MatchAll_Ct-1),AQ538=0),N538,0)</f>
        <v>0</v>
      </c>
      <c r="BT538" s="188">
        <f>IF(AND(Input_Product=Elig!$C538,Elig_MatchAll_Ct&lt;22,$BC538=(Elig_MatchAll_Ct-1),AR538=0),O538,0)</f>
        <v>0</v>
      </c>
      <c r="BU538" s="188">
        <f>IF(AND(Input_Product=Elig!$C538,Elig_MatchAll_Ct&lt;22,$BC538=(Elig_MatchAll_Ct-1),AS538=0),P538,0)</f>
        <v>0</v>
      </c>
      <c r="BV538" s="189">
        <f>IF(AND(Input_Product=Elig!$C538,Elig_MatchAll_Ct&lt;22,$BC538=(Elig_MatchAll_Ct-1),AT538=0),Q538,0)</f>
        <v>0</v>
      </c>
      <c r="BW538" s="271">
        <f>IF(AND(Input_Product=Elig!$C538,Elig_MatchAll_Ct&lt;22,$BC538=(Elig_MatchAll_Ct-1),AU538=0),R538,0)</f>
        <v>0</v>
      </c>
      <c r="BX538" s="272">
        <f>IF(AND(Input_Product=Elig!$C538,Elig_MatchAll_Ct&lt;22,$BC538=(Elig_MatchAll_Ct-1),AU538=0),S538,0)</f>
        <v>0</v>
      </c>
      <c r="BY538" s="271">
        <f>IF(AND(Input_Product=Elig!$C538,Elig_MatchAll_Ct&lt;22,$BC538=(Elig_MatchAll_Ct-1),AV538=0),T538,0)</f>
        <v>0</v>
      </c>
      <c r="BZ538" s="272">
        <f>IF(AND(Input_Product=Elig!$C538,Elig_MatchAll_Ct&lt;22,$BC538=(Elig_MatchAll_Ct-1),AV538=0),U538,0)</f>
        <v>0</v>
      </c>
      <c r="CA538" s="271">
        <f>IF(AND(Input_Product=Elig!$C538,Elig_MatchAll_Ct&lt;22,$BC538=(Elig_MatchAll_Ct-1),AW538=0),V538,0)</f>
        <v>0</v>
      </c>
      <c r="CB538" s="272">
        <f>IF(AND(Input_Product=Elig!$C538,Elig_MatchAll_Ct&lt;22,$BC538=(Elig_MatchAll_Ct-1),AW538=0),W538,0)</f>
        <v>0</v>
      </c>
      <c r="CC538" s="271">
        <f>IF(AND(Input_Product=Elig!$C538,Elig_MatchAll_Ct&lt;22,$BC538=(Elig_MatchAll_Ct-1),AX538=0),X538,0)</f>
        <v>0</v>
      </c>
      <c r="CD538" s="272">
        <f>IF(AND(Input_Product=Elig!$C538,Elig_MatchAll_Ct&lt;22,$BC538=(Elig_MatchAll_Ct-1),AX538=0),Y538,0)</f>
        <v>0</v>
      </c>
      <c r="CE538" s="271">
        <f>IF(AND(Input_LTV&lt;=AE538,Input_Product=Elig!$C538,Elig_MatchAll_Ct&lt;22,$BC538=(Elig_MatchAll_Ct-1),AY538=0),Z538,0)</f>
        <v>0</v>
      </c>
      <c r="CF538" s="272">
        <f>IF(AND(Input_LTV&lt;=AE538,Input_Product=Elig!$C538,Elig_MatchAll_Ct&lt;22,$BC538=(Elig_MatchAll_Ct-1),AY538=0),AA538,0)</f>
        <v>0</v>
      </c>
      <c r="CG538" s="271">
        <f>IF(AND(Input_Product=Elig!$C538,Elig_MatchAll_Ct&lt;22,$BC538=(Elig_MatchAll_Ct-1),AZ538=0),AB538,0)</f>
        <v>0</v>
      </c>
      <c r="CH538" s="272">
        <f>IF(AND(Input_Product=Elig!$C538,Elig_MatchAll_Ct&lt;22,$BC538=(Elig_MatchAll_Ct-1),AZ538=0),AC538,0)</f>
        <v>0</v>
      </c>
      <c r="CI538" s="271">
        <f>IF(AND(Input_Product=Elig!$C538,Elig_MatchAll_Ct&lt;22,$BC538=(Elig_MatchAll_Ct-1),BA538=0),AD538,0)</f>
        <v>0</v>
      </c>
      <c r="CJ538" s="272">
        <f>IF(AND(Input_Product=Elig!$C538,Elig_MatchAll_Ct&lt;22,$BC538=(Elig_MatchAll_Ct-1),BA538=0),AE538,0)</f>
        <v>0</v>
      </c>
    </row>
    <row r="539" spans="1:88" ht="10.15" customHeight="1" x14ac:dyDescent="0.25">
      <c r="A539" s="1476" t="s">
        <v>76</v>
      </c>
      <c r="B539" s="1476" t="s">
        <v>1083</v>
      </c>
      <c r="C539" s="1473" t="str">
        <f t="shared" si="204"/>
        <v>Second OO</v>
      </c>
      <c r="D539" s="1474" t="s">
        <v>1331</v>
      </c>
      <c r="E539" s="1474" t="s">
        <v>98</v>
      </c>
      <c r="F539" s="1474" t="s">
        <v>327</v>
      </c>
      <c r="G539" s="1537" t="s">
        <v>174</v>
      </c>
      <c r="H539" s="1474" t="s">
        <v>444</v>
      </c>
      <c r="I539" s="1472" t="s">
        <v>1141</v>
      </c>
      <c r="J539" s="1472" t="s">
        <v>1130</v>
      </c>
      <c r="K539" s="1474" t="s">
        <v>2464</v>
      </c>
      <c r="L539" s="1472" t="s">
        <v>428</v>
      </c>
      <c r="M539" s="1472" t="s">
        <v>1835</v>
      </c>
      <c r="N539" s="1474" t="s">
        <v>82</v>
      </c>
      <c r="O539" s="1472" t="s">
        <v>309</v>
      </c>
      <c r="P539" s="1472" t="s">
        <v>2433</v>
      </c>
      <c r="Q539" s="1472" t="s">
        <v>293</v>
      </c>
      <c r="R539" s="1472">
        <v>50000</v>
      </c>
      <c r="S539" s="1472">
        <v>350000</v>
      </c>
      <c r="T539" s="1472">
        <v>0</v>
      </c>
      <c r="U539" s="1472">
        <f t="shared" si="205"/>
        <v>350000</v>
      </c>
      <c r="V539" s="1472">
        <v>0</v>
      </c>
      <c r="W539" s="1472">
        <v>50</v>
      </c>
      <c r="X539" s="1472">
        <v>0</v>
      </c>
      <c r="Y539" s="1472">
        <v>999</v>
      </c>
      <c r="Z539" s="1475">
        <v>720</v>
      </c>
      <c r="AA539" s="1475">
        <v>999</v>
      </c>
      <c r="AB539" s="1475">
        <v>0</v>
      </c>
      <c r="AC539" s="1475">
        <v>999999</v>
      </c>
      <c r="AD539" s="1472">
        <v>0</v>
      </c>
      <c r="AE539" s="1538">
        <v>90</v>
      </c>
      <c r="AF539" s="144">
        <v>0</v>
      </c>
      <c r="AG539" s="145">
        <v>1</v>
      </c>
      <c r="AH539" s="145">
        <v>1</v>
      </c>
      <c r="AI539" s="145">
        <v>0</v>
      </c>
      <c r="AJ539" s="145">
        <v>0</v>
      </c>
      <c r="AK539" s="145">
        <v>0</v>
      </c>
      <c r="AL539" s="145">
        <v>1</v>
      </c>
      <c r="AM539" s="145">
        <v>1</v>
      </c>
      <c r="AN539" s="145">
        <v>1</v>
      </c>
      <c r="AO539" s="145">
        <v>1</v>
      </c>
      <c r="AP539" s="145">
        <v>1</v>
      </c>
      <c r="AQ539" s="145">
        <v>0</v>
      </c>
      <c r="AR539" s="145">
        <v>1</v>
      </c>
      <c r="AS539" s="145">
        <v>1</v>
      </c>
      <c r="AT539" s="145">
        <v>1</v>
      </c>
      <c r="AU539" s="145">
        <f t="shared" si="206"/>
        <v>1</v>
      </c>
      <c r="AV539" s="145">
        <f t="shared" si="207"/>
        <v>1</v>
      </c>
      <c r="AW539" s="145">
        <f t="shared" si="208"/>
        <v>1</v>
      </c>
      <c r="AX539" s="145">
        <f t="shared" si="212"/>
        <v>1</v>
      </c>
      <c r="AY539" s="145">
        <f t="shared" si="209"/>
        <v>1</v>
      </c>
      <c r="AZ539" s="145">
        <f t="shared" si="210"/>
        <v>1</v>
      </c>
      <c r="BA539" s="146">
        <f t="shared" si="211"/>
        <v>1</v>
      </c>
      <c r="BB539" s="149">
        <f t="shared" si="190"/>
        <v>17</v>
      </c>
      <c r="BC539" s="150">
        <f t="shared" si="191"/>
        <v>16</v>
      </c>
      <c r="BD539" s="150">
        <f t="shared" si="192"/>
        <v>17</v>
      </c>
      <c r="BE539" s="211" t="str">
        <f t="shared" si="193"/>
        <v/>
      </c>
      <c r="BF539" s="194"/>
      <c r="BG539" s="194"/>
      <c r="BH539" s="190">
        <f>IF(AND(Input_Product=Elig!$C539,Elig_MatchAll_Ct&lt;22,$BC539=(Elig_MatchAll_Ct-1),AF539=0),C539,0)</f>
        <v>0</v>
      </c>
      <c r="BI539" s="190">
        <f>IF(AND(Input_Product=Elig!$C539,Elig_MatchAll_Ct&lt;22,$BC539=(Elig_MatchAll_Ct-1),AG539=0),D539,0)</f>
        <v>0</v>
      </c>
      <c r="BJ539" s="190">
        <f>IF(AND(Input_Product=Elig!$C539,Elig_MatchAll_Ct&lt;22,$BC539=(Elig_MatchAll_Ct-1),AH539=0),E539,0)</f>
        <v>0</v>
      </c>
      <c r="BK539" s="190">
        <f>IF(AND(Input_Product=Elig!$C539,Elig_MatchAll_Ct&lt;22,$BC539=(Elig_MatchAll_Ct-1),AI539=0),F539,0)</f>
        <v>0</v>
      </c>
      <c r="BL539" s="190">
        <f>IF(AND(Input_Product=Elig!$C539,Elig_MatchAll_Ct&lt;22,$BC539=(Elig_MatchAll_Ct-1),AJ539=0),G539,0)</f>
        <v>0</v>
      </c>
      <c r="BM539" s="190">
        <f>IF(AND(Input_Product=Elig!$C539,Elig_MatchAll_Ct&lt;22,$BC539=(Elig_MatchAll_Ct-1),AK539=0),H539,0)</f>
        <v>0</v>
      </c>
      <c r="BN539" s="190">
        <f>IF(AND(Input_Product=Elig!$C539,Elig_MatchAll_Ct&lt;22,$BC539=(Elig_MatchAll_Ct-1),AL539=0),I539,0)</f>
        <v>0</v>
      </c>
      <c r="BO539" s="190">
        <f>IF(AND(Input_Product=Elig!$C539,Elig_MatchAll_Ct&lt;22,$BC539=(Elig_MatchAll_Ct-1),AM539=0),J539,0)</f>
        <v>0</v>
      </c>
      <c r="BP539" s="190">
        <f>IF(AND(Input_Product=Elig!$C539,Elig_MatchAll_Ct&lt;22,$BC539=(Elig_MatchAll_Ct-1),AN539=0),K539,0)</f>
        <v>0</v>
      </c>
      <c r="BQ539" s="190">
        <f>IF(AND(Input_Product=Elig!$C539,Elig_MatchAll_Ct&lt;22,$BC539=(Elig_MatchAll_Ct-1),AP539=0),L539,0)</f>
        <v>0</v>
      </c>
      <c r="BR539" s="190">
        <f>IF(AND(Input_Product=Elig!$C539,Elig_MatchAll_Ct&lt;22,$BC539=(Elig_MatchAll_Ct-1),AO539=0),M539,0)</f>
        <v>0</v>
      </c>
      <c r="BS539" s="190">
        <f>IF(AND(Input_Product=Elig!$C539,Elig_MatchAll_Ct&lt;22,$BC539=(Elig_MatchAll_Ct-1),AQ539=0),N539,0)</f>
        <v>0</v>
      </c>
      <c r="BT539" s="190">
        <f>IF(AND(Input_Product=Elig!$C539,Elig_MatchAll_Ct&lt;22,$BC539=(Elig_MatchAll_Ct-1),AR539=0),O539,0)</f>
        <v>0</v>
      </c>
      <c r="BU539" s="190">
        <f>IF(AND(Input_Product=Elig!$C539,Elig_MatchAll_Ct&lt;22,$BC539=(Elig_MatchAll_Ct-1),AS539=0),P539,0)</f>
        <v>0</v>
      </c>
      <c r="BV539" s="191">
        <f>IF(AND(Input_Product=Elig!$C539,Elig_MatchAll_Ct&lt;22,$BC539=(Elig_MatchAll_Ct-1),AT539=0),Q539,0)</f>
        <v>0</v>
      </c>
      <c r="BW539" s="273">
        <f>IF(AND(Input_Product=Elig!$C539,Elig_MatchAll_Ct&lt;22,$BC539=(Elig_MatchAll_Ct-1),AU539=0),R539,0)</f>
        <v>0</v>
      </c>
      <c r="BX539" s="274">
        <f>IF(AND(Input_Product=Elig!$C539,Elig_MatchAll_Ct&lt;22,$BC539=(Elig_MatchAll_Ct-1),AU539=0),S539,0)</f>
        <v>0</v>
      </c>
      <c r="BY539" s="273">
        <f>IF(AND(Input_Product=Elig!$C539,Elig_MatchAll_Ct&lt;22,$BC539=(Elig_MatchAll_Ct-1),AV539=0),T539,0)</f>
        <v>0</v>
      </c>
      <c r="BZ539" s="274">
        <f>IF(AND(Input_Product=Elig!$C539,Elig_MatchAll_Ct&lt;22,$BC539=(Elig_MatchAll_Ct-1),AV539=0),U539,0)</f>
        <v>0</v>
      </c>
      <c r="CA539" s="273">
        <f>IF(AND(Input_Product=Elig!$C539,Elig_MatchAll_Ct&lt;22,$BC539=(Elig_MatchAll_Ct-1),AW539=0),V539,0)</f>
        <v>0</v>
      </c>
      <c r="CB539" s="274">
        <f>IF(AND(Input_Product=Elig!$C539,Elig_MatchAll_Ct&lt;22,$BC539=(Elig_MatchAll_Ct-1),AW539=0),W539,0)</f>
        <v>0</v>
      </c>
      <c r="CC539" s="273">
        <f>IF(AND(Input_Product=Elig!$C539,Elig_MatchAll_Ct&lt;22,$BC539=(Elig_MatchAll_Ct-1),AX539=0),X539,0)</f>
        <v>0</v>
      </c>
      <c r="CD539" s="274">
        <f>IF(AND(Input_Product=Elig!$C539,Elig_MatchAll_Ct&lt;22,$BC539=(Elig_MatchAll_Ct-1),AX539=0),Y539,0)</f>
        <v>0</v>
      </c>
      <c r="CE539" s="273">
        <f>IF(AND(Input_LTV&lt;=AE539,Input_Product=Elig!$C539,Elig_MatchAll_Ct&lt;22,$BC539=(Elig_MatchAll_Ct-1),AY539=0),Z539,0)</f>
        <v>0</v>
      </c>
      <c r="CF539" s="274">
        <f>IF(AND(Input_LTV&lt;=AE539,Input_Product=Elig!$C539,Elig_MatchAll_Ct&lt;22,$BC539=(Elig_MatchAll_Ct-1),AY539=0),AA539,0)</f>
        <v>0</v>
      </c>
      <c r="CG539" s="273">
        <f>IF(AND(Input_Product=Elig!$C539,Elig_MatchAll_Ct&lt;22,$BC539=(Elig_MatchAll_Ct-1),AZ539=0),AB539,0)</f>
        <v>0</v>
      </c>
      <c r="CH539" s="274">
        <f>IF(AND(Input_Product=Elig!$C539,Elig_MatchAll_Ct&lt;22,$BC539=(Elig_MatchAll_Ct-1),AZ539=0),AC539,0)</f>
        <v>0</v>
      </c>
      <c r="CI539" s="273">
        <f>IF(AND(Input_Product=Elig!$C539,Elig_MatchAll_Ct&lt;22,$BC539=(Elig_MatchAll_Ct-1),BA539=0),AD539,0)</f>
        <v>0</v>
      </c>
      <c r="CJ539" s="274">
        <f>IF(AND(Input_Product=Elig!$C539,Elig_MatchAll_Ct&lt;22,$BC539=(Elig_MatchAll_Ct-1),BA539=0),AE539,0)</f>
        <v>0</v>
      </c>
    </row>
    <row r="540" spans="1:88" ht="10.15" customHeight="1" x14ac:dyDescent="0.25">
      <c r="A540" s="1476" t="s">
        <v>76</v>
      </c>
      <c r="B540" s="1476" t="s">
        <v>1084</v>
      </c>
      <c r="C540" s="1477" t="str">
        <f t="shared" si="204"/>
        <v>Second OO</v>
      </c>
      <c r="D540" s="1476" t="s">
        <v>1331</v>
      </c>
      <c r="E540" s="1476" t="s">
        <v>98</v>
      </c>
      <c r="F540" s="1476" t="s">
        <v>327</v>
      </c>
      <c r="G540" s="1544" t="s">
        <v>174</v>
      </c>
      <c r="H540" s="1478" t="s">
        <v>444</v>
      </c>
      <c r="I540" s="1476" t="s">
        <v>1141</v>
      </c>
      <c r="J540" s="1476" t="s">
        <v>1130</v>
      </c>
      <c r="K540" s="1478" t="s">
        <v>2464</v>
      </c>
      <c r="L540" s="1476" t="s">
        <v>428</v>
      </c>
      <c r="M540" s="1476" t="s">
        <v>1835</v>
      </c>
      <c r="N540" s="1478" t="s">
        <v>82</v>
      </c>
      <c r="O540" s="1476" t="s">
        <v>309</v>
      </c>
      <c r="P540" s="1476" t="s">
        <v>2433</v>
      </c>
      <c r="Q540" s="1476" t="s">
        <v>293</v>
      </c>
      <c r="R540" s="1476">
        <v>50000</v>
      </c>
      <c r="S540" s="1476">
        <v>350000</v>
      </c>
      <c r="T540" s="1476">
        <v>0</v>
      </c>
      <c r="U540" s="1476">
        <f t="shared" si="205"/>
        <v>350000</v>
      </c>
      <c r="V540" s="1476">
        <v>0</v>
      </c>
      <c r="W540" s="1476">
        <v>50</v>
      </c>
      <c r="X540" s="1476">
        <v>0</v>
      </c>
      <c r="Y540" s="1476">
        <v>999</v>
      </c>
      <c r="Z540" s="1479">
        <v>700</v>
      </c>
      <c r="AA540" s="1479">
        <v>719</v>
      </c>
      <c r="AB540" s="1479">
        <v>0</v>
      </c>
      <c r="AC540" s="1479">
        <v>999999</v>
      </c>
      <c r="AD540" s="1476">
        <v>0</v>
      </c>
      <c r="AE540" s="1539">
        <v>85</v>
      </c>
      <c r="AF540" s="144">
        <v>0</v>
      </c>
      <c r="AG540" s="145">
        <v>1</v>
      </c>
      <c r="AH540" s="145">
        <v>1</v>
      </c>
      <c r="AI540" s="145">
        <v>0</v>
      </c>
      <c r="AJ540" s="145">
        <v>0</v>
      </c>
      <c r="AK540" s="145">
        <v>0</v>
      </c>
      <c r="AL540" s="145">
        <v>1</v>
      </c>
      <c r="AM540" s="145">
        <v>1</v>
      </c>
      <c r="AN540" s="145">
        <v>1</v>
      </c>
      <c r="AO540" s="145">
        <v>1</v>
      </c>
      <c r="AP540" s="145">
        <v>1</v>
      </c>
      <c r="AQ540" s="145">
        <v>0</v>
      </c>
      <c r="AR540" s="145">
        <v>1</v>
      </c>
      <c r="AS540" s="145">
        <v>1</v>
      </c>
      <c r="AT540" s="145">
        <v>1</v>
      </c>
      <c r="AU540" s="145">
        <f t="shared" si="206"/>
        <v>1</v>
      </c>
      <c r="AV540" s="145">
        <f t="shared" si="207"/>
        <v>1</v>
      </c>
      <c r="AW540" s="145">
        <f t="shared" si="208"/>
        <v>1</v>
      </c>
      <c r="AX540" s="145">
        <f t="shared" si="212"/>
        <v>1</v>
      </c>
      <c r="AY540" s="145">
        <f t="shared" si="209"/>
        <v>0</v>
      </c>
      <c r="AZ540" s="145">
        <f t="shared" si="210"/>
        <v>1</v>
      </c>
      <c r="BA540" s="146">
        <f t="shared" si="211"/>
        <v>1</v>
      </c>
      <c r="BB540" s="149">
        <f t="shared" si="190"/>
        <v>16</v>
      </c>
      <c r="BC540" s="150">
        <f t="shared" si="191"/>
        <v>15</v>
      </c>
      <c r="BD540" s="150">
        <f t="shared" si="192"/>
        <v>16</v>
      </c>
      <c r="BE540" s="211" t="str">
        <f t="shared" si="193"/>
        <v/>
      </c>
      <c r="BF540" s="205"/>
      <c r="BG540" s="205"/>
      <c r="BH540" s="173">
        <f>IF(AND(Input_Product=Elig!$C540,Elig_MatchAll_Ct&lt;22,$BC540=(Elig_MatchAll_Ct-1),AF540=0),C540,0)</f>
        <v>0</v>
      </c>
      <c r="BI540" s="173">
        <f>IF(AND(Input_Product=Elig!$C540,Elig_MatchAll_Ct&lt;22,$BC540=(Elig_MatchAll_Ct-1),AG540=0),D540,0)</f>
        <v>0</v>
      </c>
      <c r="BJ540" s="173">
        <f>IF(AND(Input_Product=Elig!$C540,Elig_MatchAll_Ct&lt;22,$BC540=(Elig_MatchAll_Ct-1),AH540=0),E540,0)</f>
        <v>0</v>
      </c>
      <c r="BK540" s="173">
        <f>IF(AND(Input_Product=Elig!$C540,Elig_MatchAll_Ct&lt;22,$BC540=(Elig_MatchAll_Ct-1),AI540=0),F540,0)</f>
        <v>0</v>
      </c>
      <c r="BL540" s="173">
        <f>IF(AND(Input_Product=Elig!$C540,Elig_MatchAll_Ct&lt;22,$BC540=(Elig_MatchAll_Ct-1),AJ540=0),G540,0)</f>
        <v>0</v>
      </c>
      <c r="BM540" s="173">
        <f>IF(AND(Input_Product=Elig!$C540,Elig_MatchAll_Ct&lt;22,$BC540=(Elig_MatchAll_Ct-1),AK540=0),H540,0)</f>
        <v>0</v>
      </c>
      <c r="BN540" s="173">
        <f>IF(AND(Input_Product=Elig!$C540,Elig_MatchAll_Ct&lt;22,$BC540=(Elig_MatchAll_Ct-1),AL540=0),I540,0)</f>
        <v>0</v>
      </c>
      <c r="BO540" s="173">
        <f>IF(AND(Input_Product=Elig!$C540,Elig_MatchAll_Ct&lt;22,$BC540=(Elig_MatchAll_Ct-1),AM540=0),J540,0)</f>
        <v>0</v>
      </c>
      <c r="BP540" s="173">
        <f>IF(AND(Input_Product=Elig!$C540,Elig_MatchAll_Ct&lt;22,$BC540=(Elig_MatchAll_Ct-1),AN540=0),K540,0)</f>
        <v>0</v>
      </c>
      <c r="BQ540" s="173">
        <f>IF(AND(Input_Product=Elig!$C540,Elig_MatchAll_Ct&lt;22,$BC540=(Elig_MatchAll_Ct-1),AP540=0),L540,0)</f>
        <v>0</v>
      </c>
      <c r="BR540" s="173">
        <f>IF(AND(Input_Product=Elig!$C540,Elig_MatchAll_Ct&lt;22,$BC540=(Elig_MatchAll_Ct-1),AO540=0),M540,0)</f>
        <v>0</v>
      </c>
      <c r="BS540" s="173">
        <f>IF(AND(Input_Product=Elig!$C540,Elig_MatchAll_Ct&lt;22,$BC540=(Elig_MatchAll_Ct-1),AQ540=0),N540,0)</f>
        <v>0</v>
      </c>
      <c r="BT540" s="173">
        <f>IF(AND(Input_Product=Elig!$C540,Elig_MatchAll_Ct&lt;22,$BC540=(Elig_MatchAll_Ct-1),AR540=0),O540,0)</f>
        <v>0</v>
      </c>
      <c r="BU540" s="173">
        <f>IF(AND(Input_Product=Elig!$C540,Elig_MatchAll_Ct&lt;22,$BC540=(Elig_MatchAll_Ct-1),AS540=0),P540,0)</f>
        <v>0</v>
      </c>
      <c r="BV540" s="174">
        <f>IF(AND(Input_Product=Elig!$C540,Elig_MatchAll_Ct&lt;22,$BC540=(Elig_MatchAll_Ct-1),AT540=0),Q540,0)</f>
        <v>0</v>
      </c>
      <c r="BW540" s="175">
        <f>IF(AND(Input_Product=Elig!$C540,Elig_MatchAll_Ct&lt;22,$BC540=(Elig_MatchAll_Ct-1),AU540=0),R540,0)</f>
        <v>0</v>
      </c>
      <c r="BX540" s="176">
        <f>IF(AND(Input_Product=Elig!$C540,Elig_MatchAll_Ct&lt;22,$BC540=(Elig_MatchAll_Ct-1),AU540=0),S540,0)</f>
        <v>0</v>
      </c>
      <c r="BY540" s="175">
        <f>IF(AND(Input_Product=Elig!$C540,Elig_MatchAll_Ct&lt;22,$BC540=(Elig_MatchAll_Ct-1),AV540=0),T540,0)</f>
        <v>0</v>
      </c>
      <c r="BZ540" s="176">
        <f>IF(AND(Input_Product=Elig!$C540,Elig_MatchAll_Ct&lt;22,$BC540=(Elig_MatchAll_Ct-1),AV540=0),U540,0)</f>
        <v>0</v>
      </c>
      <c r="CA540" s="175">
        <f>IF(AND(Input_Product=Elig!$C540,Elig_MatchAll_Ct&lt;22,$BC540=(Elig_MatchAll_Ct-1),AW540=0),V540,0)</f>
        <v>0</v>
      </c>
      <c r="CB540" s="176">
        <f>IF(AND(Input_Product=Elig!$C540,Elig_MatchAll_Ct&lt;22,$BC540=(Elig_MatchAll_Ct-1),AW540=0),W540,0)</f>
        <v>0</v>
      </c>
      <c r="CC540" s="175">
        <f>IF(AND(Input_Product=Elig!$C540,Elig_MatchAll_Ct&lt;22,$BC540=(Elig_MatchAll_Ct-1),AX540=0),X540,0)</f>
        <v>0</v>
      </c>
      <c r="CD540" s="176">
        <f>IF(AND(Input_Product=Elig!$C540,Elig_MatchAll_Ct&lt;22,$BC540=(Elig_MatchAll_Ct-1),AX540=0),Y540,0)</f>
        <v>0</v>
      </c>
      <c r="CE540" s="175">
        <f>IF(AND(Input_LTV&lt;=AE540,Input_Product=Elig!$C540,Elig_MatchAll_Ct&lt;22,$BC540=(Elig_MatchAll_Ct-1),AY540=0),Z540,0)</f>
        <v>0</v>
      </c>
      <c r="CF540" s="176">
        <f>IF(AND(Input_LTV&lt;=AE540,Input_Product=Elig!$C540,Elig_MatchAll_Ct&lt;22,$BC540=(Elig_MatchAll_Ct-1),AY540=0),AA540,0)</f>
        <v>0</v>
      </c>
      <c r="CG540" s="175">
        <f>IF(AND(Input_Product=Elig!$C540,Elig_MatchAll_Ct&lt;22,$BC540=(Elig_MatchAll_Ct-1),AZ540=0),AB540,0)</f>
        <v>0</v>
      </c>
      <c r="CH540" s="176">
        <f>IF(AND(Input_Product=Elig!$C540,Elig_MatchAll_Ct&lt;22,$BC540=(Elig_MatchAll_Ct-1),AZ540=0),AC540,0)</f>
        <v>0</v>
      </c>
      <c r="CI540" s="175">
        <f>IF(AND(Input_Product=Elig!$C540,Elig_MatchAll_Ct&lt;22,$BC540=(Elig_MatchAll_Ct-1),BA540=0),AD540,0)</f>
        <v>0</v>
      </c>
      <c r="CJ540" s="176">
        <f>IF(AND(Input_Product=Elig!$C540,Elig_MatchAll_Ct&lt;22,$BC540=(Elig_MatchAll_Ct-1),BA540=0),AE540,0)</f>
        <v>0</v>
      </c>
    </row>
    <row r="541" spans="1:88" ht="10.15" customHeight="1" x14ac:dyDescent="0.25">
      <c r="A541" s="1476" t="s">
        <v>76</v>
      </c>
      <c r="B541" s="1476" t="s">
        <v>1085</v>
      </c>
      <c r="C541" s="1477" t="str">
        <f t="shared" si="204"/>
        <v>Second OO</v>
      </c>
      <c r="D541" s="1476" t="s">
        <v>1331</v>
      </c>
      <c r="E541" s="1476" t="s">
        <v>98</v>
      </c>
      <c r="F541" s="1476" t="s">
        <v>327</v>
      </c>
      <c r="G541" s="1544" t="s">
        <v>174</v>
      </c>
      <c r="H541" s="1478" t="s">
        <v>444</v>
      </c>
      <c r="I541" s="1476" t="s">
        <v>1141</v>
      </c>
      <c r="J541" s="1476" t="s">
        <v>1130</v>
      </c>
      <c r="K541" s="1478" t="s">
        <v>2464</v>
      </c>
      <c r="L541" s="1476" t="s">
        <v>428</v>
      </c>
      <c r="M541" s="1476" t="s">
        <v>1835</v>
      </c>
      <c r="N541" s="1478" t="s">
        <v>82</v>
      </c>
      <c r="O541" s="1476" t="s">
        <v>309</v>
      </c>
      <c r="P541" s="1476" t="s">
        <v>2433</v>
      </c>
      <c r="Q541" s="1476" t="s">
        <v>293</v>
      </c>
      <c r="R541" s="1476">
        <v>50000</v>
      </c>
      <c r="S541" s="1476">
        <v>350000</v>
      </c>
      <c r="T541" s="1476">
        <v>0</v>
      </c>
      <c r="U541" s="1476">
        <f t="shared" si="205"/>
        <v>350000</v>
      </c>
      <c r="V541" s="1476">
        <v>0</v>
      </c>
      <c r="W541" s="1476">
        <v>50</v>
      </c>
      <c r="X541" s="1476">
        <v>0</v>
      </c>
      <c r="Y541" s="1476">
        <v>999</v>
      </c>
      <c r="Z541" s="1479">
        <v>680</v>
      </c>
      <c r="AA541" s="1479">
        <v>699</v>
      </c>
      <c r="AB541" s="1479">
        <v>0</v>
      </c>
      <c r="AC541" s="1479">
        <v>999999</v>
      </c>
      <c r="AD541" s="1476">
        <v>0</v>
      </c>
      <c r="AE541" s="1539">
        <v>80</v>
      </c>
      <c r="AF541" s="144">
        <v>0</v>
      </c>
      <c r="AG541" s="145">
        <v>1</v>
      </c>
      <c r="AH541" s="145">
        <v>1</v>
      </c>
      <c r="AI541" s="145">
        <v>0</v>
      </c>
      <c r="AJ541" s="145">
        <v>0</v>
      </c>
      <c r="AK541" s="145">
        <v>0</v>
      </c>
      <c r="AL541" s="145">
        <v>1</v>
      </c>
      <c r="AM541" s="145">
        <v>1</v>
      </c>
      <c r="AN541" s="145">
        <v>1</v>
      </c>
      <c r="AO541" s="145">
        <v>1</v>
      </c>
      <c r="AP541" s="145">
        <v>1</v>
      </c>
      <c r="AQ541" s="145">
        <v>0</v>
      </c>
      <c r="AR541" s="145">
        <v>1</v>
      </c>
      <c r="AS541" s="145">
        <v>1</v>
      </c>
      <c r="AT541" s="145">
        <v>1</v>
      </c>
      <c r="AU541" s="145">
        <f t="shared" si="206"/>
        <v>1</v>
      </c>
      <c r="AV541" s="145">
        <f t="shared" si="207"/>
        <v>1</v>
      </c>
      <c r="AW541" s="145">
        <f t="shared" si="208"/>
        <v>1</v>
      </c>
      <c r="AX541" s="145">
        <f t="shared" si="212"/>
        <v>1</v>
      </c>
      <c r="AY541" s="145">
        <f t="shared" si="209"/>
        <v>0</v>
      </c>
      <c r="AZ541" s="145">
        <f t="shared" si="210"/>
        <v>1</v>
      </c>
      <c r="BA541" s="146">
        <f t="shared" si="211"/>
        <v>1</v>
      </c>
      <c r="BB541" s="149">
        <f t="shared" si="190"/>
        <v>16</v>
      </c>
      <c r="BC541" s="150">
        <f t="shared" si="191"/>
        <v>15</v>
      </c>
      <c r="BD541" s="150">
        <f t="shared" si="192"/>
        <v>16</v>
      </c>
      <c r="BE541" s="211" t="str">
        <f t="shared" si="193"/>
        <v/>
      </c>
      <c r="BF541" s="205"/>
      <c r="BG541" s="205"/>
      <c r="BH541" s="173">
        <f>IF(AND(Input_Product=Elig!$C541,Elig_MatchAll_Ct&lt;22,$BC541=(Elig_MatchAll_Ct-1),AF541=0),C541,0)</f>
        <v>0</v>
      </c>
      <c r="BI541" s="173">
        <f>IF(AND(Input_Product=Elig!$C541,Elig_MatchAll_Ct&lt;22,$BC541=(Elig_MatchAll_Ct-1),AG541=0),D541,0)</f>
        <v>0</v>
      </c>
      <c r="BJ541" s="173">
        <f>IF(AND(Input_Product=Elig!$C541,Elig_MatchAll_Ct&lt;22,$BC541=(Elig_MatchAll_Ct-1),AH541=0),E541,0)</f>
        <v>0</v>
      </c>
      <c r="BK541" s="173">
        <f>IF(AND(Input_Product=Elig!$C541,Elig_MatchAll_Ct&lt;22,$BC541=(Elig_MatchAll_Ct-1),AI541=0),F541,0)</f>
        <v>0</v>
      </c>
      <c r="BL541" s="173">
        <f>IF(AND(Input_Product=Elig!$C541,Elig_MatchAll_Ct&lt;22,$BC541=(Elig_MatchAll_Ct-1),AJ541=0),G541,0)</f>
        <v>0</v>
      </c>
      <c r="BM541" s="173">
        <f>IF(AND(Input_Product=Elig!$C541,Elig_MatchAll_Ct&lt;22,$BC541=(Elig_MatchAll_Ct-1),AK541=0),H541,0)</f>
        <v>0</v>
      </c>
      <c r="BN541" s="173">
        <f>IF(AND(Input_Product=Elig!$C541,Elig_MatchAll_Ct&lt;22,$BC541=(Elig_MatchAll_Ct-1),AL541=0),I541,0)</f>
        <v>0</v>
      </c>
      <c r="BO541" s="173">
        <f>IF(AND(Input_Product=Elig!$C541,Elig_MatchAll_Ct&lt;22,$BC541=(Elig_MatchAll_Ct-1),AM541=0),J541,0)</f>
        <v>0</v>
      </c>
      <c r="BP541" s="173">
        <f>IF(AND(Input_Product=Elig!$C541,Elig_MatchAll_Ct&lt;22,$BC541=(Elig_MatchAll_Ct-1),AN541=0),K541,0)</f>
        <v>0</v>
      </c>
      <c r="BQ541" s="173">
        <f>IF(AND(Input_Product=Elig!$C541,Elig_MatchAll_Ct&lt;22,$BC541=(Elig_MatchAll_Ct-1),AP541=0),L541,0)</f>
        <v>0</v>
      </c>
      <c r="BR541" s="173">
        <f>IF(AND(Input_Product=Elig!$C541,Elig_MatchAll_Ct&lt;22,$BC541=(Elig_MatchAll_Ct-1),AO541=0),M541,0)</f>
        <v>0</v>
      </c>
      <c r="BS541" s="173">
        <f>IF(AND(Input_Product=Elig!$C541,Elig_MatchAll_Ct&lt;22,$BC541=(Elig_MatchAll_Ct-1),AQ541=0),N541,0)</f>
        <v>0</v>
      </c>
      <c r="BT541" s="173">
        <f>IF(AND(Input_Product=Elig!$C541,Elig_MatchAll_Ct&lt;22,$BC541=(Elig_MatchAll_Ct-1),AR541=0),O541,0)</f>
        <v>0</v>
      </c>
      <c r="BU541" s="173">
        <f>IF(AND(Input_Product=Elig!$C541,Elig_MatchAll_Ct&lt;22,$BC541=(Elig_MatchAll_Ct-1),AS541=0),P541,0)</f>
        <v>0</v>
      </c>
      <c r="BV541" s="174">
        <f>IF(AND(Input_Product=Elig!$C541,Elig_MatchAll_Ct&lt;22,$BC541=(Elig_MatchAll_Ct-1),AT541=0),Q541,0)</f>
        <v>0</v>
      </c>
      <c r="BW541" s="175">
        <f>IF(AND(Input_Product=Elig!$C541,Elig_MatchAll_Ct&lt;22,$BC541=(Elig_MatchAll_Ct-1),AU541=0),R541,0)</f>
        <v>0</v>
      </c>
      <c r="BX541" s="176">
        <f>IF(AND(Input_Product=Elig!$C541,Elig_MatchAll_Ct&lt;22,$BC541=(Elig_MatchAll_Ct-1),AU541=0),S541,0)</f>
        <v>0</v>
      </c>
      <c r="BY541" s="175">
        <f>IF(AND(Input_Product=Elig!$C541,Elig_MatchAll_Ct&lt;22,$BC541=(Elig_MatchAll_Ct-1),AV541=0),T541,0)</f>
        <v>0</v>
      </c>
      <c r="BZ541" s="176">
        <f>IF(AND(Input_Product=Elig!$C541,Elig_MatchAll_Ct&lt;22,$BC541=(Elig_MatchAll_Ct-1),AV541=0),U541,0)</f>
        <v>0</v>
      </c>
      <c r="CA541" s="175">
        <f>IF(AND(Input_Product=Elig!$C541,Elig_MatchAll_Ct&lt;22,$BC541=(Elig_MatchAll_Ct-1),AW541=0),V541,0)</f>
        <v>0</v>
      </c>
      <c r="CB541" s="176">
        <f>IF(AND(Input_Product=Elig!$C541,Elig_MatchAll_Ct&lt;22,$BC541=(Elig_MatchAll_Ct-1),AW541=0),W541,0)</f>
        <v>0</v>
      </c>
      <c r="CC541" s="175">
        <f>IF(AND(Input_Product=Elig!$C541,Elig_MatchAll_Ct&lt;22,$BC541=(Elig_MatchAll_Ct-1),AX541=0),X541,0)</f>
        <v>0</v>
      </c>
      <c r="CD541" s="176">
        <f>IF(AND(Input_Product=Elig!$C541,Elig_MatchAll_Ct&lt;22,$BC541=(Elig_MatchAll_Ct-1),AX541=0),Y541,0)</f>
        <v>0</v>
      </c>
      <c r="CE541" s="175">
        <f>IF(AND(Input_LTV&lt;=AE541,Input_Product=Elig!$C541,Elig_MatchAll_Ct&lt;22,$BC541=(Elig_MatchAll_Ct-1),AY541=0),Z541,0)</f>
        <v>0</v>
      </c>
      <c r="CF541" s="176">
        <f>IF(AND(Input_LTV&lt;=AE541,Input_Product=Elig!$C541,Elig_MatchAll_Ct&lt;22,$BC541=(Elig_MatchAll_Ct-1),AY541=0),AA541,0)</f>
        <v>0</v>
      </c>
      <c r="CG541" s="175">
        <f>IF(AND(Input_Product=Elig!$C541,Elig_MatchAll_Ct&lt;22,$BC541=(Elig_MatchAll_Ct-1),AZ541=0),AB541,0)</f>
        <v>0</v>
      </c>
      <c r="CH541" s="176">
        <f>IF(AND(Input_Product=Elig!$C541,Elig_MatchAll_Ct&lt;22,$BC541=(Elig_MatchAll_Ct-1),AZ541=0),AC541,0)</f>
        <v>0</v>
      </c>
      <c r="CI541" s="175">
        <f>IF(AND(Input_Product=Elig!$C541,Elig_MatchAll_Ct&lt;22,$BC541=(Elig_MatchAll_Ct-1),BA541=0),AD541,0)</f>
        <v>0</v>
      </c>
      <c r="CJ541" s="176">
        <f>IF(AND(Input_Product=Elig!$C541,Elig_MatchAll_Ct&lt;22,$BC541=(Elig_MatchAll_Ct-1),BA541=0),AE541,0)</f>
        <v>0</v>
      </c>
    </row>
    <row r="542" spans="1:88" ht="10.15" customHeight="1" x14ac:dyDescent="0.25">
      <c r="A542" s="1476" t="s">
        <v>76</v>
      </c>
      <c r="B542" s="1476" t="s">
        <v>1086</v>
      </c>
      <c r="C542" s="1481" t="str">
        <f t="shared" si="204"/>
        <v>Second OO</v>
      </c>
      <c r="D542" s="1480" t="s">
        <v>1331</v>
      </c>
      <c r="E542" s="1480" t="s">
        <v>98</v>
      </c>
      <c r="F542" s="1480" t="s">
        <v>327</v>
      </c>
      <c r="G542" s="1545" t="s">
        <v>174</v>
      </c>
      <c r="H542" s="1482" t="s">
        <v>444</v>
      </c>
      <c r="I542" s="1480" t="s">
        <v>1141</v>
      </c>
      <c r="J542" s="1480" t="s">
        <v>1130</v>
      </c>
      <c r="K542" s="1482" t="s">
        <v>2464</v>
      </c>
      <c r="L542" s="1480" t="s">
        <v>428</v>
      </c>
      <c r="M542" s="1480" t="s">
        <v>1835</v>
      </c>
      <c r="N542" s="1482" t="s">
        <v>82</v>
      </c>
      <c r="O542" s="1480" t="s">
        <v>309</v>
      </c>
      <c r="P542" s="1480" t="s">
        <v>2433</v>
      </c>
      <c r="Q542" s="1480" t="s">
        <v>293</v>
      </c>
      <c r="R542" s="1480">
        <v>50000</v>
      </c>
      <c r="S542" s="1480">
        <v>350000</v>
      </c>
      <c r="T542" s="1480">
        <v>0</v>
      </c>
      <c r="U542" s="1480">
        <f t="shared" si="205"/>
        <v>350000</v>
      </c>
      <c r="V542" s="1480">
        <v>0</v>
      </c>
      <c r="W542" s="1480">
        <v>50</v>
      </c>
      <c r="X542" s="1480">
        <v>0</v>
      </c>
      <c r="Y542" s="1480">
        <v>999</v>
      </c>
      <c r="Z542" s="1483">
        <v>660</v>
      </c>
      <c r="AA542" s="1483">
        <v>679</v>
      </c>
      <c r="AB542" s="1483">
        <v>0</v>
      </c>
      <c r="AC542" s="1483">
        <v>999999</v>
      </c>
      <c r="AD542" s="1480">
        <v>0</v>
      </c>
      <c r="AE542" s="1541">
        <v>75</v>
      </c>
      <c r="AF542" s="144">
        <v>0</v>
      </c>
      <c r="AG542" s="145">
        <v>1</v>
      </c>
      <c r="AH542" s="145">
        <v>1</v>
      </c>
      <c r="AI542" s="145">
        <v>0</v>
      </c>
      <c r="AJ542" s="145">
        <v>0</v>
      </c>
      <c r="AK542" s="145">
        <v>0</v>
      </c>
      <c r="AL542" s="145">
        <v>1</v>
      </c>
      <c r="AM542" s="145">
        <v>1</v>
      </c>
      <c r="AN542" s="145">
        <v>1</v>
      </c>
      <c r="AO542" s="145">
        <v>1</v>
      </c>
      <c r="AP542" s="145">
        <v>1</v>
      </c>
      <c r="AQ542" s="145">
        <v>0</v>
      </c>
      <c r="AR542" s="145">
        <v>1</v>
      </c>
      <c r="AS542" s="145">
        <v>1</v>
      </c>
      <c r="AT542" s="145">
        <v>1</v>
      </c>
      <c r="AU542" s="145">
        <f t="shared" si="206"/>
        <v>1</v>
      </c>
      <c r="AV542" s="145">
        <f t="shared" si="207"/>
        <v>1</v>
      </c>
      <c r="AW542" s="145">
        <f t="shared" si="208"/>
        <v>1</v>
      </c>
      <c r="AX542" s="145">
        <f t="shared" si="212"/>
        <v>1</v>
      </c>
      <c r="AY542" s="145">
        <f t="shared" si="209"/>
        <v>0</v>
      </c>
      <c r="AZ542" s="145">
        <f t="shared" si="210"/>
        <v>1</v>
      </c>
      <c r="BA542" s="146">
        <f t="shared" si="211"/>
        <v>1</v>
      </c>
      <c r="BB542" s="149">
        <f t="shared" si="190"/>
        <v>16</v>
      </c>
      <c r="BC542" s="150">
        <f t="shared" si="191"/>
        <v>15</v>
      </c>
      <c r="BD542" s="150">
        <f t="shared" si="192"/>
        <v>16</v>
      </c>
      <c r="BE542" s="211" t="str">
        <f t="shared" si="193"/>
        <v/>
      </c>
      <c r="BF542" s="205"/>
      <c r="BG542" s="205"/>
      <c r="BH542" s="188">
        <f>IF(AND(Input_Product=Elig!$C542,Elig_MatchAll_Ct&lt;22,$BC542=(Elig_MatchAll_Ct-1),AF542=0),C542,0)</f>
        <v>0</v>
      </c>
      <c r="BI542" s="188">
        <f>IF(AND(Input_Product=Elig!$C542,Elig_MatchAll_Ct&lt;22,$BC542=(Elig_MatchAll_Ct-1),AG542=0),D542,0)</f>
        <v>0</v>
      </c>
      <c r="BJ542" s="188">
        <f>IF(AND(Input_Product=Elig!$C542,Elig_MatchAll_Ct&lt;22,$BC542=(Elig_MatchAll_Ct-1),AH542=0),E542,0)</f>
        <v>0</v>
      </c>
      <c r="BK542" s="188">
        <f>IF(AND(Input_Product=Elig!$C542,Elig_MatchAll_Ct&lt;22,$BC542=(Elig_MatchAll_Ct-1),AI542=0),F542,0)</f>
        <v>0</v>
      </c>
      <c r="BL542" s="188">
        <f>IF(AND(Input_Product=Elig!$C542,Elig_MatchAll_Ct&lt;22,$BC542=(Elig_MatchAll_Ct-1),AJ542=0),G542,0)</f>
        <v>0</v>
      </c>
      <c r="BM542" s="188">
        <f>IF(AND(Input_Product=Elig!$C542,Elig_MatchAll_Ct&lt;22,$BC542=(Elig_MatchAll_Ct-1),AK542=0),H542,0)</f>
        <v>0</v>
      </c>
      <c r="BN542" s="188">
        <f>IF(AND(Input_Product=Elig!$C542,Elig_MatchAll_Ct&lt;22,$BC542=(Elig_MatchAll_Ct-1),AL542=0),I542,0)</f>
        <v>0</v>
      </c>
      <c r="BO542" s="188">
        <f>IF(AND(Input_Product=Elig!$C542,Elig_MatchAll_Ct&lt;22,$BC542=(Elig_MatchAll_Ct-1),AM542=0),J542,0)</f>
        <v>0</v>
      </c>
      <c r="BP542" s="188">
        <f>IF(AND(Input_Product=Elig!$C542,Elig_MatchAll_Ct&lt;22,$BC542=(Elig_MatchAll_Ct-1),AN542=0),K542,0)</f>
        <v>0</v>
      </c>
      <c r="BQ542" s="188">
        <f>IF(AND(Input_Product=Elig!$C542,Elig_MatchAll_Ct&lt;22,$BC542=(Elig_MatchAll_Ct-1),AP542=0),L542,0)</f>
        <v>0</v>
      </c>
      <c r="BR542" s="188">
        <f>IF(AND(Input_Product=Elig!$C542,Elig_MatchAll_Ct&lt;22,$BC542=(Elig_MatchAll_Ct-1),AO542=0),M542,0)</f>
        <v>0</v>
      </c>
      <c r="BS542" s="188">
        <f>IF(AND(Input_Product=Elig!$C542,Elig_MatchAll_Ct&lt;22,$BC542=(Elig_MatchAll_Ct-1),AQ542=0),N542,0)</f>
        <v>0</v>
      </c>
      <c r="BT542" s="188">
        <f>IF(AND(Input_Product=Elig!$C542,Elig_MatchAll_Ct&lt;22,$BC542=(Elig_MatchAll_Ct-1),AR542=0),O542,0)</f>
        <v>0</v>
      </c>
      <c r="BU542" s="188">
        <f>IF(AND(Input_Product=Elig!$C542,Elig_MatchAll_Ct&lt;22,$BC542=(Elig_MatchAll_Ct-1),AS542=0),P542,0)</f>
        <v>0</v>
      </c>
      <c r="BV542" s="189">
        <f>IF(AND(Input_Product=Elig!$C542,Elig_MatchAll_Ct&lt;22,$BC542=(Elig_MatchAll_Ct-1),AT542=0),Q542,0)</f>
        <v>0</v>
      </c>
      <c r="BW542" s="271">
        <f>IF(AND(Input_Product=Elig!$C542,Elig_MatchAll_Ct&lt;22,$BC542=(Elig_MatchAll_Ct-1),AU542=0),R542,0)</f>
        <v>0</v>
      </c>
      <c r="BX542" s="272">
        <f>IF(AND(Input_Product=Elig!$C542,Elig_MatchAll_Ct&lt;22,$BC542=(Elig_MatchAll_Ct-1),AU542=0),S542,0)</f>
        <v>0</v>
      </c>
      <c r="BY542" s="271">
        <f>IF(AND(Input_Product=Elig!$C542,Elig_MatchAll_Ct&lt;22,$BC542=(Elig_MatchAll_Ct-1),AV542=0),T542,0)</f>
        <v>0</v>
      </c>
      <c r="BZ542" s="272">
        <f>IF(AND(Input_Product=Elig!$C542,Elig_MatchAll_Ct&lt;22,$BC542=(Elig_MatchAll_Ct-1),AV542=0),U542,0)</f>
        <v>0</v>
      </c>
      <c r="CA542" s="271">
        <f>IF(AND(Input_Product=Elig!$C542,Elig_MatchAll_Ct&lt;22,$BC542=(Elig_MatchAll_Ct-1),AW542=0),V542,0)</f>
        <v>0</v>
      </c>
      <c r="CB542" s="272">
        <f>IF(AND(Input_Product=Elig!$C542,Elig_MatchAll_Ct&lt;22,$BC542=(Elig_MatchAll_Ct-1),AW542=0),W542,0)</f>
        <v>0</v>
      </c>
      <c r="CC542" s="271">
        <f>IF(AND(Input_Product=Elig!$C542,Elig_MatchAll_Ct&lt;22,$BC542=(Elig_MatchAll_Ct-1),AX542=0),X542,0)</f>
        <v>0</v>
      </c>
      <c r="CD542" s="272">
        <f>IF(AND(Input_Product=Elig!$C542,Elig_MatchAll_Ct&lt;22,$BC542=(Elig_MatchAll_Ct-1),AX542=0),Y542,0)</f>
        <v>0</v>
      </c>
      <c r="CE542" s="271">
        <f>IF(AND(Input_LTV&lt;=AE542,Input_Product=Elig!$C542,Elig_MatchAll_Ct&lt;22,$BC542=(Elig_MatchAll_Ct-1),AY542=0),Z542,0)</f>
        <v>0</v>
      </c>
      <c r="CF542" s="272">
        <f>IF(AND(Input_LTV&lt;=AE542,Input_Product=Elig!$C542,Elig_MatchAll_Ct&lt;22,$BC542=(Elig_MatchAll_Ct-1),AY542=0),AA542,0)</f>
        <v>0</v>
      </c>
      <c r="CG542" s="271">
        <f>IF(AND(Input_Product=Elig!$C542,Elig_MatchAll_Ct&lt;22,$BC542=(Elig_MatchAll_Ct-1),AZ542=0),AB542,0)</f>
        <v>0</v>
      </c>
      <c r="CH542" s="272">
        <f>IF(AND(Input_Product=Elig!$C542,Elig_MatchAll_Ct&lt;22,$BC542=(Elig_MatchAll_Ct-1),AZ542=0),AC542,0)</f>
        <v>0</v>
      </c>
      <c r="CI542" s="271">
        <f>IF(AND(Input_Product=Elig!$C542,Elig_MatchAll_Ct&lt;22,$BC542=(Elig_MatchAll_Ct-1),BA542=0),AD542,0)</f>
        <v>0</v>
      </c>
      <c r="CJ542" s="272">
        <f>IF(AND(Input_Product=Elig!$C542,Elig_MatchAll_Ct&lt;22,$BC542=(Elig_MatchAll_Ct-1),BA542=0),AE542,0)</f>
        <v>0</v>
      </c>
    </row>
    <row r="543" spans="1:88" ht="10.15" customHeight="1" x14ac:dyDescent="0.25">
      <c r="A543" s="1476" t="s">
        <v>76</v>
      </c>
      <c r="B543" s="1476" t="s">
        <v>1087</v>
      </c>
      <c r="C543" s="1473" t="str">
        <f t="shared" si="204"/>
        <v>Second OO</v>
      </c>
      <c r="D543" s="1474" t="s">
        <v>1121</v>
      </c>
      <c r="E543" s="1474" t="s">
        <v>98</v>
      </c>
      <c r="F543" s="1474" t="s">
        <v>327</v>
      </c>
      <c r="G543" s="1537" t="s">
        <v>174</v>
      </c>
      <c r="H543" s="1474" t="s">
        <v>444</v>
      </c>
      <c r="I543" s="1472" t="s">
        <v>1141</v>
      </c>
      <c r="J543" s="1472" t="s">
        <v>1130</v>
      </c>
      <c r="K543" s="1474" t="s">
        <v>2464</v>
      </c>
      <c r="L543" s="1472" t="s">
        <v>428</v>
      </c>
      <c r="M543" s="1472" t="s">
        <v>1835</v>
      </c>
      <c r="N543" s="1474" t="s">
        <v>82</v>
      </c>
      <c r="O543" s="1472" t="s">
        <v>309</v>
      </c>
      <c r="P543" s="1472" t="s">
        <v>2433</v>
      </c>
      <c r="Q543" s="1472" t="s">
        <v>293</v>
      </c>
      <c r="R543" s="1472">
        <v>200000</v>
      </c>
      <c r="S543" s="1472">
        <v>350000</v>
      </c>
      <c r="T543" s="1472">
        <v>0</v>
      </c>
      <c r="U543" s="1472">
        <f t="shared" si="205"/>
        <v>350000</v>
      </c>
      <c r="V543" s="1472">
        <v>0</v>
      </c>
      <c r="W543" s="1472">
        <v>50</v>
      </c>
      <c r="X543" s="1472">
        <v>0</v>
      </c>
      <c r="Y543" s="1472">
        <v>999</v>
      </c>
      <c r="Z543" s="1475">
        <v>720</v>
      </c>
      <c r="AA543" s="1475">
        <v>999</v>
      </c>
      <c r="AB543" s="1475">
        <v>0</v>
      </c>
      <c r="AC543" s="1475">
        <v>999999</v>
      </c>
      <c r="AD543" s="1472">
        <v>0</v>
      </c>
      <c r="AE543" s="1538">
        <v>90</v>
      </c>
      <c r="AF543" s="144">
        <v>0</v>
      </c>
      <c r="AG543" s="145">
        <v>0</v>
      </c>
      <c r="AH543" s="145">
        <v>1</v>
      </c>
      <c r="AI543" s="145">
        <v>0</v>
      </c>
      <c r="AJ543" s="145">
        <v>0</v>
      </c>
      <c r="AK543" s="145">
        <v>0</v>
      </c>
      <c r="AL543" s="145">
        <v>1</v>
      </c>
      <c r="AM543" s="145">
        <v>1</v>
      </c>
      <c r="AN543" s="145">
        <v>1</v>
      </c>
      <c r="AO543" s="145">
        <v>1</v>
      </c>
      <c r="AP543" s="145">
        <v>1</v>
      </c>
      <c r="AQ543" s="145">
        <v>0</v>
      </c>
      <c r="AR543" s="145">
        <v>1</v>
      </c>
      <c r="AS543" s="145">
        <v>1</v>
      </c>
      <c r="AT543" s="145">
        <v>1</v>
      </c>
      <c r="AU543" s="145">
        <f t="shared" si="206"/>
        <v>0</v>
      </c>
      <c r="AV543" s="145">
        <f t="shared" si="207"/>
        <v>1</v>
      </c>
      <c r="AW543" s="145">
        <f t="shared" si="208"/>
        <v>1</v>
      </c>
      <c r="AX543" s="145">
        <f t="shared" si="212"/>
        <v>1</v>
      </c>
      <c r="AY543" s="145">
        <f t="shared" si="209"/>
        <v>1</v>
      </c>
      <c r="AZ543" s="145">
        <f t="shared" si="210"/>
        <v>1</v>
      </c>
      <c r="BA543" s="146">
        <f t="shared" si="211"/>
        <v>1</v>
      </c>
      <c r="BB543" s="149">
        <f t="shared" si="190"/>
        <v>15</v>
      </c>
      <c r="BC543" s="150">
        <f t="shared" si="191"/>
        <v>14</v>
      </c>
      <c r="BD543" s="150">
        <f t="shared" si="192"/>
        <v>15</v>
      </c>
      <c r="BE543" s="211" t="str">
        <f t="shared" si="193"/>
        <v/>
      </c>
      <c r="BF543" s="194"/>
      <c r="BG543" s="194"/>
      <c r="BH543" s="190">
        <f>IF(AND(Input_Product=Elig!$C543,Elig_MatchAll_Ct&lt;22,$BC543=(Elig_MatchAll_Ct-1),AF543=0),C543,0)</f>
        <v>0</v>
      </c>
      <c r="BI543" s="190">
        <f>IF(AND(Input_Product=Elig!$C543,Elig_MatchAll_Ct&lt;22,$BC543=(Elig_MatchAll_Ct-1),AG543=0),D543,0)</f>
        <v>0</v>
      </c>
      <c r="BJ543" s="190">
        <f>IF(AND(Input_Product=Elig!$C543,Elig_MatchAll_Ct&lt;22,$BC543=(Elig_MatchAll_Ct-1),AH543=0),E543,0)</f>
        <v>0</v>
      </c>
      <c r="BK543" s="190">
        <f>IF(AND(Input_Product=Elig!$C543,Elig_MatchAll_Ct&lt;22,$BC543=(Elig_MatchAll_Ct-1),AI543=0),F543,0)</f>
        <v>0</v>
      </c>
      <c r="BL543" s="190">
        <f>IF(AND(Input_Product=Elig!$C543,Elig_MatchAll_Ct&lt;22,$BC543=(Elig_MatchAll_Ct-1),AJ543=0),G543,0)</f>
        <v>0</v>
      </c>
      <c r="BM543" s="190">
        <f>IF(AND(Input_Product=Elig!$C543,Elig_MatchAll_Ct&lt;22,$BC543=(Elig_MatchAll_Ct-1),AK543=0),H543,0)</f>
        <v>0</v>
      </c>
      <c r="BN543" s="190">
        <f>IF(AND(Input_Product=Elig!$C543,Elig_MatchAll_Ct&lt;22,$BC543=(Elig_MatchAll_Ct-1),AL543=0),I543,0)</f>
        <v>0</v>
      </c>
      <c r="BO543" s="190">
        <f>IF(AND(Input_Product=Elig!$C543,Elig_MatchAll_Ct&lt;22,$BC543=(Elig_MatchAll_Ct-1),AM543=0),J543,0)</f>
        <v>0</v>
      </c>
      <c r="BP543" s="190">
        <f>IF(AND(Input_Product=Elig!$C543,Elig_MatchAll_Ct&lt;22,$BC543=(Elig_MatchAll_Ct-1),AN543=0),K543,0)</f>
        <v>0</v>
      </c>
      <c r="BQ543" s="190">
        <f>IF(AND(Input_Product=Elig!$C543,Elig_MatchAll_Ct&lt;22,$BC543=(Elig_MatchAll_Ct-1),AP543=0),L543,0)</f>
        <v>0</v>
      </c>
      <c r="BR543" s="190">
        <f>IF(AND(Input_Product=Elig!$C543,Elig_MatchAll_Ct&lt;22,$BC543=(Elig_MatchAll_Ct-1),AO543=0),M543,0)</f>
        <v>0</v>
      </c>
      <c r="BS543" s="190">
        <f>IF(AND(Input_Product=Elig!$C543,Elig_MatchAll_Ct&lt;22,$BC543=(Elig_MatchAll_Ct-1),AQ543=0),N543,0)</f>
        <v>0</v>
      </c>
      <c r="BT543" s="190">
        <f>IF(AND(Input_Product=Elig!$C543,Elig_MatchAll_Ct&lt;22,$BC543=(Elig_MatchAll_Ct-1),AR543=0),O543,0)</f>
        <v>0</v>
      </c>
      <c r="BU543" s="190">
        <f>IF(AND(Input_Product=Elig!$C543,Elig_MatchAll_Ct&lt;22,$BC543=(Elig_MatchAll_Ct-1),AS543=0),P543,0)</f>
        <v>0</v>
      </c>
      <c r="BV543" s="191">
        <f>IF(AND(Input_Product=Elig!$C543,Elig_MatchAll_Ct&lt;22,$BC543=(Elig_MatchAll_Ct-1),AT543=0),Q543,0)</f>
        <v>0</v>
      </c>
      <c r="BW543" s="273">
        <f>IF(AND(Input_Product=Elig!$C543,Elig_MatchAll_Ct&lt;22,$BC543=(Elig_MatchAll_Ct-1),AU543=0),R543,0)</f>
        <v>0</v>
      </c>
      <c r="BX543" s="274">
        <f>IF(AND(Input_Product=Elig!$C543,Elig_MatchAll_Ct&lt;22,$BC543=(Elig_MatchAll_Ct-1),AU543=0),S543,0)</f>
        <v>0</v>
      </c>
      <c r="BY543" s="273">
        <f>IF(AND(Input_Product=Elig!$C543,Elig_MatchAll_Ct&lt;22,$BC543=(Elig_MatchAll_Ct-1),AV543=0),T543,0)</f>
        <v>0</v>
      </c>
      <c r="BZ543" s="274">
        <f>IF(AND(Input_Product=Elig!$C543,Elig_MatchAll_Ct&lt;22,$BC543=(Elig_MatchAll_Ct-1),AV543=0),U543,0)</f>
        <v>0</v>
      </c>
      <c r="CA543" s="273">
        <f>IF(AND(Input_Product=Elig!$C543,Elig_MatchAll_Ct&lt;22,$BC543=(Elig_MatchAll_Ct-1),AW543=0),V543,0)</f>
        <v>0</v>
      </c>
      <c r="CB543" s="274">
        <f>IF(AND(Input_Product=Elig!$C543,Elig_MatchAll_Ct&lt;22,$BC543=(Elig_MatchAll_Ct-1),AW543=0),W543,0)</f>
        <v>0</v>
      </c>
      <c r="CC543" s="273">
        <f>IF(AND(Input_Product=Elig!$C543,Elig_MatchAll_Ct&lt;22,$BC543=(Elig_MatchAll_Ct-1),AX543=0),X543,0)</f>
        <v>0</v>
      </c>
      <c r="CD543" s="274">
        <f>IF(AND(Input_Product=Elig!$C543,Elig_MatchAll_Ct&lt;22,$BC543=(Elig_MatchAll_Ct-1),AX543=0),Y543,0)</f>
        <v>0</v>
      </c>
      <c r="CE543" s="273">
        <f>IF(AND(Input_LTV&lt;=AE543,Input_Product=Elig!$C543,Elig_MatchAll_Ct&lt;22,$BC543=(Elig_MatchAll_Ct-1),AY543=0),Z543,0)</f>
        <v>0</v>
      </c>
      <c r="CF543" s="274">
        <f>IF(AND(Input_LTV&lt;=AE543,Input_Product=Elig!$C543,Elig_MatchAll_Ct&lt;22,$BC543=(Elig_MatchAll_Ct-1),AY543=0),AA543,0)</f>
        <v>0</v>
      </c>
      <c r="CG543" s="273">
        <f>IF(AND(Input_Product=Elig!$C543,Elig_MatchAll_Ct&lt;22,$BC543=(Elig_MatchAll_Ct-1),AZ543=0),AB543,0)</f>
        <v>0</v>
      </c>
      <c r="CH543" s="274">
        <f>IF(AND(Input_Product=Elig!$C543,Elig_MatchAll_Ct&lt;22,$BC543=(Elig_MatchAll_Ct-1),AZ543=0),AC543,0)</f>
        <v>0</v>
      </c>
      <c r="CI543" s="273">
        <f>IF(AND(Input_Product=Elig!$C543,Elig_MatchAll_Ct&lt;22,$BC543=(Elig_MatchAll_Ct-1),BA543=0),AD543,0)</f>
        <v>0</v>
      </c>
      <c r="CJ543" s="274">
        <f>IF(AND(Input_Product=Elig!$C543,Elig_MatchAll_Ct&lt;22,$BC543=(Elig_MatchAll_Ct-1),BA543=0),AE543,0)</f>
        <v>0</v>
      </c>
    </row>
    <row r="544" spans="1:88" ht="10.15" customHeight="1" x14ac:dyDescent="0.25">
      <c r="A544" s="1476" t="s">
        <v>76</v>
      </c>
      <c r="B544" s="1476" t="s">
        <v>1088</v>
      </c>
      <c r="C544" s="1477" t="str">
        <f t="shared" si="204"/>
        <v>Second OO</v>
      </c>
      <c r="D544" s="1476" t="s">
        <v>1121</v>
      </c>
      <c r="E544" s="1476" t="s">
        <v>98</v>
      </c>
      <c r="F544" s="1476" t="s">
        <v>327</v>
      </c>
      <c r="G544" s="1544" t="s">
        <v>174</v>
      </c>
      <c r="H544" s="1478" t="s">
        <v>444</v>
      </c>
      <c r="I544" s="1476" t="s">
        <v>1141</v>
      </c>
      <c r="J544" s="1476" t="s">
        <v>1130</v>
      </c>
      <c r="K544" s="1478" t="s">
        <v>2464</v>
      </c>
      <c r="L544" s="1476" t="s">
        <v>428</v>
      </c>
      <c r="M544" s="1476" t="s">
        <v>1835</v>
      </c>
      <c r="N544" s="1478" t="s">
        <v>82</v>
      </c>
      <c r="O544" s="1476" t="s">
        <v>309</v>
      </c>
      <c r="P544" s="1476" t="s">
        <v>2433</v>
      </c>
      <c r="Q544" s="1476" t="s">
        <v>293</v>
      </c>
      <c r="R544" s="1476">
        <v>200000</v>
      </c>
      <c r="S544" s="1476">
        <v>350000</v>
      </c>
      <c r="T544" s="1476">
        <v>0</v>
      </c>
      <c r="U544" s="1476">
        <f t="shared" si="205"/>
        <v>350000</v>
      </c>
      <c r="V544" s="1476">
        <v>0</v>
      </c>
      <c r="W544" s="1476">
        <v>50</v>
      </c>
      <c r="X544" s="1476">
        <v>0</v>
      </c>
      <c r="Y544" s="1476">
        <v>999</v>
      </c>
      <c r="Z544" s="1479">
        <v>700</v>
      </c>
      <c r="AA544" s="1479">
        <v>719</v>
      </c>
      <c r="AB544" s="1479">
        <v>0</v>
      </c>
      <c r="AC544" s="1479">
        <v>999999</v>
      </c>
      <c r="AD544" s="1476">
        <v>0</v>
      </c>
      <c r="AE544" s="1539">
        <v>85</v>
      </c>
      <c r="AF544" s="144">
        <v>0</v>
      </c>
      <c r="AG544" s="145">
        <v>0</v>
      </c>
      <c r="AH544" s="145">
        <v>1</v>
      </c>
      <c r="AI544" s="145">
        <v>0</v>
      </c>
      <c r="AJ544" s="145">
        <v>0</v>
      </c>
      <c r="AK544" s="145">
        <v>0</v>
      </c>
      <c r="AL544" s="145">
        <v>1</v>
      </c>
      <c r="AM544" s="145">
        <v>1</v>
      </c>
      <c r="AN544" s="145">
        <v>1</v>
      </c>
      <c r="AO544" s="145">
        <v>1</v>
      </c>
      <c r="AP544" s="145">
        <v>1</v>
      </c>
      <c r="AQ544" s="145">
        <v>0</v>
      </c>
      <c r="AR544" s="145">
        <v>1</v>
      </c>
      <c r="AS544" s="145">
        <v>1</v>
      </c>
      <c r="AT544" s="145">
        <v>1</v>
      </c>
      <c r="AU544" s="145">
        <f t="shared" si="206"/>
        <v>0</v>
      </c>
      <c r="AV544" s="145">
        <f t="shared" si="207"/>
        <v>1</v>
      </c>
      <c r="AW544" s="145">
        <f t="shared" si="208"/>
        <v>1</v>
      </c>
      <c r="AX544" s="145">
        <f t="shared" si="212"/>
        <v>1</v>
      </c>
      <c r="AY544" s="145">
        <f t="shared" si="209"/>
        <v>0</v>
      </c>
      <c r="AZ544" s="145">
        <f t="shared" si="210"/>
        <v>1</v>
      </c>
      <c r="BA544" s="146">
        <f t="shared" si="211"/>
        <v>1</v>
      </c>
      <c r="BB544" s="149">
        <f t="shared" si="190"/>
        <v>14</v>
      </c>
      <c r="BC544" s="150">
        <f t="shared" si="191"/>
        <v>13</v>
      </c>
      <c r="BD544" s="150">
        <f t="shared" si="192"/>
        <v>14</v>
      </c>
      <c r="BE544" s="211" t="str">
        <f t="shared" si="193"/>
        <v/>
      </c>
      <c r="BF544" s="205"/>
      <c r="BG544" s="205"/>
      <c r="BH544" s="173">
        <f>IF(AND(Input_Product=Elig!$C544,Elig_MatchAll_Ct&lt;22,$BC544=(Elig_MatchAll_Ct-1),AF544=0),C544,0)</f>
        <v>0</v>
      </c>
      <c r="BI544" s="173">
        <f>IF(AND(Input_Product=Elig!$C544,Elig_MatchAll_Ct&lt;22,$BC544=(Elig_MatchAll_Ct-1),AG544=0),D544,0)</f>
        <v>0</v>
      </c>
      <c r="BJ544" s="173">
        <f>IF(AND(Input_Product=Elig!$C544,Elig_MatchAll_Ct&lt;22,$BC544=(Elig_MatchAll_Ct-1),AH544=0),E544,0)</f>
        <v>0</v>
      </c>
      <c r="BK544" s="173">
        <f>IF(AND(Input_Product=Elig!$C544,Elig_MatchAll_Ct&lt;22,$BC544=(Elig_MatchAll_Ct-1),AI544=0),F544,0)</f>
        <v>0</v>
      </c>
      <c r="BL544" s="173">
        <f>IF(AND(Input_Product=Elig!$C544,Elig_MatchAll_Ct&lt;22,$BC544=(Elig_MatchAll_Ct-1),AJ544=0),G544,0)</f>
        <v>0</v>
      </c>
      <c r="BM544" s="173">
        <f>IF(AND(Input_Product=Elig!$C544,Elig_MatchAll_Ct&lt;22,$BC544=(Elig_MatchAll_Ct-1),AK544=0),H544,0)</f>
        <v>0</v>
      </c>
      <c r="BN544" s="173">
        <f>IF(AND(Input_Product=Elig!$C544,Elig_MatchAll_Ct&lt;22,$BC544=(Elig_MatchAll_Ct-1),AL544=0),I544,0)</f>
        <v>0</v>
      </c>
      <c r="BO544" s="173">
        <f>IF(AND(Input_Product=Elig!$C544,Elig_MatchAll_Ct&lt;22,$BC544=(Elig_MatchAll_Ct-1),AM544=0),J544,0)</f>
        <v>0</v>
      </c>
      <c r="BP544" s="173">
        <f>IF(AND(Input_Product=Elig!$C544,Elig_MatchAll_Ct&lt;22,$BC544=(Elig_MatchAll_Ct-1),AN544=0),K544,0)</f>
        <v>0</v>
      </c>
      <c r="BQ544" s="173">
        <f>IF(AND(Input_Product=Elig!$C544,Elig_MatchAll_Ct&lt;22,$BC544=(Elig_MatchAll_Ct-1),AP544=0),L544,0)</f>
        <v>0</v>
      </c>
      <c r="BR544" s="173">
        <f>IF(AND(Input_Product=Elig!$C544,Elig_MatchAll_Ct&lt;22,$BC544=(Elig_MatchAll_Ct-1),AO544=0),M544,0)</f>
        <v>0</v>
      </c>
      <c r="BS544" s="173">
        <f>IF(AND(Input_Product=Elig!$C544,Elig_MatchAll_Ct&lt;22,$BC544=(Elig_MatchAll_Ct-1),AQ544=0),N544,0)</f>
        <v>0</v>
      </c>
      <c r="BT544" s="173">
        <f>IF(AND(Input_Product=Elig!$C544,Elig_MatchAll_Ct&lt;22,$BC544=(Elig_MatchAll_Ct-1),AR544=0),O544,0)</f>
        <v>0</v>
      </c>
      <c r="BU544" s="173">
        <f>IF(AND(Input_Product=Elig!$C544,Elig_MatchAll_Ct&lt;22,$BC544=(Elig_MatchAll_Ct-1),AS544=0),P544,0)</f>
        <v>0</v>
      </c>
      <c r="BV544" s="174">
        <f>IF(AND(Input_Product=Elig!$C544,Elig_MatchAll_Ct&lt;22,$BC544=(Elig_MatchAll_Ct-1),AT544=0),Q544,0)</f>
        <v>0</v>
      </c>
      <c r="BW544" s="175">
        <f>IF(AND(Input_Product=Elig!$C544,Elig_MatchAll_Ct&lt;22,$BC544=(Elig_MatchAll_Ct-1),AU544=0),R544,0)</f>
        <v>0</v>
      </c>
      <c r="BX544" s="176">
        <f>IF(AND(Input_Product=Elig!$C544,Elig_MatchAll_Ct&lt;22,$BC544=(Elig_MatchAll_Ct-1),AU544=0),S544,0)</f>
        <v>0</v>
      </c>
      <c r="BY544" s="175">
        <f>IF(AND(Input_Product=Elig!$C544,Elig_MatchAll_Ct&lt;22,$BC544=(Elig_MatchAll_Ct-1),AV544=0),T544,0)</f>
        <v>0</v>
      </c>
      <c r="BZ544" s="176">
        <f>IF(AND(Input_Product=Elig!$C544,Elig_MatchAll_Ct&lt;22,$BC544=(Elig_MatchAll_Ct-1),AV544=0),U544,0)</f>
        <v>0</v>
      </c>
      <c r="CA544" s="175">
        <f>IF(AND(Input_Product=Elig!$C544,Elig_MatchAll_Ct&lt;22,$BC544=(Elig_MatchAll_Ct-1),AW544=0),V544,0)</f>
        <v>0</v>
      </c>
      <c r="CB544" s="176">
        <f>IF(AND(Input_Product=Elig!$C544,Elig_MatchAll_Ct&lt;22,$BC544=(Elig_MatchAll_Ct-1),AW544=0),W544,0)</f>
        <v>0</v>
      </c>
      <c r="CC544" s="175">
        <f>IF(AND(Input_Product=Elig!$C544,Elig_MatchAll_Ct&lt;22,$BC544=(Elig_MatchAll_Ct-1),AX544=0),X544,0)</f>
        <v>0</v>
      </c>
      <c r="CD544" s="176">
        <f>IF(AND(Input_Product=Elig!$C544,Elig_MatchAll_Ct&lt;22,$BC544=(Elig_MatchAll_Ct-1),AX544=0),Y544,0)</f>
        <v>0</v>
      </c>
      <c r="CE544" s="175">
        <f>IF(AND(Input_LTV&lt;=AE544,Input_Product=Elig!$C544,Elig_MatchAll_Ct&lt;22,$BC544=(Elig_MatchAll_Ct-1),AY544=0),Z544,0)</f>
        <v>0</v>
      </c>
      <c r="CF544" s="176">
        <f>IF(AND(Input_LTV&lt;=AE544,Input_Product=Elig!$C544,Elig_MatchAll_Ct&lt;22,$BC544=(Elig_MatchAll_Ct-1),AY544=0),AA544,0)</f>
        <v>0</v>
      </c>
      <c r="CG544" s="175">
        <f>IF(AND(Input_Product=Elig!$C544,Elig_MatchAll_Ct&lt;22,$BC544=(Elig_MatchAll_Ct-1),AZ544=0),AB544,0)</f>
        <v>0</v>
      </c>
      <c r="CH544" s="176">
        <f>IF(AND(Input_Product=Elig!$C544,Elig_MatchAll_Ct&lt;22,$BC544=(Elig_MatchAll_Ct-1),AZ544=0),AC544,0)</f>
        <v>0</v>
      </c>
      <c r="CI544" s="175">
        <f>IF(AND(Input_Product=Elig!$C544,Elig_MatchAll_Ct&lt;22,$BC544=(Elig_MatchAll_Ct-1),BA544=0),AD544,0)</f>
        <v>0</v>
      </c>
      <c r="CJ544" s="176">
        <f>IF(AND(Input_Product=Elig!$C544,Elig_MatchAll_Ct&lt;22,$BC544=(Elig_MatchAll_Ct-1),BA544=0),AE544,0)</f>
        <v>0</v>
      </c>
    </row>
    <row r="545" spans="1:88" ht="10.15" customHeight="1" x14ac:dyDescent="0.25">
      <c r="A545" s="1476" t="s">
        <v>76</v>
      </c>
      <c r="B545" s="1476" t="s">
        <v>1089</v>
      </c>
      <c r="C545" s="1477" t="str">
        <f t="shared" si="204"/>
        <v>Second OO</v>
      </c>
      <c r="D545" s="1476" t="s">
        <v>1121</v>
      </c>
      <c r="E545" s="1476" t="s">
        <v>98</v>
      </c>
      <c r="F545" s="1476" t="s">
        <v>327</v>
      </c>
      <c r="G545" s="1544" t="s">
        <v>174</v>
      </c>
      <c r="H545" s="1478" t="s">
        <v>444</v>
      </c>
      <c r="I545" s="1476" t="s">
        <v>1141</v>
      </c>
      <c r="J545" s="1476" t="s">
        <v>1130</v>
      </c>
      <c r="K545" s="1478" t="s">
        <v>2464</v>
      </c>
      <c r="L545" s="1476" t="s">
        <v>428</v>
      </c>
      <c r="M545" s="1476" t="s">
        <v>1835</v>
      </c>
      <c r="N545" s="1478" t="s">
        <v>82</v>
      </c>
      <c r="O545" s="1476" t="s">
        <v>309</v>
      </c>
      <c r="P545" s="1476" t="s">
        <v>2433</v>
      </c>
      <c r="Q545" s="1476" t="s">
        <v>293</v>
      </c>
      <c r="R545" s="1476">
        <v>200000</v>
      </c>
      <c r="S545" s="1476">
        <v>350000</v>
      </c>
      <c r="T545" s="1476">
        <v>0</v>
      </c>
      <c r="U545" s="1476">
        <f t="shared" si="205"/>
        <v>350000</v>
      </c>
      <c r="V545" s="1476">
        <v>0</v>
      </c>
      <c r="W545" s="1476">
        <v>50</v>
      </c>
      <c r="X545" s="1476">
        <v>0</v>
      </c>
      <c r="Y545" s="1476">
        <v>999</v>
      </c>
      <c r="Z545" s="1479">
        <v>680</v>
      </c>
      <c r="AA545" s="1479">
        <v>699</v>
      </c>
      <c r="AB545" s="1479">
        <v>0</v>
      </c>
      <c r="AC545" s="1479">
        <v>999999</v>
      </c>
      <c r="AD545" s="1476">
        <v>0</v>
      </c>
      <c r="AE545" s="1539">
        <v>80</v>
      </c>
      <c r="AF545" s="144">
        <v>0</v>
      </c>
      <c r="AG545" s="145">
        <v>0</v>
      </c>
      <c r="AH545" s="145">
        <v>1</v>
      </c>
      <c r="AI545" s="145">
        <v>0</v>
      </c>
      <c r="AJ545" s="145">
        <v>0</v>
      </c>
      <c r="AK545" s="145">
        <v>0</v>
      </c>
      <c r="AL545" s="145">
        <v>1</v>
      </c>
      <c r="AM545" s="145">
        <v>1</v>
      </c>
      <c r="AN545" s="145">
        <v>1</v>
      </c>
      <c r="AO545" s="145">
        <v>1</v>
      </c>
      <c r="AP545" s="145">
        <v>1</v>
      </c>
      <c r="AQ545" s="145">
        <v>0</v>
      </c>
      <c r="AR545" s="145">
        <v>1</v>
      </c>
      <c r="AS545" s="145">
        <v>1</v>
      </c>
      <c r="AT545" s="145">
        <v>1</v>
      </c>
      <c r="AU545" s="145">
        <f t="shared" si="206"/>
        <v>0</v>
      </c>
      <c r="AV545" s="145">
        <f t="shared" si="207"/>
        <v>1</v>
      </c>
      <c r="AW545" s="145">
        <f t="shared" si="208"/>
        <v>1</v>
      </c>
      <c r="AX545" s="145">
        <f t="shared" si="212"/>
        <v>1</v>
      </c>
      <c r="AY545" s="145">
        <f t="shared" si="209"/>
        <v>0</v>
      </c>
      <c r="AZ545" s="145">
        <f t="shared" si="210"/>
        <v>1</v>
      </c>
      <c r="BA545" s="146">
        <f t="shared" si="211"/>
        <v>1</v>
      </c>
      <c r="BB545" s="149">
        <f t="shared" si="190"/>
        <v>14</v>
      </c>
      <c r="BC545" s="150">
        <f t="shared" si="191"/>
        <v>13</v>
      </c>
      <c r="BD545" s="150">
        <f t="shared" si="192"/>
        <v>14</v>
      </c>
      <c r="BE545" s="211" t="str">
        <f t="shared" si="193"/>
        <v/>
      </c>
      <c r="BF545" s="205"/>
      <c r="BG545" s="205"/>
      <c r="BH545" s="173">
        <f>IF(AND(Input_Product=Elig!$C545,Elig_MatchAll_Ct&lt;22,$BC545=(Elig_MatchAll_Ct-1),AF545=0),C545,0)</f>
        <v>0</v>
      </c>
      <c r="BI545" s="173">
        <f>IF(AND(Input_Product=Elig!$C545,Elig_MatchAll_Ct&lt;22,$BC545=(Elig_MatchAll_Ct-1),AG545=0),D545,0)</f>
        <v>0</v>
      </c>
      <c r="BJ545" s="173">
        <f>IF(AND(Input_Product=Elig!$C545,Elig_MatchAll_Ct&lt;22,$BC545=(Elig_MatchAll_Ct-1),AH545=0),E545,0)</f>
        <v>0</v>
      </c>
      <c r="BK545" s="173">
        <f>IF(AND(Input_Product=Elig!$C545,Elig_MatchAll_Ct&lt;22,$BC545=(Elig_MatchAll_Ct-1),AI545=0),F545,0)</f>
        <v>0</v>
      </c>
      <c r="BL545" s="173">
        <f>IF(AND(Input_Product=Elig!$C545,Elig_MatchAll_Ct&lt;22,$BC545=(Elig_MatchAll_Ct-1),AJ545=0),G545,0)</f>
        <v>0</v>
      </c>
      <c r="BM545" s="173">
        <f>IF(AND(Input_Product=Elig!$C545,Elig_MatchAll_Ct&lt;22,$BC545=(Elig_MatchAll_Ct-1),AK545=0),H545,0)</f>
        <v>0</v>
      </c>
      <c r="BN545" s="173">
        <f>IF(AND(Input_Product=Elig!$C545,Elig_MatchAll_Ct&lt;22,$BC545=(Elig_MatchAll_Ct-1),AL545=0),I545,0)</f>
        <v>0</v>
      </c>
      <c r="BO545" s="173">
        <f>IF(AND(Input_Product=Elig!$C545,Elig_MatchAll_Ct&lt;22,$BC545=(Elig_MatchAll_Ct-1),AM545=0),J545,0)</f>
        <v>0</v>
      </c>
      <c r="BP545" s="173">
        <f>IF(AND(Input_Product=Elig!$C545,Elig_MatchAll_Ct&lt;22,$BC545=(Elig_MatchAll_Ct-1),AN545=0),K545,0)</f>
        <v>0</v>
      </c>
      <c r="BQ545" s="173">
        <f>IF(AND(Input_Product=Elig!$C545,Elig_MatchAll_Ct&lt;22,$BC545=(Elig_MatchAll_Ct-1),AP545=0),L545,0)</f>
        <v>0</v>
      </c>
      <c r="BR545" s="173">
        <f>IF(AND(Input_Product=Elig!$C545,Elig_MatchAll_Ct&lt;22,$BC545=(Elig_MatchAll_Ct-1),AO545=0),M545,0)</f>
        <v>0</v>
      </c>
      <c r="BS545" s="173">
        <f>IF(AND(Input_Product=Elig!$C545,Elig_MatchAll_Ct&lt;22,$BC545=(Elig_MatchAll_Ct-1),AQ545=0),N545,0)</f>
        <v>0</v>
      </c>
      <c r="BT545" s="173">
        <f>IF(AND(Input_Product=Elig!$C545,Elig_MatchAll_Ct&lt;22,$BC545=(Elig_MatchAll_Ct-1),AR545=0),O545,0)</f>
        <v>0</v>
      </c>
      <c r="BU545" s="173">
        <f>IF(AND(Input_Product=Elig!$C545,Elig_MatchAll_Ct&lt;22,$BC545=(Elig_MatchAll_Ct-1),AS545=0),P545,0)</f>
        <v>0</v>
      </c>
      <c r="BV545" s="174">
        <f>IF(AND(Input_Product=Elig!$C545,Elig_MatchAll_Ct&lt;22,$BC545=(Elig_MatchAll_Ct-1),AT545=0),Q545,0)</f>
        <v>0</v>
      </c>
      <c r="BW545" s="175">
        <f>IF(AND(Input_Product=Elig!$C545,Elig_MatchAll_Ct&lt;22,$BC545=(Elig_MatchAll_Ct-1),AU545=0),R545,0)</f>
        <v>0</v>
      </c>
      <c r="BX545" s="176">
        <f>IF(AND(Input_Product=Elig!$C545,Elig_MatchAll_Ct&lt;22,$BC545=(Elig_MatchAll_Ct-1),AU545=0),S545,0)</f>
        <v>0</v>
      </c>
      <c r="BY545" s="175">
        <f>IF(AND(Input_Product=Elig!$C545,Elig_MatchAll_Ct&lt;22,$BC545=(Elig_MatchAll_Ct-1),AV545=0),T545,0)</f>
        <v>0</v>
      </c>
      <c r="BZ545" s="176">
        <f>IF(AND(Input_Product=Elig!$C545,Elig_MatchAll_Ct&lt;22,$BC545=(Elig_MatchAll_Ct-1),AV545=0),U545,0)</f>
        <v>0</v>
      </c>
      <c r="CA545" s="175">
        <f>IF(AND(Input_Product=Elig!$C545,Elig_MatchAll_Ct&lt;22,$BC545=(Elig_MatchAll_Ct-1),AW545=0),V545,0)</f>
        <v>0</v>
      </c>
      <c r="CB545" s="176">
        <f>IF(AND(Input_Product=Elig!$C545,Elig_MatchAll_Ct&lt;22,$BC545=(Elig_MatchAll_Ct-1),AW545=0),W545,0)</f>
        <v>0</v>
      </c>
      <c r="CC545" s="175">
        <f>IF(AND(Input_Product=Elig!$C545,Elig_MatchAll_Ct&lt;22,$BC545=(Elig_MatchAll_Ct-1),AX545=0),X545,0)</f>
        <v>0</v>
      </c>
      <c r="CD545" s="176">
        <f>IF(AND(Input_Product=Elig!$C545,Elig_MatchAll_Ct&lt;22,$BC545=(Elig_MatchAll_Ct-1),AX545=0),Y545,0)</f>
        <v>0</v>
      </c>
      <c r="CE545" s="175">
        <f>IF(AND(Input_LTV&lt;=AE545,Input_Product=Elig!$C545,Elig_MatchAll_Ct&lt;22,$BC545=(Elig_MatchAll_Ct-1),AY545=0),Z545,0)</f>
        <v>0</v>
      </c>
      <c r="CF545" s="176">
        <f>IF(AND(Input_LTV&lt;=AE545,Input_Product=Elig!$C545,Elig_MatchAll_Ct&lt;22,$BC545=(Elig_MatchAll_Ct-1),AY545=0),AA545,0)</f>
        <v>0</v>
      </c>
      <c r="CG545" s="175">
        <f>IF(AND(Input_Product=Elig!$C545,Elig_MatchAll_Ct&lt;22,$BC545=(Elig_MatchAll_Ct-1),AZ545=0),AB545,0)</f>
        <v>0</v>
      </c>
      <c r="CH545" s="176">
        <f>IF(AND(Input_Product=Elig!$C545,Elig_MatchAll_Ct&lt;22,$BC545=(Elig_MatchAll_Ct-1),AZ545=0),AC545,0)</f>
        <v>0</v>
      </c>
      <c r="CI545" s="175">
        <f>IF(AND(Input_Product=Elig!$C545,Elig_MatchAll_Ct&lt;22,$BC545=(Elig_MatchAll_Ct-1),BA545=0),AD545,0)</f>
        <v>0</v>
      </c>
      <c r="CJ545" s="176">
        <f>IF(AND(Input_Product=Elig!$C545,Elig_MatchAll_Ct&lt;22,$BC545=(Elig_MatchAll_Ct-1),BA545=0),AE545,0)</f>
        <v>0</v>
      </c>
    </row>
    <row r="546" spans="1:88" ht="10.15" customHeight="1" x14ac:dyDescent="0.25">
      <c r="A546" s="1476" t="s">
        <v>76</v>
      </c>
      <c r="B546" s="1476" t="s">
        <v>1090</v>
      </c>
      <c r="C546" s="1481" t="str">
        <f t="shared" si="204"/>
        <v>Second OO</v>
      </c>
      <c r="D546" s="1480" t="s">
        <v>1121</v>
      </c>
      <c r="E546" s="1480" t="s">
        <v>98</v>
      </c>
      <c r="F546" s="1480" t="s">
        <v>327</v>
      </c>
      <c r="G546" s="1545" t="s">
        <v>174</v>
      </c>
      <c r="H546" s="1482" t="s">
        <v>444</v>
      </c>
      <c r="I546" s="1480" t="s">
        <v>1141</v>
      </c>
      <c r="J546" s="1480" t="s">
        <v>1130</v>
      </c>
      <c r="K546" s="1482" t="s">
        <v>2464</v>
      </c>
      <c r="L546" s="1480" t="s">
        <v>428</v>
      </c>
      <c r="M546" s="1480" t="s">
        <v>1835</v>
      </c>
      <c r="N546" s="1482" t="s">
        <v>82</v>
      </c>
      <c r="O546" s="1480" t="s">
        <v>309</v>
      </c>
      <c r="P546" s="1480" t="s">
        <v>2433</v>
      </c>
      <c r="Q546" s="1480" t="s">
        <v>293</v>
      </c>
      <c r="R546" s="1480">
        <v>200000</v>
      </c>
      <c r="S546" s="1480">
        <v>350000</v>
      </c>
      <c r="T546" s="1480">
        <v>0</v>
      </c>
      <c r="U546" s="1480">
        <f t="shared" si="205"/>
        <v>350000</v>
      </c>
      <c r="V546" s="1480">
        <v>0</v>
      </c>
      <c r="W546" s="1480">
        <v>50</v>
      </c>
      <c r="X546" s="1480">
        <v>0</v>
      </c>
      <c r="Y546" s="1480">
        <v>999</v>
      </c>
      <c r="Z546" s="1483">
        <v>660</v>
      </c>
      <c r="AA546" s="1483">
        <v>679</v>
      </c>
      <c r="AB546" s="1483">
        <v>0</v>
      </c>
      <c r="AC546" s="1483">
        <v>999999</v>
      </c>
      <c r="AD546" s="1480">
        <v>0</v>
      </c>
      <c r="AE546" s="1541">
        <v>75</v>
      </c>
      <c r="AF546" s="144">
        <v>0</v>
      </c>
      <c r="AG546" s="145">
        <v>0</v>
      </c>
      <c r="AH546" s="145">
        <v>1</v>
      </c>
      <c r="AI546" s="145">
        <v>0</v>
      </c>
      <c r="AJ546" s="145">
        <v>0</v>
      </c>
      <c r="AK546" s="145">
        <v>0</v>
      </c>
      <c r="AL546" s="145">
        <v>1</v>
      </c>
      <c r="AM546" s="145">
        <v>1</v>
      </c>
      <c r="AN546" s="145">
        <v>1</v>
      </c>
      <c r="AO546" s="145">
        <v>1</v>
      </c>
      <c r="AP546" s="145">
        <v>1</v>
      </c>
      <c r="AQ546" s="145">
        <v>0</v>
      </c>
      <c r="AR546" s="145">
        <v>1</v>
      </c>
      <c r="AS546" s="145">
        <v>1</v>
      </c>
      <c r="AT546" s="145">
        <v>1</v>
      </c>
      <c r="AU546" s="145">
        <f t="shared" si="206"/>
        <v>0</v>
      </c>
      <c r="AV546" s="145">
        <f t="shared" si="207"/>
        <v>1</v>
      </c>
      <c r="AW546" s="145">
        <f t="shared" si="208"/>
        <v>1</v>
      </c>
      <c r="AX546" s="145">
        <f t="shared" si="212"/>
        <v>1</v>
      </c>
      <c r="AY546" s="145">
        <f t="shared" si="209"/>
        <v>0</v>
      </c>
      <c r="AZ546" s="145">
        <f t="shared" si="210"/>
        <v>1</v>
      </c>
      <c r="BA546" s="146">
        <f t="shared" si="211"/>
        <v>1</v>
      </c>
      <c r="BB546" s="149">
        <f t="shared" si="190"/>
        <v>14</v>
      </c>
      <c r="BC546" s="150">
        <f t="shared" si="191"/>
        <v>13</v>
      </c>
      <c r="BD546" s="150">
        <f t="shared" si="192"/>
        <v>14</v>
      </c>
      <c r="BE546" s="211" t="str">
        <f t="shared" si="193"/>
        <v/>
      </c>
      <c r="BF546" s="205"/>
      <c r="BG546" s="205"/>
      <c r="BH546" s="188">
        <f>IF(AND(Input_Product=Elig!$C546,Elig_MatchAll_Ct&lt;22,$BC546=(Elig_MatchAll_Ct-1),AF546=0),C546,0)</f>
        <v>0</v>
      </c>
      <c r="BI546" s="188">
        <f>IF(AND(Input_Product=Elig!$C546,Elig_MatchAll_Ct&lt;22,$BC546=(Elig_MatchAll_Ct-1),AG546=0),D546,0)</f>
        <v>0</v>
      </c>
      <c r="BJ546" s="188">
        <f>IF(AND(Input_Product=Elig!$C546,Elig_MatchAll_Ct&lt;22,$BC546=(Elig_MatchAll_Ct-1),AH546=0),E546,0)</f>
        <v>0</v>
      </c>
      <c r="BK546" s="188">
        <f>IF(AND(Input_Product=Elig!$C546,Elig_MatchAll_Ct&lt;22,$BC546=(Elig_MatchAll_Ct-1),AI546=0),F546,0)</f>
        <v>0</v>
      </c>
      <c r="BL546" s="188">
        <f>IF(AND(Input_Product=Elig!$C546,Elig_MatchAll_Ct&lt;22,$BC546=(Elig_MatchAll_Ct-1),AJ546=0),G546,0)</f>
        <v>0</v>
      </c>
      <c r="BM546" s="188">
        <f>IF(AND(Input_Product=Elig!$C546,Elig_MatchAll_Ct&lt;22,$BC546=(Elig_MatchAll_Ct-1),AK546=0),H546,0)</f>
        <v>0</v>
      </c>
      <c r="BN546" s="188">
        <f>IF(AND(Input_Product=Elig!$C546,Elig_MatchAll_Ct&lt;22,$BC546=(Elig_MatchAll_Ct-1),AL546=0),I546,0)</f>
        <v>0</v>
      </c>
      <c r="BO546" s="188">
        <f>IF(AND(Input_Product=Elig!$C546,Elig_MatchAll_Ct&lt;22,$BC546=(Elig_MatchAll_Ct-1),AM546=0),J546,0)</f>
        <v>0</v>
      </c>
      <c r="BP546" s="188">
        <f>IF(AND(Input_Product=Elig!$C546,Elig_MatchAll_Ct&lt;22,$BC546=(Elig_MatchAll_Ct-1),AN546=0),K546,0)</f>
        <v>0</v>
      </c>
      <c r="BQ546" s="188">
        <f>IF(AND(Input_Product=Elig!$C546,Elig_MatchAll_Ct&lt;22,$BC546=(Elig_MatchAll_Ct-1),AP546=0),L546,0)</f>
        <v>0</v>
      </c>
      <c r="BR546" s="188">
        <f>IF(AND(Input_Product=Elig!$C546,Elig_MatchAll_Ct&lt;22,$BC546=(Elig_MatchAll_Ct-1),AO546=0),M546,0)</f>
        <v>0</v>
      </c>
      <c r="BS546" s="188">
        <f>IF(AND(Input_Product=Elig!$C546,Elig_MatchAll_Ct&lt;22,$BC546=(Elig_MatchAll_Ct-1),AQ546=0),N546,0)</f>
        <v>0</v>
      </c>
      <c r="BT546" s="188">
        <f>IF(AND(Input_Product=Elig!$C546,Elig_MatchAll_Ct&lt;22,$BC546=(Elig_MatchAll_Ct-1),AR546=0),O546,0)</f>
        <v>0</v>
      </c>
      <c r="BU546" s="188">
        <f>IF(AND(Input_Product=Elig!$C546,Elig_MatchAll_Ct&lt;22,$BC546=(Elig_MatchAll_Ct-1),AS546=0),P546,0)</f>
        <v>0</v>
      </c>
      <c r="BV546" s="189">
        <f>IF(AND(Input_Product=Elig!$C546,Elig_MatchAll_Ct&lt;22,$BC546=(Elig_MatchAll_Ct-1),AT546=0),Q546,0)</f>
        <v>0</v>
      </c>
      <c r="BW546" s="271">
        <f>IF(AND(Input_Product=Elig!$C546,Elig_MatchAll_Ct&lt;22,$BC546=(Elig_MatchAll_Ct-1),AU546=0),R546,0)</f>
        <v>0</v>
      </c>
      <c r="BX546" s="272">
        <f>IF(AND(Input_Product=Elig!$C546,Elig_MatchAll_Ct&lt;22,$BC546=(Elig_MatchAll_Ct-1),AU546=0),S546,0)</f>
        <v>0</v>
      </c>
      <c r="BY546" s="271">
        <f>IF(AND(Input_Product=Elig!$C546,Elig_MatchAll_Ct&lt;22,$BC546=(Elig_MatchAll_Ct-1),AV546=0),T546,0)</f>
        <v>0</v>
      </c>
      <c r="BZ546" s="272">
        <f>IF(AND(Input_Product=Elig!$C546,Elig_MatchAll_Ct&lt;22,$BC546=(Elig_MatchAll_Ct-1),AV546=0),U546,0)</f>
        <v>0</v>
      </c>
      <c r="CA546" s="271">
        <f>IF(AND(Input_Product=Elig!$C546,Elig_MatchAll_Ct&lt;22,$BC546=(Elig_MatchAll_Ct-1),AW546=0),V546,0)</f>
        <v>0</v>
      </c>
      <c r="CB546" s="272">
        <f>IF(AND(Input_Product=Elig!$C546,Elig_MatchAll_Ct&lt;22,$BC546=(Elig_MatchAll_Ct-1),AW546=0),W546,0)</f>
        <v>0</v>
      </c>
      <c r="CC546" s="271">
        <f>IF(AND(Input_Product=Elig!$C546,Elig_MatchAll_Ct&lt;22,$BC546=(Elig_MatchAll_Ct-1),AX546=0),X546,0)</f>
        <v>0</v>
      </c>
      <c r="CD546" s="272">
        <f>IF(AND(Input_Product=Elig!$C546,Elig_MatchAll_Ct&lt;22,$BC546=(Elig_MatchAll_Ct-1),AX546=0),Y546,0)</f>
        <v>0</v>
      </c>
      <c r="CE546" s="271">
        <f>IF(AND(Input_LTV&lt;=AE546,Input_Product=Elig!$C546,Elig_MatchAll_Ct&lt;22,$BC546=(Elig_MatchAll_Ct-1),AY546=0),Z546,0)</f>
        <v>0</v>
      </c>
      <c r="CF546" s="272">
        <f>IF(AND(Input_LTV&lt;=AE546,Input_Product=Elig!$C546,Elig_MatchAll_Ct&lt;22,$BC546=(Elig_MatchAll_Ct-1),AY546=0),AA546,0)</f>
        <v>0</v>
      </c>
      <c r="CG546" s="271">
        <f>IF(AND(Input_Product=Elig!$C546,Elig_MatchAll_Ct&lt;22,$BC546=(Elig_MatchAll_Ct-1),AZ546=0),AB546,0)</f>
        <v>0</v>
      </c>
      <c r="CH546" s="272">
        <f>IF(AND(Input_Product=Elig!$C546,Elig_MatchAll_Ct&lt;22,$BC546=(Elig_MatchAll_Ct-1),AZ546=0),AC546,0)</f>
        <v>0</v>
      </c>
      <c r="CI546" s="271">
        <f>IF(AND(Input_Product=Elig!$C546,Elig_MatchAll_Ct&lt;22,$BC546=(Elig_MatchAll_Ct-1),BA546=0),AD546,0)</f>
        <v>0</v>
      </c>
      <c r="CJ546" s="272">
        <f>IF(AND(Input_Product=Elig!$C546,Elig_MatchAll_Ct&lt;22,$BC546=(Elig_MatchAll_Ct-1),BA546=0),AE546,0)</f>
        <v>0</v>
      </c>
    </row>
    <row r="547" spans="1:88" ht="10.15" customHeight="1" x14ac:dyDescent="0.25">
      <c r="A547" s="1476" t="s">
        <v>76</v>
      </c>
      <c r="B547" s="1476" t="s">
        <v>1091</v>
      </c>
      <c r="C547" s="1473" t="str">
        <f t="shared" si="204"/>
        <v>Second OO</v>
      </c>
      <c r="D547" s="1474" t="s">
        <v>1331</v>
      </c>
      <c r="E547" s="1474" t="s">
        <v>98</v>
      </c>
      <c r="F547" s="1474" t="s">
        <v>327</v>
      </c>
      <c r="G547" s="1537" t="s">
        <v>465</v>
      </c>
      <c r="H547" s="1474" t="s">
        <v>135</v>
      </c>
      <c r="I547" s="1472" t="s">
        <v>1141</v>
      </c>
      <c r="J547" s="1472" t="s">
        <v>1130</v>
      </c>
      <c r="K547" s="1474" t="s">
        <v>2464</v>
      </c>
      <c r="L547" s="1472" t="s">
        <v>428</v>
      </c>
      <c r="M547" s="1472" t="s">
        <v>1835</v>
      </c>
      <c r="N547" s="1474" t="s">
        <v>82</v>
      </c>
      <c r="O547" s="1472" t="s">
        <v>309</v>
      </c>
      <c r="P547" s="1472" t="s">
        <v>2433</v>
      </c>
      <c r="Q547" s="1472" t="s">
        <v>293</v>
      </c>
      <c r="R547" s="1472">
        <v>50000</v>
      </c>
      <c r="S547" s="1472">
        <v>350000</v>
      </c>
      <c r="T547" s="1472">
        <v>0</v>
      </c>
      <c r="U547" s="1472">
        <f t="shared" ref="U547:U554" si="213">S547</f>
        <v>350000</v>
      </c>
      <c r="V547" s="1472">
        <v>0</v>
      </c>
      <c r="W547" s="1472">
        <v>50</v>
      </c>
      <c r="X547" s="1472">
        <v>0</v>
      </c>
      <c r="Y547" s="1472">
        <v>999</v>
      </c>
      <c r="Z547" s="1475">
        <v>720</v>
      </c>
      <c r="AA547" s="1475">
        <v>999</v>
      </c>
      <c r="AB547" s="1475">
        <v>0</v>
      </c>
      <c r="AC547" s="1475">
        <v>999999</v>
      </c>
      <c r="AD547" s="1472">
        <v>0</v>
      </c>
      <c r="AE547" s="1538">
        <v>90</v>
      </c>
      <c r="AF547" s="144">
        <v>0</v>
      </c>
      <c r="AG547" s="145">
        <v>1</v>
      </c>
      <c r="AH547" s="145">
        <v>1</v>
      </c>
      <c r="AI547" s="145">
        <v>0</v>
      </c>
      <c r="AJ547" s="145">
        <v>0</v>
      </c>
      <c r="AK547" s="145">
        <v>1</v>
      </c>
      <c r="AL547" s="145">
        <v>1</v>
      </c>
      <c r="AM547" s="145">
        <v>1</v>
      </c>
      <c r="AN547" s="145">
        <v>1</v>
      </c>
      <c r="AO547" s="145">
        <v>1</v>
      </c>
      <c r="AP547" s="145">
        <v>1</v>
      </c>
      <c r="AQ547" s="145">
        <v>0</v>
      </c>
      <c r="AR547" s="145">
        <v>1</v>
      </c>
      <c r="AS547" s="145">
        <v>1</v>
      </c>
      <c r="AT547" s="145">
        <v>1</v>
      </c>
      <c r="AU547" s="145">
        <f t="shared" si="206"/>
        <v>1</v>
      </c>
      <c r="AV547" s="145">
        <f t="shared" si="207"/>
        <v>1</v>
      </c>
      <c r="AW547" s="145">
        <f t="shared" si="208"/>
        <v>1</v>
      </c>
      <c r="AX547" s="145">
        <f t="shared" si="212"/>
        <v>1</v>
      </c>
      <c r="AY547" s="145">
        <f t="shared" si="209"/>
        <v>1</v>
      </c>
      <c r="AZ547" s="145">
        <f t="shared" si="210"/>
        <v>1</v>
      </c>
      <c r="BA547" s="146">
        <f t="shared" si="211"/>
        <v>1</v>
      </c>
      <c r="BB547" s="149">
        <f t="shared" si="190"/>
        <v>18</v>
      </c>
      <c r="BC547" s="150">
        <f t="shared" si="191"/>
        <v>17</v>
      </c>
      <c r="BD547" s="150">
        <f t="shared" si="192"/>
        <v>18</v>
      </c>
      <c r="BE547" s="211" t="str">
        <f t="shared" si="193"/>
        <v/>
      </c>
      <c r="BF547" s="194"/>
      <c r="BG547" s="194"/>
      <c r="BH547" s="190">
        <f>IF(AND(Input_Product=Elig!$C547,Elig_MatchAll_Ct&lt;22,$BC547=(Elig_MatchAll_Ct-1),AF547=0),C547,0)</f>
        <v>0</v>
      </c>
      <c r="BI547" s="190">
        <f>IF(AND(Input_Product=Elig!$C547,Elig_MatchAll_Ct&lt;22,$BC547=(Elig_MatchAll_Ct-1),AG547=0),D547,0)</f>
        <v>0</v>
      </c>
      <c r="BJ547" s="190">
        <f>IF(AND(Input_Product=Elig!$C547,Elig_MatchAll_Ct&lt;22,$BC547=(Elig_MatchAll_Ct-1),AH547=0),E547,0)</f>
        <v>0</v>
      </c>
      <c r="BK547" s="190">
        <f>IF(AND(Input_Product=Elig!$C547,Elig_MatchAll_Ct&lt;22,$BC547=(Elig_MatchAll_Ct-1),AI547=0),F547,0)</f>
        <v>0</v>
      </c>
      <c r="BL547" s="190">
        <f>IF(AND(Input_Product=Elig!$C547,Elig_MatchAll_Ct&lt;22,$BC547=(Elig_MatchAll_Ct-1),AJ547=0),G547,0)</f>
        <v>0</v>
      </c>
      <c r="BM547" s="190">
        <f>IF(AND(Input_Product=Elig!$C547,Elig_MatchAll_Ct&lt;22,$BC547=(Elig_MatchAll_Ct-1),AK547=0),H547,0)</f>
        <v>0</v>
      </c>
      <c r="BN547" s="190">
        <f>IF(AND(Input_Product=Elig!$C547,Elig_MatchAll_Ct&lt;22,$BC547=(Elig_MatchAll_Ct-1),AL547=0),I547,0)</f>
        <v>0</v>
      </c>
      <c r="BO547" s="190">
        <f>IF(AND(Input_Product=Elig!$C547,Elig_MatchAll_Ct&lt;22,$BC547=(Elig_MatchAll_Ct-1),AM547=0),J547,0)</f>
        <v>0</v>
      </c>
      <c r="BP547" s="190">
        <f>IF(AND(Input_Product=Elig!$C547,Elig_MatchAll_Ct&lt;22,$BC547=(Elig_MatchAll_Ct-1),AN547=0),K547,0)</f>
        <v>0</v>
      </c>
      <c r="BQ547" s="190">
        <f>IF(AND(Input_Product=Elig!$C547,Elig_MatchAll_Ct&lt;22,$BC547=(Elig_MatchAll_Ct-1),AP547=0),L547,0)</f>
        <v>0</v>
      </c>
      <c r="BR547" s="190">
        <f>IF(AND(Input_Product=Elig!$C547,Elig_MatchAll_Ct&lt;22,$BC547=(Elig_MatchAll_Ct-1),AO547=0),M547,0)</f>
        <v>0</v>
      </c>
      <c r="BS547" s="190">
        <f>IF(AND(Input_Product=Elig!$C547,Elig_MatchAll_Ct&lt;22,$BC547=(Elig_MatchAll_Ct-1),AQ547=0),N547,0)</f>
        <v>0</v>
      </c>
      <c r="BT547" s="190">
        <f>IF(AND(Input_Product=Elig!$C547,Elig_MatchAll_Ct&lt;22,$BC547=(Elig_MatchAll_Ct-1),AR547=0),O547,0)</f>
        <v>0</v>
      </c>
      <c r="BU547" s="190">
        <f>IF(AND(Input_Product=Elig!$C547,Elig_MatchAll_Ct&lt;22,$BC547=(Elig_MatchAll_Ct-1),AS547=0),P547,0)</f>
        <v>0</v>
      </c>
      <c r="BV547" s="191">
        <f>IF(AND(Input_Product=Elig!$C547,Elig_MatchAll_Ct&lt;22,$BC547=(Elig_MatchAll_Ct-1),AT547=0),Q547,0)</f>
        <v>0</v>
      </c>
      <c r="BW547" s="273">
        <f>IF(AND(Input_Product=Elig!$C547,Elig_MatchAll_Ct&lt;22,$BC547=(Elig_MatchAll_Ct-1),AU547=0),R547,0)</f>
        <v>0</v>
      </c>
      <c r="BX547" s="274">
        <f>IF(AND(Input_Product=Elig!$C547,Elig_MatchAll_Ct&lt;22,$BC547=(Elig_MatchAll_Ct-1),AU547=0),S547,0)</f>
        <v>0</v>
      </c>
      <c r="BY547" s="273">
        <f>IF(AND(Input_Product=Elig!$C547,Elig_MatchAll_Ct&lt;22,$BC547=(Elig_MatchAll_Ct-1),AV547=0),T547,0)</f>
        <v>0</v>
      </c>
      <c r="BZ547" s="274">
        <f>IF(AND(Input_Product=Elig!$C547,Elig_MatchAll_Ct&lt;22,$BC547=(Elig_MatchAll_Ct-1),AV547=0),U547,0)</f>
        <v>0</v>
      </c>
      <c r="CA547" s="273">
        <f>IF(AND(Input_Product=Elig!$C547,Elig_MatchAll_Ct&lt;22,$BC547=(Elig_MatchAll_Ct-1),AW547=0),V547,0)</f>
        <v>0</v>
      </c>
      <c r="CB547" s="274">
        <f>IF(AND(Input_Product=Elig!$C547,Elig_MatchAll_Ct&lt;22,$BC547=(Elig_MatchAll_Ct-1),AW547=0),W547,0)</f>
        <v>0</v>
      </c>
      <c r="CC547" s="273">
        <f>IF(AND(Input_Product=Elig!$C547,Elig_MatchAll_Ct&lt;22,$BC547=(Elig_MatchAll_Ct-1),AX547=0),X547,0)</f>
        <v>0</v>
      </c>
      <c r="CD547" s="274">
        <f>IF(AND(Input_Product=Elig!$C547,Elig_MatchAll_Ct&lt;22,$BC547=(Elig_MatchAll_Ct-1),AX547=0),Y547,0)</f>
        <v>0</v>
      </c>
      <c r="CE547" s="273">
        <f>IF(AND(Input_LTV&lt;=AE547,Input_Product=Elig!$C547,Elig_MatchAll_Ct&lt;22,$BC547=(Elig_MatchAll_Ct-1),AY547=0),Z547,0)</f>
        <v>0</v>
      </c>
      <c r="CF547" s="274">
        <f>IF(AND(Input_LTV&lt;=AE547,Input_Product=Elig!$C547,Elig_MatchAll_Ct&lt;22,$BC547=(Elig_MatchAll_Ct-1),AY547=0),AA547,0)</f>
        <v>0</v>
      </c>
      <c r="CG547" s="273">
        <f>IF(AND(Input_Product=Elig!$C547,Elig_MatchAll_Ct&lt;22,$BC547=(Elig_MatchAll_Ct-1),AZ547=0),AB547,0)</f>
        <v>0</v>
      </c>
      <c r="CH547" s="274">
        <f>IF(AND(Input_Product=Elig!$C547,Elig_MatchAll_Ct&lt;22,$BC547=(Elig_MatchAll_Ct-1),AZ547=0),AC547,0)</f>
        <v>0</v>
      </c>
      <c r="CI547" s="273">
        <f>IF(AND(Input_Product=Elig!$C547,Elig_MatchAll_Ct&lt;22,$BC547=(Elig_MatchAll_Ct-1),BA547=0),AD547,0)</f>
        <v>0</v>
      </c>
      <c r="CJ547" s="274">
        <f>IF(AND(Input_Product=Elig!$C547,Elig_MatchAll_Ct&lt;22,$BC547=(Elig_MatchAll_Ct-1),BA547=0),AE547,0)</f>
        <v>0</v>
      </c>
    </row>
    <row r="548" spans="1:88" ht="10.15" customHeight="1" x14ac:dyDescent="0.25">
      <c r="A548" s="1476" t="s">
        <v>76</v>
      </c>
      <c r="B548" s="1476" t="s">
        <v>1092</v>
      </c>
      <c r="C548" s="1477" t="str">
        <f t="shared" si="204"/>
        <v>Second OO</v>
      </c>
      <c r="D548" s="1476" t="s">
        <v>1331</v>
      </c>
      <c r="E548" s="1476" t="s">
        <v>98</v>
      </c>
      <c r="F548" s="1476" t="s">
        <v>327</v>
      </c>
      <c r="G548" s="1544" t="s">
        <v>465</v>
      </c>
      <c r="H548" s="1478" t="s">
        <v>135</v>
      </c>
      <c r="I548" s="1476" t="s">
        <v>1141</v>
      </c>
      <c r="J548" s="1476" t="s">
        <v>1130</v>
      </c>
      <c r="K548" s="1478" t="s">
        <v>2464</v>
      </c>
      <c r="L548" s="1476" t="s">
        <v>428</v>
      </c>
      <c r="M548" s="1476" t="s">
        <v>1835</v>
      </c>
      <c r="N548" s="1478" t="s">
        <v>82</v>
      </c>
      <c r="O548" s="1476" t="s">
        <v>309</v>
      </c>
      <c r="P548" s="1476" t="s">
        <v>2433</v>
      </c>
      <c r="Q548" s="1476" t="s">
        <v>293</v>
      </c>
      <c r="R548" s="1476">
        <v>50000</v>
      </c>
      <c r="S548" s="1476">
        <v>350000</v>
      </c>
      <c r="T548" s="1476">
        <v>0</v>
      </c>
      <c r="U548" s="1476">
        <f t="shared" si="213"/>
        <v>350000</v>
      </c>
      <c r="V548" s="1476">
        <v>0</v>
      </c>
      <c r="W548" s="1476">
        <v>50</v>
      </c>
      <c r="X548" s="1476">
        <v>0</v>
      </c>
      <c r="Y548" s="1476">
        <v>999</v>
      </c>
      <c r="Z548" s="1479">
        <v>700</v>
      </c>
      <c r="AA548" s="1479">
        <v>719</v>
      </c>
      <c r="AB548" s="1479">
        <v>0</v>
      </c>
      <c r="AC548" s="1479">
        <v>999999</v>
      </c>
      <c r="AD548" s="1476">
        <v>0</v>
      </c>
      <c r="AE548" s="1539">
        <v>85</v>
      </c>
      <c r="AF548" s="144">
        <v>0</v>
      </c>
      <c r="AG548" s="145">
        <v>1</v>
      </c>
      <c r="AH548" s="145">
        <v>1</v>
      </c>
      <c r="AI548" s="145">
        <v>0</v>
      </c>
      <c r="AJ548" s="145">
        <v>0</v>
      </c>
      <c r="AK548" s="145">
        <v>1</v>
      </c>
      <c r="AL548" s="145">
        <v>1</v>
      </c>
      <c r="AM548" s="145">
        <v>1</v>
      </c>
      <c r="AN548" s="145">
        <v>1</v>
      </c>
      <c r="AO548" s="145">
        <v>1</v>
      </c>
      <c r="AP548" s="145">
        <v>1</v>
      </c>
      <c r="AQ548" s="145">
        <v>0</v>
      </c>
      <c r="AR548" s="145">
        <v>1</v>
      </c>
      <c r="AS548" s="145">
        <v>1</v>
      </c>
      <c r="AT548" s="145">
        <v>1</v>
      </c>
      <c r="AU548" s="145">
        <f t="shared" si="206"/>
        <v>1</v>
      </c>
      <c r="AV548" s="145">
        <f t="shared" si="207"/>
        <v>1</v>
      </c>
      <c r="AW548" s="145">
        <f t="shared" si="208"/>
        <v>1</v>
      </c>
      <c r="AX548" s="145">
        <f t="shared" si="212"/>
        <v>1</v>
      </c>
      <c r="AY548" s="145">
        <f t="shared" si="209"/>
        <v>0</v>
      </c>
      <c r="AZ548" s="145">
        <f t="shared" si="210"/>
        <v>1</v>
      </c>
      <c r="BA548" s="146">
        <f t="shared" si="211"/>
        <v>1</v>
      </c>
      <c r="BB548" s="149">
        <f t="shared" si="190"/>
        <v>17</v>
      </c>
      <c r="BC548" s="150">
        <f t="shared" si="191"/>
        <v>16</v>
      </c>
      <c r="BD548" s="150">
        <f t="shared" si="192"/>
        <v>17</v>
      </c>
      <c r="BE548" s="211" t="str">
        <f t="shared" si="193"/>
        <v/>
      </c>
      <c r="BF548" s="205"/>
      <c r="BG548" s="205"/>
      <c r="BH548" s="173">
        <f>IF(AND(Input_Product=Elig!$C548,Elig_MatchAll_Ct&lt;22,$BC548=(Elig_MatchAll_Ct-1),AF548=0),C548,0)</f>
        <v>0</v>
      </c>
      <c r="BI548" s="173">
        <f>IF(AND(Input_Product=Elig!$C548,Elig_MatchAll_Ct&lt;22,$BC548=(Elig_MatchAll_Ct-1),AG548=0),D548,0)</f>
        <v>0</v>
      </c>
      <c r="BJ548" s="173">
        <f>IF(AND(Input_Product=Elig!$C548,Elig_MatchAll_Ct&lt;22,$BC548=(Elig_MatchAll_Ct-1),AH548=0),E548,0)</f>
        <v>0</v>
      </c>
      <c r="BK548" s="173">
        <f>IF(AND(Input_Product=Elig!$C548,Elig_MatchAll_Ct&lt;22,$BC548=(Elig_MatchAll_Ct-1),AI548=0),F548,0)</f>
        <v>0</v>
      </c>
      <c r="BL548" s="173">
        <f>IF(AND(Input_Product=Elig!$C548,Elig_MatchAll_Ct&lt;22,$BC548=(Elig_MatchAll_Ct-1),AJ548=0),G548,0)</f>
        <v>0</v>
      </c>
      <c r="BM548" s="173">
        <f>IF(AND(Input_Product=Elig!$C548,Elig_MatchAll_Ct&lt;22,$BC548=(Elig_MatchAll_Ct-1),AK548=0),H548,0)</f>
        <v>0</v>
      </c>
      <c r="BN548" s="173">
        <f>IF(AND(Input_Product=Elig!$C548,Elig_MatchAll_Ct&lt;22,$BC548=(Elig_MatchAll_Ct-1),AL548=0),I548,0)</f>
        <v>0</v>
      </c>
      <c r="BO548" s="173">
        <f>IF(AND(Input_Product=Elig!$C548,Elig_MatchAll_Ct&lt;22,$BC548=(Elig_MatchAll_Ct-1),AM548=0),J548,0)</f>
        <v>0</v>
      </c>
      <c r="BP548" s="173">
        <f>IF(AND(Input_Product=Elig!$C548,Elig_MatchAll_Ct&lt;22,$BC548=(Elig_MatchAll_Ct-1),AN548=0),K548,0)</f>
        <v>0</v>
      </c>
      <c r="BQ548" s="173">
        <f>IF(AND(Input_Product=Elig!$C548,Elig_MatchAll_Ct&lt;22,$BC548=(Elig_MatchAll_Ct-1),AP548=0),L548,0)</f>
        <v>0</v>
      </c>
      <c r="BR548" s="173">
        <f>IF(AND(Input_Product=Elig!$C548,Elig_MatchAll_Ct&lt;22,$BC548=(Elig_MatchAll_Ct-1),AO548=0),M548,0)</f>
        <v>0</v>
      </c>
      <c r="BS548" s="173">
        <f>IF(AND(Input_Product=Elig!$C548,Elig_MatchAll_Ct&lt;22,$BC548=(Elig_MatchAll_Ct-1),AQ548=0),N548,0)</f>
        <v>0</v>
      </c>
      <c r="BT548" s="173">
        <f>IF(AND(Input_Product=Elig!$C548,Elig_MatchAll_Ct&lt;22,$BC548=(Elig_MatchAll_Ct-1),AR548=0),O548,0)</f>
        <v>0</v>
      </c>
      <c r="BU548" s="173">
        <f>IF(AND(Input_Product=Elig!$C548,Elig_MatchAll_Ct&lt;22,$BC548=(Elig_MatchAll_Ct-1),AS548=0),P548,0)</f>
        <v>0</v>
      </c>
      <c r="BV548" s="174">
        <f>IF(AND(Input_Product=Elig!$C548,Elig_MatchAll_Ct&lt;22,$BC548=(Elig_MatchAll_Ct-1),AT548=0),Q548,0)</f>
        <v>0</v>
      </c>
      <c r="BW548" s="175">
        <f>IF(AND(Input_Product=Elig!$C548,Elig_MatchAll_Ct&lt;22,$BC548=(Elig_MatchAll_Ct-1),AU548=0),R548,0)</f>
        <v>0</v>
      </c>
      <c r="BX548" s="176">
        <f>IF(AND(Input_Product=Elig!$C548,Elig_MatchAll_Ct&lt;22,$BC548=(Elig_MatchAll_Ct-1),AU548=0),S548,0)</f>
        <v>0</v>
      </c>
      <c r="BY548" s="175">
        <f>IF(AND(Input_Product=Elig!$C548,Elig_MatchAll_Ct&lt;22,$BC548=(Elig_MatchAll_Ct-1),AV548=0),T548,0)</f>
        <v>0</v>
      </c>
      <c r="BZ548" s="176">
        <f>IF(AND(Input_Product=Elig!$C548,Elig_MatchAll_Ct&lt;22,$BC548=(Elig_MatchAll_Ct-1),AV548=0),U548,0)</f>
        <v>0</v>
      </c>
      <c r="CA548" s="175">
        <f>IF(AND(Input_Product=Elig!$C548,Elig_MatchAll_Ct&lt;22,$BC548=(Elig_MatchAll_Ct-1),AW548=0),V548,0)</f>
        <v>0</v>
      </c>
      <c r="CB548" s="176">
        <f>IF(AND(Input_Product=Elig!$C548,Elig_MatchAll_Ct&lt;22,$BC548=(Elig_MatchAll_Ct-1),AW548=0),W548,0)</f>
        <v>0</v>
      </c>
      <c r="CC548" s="175">
        <f>IF(AND(Input_Product=Elig!$C548,Elig_MatchAll_Ct&lt;22,$BC548=(Elig_MatchAll_Ct-1),AX548=0),X548,0)</f>
        <v>0</v>
      </c>
      <c r="CD548" s="176">
        <f>IF(AND(Input_Product=Elig!$C548,Elig_MatchAll_Ct&lt;22,$BC548=(Elig_MatchAll_Ct-1),AX548=0),Y548,0)</f>
        <v>0</v>
      </c>
      <c r="CE548" s="175">
        <f>IF(AND(Input_LTV&lt;=AE548,Input_Product=Elig!$C548,Elig_MatchAll_Ct&lt;22,$BC548=(Elig_MatchAll_Ct-1),AY548=0),Z548,0)</f>
        <v>0</v>
      </c>
      <c r="CF548" s="176">
        <f>IF(AND(Input_LTV&lt;=AE548,Input_Product=Elig!$C548,Elig_MatchAll_Ct&lt;22,$BC548=(Elig_MatchAll_Ct-1),AY548=0),AA548,0)</f>
        <v>0</v>
      </c>
      <c r="CG548" s="175">
        <f>IF(AND(Input_Product=Elig!$C548,Elig_MatchAll_Ct&lt;22,$BC548=(Elig_MatchAll_Ct-1),AZ548=0),AB548,0)</f>
        <v>0</v>
      </c>
      <c r="CH548" s="176">
        <f>IF(AND(Input_Product=Elig!$C548,Elig_MatchAll_Ct&lt;22,$BC548=(Elig_MatchAll_Ct-1),AZ548=0),AC548,0)</f>
        <v>0</v>
      </c>
      <c r="CI548" s="175">
        <f>IF(AND(Input_Product=Elig!$C548,Elig_MatchAll_Ct&lt;22,$BC548=(Elig_MatchAll_Ct-1),BA548=0),AD548,0)</f>
        <v>0</v>
      </c>
      <c r="CJ548" s="176">
        <f>IF(AND(Input_Product=Elig!$C548,Elig_MatchAll_Ct&lt;22,$BC548=(Elig_MatchAll_Ct-1),BA548=0),AE548,0)</f>
        <v>0</v>
      </c>
    </row>
    <row r="549" spans="1:88" ht="10.15" customHeight="1" x14ac:dyDescent="0.25">
      <c r="A549" s="1476" t="s">
        <v>76</v>
      </c>
      <c r="B549" s="1476" t="s">
        <v>1093</v>
      </c>
      <c r="C549" s="1477" t="str">
        <f t="shared" si="204"/>
        <v>Second OO</v>
      </c>
      <c r="D549" s="1476" t="s">
        <v>1331</v>
      </c>
      <c r="E549" s="1476" t="s">
        <v>98</v>
      </c>
      <c r="F549" s="1476" t="s">
        <v>327</v>
      </c>
      <c r="G549" s="1544" t="s">
        <v>465</v>
      </c>
      <c r="H549" s="1478" t="s">
        <v>135</v>
      </c>
      <c r="I549" s="1476" t="s">
        <v>1141</v>
      </c>
      <c r="J549" s="1476" t="s">
        <v>1130</v>
      </c>
      <c r="K549" s="1478" t="s">
        <v>2464</v>
      </c>
      <c r="L549" s="1476" t="s">
        <v>428</v>
      </c>
      <c r="M549" s="1476" t="s">
        <v>1835</v>
      </c>
      <c r="N549" s="1478" t="s">
        <v>82</v>
      </c>
      <c r="O549" s="1476" t="s">
        <v>309</v>
      </c>
      <c r="P549" s="1476" t="s">
        <v>2433</v>
      </c>
      <c r="Q549" s="1476" t="s">
        <v>293</v>
      </c>
      <c r="R549" s="1476">
        <v>50000</v>
      </c>
      <c r="S549" s="1476">
        <v>350000</v>
      </c>
      <c r="T549" s="1476">
        <v>0</v>
      </c>
      <c r="U549" s="1476">
        <f t="shared" si="213"/>
        <v>350000</v>
      </c>
      <c r="V549" s="1476">
        <v>0</v>
      </c>
      <c r="W549" s="1476">
        <v>50</v>
      </c>
      <c r="X549" s="1476">
        <v>0</v>
      </c>
      <c r="Y549" s="1476">
        <v>999</v>
      </c>
      <c r="Z549" s="1479">
        <v>680</v>
      </c>
      <c r="AA549" s="1479">
        <v>699</v>
      </c>
      <c r="AB549" s="1479">
        <v>0</v>
      </c>
      <c r="AC549" s="1479">
        <v>999999</v>
      </c>
      <c r="AD549" s="1476">
        <v>0</v>
      </c>
      <c r="AE549" s="1539">
        <v>80</v>
      </c>
      <c r="AF549" s="144">
        <v>0</v>
      </c>
      <c r="AG549" s="145">
        <v>1</v>
      </c>
      <c r="AH549" s="145">
        <v>1</v>
      </c>
      <c r="AI549" s="145">
        <v>0</v>
      </c>
      <c r="AJ549" s="145">
        <v>0</v>
      </c>
      <c r="AK549" s="145">
        <v>1</v>
      </c>
      <c r="AL549" s="145">
        <v>1</v>
      </c>
      <c r="AM549" s="145">
        <v>1</v>
      </c>
      <c r="AN549" s="145">
        <v>1</v>
      </c>
      <c r="AO549" s="145">
        <v>1</v>
      </c>
      <c r="AP549" s="145">
        <v>1</v>
      </c>
      <c r="AQ549" s="145">
        <v>0</v>
      </c>
      <c r="AR549" s="145">
        <v>1</v>
      </c>
      <c r="AS549" s="145">
        <v>1</v>
      </c>
      <c r="AT549" s="145">
        <v>1</v>
      </c>
      <c r="AU549" s="145">
        <f t="shared" si="206"/>
        <v>1</v>
      </c>
      <c r="AV549" s="145">
        <f t="shared" si="207"/>
        <v>1</v>
      </c>
      <c r="AW549" s="145">
        <f t="shared" si="208"/>
        <v>1</v>
      </c>
      <c r="AX549" s="145">
        <f t="shared" si="212"/>
        <v>1</v>
      </c>
      <c r="AY549" s="145">
        <f t="shared" si="209"/>
        <v>0</v>
      </c>
      <c r="AZ549" s="145">
        <f t="shared" si="210"/>
        <v>1</v>
      </c>
      <c r="BA549" s="146">
        <f t="shared" si="211"/>
        <v>1</v>
      </c>
      <c r="BB549" s="149">
        <f t="shared" si="190"/>
        <v>17</v>
      </c>
      <c r="BC549" s="150">
        <f t="shared" si="191"/>
        <v>16</v>
      </c>
      <c r="BD549" s="150">
        <f t="shared" si="192"/>
        <v>17</v>
      </c>
      <c r="BE549" s="211" t="str">
        <f t="shared" si="193"/>
        <v/>
      </c>
      <c r="BF549" s="205"/>
      <c r="BG549" s="205"/>
      <c r="BH549" s="173">
        <f>IF(AND(Input_Product=Elig!$C549,Elig_MatchAll_Ct&lt;22,$BC549=(Elig_MatchAll_Ct-1),AF549=0),C549,0)</f>
        <v>0</v>
      </c>
      <c r="BI549" s="173">
        <f>IF(AND(Input_Product=Elig!$C549,Elig_MatchAll_Ct&lt;22,$BC549=(Elig_MatchAll_Ct-1),AG549=0),D549,0)</f>
        <v>0</v>
      </c>
      <c r="BJ549" s="173">
        <f>IF(AND(Input_Product=Elig!$C549,Elig_MatchAll_Ct&lt;22,$BC549=(Elig_MatchAll_Ct-1),AH549=0),E549,0)</f>
        <v>0</v>
      </c>
      <c r="BK549" s="173">
        <f>IF(AND(Input_Product=Elig!$C549,Elig_MatchAll_Ct&lt;22,$BC549=(Elig_MatchAll_Ct-1),AI549=0),F549,0)</f>
        <v>0</v>
      </c>
      <c r="BL549" s="173">
        <f>IF(AND(Input_Product=Elig!$C549,Elig_MatchAll_Ct&lt;22,$BC549=(Elig_MatchAll_Ct-1),AJ549=0),G549,0)</f>
        <v>0</v>
      </c>
      <c r="BM549" s="173">
        <f>IF(AND(Input_Product=Elig!$C549,Elig_MatchAll_Ct&lt;22,$BC549=(Elig_MatchAll_Ct-1),AK549=0),H549,0)</f>
        <v>0</v>
      </c>
      <c r="BN549" s="173">
        <f>IF(AND(Input_Product=Elig!$C549,Elig_MatchAll_Ct&lt;22,$BC549=(Elig_MatchAll_Ct-1),AL549=0),I549,0)</f>
        <v>0</v>
      </c>
      <c r="BO549" s="173">
        <f>IF(AND(Input_Product=Elig!$C549,Elig_MatchAll_Ct&lt;22,$BC549=(Elig_MatchAll_Ct-1),AM549=0),J549,0)</f>
        <v>0</v>
      </c>
      <c r="BP549" s="173">
        <f>IF(AND(Input_Product=Elig!$C549,Elig_MatchAll_Ct&lt;22,$BC549=(Elig_MatchAll_Ct-1),AN549=0),K549,0)</f>
        <v>0</v>
      </c>
      <c r="BQ549" s="173">
        <f>IF(AND(Input_Product=Elig!$C549,Elig_MatchAll_Ct&lt;22,$BC549=(Elig_MatchAll_Ct-1),AP549=0),L549,0)</f>
        <v>0</v>
      </c>
      <c r="BR549" s="173">
        <f>IF(AND(Input_Product=Elig!$C549,Elig_MatchAll_Ct&lt;22,$BC549=(Elig_MatchAll_Ct-1),AO549=0),M549,0)</f>
        <v>0</v>
      </c>
      <c r="BS549" s="173">
        <f>IF(AND(Input_Product=Elig!$C549,Elig_MatchAll_Ct&lt;22,$BC549=(Elig_MatchAll_Ct-1),AQ549=0),N549,0)</f>
        <v>0</v>
      </c>
      <c r="BT549" s="173">
        <f>IF(AND(Input_Product=Elig!$C549,Elig_MatchAll_Ct&lt;22,$BC549=(Elig_MatchAll_Ct-1),AR549=0),O549,0)</f>
        <v>0</v>
      </c>
      <c r="BU549" s="173">
        <f>IF(AND(Input_Product=Elig!$C549,Elig_MatchAll_Ct&lt;22,$BC549=(Elig_MatchAll_Ct-1),AS549=0),P549,0)</f>
        <v>0</v>
      </c>
      <c r="BV549" s="174">
        <f>IF(AND(Input_Product=Elig!$C549,Elig_MatchAll_Ct&lt;22,$BC549=(Elig_MatchAll_Ct-1),AT549=0),Q549,0)</f>
        <v>0</v>
      </c>
      <c r="BW549" s="175">
        <f>IF(AND(Input_Product=Elig!$C549,Elig_MatchAll_Ct&lt;22,$BC549=(Elig_MatchAll_Ct-1),AU549=0),R549,0)</f>
        <v>0</v>
      </c>
      <c r="BX549" s="176">
        <f>IF(AND(Input_Product=Elig!$C549,Elig_MatchAll_Ct&lt;22,$BC549=(Elig_MatchAll_Ct-1),AU549=0),S549,0)</f>
        <v>0</v>
      </c>
      <c r="BY549" s="175">
        <f>IF(AND(Input_Product=Elig!$C549,Elig_MatchAll_Ct&lt;22,$BC549=(Elig_MatchAll_Ct-1),AV549=0),T549,0)</f>
        <v>0</v>
      </c>
      <c r="BZ549" s="176">
        <f>IF(AND(Input_Product=Elig!$C549,Elig_MatchAll_Ct&lt;22,$BC549=(Elig_MatchAll_Ct-1),AV549=0),U549,0)</f>
        <v>0</v>
      </c>
      <c r="CA549" s="175">
        <f>IF(AND(Input_Product=Elig!$C549,Elig_MatchAll_Ct&lt;22,$BC549=(Elig_MatchAll_Ct-1),AW549=0),V549,0)</f>
        <v>0</v>
      </c>
      <c r="CB549" s="176">
        <f>IF(AND(Input_Product=Elig!$C549,Elig_MatchAll_Ct&lt;22,$BC549=(Elig_MatchAll_Ct-1),AW549=0),W549,0)</f>
        <v>0</v>
      </c>
      <c r="CC549" s="175">
        <f>IF(AND(Input_Product=Elig!$C549,Elig_MatchAll_Ct&lt;22,$BC549=(Elig_MatchAll_Ct-1),AX549=0),X549,0)</f>
        <v>0</v>
      </c>
      <c r="CD549" s="176">
        <f>IF(AND(Input_Product=Elig!$C549,Elig_MatchAll_Ct&lt;22,$BC549=(Elig_MatchAll_Ct-1),AX549=0),Y549,0)</f>
        <v>0</v>
      </c>
      <c r="CE549" s="175">
        <f>IF(AND(Input_LTV&lt;=AE549,Input_Product=Elig!$C549,Elig_MatchAll_Ct&lt;22,$BC549=(Elig_MatchAll_Ct-1),AY549=0),Z549,0)</f>
        <v>0</v>
      </c>
      <c r="CF549" s="176">
        <f>IF(AND(Input_LTV&lt;=AE549,Input_Product=Elig!$C549,Elig_MatchAll_Ct&lt;22,$BC549=(Elig_MatchAll_Ct-1),AY549=0),AA549,0)</f>
        <v>0</v>
      </c>
      <c r="CG549" s="175">
        <f>IF(AND(Input_Product=Elig!$C549,Elig_MatchAll_Ct&lt;22,$BC549=(Elig_MatchAll_Ct-1),AZ549=0),AB549,0)</f>
        <v>0</v>
      </c>
      <c r="CH549" s="176">
        <f>IF(AND(Input_Product=Elig!$C549,Elig_MatchAll_Ct&lt;22,$BC549=(Elig_MatchAll_Ct-1),AZ549=0),AC549,0)</f>
        <v>0</v>
      </c>
      <c r="CI549" s="175">
        <f>IF(AND(Input_Product=Elig!$C549,Elig_MatchAll_Ct&lt;22,$BC549=(Elig_MatchAll_Ct-1),BA549=0),AD549,0)</f>
        <v>0</v>
      </c>
      <c r="CJ549" s="176">
        <f>IF(AND(Input_Product=Elig!$C549,Elig_MatchAll_Ct&lt;22,$BC549=(Elig_MatchAll_Ct-1),BA549=0),AE549,0)</f>
        <v>0</v>
      </c>
    </row>
    <row r="550" spans="1:88" ht="10.15" customHeight="1" x14ac:dyDescent="0.25">
      <c r="A550" s="1476" t="s">
        <v>76</v>
      </c>
      <c r="B550" s="1476" t="s">
        <v>1094</v>
      </c>
      <c r="C550" s="1481" t="str">
        <f t="shared" si="204"/>
        <v>Second OO</v>
      </c>
      <c r="D550" s="1480" t="s">
        <v>1331</v>
      </c>
      <c r="E550" s="1480" t="s">
        <v>98</v>
      </c>
      <c r="F550" s="1480" t="s">
        <v>327</v>
      </c>
      <c r="G550" s="1545" t="s">
        <v>465</v>
      </c>
      <c r="H550" s="1482" t="s">
        <v>135</v>
      </c>
      <c r="I550" s="1480" t="s">
        <v>1141</v>
      </c>
      <c r="J550" s="1480" t="s">
        <v>1130</v>
      </c>
      <c r="K550" s="1482" t="s">
        <v>2464</v>
      </c>
      <c r="L550" s="1480" t="s">
        <v>428</v>
      </c>
      <c r="M550" s="1480" t="s">
        <v>1835</v>
      </c>
      <c r="N550" s="1482" t="s">
        <v>82</v>
      </c>
      <c r="O550" s="1480" t="s">
        <v>309</v>
      </c>
      <c r="P550" s="1480" t="s">
        <v>2433</v>
      </c>
      <c r="Q550" s="1480" t="s">
        <v>293</v>
      </c>
      <c r="R550" s="1480">
        <v>50000</v>
      </c>
      <c r="S550" s="1480">
        <v>350000</v>
      </c>
      <c r="T550" s="1480">
        <v>0</v>
      </c>
      <c r="U550" s="1480">
        <f t="shared" si="213"/>
        <v>350000</v>
      </c>
      <c r="V550" s="1480">
        <v>0</v>
      </c>
      <c r="W550" s="1480">
        <v>50</v>
      </c>
      <c r="X550" s="1480">
        <v>0</v>
      </c>
      <c r="Y550" s="1480">
        <v>999</v>
      </c>
      <c r="Z550" s="1483">
        <v>660</v>
      </c>
      <c r="AA550" s="1483">
        <v>679</v>
      </c>
      <c r="AB550" s="1483">
        <v>0</v>
      </c>
      <c r="AC550" s="1483">
        <v>999999</v>
      </c>
      <c r="AD550" s="1480">
        <v>0</v>
      </c>
      <c r="AE550" s="1541">
        <v>75</v>
      </c>
      <c r="AF550" s="144">
        <v>0</v>
      </c>
      <c r="AG550" s="145">
        <v>1</v>
      </c>
      <c r="AH550" s="145">
        <v>1</v>
      </c>
      <c r="AI550" s="145">
        <v>0</v>
      </c>
      <c r="AJ550" s="145">
        <v>0</v>
      </c>
      <c r="AK550" s="145">
        <v>1</v>
      </c>
      <c r="AL550" s="145">
        <v>1</v>
      </c>
      <c r="AM550" s="145">
        <v>1</v>
      </c>
      <c r="AN550" s="145">
        <v>1</v>
      </c>
      <c r="AO550" s="145">
        <v>1</v>
      </c>
      <c r="AP550" s="145">
        <v>1</v>
      </c>
      <c r="AQ550" s="145">
        <v>0</v>
      </c>
      <c r="AR550" s="145">
        <v>1</v>
      </c>
      <c r="AS550" s="145">
        <v>1</v>
      </c>
      <c r="AT550" s="145">
        <v>1</v>
      </c>
      <c r="AU550" s="145">
        <f t="shared" si="206"/>
        <v>1</v>
      </c>
      <c r="AV550" s="145">
        <f t="shared" si="207"/>
        <v>1</v>
      </c>
      <c r="AW550" s="145">
        <f t="shared" si="208"/>
        <v>1</v>
      </c>
      <c r="AX550" s="145">
        <f t="shared" si="212"/>
        <v>1</v>
      </c>
      <c r="AY550" s="145">
        <f t="shared" si="209"/>
        <v>0</v>
      </c>
      <c r="AZ550" s="145">
        <f t="shared" si="210"/>
        <v>1</v>
      </c>
      <c r="BA550" s="146">
        <f t="shared" si="211"/>
        <v>1</v>
      </c>
      <c r="BB550" s="149">
        <f t="shared" si="190"/>
        <v>17</v>
      </c>
      <c r="BC550" s="150">
        <f t="shared" si="191"/>
        <v>16</v>
      </c>
      <c r="BD550" s="150">
        <f t="shared" si="192"/>
        <v>17</v>
      </c>
      <c r="BE550" s="211" t="str">
        <f t="shared" si="193"/>
        <v/>
      </c>
      <c r="BF550" s="205"/>
      <c r="BG550" s="205"/>
      <c r="BH550" s="188">
        <f>IF(AND(Input_Product=Elig!$C550,Elig_MatchAll_Ct&lt;22,$BC550=(Elig_MatchAll_Ct-1),AF550=0),C550,0)</f>
        <v>0</v>
      </c>
      <c r="BI550" s="188">
        <f>IF(AND(Input_Product=Elig!$C550,Elig_MatchAll_Ct&lt;22,$BC550=(Elig_MatchAll_Ct-1),AG550=0),D550,0)</f>
        <v>0</v>
      </c>
      <c r="BJ550" s="188">
        <f>IF(AND(Input_Product=Elig!$C550,Elig_MatchAll_Ct&lt;22,$BC550=(Elig_MatchAll_Ct-1),AH550=0),E550,0)</f>
        <v>0</v>
      </c>
      <c r="BK550" s="188">
        <f>IF(AND(Input_Product=Elig!$C550,Elig_MatchAll_Ct&lt;22,$BC550=(Elig_MatchAll_Ct-1),AI550=0),F550,0)</f>
        <v>0</v>
      </c>
      <c r="BL550" s="188">
        <f>IF(AND(Input_Product=Elig!$C550,Elig_MatchAll_Ct&lt;22,$BC550=(Elig_MatchAll_Ct-1),AJ550=0),G550,0)</f>
        <v>0</v>
      </c>
      <c r="BM550" s="188">
        <f>IF(AND(Input_Product=Elig!$C550,Elig_MatchAll_Ct&lt;22,$BC550=(Elig_MatchAll_Ct-1),AK550=0),H550,0)</f>
        <v>0</v>
      </c>
      <c r="BN550" s="188">
        <f>IF(AND(Input_Product=Elig!$C550,Elig_MatchAll_Ct&lt;22,$BC550=(Elig_MatchAll_Ct-1),AL550=0),I550,0)</f>
        <v>0</v>
      </c>
      <c r="BO550" s="188">
        <f>IF(AND(Input_Product=Elig!$C550,Elig_MatchAll_Ct&lt;22,$BC550=(Elig_MatchAll_Ct-1),AM550=0),J550,0)</f>
        <v>0</v>
      </c>
      <c r="BP550" s="188">
        <f>IF(AND(Input_Product=Elig!$C550,Elig_MatchAll_Ct&lt;22,$BC550=(Elig_MatchAll_Ct-1),AN550=0),K550,0)</f>
        <v>0</v>
      </c>
      <c r="BQ550" s="188">
        <f>IF(AND(Input_Product=Elig!$C550,Elig_MatchAll_Ct&lt;22,$BC550=(Elig_MatchAll_Ct-1),AP550=0),L550,0)</f>
        <v>0</v>
      </c>
      <c r="BR550" s="188">
        <f>IF(AND(Input_Product=Elig!$C550,Elig_MatchAll_Ct&lt;22,$BC550=(Elig_MatchAll_Ct-1),AO550=0),M550,0)</f>
        <v>0</v>
      </c>
      <c r="BS550" s="188">
        <f>IF(AND(Input_Product=Elig!$C550,Elig_MatchAll_Ct&lt;22,$BC550=(Elig_MatchAll_Ct-1),AQ550=0),N550,0)</f>
        <v>0</v>
      </c>
      <c r="BT550" s="188">
        <f>IF(AND(Input_Product=Elig!$C550,Elig_MatchAll_Ct&lt;22,$BC550=(Elig_MatchAll_Ct-1),AR550=0),O550,0)</f>
        <v>0</v>
      </c>
      <c r="BU550" s="188">
        <f>IF(AND(Input_Product=Elig!$C550,Elig_MatchAll_Ct&lt;22,$BC550=(Elig_MatchAll_Ct-1),AS550=0),P550,0)</f>
        <v>0</v>
      </c>
      <c r="BV550" s="189">
        <f>IF(AND(Input_Product=Elig!$C550,Elig_MatchAll_Ct&lt;22,$BC550=(Elig_MatchAll_Ct-1),AT550=0),Q550,0)</f>
        <v>0</v>
      </c>
      <c r="BW550" s="271">
        <f>IF(AND(Input_Product=Elig!$C550,Elig_MatchAll_Ct&lt;22,$BC550=(Elig_MatchAll_Ct-1),AU550=0),R550,0)</f>
        <v>0</v>
      </c>
      <c r="BX550" s="272">
        <f>IF(AND(Input_Product=Elig!$C550,Elig_MatchAll_Ct&lt;22,$BC550=(Elig_MatchAll_Ct-1),AU550=0),S550,0)</f>
        <v>0</v>
      </c>
      <c r="BY550" s="271">
        <f>IF(AND(Input_Product=Elig!$C550,Elig_MatchAll_Ct&lt;22,$BC550=(Elig_MatchAll_Ct-1),AV550=0),T550,0)</f>
        <v>0</v>
      </c>
      <c r="BZ550" s="272">
        <f>IF(AND(Input_Product=Elig!$C550,Elig_MatchAll_Ct&lt;22,$BC550=(Elig_MatchAll_Ct-1),AV550=0),U550,0)</f>
        <v>0</v>
      </c>
      <c r="CA550" s="271">
        <f>IF(AND(Input_Product=Elig!$C550,Elig_MatchAll_Ct&lt;22,$BC550=(Elig_MatchAll_Ct-1),AW550=0),V550,0)</f>
        <v>0</v>
      </c>
      <c r="CB550" s="272">
        <f>IF(AND(Input_Product=Elig!$C550,Elig_MatchAll_Ct&lt;22,$BC550=(Elig_MatchAll_Ct-1),AW550=0),W550,0)</f>
        <v>0</v>
      </c>
      <c r="CC550" s="271">
        <f>IF(AND(Input_Product=Elig!$C550,Elig_MatchAll_Ct&lt;22,$BC550=(Elig_MatchAll_Ct-1),AX550=0),X550,0)</f>
        <v>0</v>
      </c>
      <c r="CD550" s="272">
        <f>IF(AND(Input_Product=Elig!$C550,Elig_MatchAll_Ct&lt;22,$BC550=(Elig_MatchAll_Ct-1),AX550=0),Y550,0)</f>
        <v>0</v>
      </c>
      <c r="CE550" s="271">
        <f>IF(AND(Input_LTV&lt;=AE550,Input_Product=Elig!$C550,Elig_MatchAll_Ct&lt;22,$BC550=(Elig_MatchAll_Ct-1),AY550=0),Z550,0)</f>
        <v>0</v>
      </c>
      <c r="CF550" s="272">
        <f>IF(AND(Input_LTV&lt;=AE550,Input_Product=Elig!$C550,Elig_MatchAll_Ct&lt;22,$BC550=(Elig_MatchAll_Ct-1),AY550=0),AA550,0)</f>
        <v>0</v>
      </c>
      <c r="CG550" s="271">
        <f>IF(AND(Input_Product=Elig!$C550,Elig_MatchAll_Ct&lt;22,$BC550=(Elig_MatchAll_Ct-1),AZ550=0),AB550,0)</f>
        <v>0</v>
      </c>
      <c r="CH550" s="272">
        <f>IF(AND(Input_Product=Elig!$C550,Elig_MatchAll_Ct&lt;22,$BC550=(Elig_MatchAll_Ct-1),AZ550=0),AC550,0)</f>
        <v>0</v>
      </c>
      <c r="CI550" s="271">
        <f>IF(AND(Input_Product=Elig!$C550,Elig_MatchAll_Ct&lt;22,$BC550=(Elig_MatchAll_Ct-1),BA550=0),AD550,0)</f>
        <v>0</v>
      </c>
      <c r="CJ550" s="272">
        <f>IF(AND(Input_Product=Elig!$C550,Elig_MatchAll_Ct&lt;22,$BC550=(Elig_MatchAll_Ct-1),BA550=0),AE550,0)</f>
        <v>0</v>
      </c>
    </row>
    <row r="551" spans="1:88" ht="10.15" customHeight="1" x14ac:dyDescent="0.25">
      <c r="A551" s="1476" t="s">
        <v>76</v>
      </c>
      <c r="B551" s="1476" t="s">
        <v>1095</v>
      </c>
      <c r="C551" s="1473" t="str">
        <f t="shared" si="204"/>
        <v>Second OO</v>
      </c>
      <c r="D551" s="1474" t="s">
        <v>1121</v>
      </c>
      <c r="E551" s="1474" t="s">
        <v>98</v>
      </c>
      <c r="F551" s="1474" t="s">
        <v>327</v>
      </c>
      <c r="G551" s="1537" t="s">
        <v>465</v>
      </c>
      <c r="H551" s="1474" t="s">
        <v>135</v>
      </c>
      <c r="I551" s="1472" t="s">
        <v>1141</v>
      </c>
      <c r="J551" s="1472" t="s">
        <v>1130</v>
      </c>
      <c r="K551" s="1474" t="s">
        <v>2464</v>
      </c>
      <c r="L551" s="1472" t="s">
        <v>428</v>
      </c>
      <c r="M551" s="1472" t="s">
        <v>1835</v>
      </c>
      <c r="N551" s="1474" t="s">
        <v>82</v>
      </c>
      <c r="O551" s="1472" t="s">
        <v>309</v>
      </c>
      <c r="P551" s="1472" t="s">
        <v>2433</v>
      </c>
      <c r="Q551" s="1472" t="s">
        <v>293</v>
      </c>
      <c r="R551" s="1472">
        <v>200000</v>
      </c>
      <c r="S551" s="1472">
        <v>350000</v>
      </c>
      <c r="T551" s="1472">
        <v>0</v>
      </c>
      <c r="U551" s="1472">
        <f t="shared" si="213"/>
        <v>350000</v>
      </c>
      <c r="V551" s="1472">
        <v>0</v>
      </c>
      <c r="W551" s="1472">
        <v>50</v>
      </c>
      <c r="X551" s="1472">
        <v>0</v>
      </c>
      <c r="Y551" s="1472">
        <v>999</v>
      </c>
      <c r="Z551" s="1475">
        <v>720</v>
      </c>
      <c r="AA551" s="1475">
        <v>999</v>
      </c>
      <c r="AB551" s="1475">
        <v>0</v>
      </c>
      <c r="AC551" s="1475">
        <v>999999</v>
      </c>
      <c r="AD551" s="1472">
        <v>0</v>
      </c>
      <c r="AE551" s="1538">
        <v>90</v>
      </c>
      <c r="AF551" s="144">
        <v>0</v>
      </c>
      <c r="AG551" s="145">
        <v>0</v>
      </c>
      <c r="AH551" s="145">
        <v>1</v>
      </c>
      <c r="AI551" s="145">
        <v>0</v>
      </c>
      <c r="AJ551" s="145">
        <v>0</v>
      </c>
      <c r="AK551" s="145">
        <v>1</v>
      </c>
      <c r="AL551" s="145">
        <v>1</v>
      </c>
      <c r="AM551" s="145">
        <v>1</v>
      </c>
      <c r="AN551" s="145">
        <v>1</v>
      </c>
      <c r="AO551" s="145">
        <v>1</v>
      </c>
      <c r="AP551" s="145">
        <v>1</v>
      </c>
      <c r="AQ551" s="145">
        <v>0</v>
      </c>
      <c r="AR551" s="145">
        <v>1</v>
      </c>
      <c r="AS551" s="145">
        <v>1</v>
      </c>
      <c r="AT551" s="145">
        <v>1</v>
      </c>
      <c r="AU551" s="145">
        <f t="shared" si="206"/>
        <v>0</v>
      </c>
      <c r="AV551" s="145">
        <f t="shared" si="207"/>
        <v>1</v>
      </c>
      <c r="AW551" s="145">
        <f t="shared" si="208"/>
        <v>1</v>
      </c>
      <c r="AX551" s="145">
        <f t="shared" si="212"/>
        <v>1</v>
      </c>
      <c r="AY551" s="145">
        <f t="shared" si="209"/>
        <v>1</v>
      </c>
      <c r="AZ551" s="145">
        <f t="shared" si="210"/>
        <v>1</v>
      </c>
      <c r="BA551" s="146">
        <f t="shared" si="211"/>
        <v>1</v>
      </c>
      <c r="BB551" s="149">
        <f t="shared" si="190"/>
        <v>16</v>
      </c>
      <c r="BC551" s="150">
        <f t="shared" si="191"/>
        <v>15</v>
      </c>
      <c r="BD551" s="150">
        <f t="shared" si="192"/>
        <v>16</v>
      </c>
      <c r="BE551" s="211" t="str">
        <f t="shared" si="193"/>
        <v/>
      </c>
      <c r="BF551" s="194"/>
      <c r="BG551" s="194"/>
      <c r="BH551" s="190">
        <f>IF(AND(Input_Product=Elig!$C551,Elig_MatchAll_Ct&lt;22,$BC551=(Elig_MatchAll_Ct-1),AF551=0),C551,0)</f>
        <v>0</v>
      </c>
      <c r="BI551" s="190">
        <f>IF(AND(Input_Product=Elig!$C551,Elig_MatchAll_Ct&lt;22,$BC551=(Elig_MatchAll_Ct-1),AG551=0),D551,0)</f>
        <v>0</v>
      </c>
      <c r="BJ551" s="190">
        <f>IF(AND(Input_Product=Elig!$C551,Elig_MatchAll_Ct&lt;22,$BC551=(Elig_MatchAll_Ct-1),AH551=0),E551,0)</f>
        <v>0</v>
      </c>
      <c r="BK551" s="190">
        <f>IF(AND(Input_Product=Elig!$C551,Elig_MatchAll_Ct&lt;22,$BC551=(Elig_MatchAll_Ct-1),AI551=0),F551,0)</f>
        <v>0</v>
      </c>
      <c r="BL551" s="190">
        <f>IF(AND(Input_Product=Elig!$C551,Elig_MatchAll_Ct&lt;22,$BC551=(Elig_MatchAll_Ct-1),AJ551=0),G551,0)</f>
        <v>0</v>
      </c>
      <c r="BM551" s="190">
        <f>IF(AND(Input_Product=Elig!$C551,Elig_MatchAll_Ct&lt;22,$BC551=(Elig_MatchAll_Ct-1),AK551=0),H551,0)</f>
        <v>0</v>
      </c>
      <c r="BN551" s="190">
        <f>IF(AND(Input_Product=Elig!$C551,Elig_MatchAll_Ct&lt;22,$BC551=(Elig_MatchAll_Ct-1),AL551=0),I551,0)</f>
        <v>0</v>
      </c>
      <c r="BO551" s="190">
        <f>IF(AND(Input_Product=Elig!$C551,Elig_MatchAll_Ct&lt;22,$BC551=(Elig_MatchAll_Ct-1),AM551=0),J551,0)</f>
        <v>0</v>
      </c>
      <c r="BP551" s="190">
        <f>IF(AND(Input_Product=Elig!$C551,Elig_MatchAll_Ct&lt;22,$BC551=(Elig_MatchAll_Ct-1),AN551=0),K551,0)</f>
        <v>0</v>
      </c>
      <c r="BQ551" s="190">
        <f>IF(AND(Input_Product=Elig!$C551,Elig_MatchAll_Ct&lt;22,$BC551=(Elig_MatchAll_Ct-1),AP551=0),L551,0)</f>
        <v>0</v>
      </c>
      <c r="BR551" s="190">
        <f>IF(AND(Input_Product=Elig!$C551,Elig_MatchAll_Ct&lt;22,$BC551=(Elig_MatchAll_Ct-1),AO551=0),M551,0)</f>
        <v>0</v>
      </c>
      <c r="BS551" s="190">
        <f>IF(AND(Input_Product=Elig!$C551,Elig_MatchAll_Ct&lt;22,$BC551=(Elig_MatchAll_Ct-1),AQ551=0),N551,0)</f>
        <v>0</v>
      </c>
      <c r="BT551" s="190">
        <f>IF(AND(Input_Product=Elig!$C551,Elig_MatchAll_Ct&lt;22,$BC551=(Elig_MatchAll_Ct-1),AR551=0),O551,0)</f>
        <v>0</v>
      </c>
      <c r="BU551" s="190">
        <f>IF(AND(Input_Product=Elig!$C551,Elig_MatchAll_Ct&lt;22,$BC551=(Elig_MatchAll_Ct-1),AS551=0),P551,0)</f>
        <v>0</v>
      </c>
      <c r="BV551" s="191">
        <f>IF(AND(Input_Product=Elig!$C551,Elig_MatchAll_Ct&lt;22,$BC551=(Elig_MatchAll_Ct-1),AT551=0),Q551,0)</f>
        <v>0</v>
      </c>
      <c r="BW551" s="273">
        <f>IF(AND(Input_Product=Elig!$C551,Elig_MatchAll_Ct&lt;22,$BC551=(Elig_MatchAll_Ct-1),AU551=0),R551,0)</f>
        <v>0</v>
      </c>
      <c r="BX551" s="274">
        <f>IF(AND(Input_Product=Elig!$C551,Elig_MatchAll_Ct&lt;22,$BC551=(Elig_MatchAll_Ct-1),AU551=0),S551,0)</f>
        <v>0</v>
      </c>
      <c r="BY551" s="273">
        <f>IF(AND(Input_Product=Elig!$C551,Elig_MatchAll_Ct&lt;22,$BC551=(Elig_MatchAll_Ct-1),AV551=0),T551,0)</f>
        <v>0</v>
      </c>
      <c r="BZ551" s="274">
        <f>IF(AND(Input_Product=Elig!$C551,Elig_MatchAll_Ct&lt;22,$BC551=(Elig_MatchAll_Ct-1),AV551=0),U551,0)</f>
        <v>0</v>
      </c>
      <c r="CA551" s="273">
        <f>IF(AND(Input_Product=Elig!$C551,Elig_MatchAll_Ct&lt;22,$BC551=(Elig_MatchAll_Ct-1),AW551=0),V551,0)</f>
        <v>0</v>
      </c>
      <c r="CB551" s="274">
        <f>IF(AND(Input_Product=Elig!$C551,Elig_MatchAll_Ct&lt;22,$BC551=(Elig_MatchAll_Ct-1),AW551=0),W551,0)</f>
        <v>0</v>
      </c>
      <c r="CC551" s="273">
        <f>IF(AND(Input_Product=Elig!$C551,Elig_MatchAll_Ct&lt;22,$BC551=(Elig_MatchAll_Ct-1),AX551=0),X551,0)</f>
        <v>0</v>
      </c>
      <c r="CD551" s="274">
        <f>IF(AND(Input_Product=Elig!$C551,Elig_MatchAll_Ct&lt;22,$BC551=(Elig_MatchAll_Ct-1),AX551=0),Y551,0)</f>
        <v>0</v>
      </c>
      <c r="CE551" s="273">
        <f>IF(AND(Input_LTV&lt;=AE551,Input_Product=Elig!$C551,Elig_MatchAll_Ct&lt;22,$BC551=(Elig_MatchAll_Ct-1),AY551=0),Z551,0)</f>
        <v>0</v>
      </c>
      <c r="CF551" s="274">
        <f>IF(AND(Input_LTV&lt;=AE551,Input_Product=Elig!$C551,Elig_MatchAll_Ct&lt;22,$BC551=(Elig_MatchAll_Ct-1),AY551=0),AA551,0)</f>
        <v>0</v>
      </c>
      <c r="CG551" s="273">
        <f>IF(AND(Input_Product=Elig!$C551,Elig_MatchAll_Ct&lt;22,$BC551=(Elig_MatchAll_Ct-1),AZ551=0),AB551,0)</f>
        <v>0</v>
      </c>
      <c r="CH551" s="274">
        <f>IF(AND(Input_Product=Elig!$C551,Elig_MatchAll_Ct&lt;22,$BC551=(Elig_MatchAll_Ct-1),AZ551=0),AC551,0)</f>
        <v>0</v>
      </c>
      <c r="CI551" s="273">
        <f>IF(AND(Input_Product=Elig!$C551,Elig_MatchAll_Ct&lt;22,$BC551=(Elig_MatchAll_Ct-1),BA551=0),AD551,0)</f>
        <v>0</v>
      </c>
      <c r="CJ551" s="274">
        <f>IF(AND(Input_Product=Elig!$C551,Elig_MatchAll_Ct&lt;22,$BC551=(Elig_MatchAll_Ct-1),BA551=0),AE551,0)</f>
        <v>0</v>
      </c>
    </row>
    <row r="552" spans="1:88" ht="10.15" customHeight="1" x14ac:dyDescent="0.25">
      <c r="A552" s="1476" t="s">
        <v>76</v>
      </c>
      <c r="B552" s="1476" t="s">
        <v>1096</v>
      </c>
      <c r="C552" s="1477" t="str">
        <f t="shared" si="204"/>
        <v>Second OO</v>
      </c>
      <c r="D552" s="1476" t="s">
        <v>1121</v>
      </c>
      <c r="E552" s="1476" t="s">
        <v>98</v>
      </c>
      <c r="F552" s="1476" t="s">
        <v>327</v>
      </c>
      <c r="G552" s="1544" t="s">
        <v>465</v>
      </c>
      <c r="H552" s="1478" t="s">
        <v>135</v>
      </c>
      <c r="I552" s="1476" t="s">
        <v>1141</v>
      </c>
      <c r="J552" s="1476" t="s">
        <v>1130</v>
      </c>
      <c r="K552" s="1478" t="s">
        <v>2464</v>
      </c>
      <c r="L552" s="1476" t="s">
        <v>428</v>
      </c>
      <c r="M552" s="1476" t="s">
        <v>1835</v>
      </c>
      <c r="N552" s="1478" t="s">
        <v>82</v>
      </c>
      <c r="O552" s="1476" t="s">
        <v>309</v>
      </c>
      <c r="P552" s="1476" t="s">
        <v>2433</v>
      </c>
      <c r="Q552" s="1476" t="s">
        <v>293</v>
      </c>
      <c r="R552" s="1476">
        <v>200000</v>
      </c>
      <c r="S552" s="1476">
        <v>350000</v>
      </c>
      <c r="T552" s="1476">
        <v>0</v>
      </c>
      <c r="U552" s="1476">
        <f t="shared" si="213"/>
        <v>350000</v>
      </c>
      <c r="V552" s="1476">
        <v>0</v>
      </c>
      <c r="W552" s="1476">
        <v>50</v>
      </c>
      <c r="X552" s="1476">
        <v>0</v>
      </c>
      <c r="Y552" s="1476">
        <v>999</v>
      </c>
      <c r="Z552" s="1479">
        <v>700</v>
      </c>
      <c r="AA552" s="1479">
        <v>719</v>
      </c>
      <c r="AB552" s="1479">
        <v>0</v>
      </c>
      <c r="AC552" s="1479">
        <v>999999</v>
      </c>
      <c r="AD552" s="1476">
        <v>0</v>
      </c>
      <c r="AE552" s="1539">
        <v>85</v>
      </c>
      <c r="AF552" s="144">
        <v>0</v>
      </c>
      <c r="AG552" s="145">
        <v>0</v>
      </c>
      <c r="AH552" s="145">
        <v>1</v>
      </c>
      <c r="AI552" s="145">
        <v>0</v>
      </c>
      <c r="AJ552" s="145">
        <v>0</v>
      </c>
      <c r="AK552" s="145">
        <v>1</v>
      </c>
      <c r="AL552" s="145">
        <v>1</v>
      </c>
      <c r="AM552" s="145">
        <v>1</v>
      </c>
      <c r="AN552" s="145">
        <v>1</v>
      </c>
      <c r="AO552" s="145">
        <v>1</v>
      </c>
      <c r="AP552" s="145">
        <v>1</v>
      </c>
      <c r="AQ552" s="145">
        <v>0</v>
      </c>
      <c r="AR552" s="145">
        <v>1</v>
      </c>
      <c r="AS552" s="145">
        <v>1</v>
      </c>
      <c r="AT552" s="145">
        <v>1</v>
      </c>
      <c r="AU552" s="145">
        <f t="shared" si="206"/>
        <v>0</v>
      </c>
      <c r="AV552" s="145">
        <f t="shared" si="207"/>
        <v>1</v>
      </c>
      <c r="AW552" s="145">
        <f t="shared" si="208"/>
        <v>1</v>
      </c>
      <c r="AX552" s="145">
        <f t="shared" si="212"/>
        <v>1</v>
      </c>
      <c r="AY552" s="145">
        <f t="shared" si="209"/>
        <v>0</v>
      </c>
      <c r="AZ552" s="145">
        <f t="shared" si="210"/>
        <v>1</v>
      </c>
      <c r="BA552" s="146">
        <f t="shared" si="211"/>
        <v>1</v>
      </c>
      <c r="BB552" s="149">
        <f t="shared" si="190"/>
        <v>15</v>
      </c>
      <c r="BC552" s="150">
        <f t="shared" si="191"/>
        <v>14</v>
      </c>
      <c r="BD552" s="150">
        <f t="shared" si="192"/>
        <v>15</v>
      </c>
      <c r="BE552" s="211" t="str">
        <f t="shared" si="193"/>
        <v/>
      </c>
      <c r="BF552" s="205"/>
      <c r="BG552" s="205"/>
      <c r="BH552" s="173">
        <f>IF(AND(Input_Product=Elig!$C552,Elig_MatchAll_Ct&lt;22,$BC552=(Elig_MatchAll_Ct-1),AF552=0),C552,0)</f>
        <v>0</v>
      </c>
      <c r="BI552" s="173">
        <f>IF(AND(Input_Product=Elig!$C552,Elig_MatchAll_Ct&lt;22,$BC552=(Elig_MatchAll_Ct-1),AG552=0),D552,0)</f>
        <v>0</v>
      </c>
      <c r="BJ552" s="173">
        <f>IF(AND(Input_Product=Elig!$C552,Elig_MatchAll_Ct&lt;22,$BC552=(Elig_MatchAll_Ct-1),AH552=0),E552,0)</f>
        <v>0</v>
      </c>
      <c r="BK552" s="173">
        <f>IF(AND(Input_Product=Elig!$C552,Elig_MatchAll_Ct&lt;22,$BC552=(Elig_MatchAll_Ct-1),AI552=0),F552,0)</f>
        <v>0</v>
      </c>
      <c r="BL552" s="173">
        <f>IF(AND(Input_Product=Elig!$C552,Elig_MatchAll_Ct&lt;22,$BC552=(Elig_MatchAll_Ct-1),AJ552=0),G552,0)</f>
        <v>0</v>
      </c>
      <c r="BM552" s="173">
        <f>IF(AND(Input_Product=Elig!$C552,Elig_MatchAll_Ct&lt;22,$BC552=(Elig_MatchAll_Ct-1),AK552=0),H552,0)</f>
        <v>0</v>
      </c>
      <c r="BN552" s="173">
        <f>IF(AND(Input_Product=Elig!$C552,Elig_MatchAll_Ct&lt;22,$BC552=(Elig_MatchAll_Ct-1),AL552=0),I552,0)</f>
        <v>0</v>
      </c>
      <c r="BO552" s="173">
        <f>IF(AND(Input_Product=Elig!$C552,Elig_MatchAll_Ct&lt;22,$BC552=(Elig_MatchAll_Ct-1),AM552=0),J552,0)</f>
        <v>0</v>
      </c>
      <c r="BP552" s="173">
        <f>IF(AND(Input_Product=Elig!$C552,Elig_MatchAll_Ct&lt;22,$BC552=(Elig_MatchAll_Ct-1),AN552=0),K552,0)</f>
        <v>0</v>
      </c>
      <c r="BQ552" s="173">
        <f>IF(AND(Input_Product=Elig!$C552,Elig_MatchAll_Ct&lt;22,$BC552=(Elig_MatchAll_Ct-1),AP552=0),L552,0)</f>
        <v>0</v>
      </c>
      <c r="BR552" s="173">
        <f>IF(AND(Input_Product=Elig!$C552,Elig_MatchAll_Ct&lt;22,$BC552=(Elig_MatchAll_Ct-1),AO552=0),M552,0)</f>
        <v>0</v>
      </c>
      <c r="BS552" s="173">
        <f>IF(AND(Input_Product=Elig!$C552,Elig_MatchAll_Ct&lt;22,$BC552=(Elig_MatchAll_Ct-1),AQ552=0),N552,0)</f>
        <v>0</v>
      </c>
      <c r="BT552" s="173">
        <f>IF(AND(Input_Product=Elig!$C552,Elig_MatchAll_Ct&lt;22,$BC552=(Elig_MatchAll_Ct-1),AR552=0),O552,0)</f>
        <v>0</v>
      </c>
      <c r="BU552" s="173">
        <f>IF(AND(Input_Product=Elig!$C552,Elig_MatchAll_Ct&lt;22,$BC552=(Elig_MatchAll_Ct-1),AS552=0),P552,0)</f>
        <v>0</v>
      </c>
      <c r="BV552" s="174">
        <f>IF(AND(Input_Product=Elig!$C552,Elig_MatchAll_Ct&lt;22,$BC552=(Elig_MatchAll_Ct-1),AT552=0),Q552,0)</f>
        <v>0</v>
      </c>
      <c r="BW552" s="175">
        <f>IF(AND(Input_Product=Elig!$C552,Elig_MatchAll_Ct&lt;22,$BC552=(Elig_MatchAll_Ct-1),AU552=0),R552,0)</f>
        <v>0</v>
      </c>
      <c r="BX552" s="176">
        <f>IF(AND(Input_Product=Elig!$C552,Elig_MatchAll_Ct&lt;22,$BC552=(Elig_MatchAll_Ct-1),AU552=0),S552,0)</f>
        <v>0</v>
      </c>
      <c r="BY552" s="175">
        <f>IF(AND(Input_Product=Elig!$C552,Elig_MatchAll_Ct&lt;22,$BC552=(Elig_MatchAll_Ct-1),AV552=0),T552,0)</f>
        <v>0</v>
      </c>
      <c r="BZ552" s="176">
        <f>IF(AND(Input_Product=Elig!$C552,Elig_MatchAll_Ct&lt;22,$BC552=(Elig_MatchAll_Ct-1),AV552=0),U552,0)</f>
        <v>0</v>
      </c>
      <c r="CA552" s="175">
        <f>IF(AND(Input_Product=Elig!$C552,Elig_MatchAll_Ct&lt;22,$BC552=(Elig_MatchAll_Ct-1),AW552=0),V552,0)</f>
        <v>0</v>
      </c>
      <c r="CB552" s="176">
        <f>IF(AND(Input_Product=Elig!$C552,Elig_MatchAll_Ct&lt;22,$BC552=(Elig_MatchAll_Ct-1),AW552=0),W552,0)</f>
        <v>0</v>
      </c>
      <c r="CC552" s="175">
        <f>IF(AND(Input_Product=Elig!$C552,Elig_MatchAll_Ct&lt;22,$BC552=(Elig_MatchAll_Ct-1),AX552=0),X552,0)</f>
        <v>0</v>
      </c>
      <c r="CD552" s="176">
        <f>IF(AND(Input_Product=Elig!$C552,Elig_MatchAll_Ct&lt;22,$BC552=(Elig_MatchAll_Ct-1),AX552=0),Y552,0)</f>
        <v>0</v>
      </c>
      <c r="CE552" s="175">
        <f>IF(AND(Input_LTV&lt;=AE552,Input_Product=Elig!$C552,Elig_MatchAll_Ct&lt;22,$BC552=(Elig_MatchAll_Ct-1),AY552=0),Z552,0)</f>
        <v>0</v>
      </c>
      <c r="CF552" s="176">
        <f>IF(AND(Input_LTV&lt;=AE552,Input_Product=Elig!$C552,Elig_MatchAll_Ct&lt;22,$BC552=(Elig_MatchAll_Ct-1),AY552=0),AA552,0)</f>
        <v>0</v>
      </c>
      <c r="CG552" s="175">
        <f>IF(AND(Input_Product=Elig!$C552,Elig_MatchAll_Ct&lt;22,$BC552=(Elig_MatchAll_Ct-1),AZ552=0),AB552,0)</f>
        <v>0</v>
      </c>
      <c r="CH552" s="176">
        <f>IF(AND(Input_Product=Elig!$C552,Elig_MatchAll_Ct&lt;22,$BC552=(Elig_MatchAll_Ct-1),AZ552=0),AC552,0)</f>
        <v>0</v>
      </c>
      <c r="CI552" s="175">
        <f>IF(AND(Input_Product=Elig!$C552,Elig_MatchAll_Ct&lt;22,$BC552=(Elig_MatchAll_Ct-1),BA552=0),AD552,0)</f>
        <v>0</v>
      </c>
      <c r="CJ552" s="176">
        <f>IF(AND(Input_Product=Elig!$C552,Elig_MatchAll_Ct&lt;22,$BC552=(Elig_MatchAll_Ct-1),BA552=0),AE552,0)</f>
        <v>0</v>
      </c>
    </row>
    <row r="553" spans="1:88" ht="10.15" customHeight="1" x14ac:dyDescent="0.25">
      <c r="A553" s="1476" t="s">
        <v>76</v>
      </c>
      <c r="B553" s="1476" t="s">
        <v>1097</v>
      </c>
      <c r="C553" s="1477" t="str">
        <f t="shared" si="204"/>
        <v>Second OO</v>
      </c>
      <c r="D553" s="1476" t="s">
        <v>1121</v>
      </c>
      <c r="E553" s="1476" t="s">
        <v>98</v>
      </c>
      <c r="F553" s="1476" t="s">
        <v>327</v>
      </c>
      <c r="G553" s="1544" t="s">
        <v>465</v>
      </c>
      <c r="H553" s="1478" t="s">
        <v>135</v>
      </c>
      <c r="I553" s="1476" t="s">
        <v>1141</v>
      </c>
      <c r="J553" s="1476" t="s">
        <v>1130</v>
      </c>
      <c r="K553" s="1478" t="s">
        <v>2464</v>
      </c>
      <c r="L553" s="1476" t="s">
        <v>428</v>
      </c>
      <c r="M553" s="1476" t="s">
        <v>1835</v>
      </c>
      <c r="N553" s="1478" t="s">
        <v>82</v>
      </c>
      <c r="O553" s="1476" t="s">
        <v>309</v>
      </c>
      <c r="P553" s="1476" t="s">
        <v>2433</v>
      </c>
      <c r="Q553" s="1476" t="s">
        <v>293</v>
      </c>
      <c r="R553" s="1476">
        <v>200000</v>
      </c>
      <c r="S553" s="1476">
        <v>350000</v>
      </c>
      <c r="T553" s="1476">
        <v>0</v>
      </c>
      <c r="U553" s="1476">
        <f t="shared" si="213"/>
        <v>350000</v>
      </c>
      <c r="V553" s="1476">
        <v>0</v>
      </c>
      <c r="W553" s="1476">
        <v>50</v>
      </c>
      <c r="X553" s="1476">
        <v>0</v>
      </c>
      <c r="Y553" s="1476">
        <v>999</v>
      </c>
      <c r="Z553" s="1479">
        <v>680</v>
      </c>
      <c r="AA553" s="1479">
        <v>699</v>
      </c>
      <c r="AB553" s="1479">
        <v>0</v>
      </c>
      <c r="AC553" s="1479">
        <v>999999</v>
      </c>
      <c r="AD553" s="1476">
        <v>0</v>
      </c>
      <c r="AE553" s="1539">
        <v>80</v>
      </c>
      <c r="AF553" s="144">
        <v>0</v>
      </c>
      <c r="AG553" s="145">
        <v>0</v>
      </c>
      <c r="AH553" s="145">
        <v>1</v>
      </c>
      <c r="AI553" s="145">
        <v>0</v>
      </c>
      <c r="AJ553" s="145">
        <v>0</v>
      </c>
      <c r="AK553" s="145">
        <v>1</v>
      </c>
      <c r="AL553" s="145">
        <v>1</v>
      </c>
      <c r="AM553" s="145">
        <v>1</v>
      </c>
      <c r="AN553" s="145">
        <v>1</v>
      </c>
      <c r="AO553" s="145">
        <v>1</v>
      </c>
      <c r="AP553" s="145">
        <v>1</v>
      </c>
      <c r="AQ553" s="145">
        <v>0</v>
      </c>
      <c r="AR553" s="145">
        <v>1</v>
      </c>
      <c r="AS553" s="145">
        <v>1</v>
      </c>
      <c r="AT553" s="145">
        <v>1</v>
      </c>
      <c r="AU553" s="145">
        <f t="shared" si="206"/>
        <v>0</v>
      </c>
      <c r="AV553" s="145">
        <f t="shared" si="207"/>
        <v>1</v>
      </c>
      <c r="AW553" s="145">
        <f t="shared" si="208"/>
        <v>1</v>
      </c>
      <c r="AX553" s="145">
        <f t="shared" si="212"/>
        <v>1</v>
      </c>
      <c r="AY553" s="145">
        <f t="shared" si="209"/>
        <v>0</v>
      </c>
      <c r="AZ553" s="145">
        <f t="shared" si="210"/>
        <v>1</v>
      </c>
      <c r="BA553" s="146">
        <f t="shared" si="211"/>
        <v>1</v>
      </c>
      <c r="BB553" s="149">
        <f t="shared" si="190"/>
        <v>15</v>
      </c>
      <c r="BC553" s="150">
        <f t="shared" si="191"/>
        <v>14</v>
      </c>
      <c r="BD553" s="150">
        <f t="shared" si="192"/>
        <v>15</v>
      </c>
      <c r="BE553" s="211" t="str">
        <f t="shared" si="193"/>
        <v/>
      </c>
      <c r="BF553" s="205"/>
      <c r="BG553" s="205"/>
      <c r="BH553" s="173">
        <f>IF(AND(Input_Product=Elig!$C553,Elig_MatchAll_Ct&lt;22,$BC553=(Elig_MatchAll_Ct-1),AF553=0),C553,0)</f>
        <v>0</v>
      </c>
      <c r="BI553" s="173">
        <f>IF(AND(Input_Product=Elig!$C553,Elig_MatchAll_Ct&lt;22,$BC553=(Elig_MatchAll_Ct-1),AG553=0),D553,0)</f>
        <v>0</v>
      </c>
      <c r="BJ553" s="173">
        <f>IF(AND(Input_Product=Elig!$C553,Elig_MatchAll_Ct&lt;22,$BC553=(Elig_MatchAll_Ct-1),AH553=0),E553,0)</f>
        <v>0</v>
      </c>
      <c r="BK553" s="173">
        <f>IF(AND(Input_Product=Elig!$C553,Elig_MatchAll_Ct&lt;22,$BC553=(Elig_MatchAll_Ct-1),AI553=0),F553,0)</f>
        <v>0</v>
      </c>
      <c r="BL553" s="173">
        <f>IF(AND(Input_Product=Elig!$C553,Elig_MatchAll_Ct&lt;22,$BC553=(Elig_MatchAll_Ct-1),AJ553=0),G553,0)</f>
        <v>0</v>
      </c>
      <c r="BM553" s="173">
        <f>IF(AND(Input_Product=Elig!$C553,Elig_MatchAll_Ct&lt;22,$BC553=(Elig_MatchAll_Ct-1),AK553=0),H553,0)</f>
        <v>0</v>
      </c>
      <c r="BN553" s="173">
        <f>IF(AND(Input_Product=Elig!$C553,Elig_MatchAll_Ct&lt;22,$BC553=(Elig_MatchAll_Ct-1),AL553=0),I553,0)</f>
        <v>0</v>
      </c>
      <c r="BO553" s="173">
        <f>IF(AND(Input_Product=Elig!$C553,Elig_MatchAll_Ct&lt;22,$BC553=(Elig_MatchAll_Ct-1),AM553=0),J553,0)</f>
        <v>0</v>
      </c>
      <c r="BP553" s="173">
        <f>IF(AND(Input_Product=Elig!$C553,Elig_MatchAll_Ct&lt;22,$BC553=(Elig_MatchAll_Ct-1),AN553=0),K553,0)</f>
        <v>0</v>
      </c>
      <c r="BQ553" s="173">
        <f>IF(AND(Input_Product=Elig!$C553,Elig_MatchAll_Ct&lt;22,$BC553=(Elig_MatchAll_Ct-1),AP553=0),L553,0)</f>
        <v>0</v>
      </c>
      <c r="BR553" s="173">
        <f>IF(AND(Input_Product=Elig!$C553,Elig_MatchAll_Ct&lt;22,$BC553=(Elig_MatchAll_Ct-1),AO553=0),M553,0)</f>
        <v>0</v>
      </c>
      <c r="BS553" s="173">
        <f>IF(AND(Input_Product=Elig!$C553,Elig_MatchAll_Ct&lt;22,$BC553=(Elig_MatchAll_Ct-1),AQ553=0),N553,0)</f>
        <v>0</v>
      </c>
      <c r="BT553" s="173">
        <f>IF(AND(Input_Product=Elig!$C553,Elig_MatchAll_Ct&lt;22,$BC553=(Elig_MatchAll_Ct-1),AR553=0),O553,0)</f>
        <v>0</v>
      </c>
      <c r="BU553" s="173">
        <f>IF(AND(Input_Product=Elig!$C553,Elig_MatchAll_Ct&lt;22,$BC553=(Elig_MatchAll_Ct-1),AS553=0),P553,0)</f>
        <v>0</v>
      </c>
      <c r="BV553" s="174">
        <f>IF(AND(Input_Product=Elig!$C553,Elig_MatchAll_Ct&lt;22,$BC553=(Elig_MatchAll_Ct-1),AT553=0),Q553,0)</f>
        <v>0</v>
      </c>
      <c r="BW553" s="175">
        <f>IF(AND(Input_Product=Elig!$C553,Elig_MatchAll_Ct&lt;22,$BC553=(Elig_MatchAll_Ct-1),AU553=0),R553,0)</f>
        <v>0</v>
      </c>
      <c r="BX553" s="176">
        <f>IF(AND(Input_Product=Elig!$C553,Elig_MatchAll_Ct&lt;22,$BC553=(Elig_MatchAll_Ct-1),AU553=0),S553,0)</f>
        <v>0</v>
      </c>
      <c r="BY553" s="175">
        <f>IF(AND(Input_Product=Elig!$C553,Elig_MatchAll_Ct&lt;22,$BC553=(Elig_MatchAll_Ct-1),AV553=0),T553,0)</f>
        <v>0</v>
      </c>
      <c r="BZ553" s="176">
        <f>IF(AND(Input_Product=Elig!$C553,Elig_MatchAll_Ct&lt;22,$BC553=(Elig_MatchAll_Ct-1),AV553=0),U553,0)</f>
        <v>0</v>
      </c>
      <c r="CA553" s="175">
        <f>IF(AND(Input_Product=Elig!$C553,Elig_MatchAll_Ct&lt;22,$BC553=(Elig_MatchAll_Ct-1),AW553=0),V553,0)</f>
        <v>0</v>
      </c>
      <c r="CB553" s="176">
        <f>IF(AND(Input_Product=Elig!$C553,Elig_MatchAll_Ct&lt;22,$BC553=(Elig_MatchAll_Ct-1),AW553=0),W553,0)</f>
        <v>0</v>
      </c>
      <c r="CC553" s="175">
        <f>IF(AND(Input_Product=Elig!$C553,Elig_MatchAll_Ct&lt;22,$BC553=(Elig_MatchAll_Ct-1),AX553=0),X553,0)</f>
        <v>0</v>
      </c>
      <c r="CD553" s="176">
        <f>IF(AND(Input_Product=Elig!$C553,Elig_MatchAll_Ct&lt;22,$BC553=(Elig_MatchAll_Ct-1),AX553=0),Y553,0)</f>
        <v>0</v>
      </c>
      <c r="CE553" s="175">
        <f>IF(AND(Input_LTV&lt;=AE553,Input_Product=Elig!$C553,Elig_MatchAll_Ct&lt;22,$BC553=(Elig_MatchAll_Ct-1),AY553=0),Z553,0)</f>
        <v>0</v>
      </c>
      <c r="CF553" s="176">
        <f>IF(AND(Input_LTV&lt;=AE553,Input_Product=Elig!$C553,Elig_MatchAll_Ct&lt;22,$BC553=(Elig_MatchAll_Ct-1),AY553=0),AA553,0)</f>
        <v>0</v>
      </c>
      <c r="CG553" s="175">
        <f>IF(AND(Input_Product=Elig!$C553,Elig_MatchAll_Ct&lt;22,$BC553=(Elig_MatchAll_Ct-1),AZ553=0),AB553,0)</f>
        <v>0</v>
      </c>
      <c r="CH553" s="176">
        <f>IF(AND(Input_Product=Elig!$C553,Elig_MatchAll_Ct&lt;22,$BC553=(Elig_MatchAll_Ct-1),AZ553=0),AC553,0)</f>
        <v>0</v>
      </c>
      <c r="CI553" s="175">
        <f>IF(AND(Input_Product=Elig!$C553,Elig_MatchAll_Ct&lt;22,$BC553=(Elig_MatchAll_Ct-1),BA553=0),AD553,0)</f>
        <v>0</v>
      </c>
      <c r="CJ553" s="176">
        <f>IF(AND(Input_Product=Elig!$C553,Elig_MatchAll_Ct&lt;22,$BC553=(Elig_MatchAll_Ct-1),BA553=0),AE553,0)</f>
        <v>0</v>
      </c>
    </row>
    <row r="554" spans="1:88" ht="10.15" customHeight="1" x14ac:dyDescent="0.25">
      <c r="A554" s="1476" t="s">
        <v>76</v>
      </c>
      <c r="B554" s="1476" t="s">
        <v>1098</v>
      </c>
      <c r="C554" s="1481" t="str">
        <f t="shared" si="204"/>
        <v>Second OO</v>
      </c>
      <c r="D554" s="1480" t="s">
        <v>1121</v>
      </c>
      <c r="E554" s="1480" t="s">
        <v>98</v>
      </c>
      <c r="F554" s="1480" t="s">
        <v>327</v>
      </c>
      <c r="G554" s="1545" t="s">
        <v>465</v>
      </c>
      <c r="H554" s="1482" t="s">
        <v>135</v>
      </c>
      <c r="I554" s="1480" t="s">
        <v>1141</v>
      </c>
      <c r="J554" s="1480" t="s">
        <v>1130</v>
      </c>
      <c r="K554" s="1482" t="s">
        <v>2464</v>
      </c>
      <c r="L554" s="1480" t="s">
        <v>428</v>
      </c>
      <c r="M554" s="1480" t="s">
        <v>1835</v>
      </c>
      <c r="N554" s="1482" t="s">
        <v>82</v>
      </c>
      <c r="O554" s="1480" t="s">
        <v>309</v>
      </c>
      <c r="P554" s="1480" t="s">
        <v>2433</v>
      </c>
      <c r="Q554" s="1480" t="s">
        <v>293</v>
      </c>
      <c r="R554" s="1480">
        <v>200000</v>
      </c>
      <c r="S554" s="1480">
        <v>350000</v>
      </c>
      <c r="T554" s="1480">
        <v>0</v>
      </c>
      <c r="U554" s="1480">
        <f t="shared" si="213"/>
        <v>350000</v>
      </c>
      <c r="V554" s="1480">
        <v>0</v>
      </c>
      <c r="W554" s="1480">
        <v>50</v>
      </c>
      <c r="X554" s="1480">
        <v>0</v>
      </c>
      <c r="Y554" s="1480">
        <v>999</v>
      </c>
      <c r="Z554" s="1483">
        <v>660</v>
      </c>
      <c r="AA554" s="1483">
        <v>679</v>
      </c>
      <c r="AB554" s="1483">
        <v>0</v>
      </c>
      <c r="AC554" s="1483">
        <v>999999</v>
      </c>
      <c r="AD554" s="1480">
        <v>0</v>
      </c>
      <c r="AE554" s="1541">
        <v>75</v>
      </c>
      <c r="AF554" s="144">
        <v>0</v>
      </c>
      <c r="AG554" s="145">
        <v>0</v>
      </c>
      <c r="AH554" s="145">
        <v>1</v>
      </c>
      <c r="AI554" s="145">
        <v>0</v>
      </c>
      <c r="AJ554" s="145">
        <v>0</v>
      </c>
      <c r="AK554" s="145">
        <v>1</v>
      </c>
      <c r="AL554" s="145">
        <v>1</v>
      </c>
      <c r="AM554" s="145">
        <v>1</v>
      </c>
      <c r="AN554" s="145">
        <v>1</v>
      </c>
      <c r="AO554" s="145">
        <v>1</v>
      </c>
      <c r="AP554" s="145">
        <v>1</v>
      </c>
      <c r="AQ554" s="145">
        <v>0</v>
      </c>
      <c r="AR554" s="145">
        <v>1</v>
      </c>
      <c r="AS554" s="145">
        <v>1</v>
      </c>
      <c r="AT554" s="145">
        <v>1</v>
      </c>
      <c r="AU554" s="145">
        <f t="shared" si="206"/>
        <v>0</v>
      </c>
      <c r="AV554" s="145">
        <f t="shared" si="207"/>
        <v>1</v>
      </c>
      <c r="AW554" s="145">
        <f t="shared" si="208"/>
        <v>1</v>
      </c>
      <c r="AX554" s="145">
        <f t="shared" si="212"/>
        <v>1</v>
      </c>
      <c r="AY554" s="145">
        <f t="shared" si="209"/>
        <v>0</v>
      </c>
      <c r="AZ554" s="145">
        <f t="shared" si="210"/>
        <v>1</v>
      </c>
      <c r="BA554" s="146">
        <f t="shared" si="211"/>
        <v>1</v>
      </c>
      <c r="BB554" s="149">
        <f t="shared" si="190"/>
        <v>15</v>
      </c>
      <c r="BC554" s="150">
        <f t="shared" si="191"/>
        <v>14</v>
      </c>
      <c r="BD554" s="150">
        <f t="shared" si="192"/>
        <v>15</v>
      </c>
      <c r="BE554" s="211" t="str">
        <f t="shared" si="193"/>
        <v/>
      </c>
      <c r="BF554" s="205"/>
      <c r="BG554" s="205"/>
      <c r="BH554" s="188">
        <f>IF(AND(Input_Product=Elig!$C554,Elig_MatchAll_Ct&lt;22,$BC554=(Elig_MatchAll_Ct-1),AF554=0),C554,0)</f>
        <v>0</v>
      </c>
      <c r="BI554" s="188">
        <f>IF(AND(Input_Product=Elig!$C554,Elig_MatchAll_Ct&lt;22,$BC554=(Elig_MatchAll_Ct-1),AG554=0),D554,0)</f>
        <v>0</v>
      </c>
      <c r="BJ554" s="188">
        <f>IF(AND(Input_Product=Elig!$C554,Elig_MatchAll_Ct&lt;22,$BC554=(Elig_MatchAll_Ct-1),AH554=0),E554,0)</f>
        <v>0</v>
      </c>
      <c r="BK554" s="188">
        <f>IF(AND(Input_Product=Elig!$C554,Elig_MatchAll_Ct&lt;22,$BC554=(Elig_MatchAll_Ct-1),AI554=0),F554,0)</f>
        <v>0</v>
      </c>
      <c r="BL554" s="188">
        <f>IF(AND(Input_Product=Elig!$C554,Elig_MatchAll_Ct&lt;22,$BC554=(Elig_MatchAll_Ct-1),AJ554=0),G554,0)</f>
        <v>0</v>
      </c>
      <c r="BM554" s="188">
        <f>IF(AND(Input_Product=Elig!$C554,Elig_MatchAll_Ct&lt;22,$BC554=(Elig_MatchAll_Ct-1),AK554=0),H554,0)</f>
        <v>0</v>
      </c>
      <c r="BN554" s="188">
        <f>IF(AND(Input_Product=Elig!$C554,Elig_MatchAll_Ct&lt;22,$BC554=(Elig_MatchAll_Ct-1),AL554=0),I554,0)</f>
        <v>0</v>
      </c>
      <c r="BO554" s="188">
        <f>IF(AND(Input_Product=Elig!$C554,Elig_MatchAll_Ct&lt;22,$BC554=(Elig_MatchAll_Ct-1),AM554=0),J554,0)</f>
        <v>0</v>
      </c>
      <c r="BP554" s="188">
        <f>IF(AND(Input_Product=Elig!$C554,Elig_MatchAll_Ct&lt;22,$BC554=(Elig_MatchAll_Ct-1),AN554=0),K554,0)</f>
        <v>0</v>
      </c>
      <c r="BQ554" s="188">
        <f>IF(AND(Input_Product=Elig!$C554,Elig_MatchAll_Ct&lt;22,$BC554=(Elig_MatchAll_Ct-1),AP554=0),L554,0)</f>
        <v>0</v>
      </c>
      <c r="BR554" s="188">
        <f>IF(AND(Input_Product=Elig!$C554,Elig_MatchAll_Ct&lt;22,$BC554=(Elig_MatchAll_Ct-1),AO554=0),M554,0)</f>
        <v>0</v>
      </c>
      <c r="BS554" s="188">
        <f>IF(AND(Input_Product=Elig!$C554,Elig_MatchAll_Ct&lt;22,$BC554=(Elig_MatchAll_Ct-1),AQ554=0),N554,0)</f>
        <v>0</v>
      </c>
      <c r="BT554" s="188">
        <f>IF(AND(Input_Product=Elig!$C554,Elig_MatchAll_Ct&lt;22,$BC554=(Elig_MatchAll_Ct-1),AR554=0),O554,0)</f>
        <v>0</v>
      </c>
      <c r="BU554" s="188">
        <f>IF(AND(Input_Product=Elig!$C554,Elig_MatchAll_Ct&lt;22,$BC554=(Elig_MatchAll_Ct-1),AS554=0),P554,0)</f>
        <v>0</v>
      </c>
      <c r="BV554" s="189">
        <f>IF(AND(Input_Product=Elig!$C554,Elig_MatchAll_Ct&lt;22,$BC554=(Elig_MatchAll_Ct-1),AT554=0),Q554,0)</f>
        <v>0</v>
      </c>
      <c r="BW554" s="271">
        <f>IF(AND(Input_Product=Elig!$C554,Elig_MatchAll_Ct&lt;22,$BC554=(Elig_MatchAll_Ct-1),AU554=0),R554,0)</f>
        <v>0</v>
      </c>
      <c r="BX554" s="272">
        <f>IF(AND(Input_Product=Elig!$C554,Elig_MatchAll_Ct&lt;22,$BC554=(Elig_MatchAll_Ct-1),AU554=0),S554,0)</f>
        <v>0</v>
      </c>
      <c r="BY554" s="271">
        <f>IF(AND(Input_Product=Elig!$C554,Elig_MatchAll_Ct&lt;22,$BC554=(Elig_MatchAll_Ct-1),AV554=0),T554,0)</f>
        <v>0</v>
      </c>
      <c r="BZ554" s="272">
        <f>IF(AND(Input_Product=Elig!$C554,Elig_MatchAll_Ct&lt;22,$BC554=(Elig_MatchAll_Ct-1),AV554=0),U554,0)</f>
        <v>0</v>
      </c>
      <c r="CA554" s="271">
        <f>IF(AND(Input_Product=Elig!$C554,Elig_MatchAll_Ct&lt;22,$BC554=(Elig_MatchAll_Ct-1),AW554=0),V554,0)</f>
        <v>0</v>
      </c>
      <c r="CB554" s="272">
        <f>IF(AND(Input_Product=Elig!$C554,Elig_MatchAll_Ct&lt;22,$BC554=(Elig_MatchAll_Ct-1),AW554=0),W554,0)</f>
        <v>0</v>
      </c>
      <c r="CC554" s="271">
        <f>IF(AND(Input_Product=Elig!$C554,Elig_MatchAll_Ct&lt;22,$BC554=(Elig_MatchAll_Ct-1),AX554=0),X554,0)</f>
        <v>0</v>
      </c>
      <c r="CD554" s="272">
        <f>IF(AND(Input_Product=Elig!$C554,Elig_MatchAll_Ct&lt;22,$BC554=(Elig_MatchAll_Ct-1),AX554=0),Y554,0)</f>
        <v>0</v>
      </c>
      <c r="CE554" s="271">
        <f>IF(AND(Input_LTV&lt;=AE554,Input_Product=Elig!$C554,Elig_MatchAll_Ct&lt;22,$BC554=(Elig_MatchAll_Ct-1),AY554=0),Z554,0)</f>
        <v>0</v>
      </c>
      <c r="CF554" s="272">
        <f>IF(AND(Input_LTV&lt;=AE554,Input_Product=Elig!$C554,Elig_MatchAll_Ct&lt;22,$BC554=(Elig_MatchAll_Ct-1),AY554=0),AA554,0)</f>
        <v>0</v>
      </c>
      <c r="CG554" s="271">
        <f>IF(AND(Input_Product=Elig!$C554,Elig_MatchAll_Ct&lt;22,$BC554=(Elig_MatchAll_Ct-1),AZ554=0),AB554,0)</f>
        <v>0</v>
      </c>
      <c r="CH554" s="272">
        <f>IF(AND(Input_Product=Elig!$C554,Elig_MatchAll_Ct&lt;22,$BC554=(Elig_MatchAll_Ct-1),AZ554=0),AC554,0)</f>
        <v>0</v>
      </c>
      <c r="CI554" s="271">
        <f>IF(AND(Input_Product=Elig!$C554,Elig_MatchAll_Ct&lt;22,$BC554=(Elig_MatchAll_Ct-1),BA554=0),AD554,0)</f>
        <v>0</v>
      </c>
      <c r="CJ554" s="272">
        <f>IF(AND(Input_Product=Elig!$C554,Elig_MatchAll_Ct&lt;22,$BC554=(Elig_MatchAll_Ct-1),BA554=0),AE554,0)</f>
        <v>0</v>
      </c>
    </row>
    <row r="555" spans="1:88" ht="10.15" customHeight="1" x14ac:dyDescent="0.25">
      <c r="A555" s="1476" t="s">
        <v>76</v>
      </c>
      <c r="B555" s="1476" t="s">
        <v>1122</v>
      </c>
      <c r="C555" s="1473" t="str">
        <f t="shared" si="204"/>
        <v>Second OO</v>
      </c>
      <c r="D555" s="1474" t="s">
        <v>1331</v>
      </c>
      <c r="E555" s="1474" t="s">
        <v>98</v>
      </c>
      <c r="F555" s="1474" t="s">
        <v>327</v>
      </c>
      <c r="G555" s="1537" t="s">
        <v>469</v>
      </c>
      <c r="H555" s="1474" t="s">
        <v>135</v>
      </c>
      <c r="I555" s="1472" t="s">
        <v>1141</v>
      </c>
      <c r="J555" s="1472" t="s">
        <v>1130</v>
      </c>
      <c r="K555" s="1474" t="s">
        <v>2464</v>
      </c>
      <c r="L555" s="1472" t="s">
        <v>428</v>
      </c>
      <c r="M555" s="1472" t="s">
        <v>1835</v>
      </c>
      <c r="N555" s="1474" t="s">
        <v>82</v>
      </c>
      <c r="O555" s="1472" t="s">
        <v>309</v>
      </c>
      <c r="P555" s="1472" t="s">
        <v>2433</v>
      </c>
      <c r="Q555" s="1472" t="s">
        <v>293</v>
      </c>
      <c r="R555" s="1472">
        <v>50000</v>
      </c>
      <c r="S555" s="1472">
        <v>350000</v>
      </c>
      <c r="T555" s="1472">
        <v>0</v>
      </c>
      <c r="U555" s="1472">
        <f t="shared" si="205"/>
        <v>350000</v>
      </c>
      <c r="V555" s="1472">
        <v>0</v>
      </c>
      <c r="W555" s="1472">
        <v>50</v>
      </c>
      <c r="X555" s="1472">
        <v>0</v>
      </c>
      <c r="Y555" s="1472">
        <v>999</v>
      </c>
      <c r="Z555" s="1475">
        <v>720</v>
      </c>
      <c r="AA555" s="1475">
        <v>999</v>
      </c>
      <c r="AB555" s="1475">
        <v>0</v>
      </c>
      <c r="AC555" s="1475">
        <v>999999</v>
      </c>
      <c r="AD555" s="1472">
        <v>0</v>
      </c>
      <c r="AE555" s="1218">
        <v>85</v>
      </c>
      <c r="AF555" s="144">
        <v>0</v>
      </c>
      <c r="AG555" s="145">
        <v>1</v>
      </c>
      <c r="AH555" s="145">
        <v>1</v>
      </c>
      <c r="AI555" s="145">
        <v>0</v>
      </c>
      <c r="AJ555" s="145">
        <v>0</v>
      </c>
      <c r="AK555" s="145">
        <v>1</v>
      </c>
      <c r="AL555" s="145">
        <v>1</v>
      </c>
      <c r="AM555" s="145">
        <v>1</v>
      </c>
      <c r="AN555" s="145">
        <v>1</v>
      </c>
      <c r="AO555" s="145">
        <v>1</v>
      </c>
      <c r="AP555" s="145">
        <v>1</v>
      </c>
      <c r="AQ555" s="145">
        <v>0</v>
      </c>
      <c r="AR555" s="145">
        <v>1</v>
      </c>
      <c r="AS555" s="145">
        <v>1</v>
      </c>
      <c r="AT555" s="145">
        <v>1</v>
      </c>
      <c r="AU555" s="145">
        <f t="shared" si="206"/>
        <v>1</v>
      </c>
      <c r="AV555" s="145">
        <f t="shared" si="207"/>
        <v>1</v>
      </c>
      <c r="AW555" s="145">
        <f t="shared" si="208"/>
        <v>1</v>
      </c>
      <c r="AX555" s="145">
        <f t="shared" si="212"/>
        <v>1</v>
      </c>
      <c r="AY555" s="145">
        <f t="shared" si="209"/>
        <v>1</v>
      </c>
      <c r="AZ555" s="145">
        <f t="shared" si="210"/>
        <v>1</v>
      </c>
      <c r="BA555" s="146">
        <f t="shared" si="211"/>
        <v>1</v>
      </c>
      <c r="BB555" s="149">
        <f t="shared" si="190"/>
        <v>18</v>
      </c>
      <c r="BC555" s="150">
        <f t="shared" si="191"/>
        <v>17</v>
      </c>
      <c r="BD555" s="150">
        <f t="shared" si="192"/>
        <v>18</v>
      </c>
      <c r="BE555" s="211" t="str">
        <f t="shared" si="193"/>
        <v/>
      </c>
      <c r="BF555" s="194"/>
      <c r="BG555" s="194"/>
      <c r="BH555" s="190">
        <f>IF(AND(Input_Product=Elig!$C555,Elig_MatchAll_Ct&lt;22,$BC555=(Elig_MatchAll_Ct-1),AF555=0),C555,0)</f>
        <v>0</v>
      </c>
      <c r="BI555" s="190">
        <f>IF(AND(Input_Product=Elig!$C555,Elig_MatchAll_Ct&lt;22,$BC555=(Elig_MatchAll_Ct-1),AG555=0),D555,0)</f>
        <v>0</v>
      </c>
      <c r="BJ555" s="190">
        <f>IF(AND(Input_Product=Elig!$C555,Elig_MatchAll_Ct&lt;22,$BC555=(Elig_MatchAll_Ct-1),AH555=0),E555,0)</f>
        <v>0</v>
      </c>
      <c r="BK555" s="190">
        <f>IF(AND(Input_Product=Elig!$C555,Elig_MatchAll_Ct&lt;22,$BC555=(Elig_MatchAll_Ct-1),AI555=0),F555,0)</f>
        <v>0</v>
      </c>
      <c r="BL555" s="190">
        <f>IF(AND(Input_Product=Elig!$C555,Elig_MatchAll_Ct&lt;22,$BC555=(Elig_MatchAll_Ct-1),AJ555=0),G555,0)</f>
        <v>0</v>
      </c>
      <c r="BM555" s="190">
        <f>IF(AND(Input_Product=Elig!$C555,Elig_MatchAll_Ct&lt;22,$BC555=(Elig_MatchAll_Ct-1),AK555=0),H555,0)</f>
        <v>0</v>
      </c>
      <c r="BN555" s="190">
        <f>IF(AND(Input_Product=Elig!$C555,Elig_MatchAll_Ct&lt;22,$BC555=(Elig_MatchAll_Ct-1),AL555=0),I555,0)</f>
        <v>0</v>
      </c>
      <c r="BO555" s="190">
        <f>IF(AND(Input_Product=Elig!$C555,Elig_MatchAll_Ct&lt;22,$BC555=(Elig_MatchAll_Ct-1),AM555=0),J555,0)</f>
        <v>0</v>
      </c>
      <c r="BP555" s="190">
        <f>IF(AND(Input_Product=Elig!$C555,Elig_MatchAll_Ct&lt;22,$BC555=(Elig_MatchAll_Ct-1),AN555=0),K555,0)</f>
        <v>0</v>
      </c>
      <c r="BQ555" s="190">
        <f>IF(AND(Input_Product=Elig!$C555,Elig_MatchAll_Ct&lt;22,$BC555=(Elig_MatchAll_Ct-1),AP555=0),L555,0)</f>
        <v>0</v>
      </c>
      <c r="BR555" s="190">
        <f>IF(AND(Input_Product=Elig!$C555,Elig_MatchAll_Ct&lt;22,$BC555=(Elig_MatchAll_Ct-1),AO555=0),M555,0)</f>
        <v>0</v>
      </c>
      <c r="BS555" s="190">
        <f>IF(AND(Input_Product=Elig!$C555,Elig_MatchAll_Ct&lt;22,$BC555=(Elig_MatchAll_Ct-1),AQ555=0),N555,0)</f>
        <v>0</v>
      </c>
      <c r="BT555" s="190">
        <f>IF(AND(Input_Product=Elig!$C555,Elig_MatchAll_Ct&lt;22,$BC555=(Elig_MatchAll_Ct-1),AR555=0),O555,0)</f>
        <v>0</v>
      </c>
      <c r="BU555" s="190">
        <f>IF(AND(Input_Product=Elig!$C555,Elig_MatchAll_Ct&lt;22,$BC555=(Elig_MatchAll_Ct-1),AS555=0),P555,0)</f>
        <v>0</v>
      </c>
      <c r="BV555" s="191">
        <f>IF(AND(Input_Product=Elig!$C555,Elig_MatchAll_Ct&lt;22,$BC555=(Elig_MatchAll_Ct-1),AT555=0),Q555,0)</f>
        <v>0</v>
      </c>
      <c r="BW555" s="273">
        <f>IF(AND(Input_Product=Elig!$C555,Elig_MatchAll_Ct&lt;22,$BC555=(Elig_MatchAll_Ct-1),AU555=0),R555,0)</f>
        <v>0</v>
      </c>
      <c r="BX555" s="274">
        <f>IF(AND(Input_Product=Elig!$C555,Elig_MatchAll_Ct&lt;22,$BC555=(Elig_MatchAll_Ct-1),AU555=0),S555,0)</f>
        <v>0</v>
      </c>
      <c r="BY555" s="273">
        <f>IF(AND(Input_Product=Elig!$C555,Elig_MatchAll_Ct&lt;22,$BC555=(Elig_MatchAll_Ct-1),AV555=0),T555,0)</f>
        <v>0</v>
      </c>
      <c r="BZ555" s="274">
        <f>IF(AND(Input_Product=Elig!$C555,Elig_MatchAll_Ct&lt;22,$BC555=(Elig_MatchAll_Ct-1),AV555=0),U555,0)</f>
        <v>0</v>
      </c>
      <c r="CA555" s="273">
        <f>IF(AND(Input_Product=Elig!$C555,Elig_MatchAll_Ct&lt;22,$BC555=(Elig_MatchAll_Ct-1),AW555=0),V555,0)</f>
        <v>0</v>
      </c>
      <c r="CB555" s="274">
        <f>IF(AND(Input_Product=Elig!$C555,Elig_MatchAll_Ct&lt;22,$BC555=(Elig_MatchAll_Ct-1),AW555=0),W555,0)</f>
        <v>0</v>
      </c>
      <c r="CC555" s="273">
        <f>IF(AND(Input_Product=Elig!$C555,Elig_MatchAll_Ct&lt;22,$BC555=(Elig_MatchAll_Ct-1),AX555=0),X555,0)</f>
        <v>0</v>
      </c>
      <c r="CD555" s="274">
        <f>IF(AND(Input_Product=Elig!$C555,Elig_MatchAll_Ct&lt;22,$BC555=(Elig_MatchAll_Ct-1),AX555=0),Y555,0)</f>
        <v>0</v>
      </c>
      <c r="CE555" s="273">
        <f>IF(AND(Input_LTV&lt;=AE555,Input_Product=Elig!$C555,Elig_MatchAll_Ct&lt;22,$BC555=(Elig_MatchAll_Ct-1),AY555=0),Z555,0)</f>
        <v>0</v>
      </c>
      <c r="CF555" s="274">
        <f>IF(AND(Input_LTV&lt;=AE555,Input_Product=Elig!$C555,Elig_MatchAll_Ct&lt;22,$BC555=(Elig_MatchAll_Ct-1),AY555=0),AA555,0)</f>
        <v>0</v>
      </c>
      <c r="CG555" s="273">
        <f>IF(AND(Input_Product=Elig!$C555,Elig_MatchAll_Ct&lt;22,$BC555=(Elig_MatchAll_Ct-1),AZ555=0),AB555,0)</f>
        <v>0</v>
      </c>
      <c r="CH555" s="274">
        <f>IF(AND(Input_Product=Elig!$C555,Elig_MatchAll_Ct&lt;22,$BC555=(Elig_MatchAll_Ct-1),AZ555=0),AC555,0)</f>
        <v>0</v>
      </c>
      <c r="CI555" s="273">
        <f>IF(AND(Input_Product=Elig!$C555,Elig_MatchAll_Ct&lt;22,$BC555=(Elig_MatchAll_Ct-1),BA555=0),AD555,0)</f>
        <v>0</v>
      </c>
      <c r="CJ555" s="274">
        <f>IF(AND(Input_Product=Elig!$C555,Elig_MatchAll_Ct&lt;22,$BC555=(Elig_MatchAll_Ct-1),BA555=0),AE555,0)</f>
        <v>0</v>
      </c>
    </row>
    <row r="556" spans="1:88" ht="10.15" customHeight="1" x14ac:dyDescent="0.25">
      <c r="A556" s="1476" t="s">
        <v>76</v>
      </c>
      <c r="B556" s="1476" t="s">
        <v>1123</v>
      </c>
      <c r="C556" s="1477" t="str">
        <f t="shared" si="204"/>
        <v>Second OO</v>
      </c>
      <c r="D556" s="1476" t="s">
        <v>1331</v>
      </c>
      <c r="E556" s="1476" t="s">
        <v>98</v>
      </c>
      <c r="F556" s="1476" t="s">
        <v>327</v>
      </c>
      <c r="G556" s="1544" t="s">
        <v>469</v>
      </c>
      <c r="H556" s="1478" t="s">
        <v>135</v>
      </c>
      <c r="I556" s="1476" t="s">
        <v>1141</v>
      </c>
      <c r="J556" s="1476" t="s">
        <v>1130</v>
      </c>
      <c r="K556" s="1478" t="s">
        <v>2464</v>
      </c>
      <c r="L556" s="1476" t="s">
        <v>428</v>
      </c>
      <c r="M556" s="1476" t="s">
        <v>1835</v>
      </c>
      <c r="N556" s="1478" t="s">
        <v>82</v>
      </c>
      <c r="O556" s="1476" t="s">
        <v>309</v>
      </c>
      <c r="P556" s="1476" t="s">
        <v>2433</v>
      </c>
      <c r="Q556" s="1476" t="s">
        <v>293</v>
      </c>
      <c r="R556" s="1476">
        <v>50000</v>
      </c>
      <c r="S556" s="1476">
        <v>350000</v>
      </c>
      <c r="T556" s="1476">
        <v>0</v>
      </c>
      <c r="U556" s="1476">
        <f t="shared" si="205"/>
        <v>350000</v>
      </c>
      <c r="V556" s="1476">
        <v>0</v>
      </c>
      <c r="W556" s="1476">
        <v>50</v>
      </c>
      <c r="X556" s="1476">
        <v>0</v>
      </c>
      <c r="Y556" s="1476">
        <v>999</v>
      </c>
      <c r="Z556" s="1479">
        <v>700</v>
      </c>
      <c r="AA556" s="1479">
        <v>719</v>
      </c>
      <c r="AB556" s="1479">
        <v>0</v>
      </c>
      <c r="AC556" s="1479">
        <v>999999</v>
      </c>
      <c r="AD556" s="1476">
        <v>0</v>
      </c>
      <c r="AE556" s="1219">
        <v>80</v>
      </c>
      <c r="AF556" s="144">
        <v>0</v>
      </c>
      <c r="AG556" s="145">
        <v>1</v>
      </c>
      <c r="AH556" s="145">
        <v>1</v>
      </c>
      <c r="AI556" s="145">
        <v>0</v>
      </c>
      <c r="AJ556" s="145">
        <v>0</v>
      </c>
      <c r="AK556" s="145">
        <v>1</v>
      </c>
      <c r="AL556" s="145">
        <v>1</v>
      </c>
      <c r="AM556" s="145">
        <v>1</v>
      </c>
      <c r="AN556" s="145">
        <v>1</v>
      </c>
      <c r="AO556" s="145">
        <v>1</v>
      </c>
      <c r="AP556" s="145">
        <v>1</v>
      </c>
      <c r="AQ556" s="145">
        <v>0</v>
      </c>
      <c r="AR556" s="145">
        <v>1</v>
      </c>
      <c r="AS556" s="145">
        <v>1</v>
      </c>
      <c r="AT556" s="145">
        <v>1</v>
      </c>
      <c r="AU556" s="145">
        <f t="shared" si="206"/>
        <v>1</v>
      </c>
      <c r="AV556" s="145">
        <f t="shared" si="207"/>
        <v>1</v>
      </c>
      <c r="AW556" s="145">
        <f t="shared" si="208"/>
        <v>1</v>
      </c>
      <c r="AX556" s="145">
        <f t="shared" si="212"/>
        <v>1</v>
      </c>
      <c r="AY556" s="145">
        <f t="shared" si="209"/>
        <v>0</v>
      </c>
      <c r="AZ556" s="145">
        <f t="shared" si="210"/>
        <v>1</v>
      </c>
      <c r="BA556" s="146">
        <f t="shared" si="211"/>
        <v>1</v>
      </c>
      <c r="BB556" s="149">
        <f t="shared" si="190"/>
        <v>17</v>
      </c>
      <c r="BC556" s="150">
        <f t="shared" si="191"/>
        <v>16</v>
      </c>
      <c r="BD556" s="150">
        <f t="shared" si="192"/>
        <v>17</v>
      </c>
      <c r="BE556" s="211" t="str">
        <f t="shared" si="193"/>
        <v/>
      </c>
      <c r="BF556" s="205"/>
      <c r="BG556" s="205"/>
      <c r="BH556" s="173">
        <f>IF(AND(Input_Product=Elig!$C556,Elig_MatchAll_Ct&lt;22,$BC556=(Elig_MatchAll_Ct-1),AF556=0),C556,0)</f>
        <v>0</v>
      </c>
      <c r="BI556" s="173">
        <f>IF(AND(Input_Product=Elig!$C556,Elig_MatchAll_Ct&lt;22,$BC556=(Elig_MatchAll_Ct-1),AG556=0),D556,0)</f>
        <v>0</v>
      </c>
      <c r="BJ556" s="173">
        <f>IF(AND(Input_Product=Elig!$C556,Elig_MatchAll_Ct&lt;22,$BC556=(Elig_MatchAll_Ct-1),AH556=0),E556,0)</f>
        <v>0</v>
      </c>
      <c r="BK556" s="173">
        <f>IF(AND(Input_Product=Elig!$C556,Elig_MatchAll_Ct&lt;22,$BC556=(Elig_MatchAll_Ct-1),AI556=0),F556,0)</f>
        <v>0</v>
      </c>
      <c r="BL556" s="173">
        <f>IF(AND(Input_Product=Elig!$C556,Elig_MatchAll_Ct&lt;22,$BC556=(Elig_MatchAll_Ct-1),AJ556=0),G556,0)</f>
        <v>0</v>
      </c>
      <c r="BM556" s="173">
        <f>IF(AND(Input_Product=Elig!$C556,Elig_MatchAll_Ct&lt;22,$BC556=(Elig_MatchAll_Ct-1),AK556=0),H556,0)</f>
        <v>0</v>
      </c>
      <c r="BN556" s="173">
        <f>IF(AND(Input_Product=Elig!$C556,Elig_MatchAll_Ct&lt;22,$BC556=(Elig_MatchAll_Ct-1),AL556=0),I556,0)</f>
        <v>0</v>
      </c>
      <c r="BO556" s="173">
        <f>IF(AND(Input_Product=Elig!$C556,Elig_MatchAll_Ct&lt;22,$BC556=(Elig_MatchAll_Ct-1),AM556=0),J556,0)</f>
        <v>0</v>
      </c>
      <c r="BP556" s="173">
        <f>IF(AND(Input_Product=Elig!$C556,Elig_MatchAll_Ct&lt;22,$BC556=(Elig_MatchAll_Ct-1),AN556=0),K556,0)</f>
        <v>0</v>
      </c>
      <c r="BQ556" s="173">
        <f>IF(AND(Input_Product=Elig!$C556,Elig_MatchAll_Ct&lt;22,$BC556=(Elig_MatchAll_Ct-1),AP556=0),L556,0)</f>
        <v>0</v>
      </c>
      <c r="BR556" s="173">
        <f>IF(AND(Input_Product=Elig!$C556,Elig_MatchAll_Ct&lt;22,$BC556=(Elig_MatchAll_Ct-1),AO556=0),M556,0)</f>
        <v>0</v>
      </c>
      <c r="BS556" s="173">
        <f>IF(AND(Input_Product=Elig!$C556,Elig_MatchAll_Ct&lt;22,$BC556=(Elig_MatchAll_Ct-1),AQ556=0),N556,0)</f>
        <v>0</v>
      </c>
      <c r="BT556" s="173">
        <f>IF(AND(Input_Product=Elig!$C556,Elig_MatchAll_Ct&lt;22,$BC556=(Elig_MatchAll_Ct-1),AR556=0),O556,0)</f>
        <v>0</v>
      </c>
      <c r="BU556" s="173">
        <f>IF(AND(Input_Product=Elig!$C556,Elig_MatchAll_Ct&lt;22,$BC556=(Elig_MatchAll_Ct-1),AS556=0),P556,0)</f>
        <v>0</v>
      </c>
      <c r="BV556" s="174">
        <f>IF(AND(Input_Product=Elig!$C556,Elig_MatchAll_Ct&lt;22,$BC556=(Elig_MatchAll_Ct-1),AT556=0),Q556,0)</f>
        <v>0</v>
      </c>
      <c r="BW556" s="175">
        <f>IF(AND(Input_Product=Elig!$C556,Elig_MatchAll_Ct&lt;22,$BC556=(Elig_MatchAll_Ct-1),AU556=0),R556,0)</f>
        <v>0</v>
      </c>
      <c r="BX556" s="176">
        <f>IF(AND(Input_Product=Elig!$C556,Elig_MatchAll_Ct&lt;22,$BC556=(Elig_MatchAll_Ct-1),AU556=0),S556,0)</f>
        <v>0</v>
      </c>
      <c r="BY556" s="175">
        <f>IF(AND(Input_Product=Elig!$C556,Elig_MatchAll_Ct&lt;22,$BC556=(Elig_MatchAll_Ct-1),AV556=0),T556,0)</f>
        <v>0</v>
      </c>
      <c r="BZ556" s="176">
        <f>IF(AND(Input_Product=Elig!$C556,Elig_MatchAll_Ct&lt;22,$BC556=(Elig_MatchAll_Ct-1),AV556=0),U556,0)</f>
        <v>0</v>
      </c>
      <c r="CA556" s="175">
        <f>IF(AND(Input_Product=Elig!$C556,Elig_MatchAll_Ct&lt;22,$BC556=(Elig_MatchAll_Ct-1),AW556=0),V556,0)</f>
        <v>0</v>
      </c>
      <c r="CB556" s="176">
        <f>IF(AND(Input_Product=Elig!$C556,Elig_MatchAll_Ct&lt;22,$BC556=(Elig_MatchAll_Ct-1),AW556=0),W556,0)</f>
        <v>0</v>
      </c>
      <c r="CC556" s="175">
        <f>IF(AND(Input_Product=Elig!$C556,Elig_MatchAll_Ct&lt;22,$BC556=(Elig_MatchAll_Ct-1),AX556=0),X556,0)</f>
        <v>0</v>
      </c>
      <c r="CD556" s="176">
        <f>IF(AND(Input_Product=Elig!$C556,Elig_MatchAll_Ct&lt;22,$BC556=(Elig_MatchAll_Ct-1),AX556=0),Y556,0)</f>
        <v>0</v>
      </c>
      <c r="CE556" s="175">
        <f>IF(AND(Input_LTV&lt;=AE556,Input_Product=Elig!$C556,Elig_MatchAll_Ct&lt;22,$BC556=(Elig_MatchAll_Ct-1),AY556=0),Z556,0)</f>
        <v>0</v>
      </c>
      <c r="CF556" s="176">
        <f>IF(AND(Input_LTV&lt;=AE556,Input_Product=Elig!$C556,Elig_MatchAll_Ct&lt;22,$BC556=(Elig_MatchAll_Ct-1),AY556=0),AA556,0)</f>
        <v>0</v>
      </c>
      <c r="CG556" s="175">
        <f>IF(AND(Input_Product=Elig!$C556,Elig_MatchAll_Ct&lt;22,$BC556=(Elig_MatchAll_Ct-1),AZ556=0),AB556,0)</f>
        <v>0</v>
      </c>
      <c r="CH556" s="176">
        <f>IF(AND(Input_Product=Elig!$C556,Elig_MatchAll_Ct&lt;22,$BC556=(Elig_MatchAll_Ct-1),AZ556=0),AC556,0)</f>
        <v>0</v>
      </c>
      <c r="CI556" s="175">
        <f>IF(AND(Input_Product=Elig!$C556,Elig_MatchAll_Ct&lt;22,$BC556=(Elig_MatchAll_Ct-1),BA556=0),AD556,0)</f>
        <v>0</v>
      </c>
      <c r="CJ556" s="176">
        <f>IF(AND(Input_Product=Elig!$C556,Elig_MatchAll_Ct&lt;22,$BC556=(Elig_MatchAll_Ct-1),BA556=0),AE556,0)</f>
        <v>0</v>
      </c>
    </row>
    <row r="557" spans="1:88" ht="10.15" customHeight="1" x14ac:dyDescent="0.25">
      <c r="A557" s="1476" t="s">
        <v>76</v>
      </c>
      <c r="B557" s="1476" t="s">
        <v>1124</v>
      </c>
      <c r="C557" s="1477" t="str">
        <f t="shared" si="204"/>
        <v>Second OO</v>
      </c>
      <c r="D557" s="1476" t="s">
        <v>1331</v>
      </c>
      <c r="E557" s="1476" t="s">
        <v>98</v>
      </c>
      <c r="F557" s="1476" t="s">
        <v>327</v>
      </c>
      <c r="G557" s="1544" t="s">
        <v>469</v>
      </c>
      <c r="H557" s="1478" t="s">
        <v>135</v>
      </c>
      <c r="I557" s="1476" t="s">
        <v>1141</v>
      </c>
      <c r="J557" s="1476" t="s">
        <v>1130</v>
      </c>
      <c r="K557" s="1478" t="s">
        <v>2464</v>
      </c>
      <c r="L557" s="1476" t="s">
        <v>428</v>
      </c>
      <c r="M557" s="1476" t="s">
        <v>1835</v>
      </c>
      <c r="N557" s="1478" t="s">
        <v>82</v>
      </c>
      <c r="O557" s="1476" t="s">
        <v>309</v>
      </c>
      <c r="P557" s="1476" t="s">
        <v>2433</v>
      </c>
      <c r="Q557" s="1476" t="s">
        <v>293</v>
      </c>
      <c r="R557" s="1476">
        <v>50000</v>
      </c>
      <c r="S557" s="1476">
        <v>350000</v>
      </c>
      <c r="T557" s="1476">
        <v>0</v>
      </c>
      <c r="U557" s="1476">
        <f t="shared" si="205"/>
        <v>350000</v>
      </c>
      <c r="V557" s="1476">
        <v>0</v>
      </c>
      <c r="W557" s="1476">
        <v>50</v>
      </c>
      <c r="X557" s="1476">
        <v>0</v>
      </c>
      <c r="Y557" s="1476">
        <v>999</v>
      </c>
      <c r="Z557" s="1479">
        <v>680</v>
      </c>
      <c r="AA557" s="1479">
        <v>699</v>
      </c>
      <c r="AB557" s="1479">
        <v>0</v>
      </c>
      <c r="AC557" s="1479">
        <v>999999</v>
      </c>
      <c r="AD557" s="1476">
        <v>0</v>
      </c>
      <c r="AE557" s="1219">
        <v>75</v>
      </c>
      <c r="AF557" s="144">
        <v>0</v>
      </c>
      <c r="AG557" s="145">
        <v>1</v>
      </c>
      <c r="AH557" s="145">
        <v>1</v>
      </c>
      <c r="AI557" s="145">
        <v>0</v>
      </c>
      <c r="AJ557" s="145">
        <v>0</v>
      </c>
      <c r="AK557" s="145">
        <v>1</v>
      </c>
      <c r="AL557" s="145">
        <v>1</v>
      </c>
      <c r="AM557" s="145">
        <v>1</v>
      </c>
      <c r="AN557" s="145">
        <v>1</v>
      </c>
      <c r="AO557" s="145">
        <v>1</v>
      </c>
      <c r="AP557" s="145">
        <v>1</v>
      </c>
      <c r="AQ557" s="145">
        <v>0</v>
      </c>
      <c r="AR557" s="145">
        <v>1</v>
      </c>
      <c r="AS557" s="145">
        <v>1</v>
      </c>
      <c r="AT557" s="145">
        <v>1</v>
      </c>
      <c r="AU557" s="145">
        <f t="shared" si="206"/>
        <v>1</v>
      </c>
      <c r="AV557" s="145">
        <f t="shared" si="207"/>
        <v>1</v>
      </c>
      <c r="AW557" s="145">
        <f t="shared" si="208"/>
        <v>1</v>
      </c>
      <c r="AX557" s="145">
        <f t="shared" si="212"/>
        <v>1</v>
      </c>
      <c r="AY557" s="145">
        <f t="shared" si="209"/>
        <v>0</v>
      </c>
      <c r="AZ557" s="145">
        <f t="shared" si="210"/>
        <v>1</v>
      </c>
      <c r="BA557" s="146">
        <f t="shared" si="211"/>
        <v>1</v>
      </c>
      <c r="BB557" s="149">
        <f t="shared" si="190"/>
        <v>17</v>
      </c>
      <c r="BC557" s="150">
        <f t="shared" si="191"/>
        <v>16</v>
      </c>
      <c r="BD557" s="150">
        <f t="shared" si="192"/>
        <v>17</v>
      </c>
      <c r="BE557" s="211" t="str">
        <f t="shared" si="193"/>
        <v/>
      </c>
      <c r="BF557" s="205"/>
      <c r="BG557" s="205"/>
      <c r="BH557" s="173">
        <f>IF(AND(Input_Product=Elig!$C557,Elig_MatchAll_Ct&lt;22,$BC557=(Elig_MatchAll_Ct-1),AF557=0),C557,0)</f>
        <v>0</v>
      </c>
      <c r="BI557" s="173">
        <f>IF(AND(Input_Product=Elig!$C557,Elig_MatchAll_Ct&lt;22,$BC557=(Elig_MatchAll_Ct-1),AG557=0),D557,0)</f>
        <v>0</v>
      </c>
      <c r="BJ557" s="173">
        <f>IF(AND(Input_Product=Elig!$C557,Elig_MatchAll_Ct&lt;22,$BC557=(Elig_MatchAll_Ct-1),AH557=0),E557,0)</f>
        <v>0</v>
      </c>
      <c r="BK557" s="173">
        <f>IF(AND(Input_Product=Elig!$C557,Elig_MatchAll_Ct&lt;22,$BC557=(Elig_MatchAll_Ct-1),AI557=0),F557,0)</f>
        <v>0</v>
      </c>
      <c r="BL557" s="173">
        <f>IF(AND(Input_Product=Elig!$C557,Elig_MatchAll_Ct&lt;22,$BC557=(Elig_MatchAll_Ct-1),AJ557=0),G557,0)</f>
        <v>0</v>
      </c>
      <c r="BM557" s="173">
        <f>IF(AND(Input_Product=Elig!$C557,Elig_MatchAll_Ct&lt;22,$BC557=(Elig_MatchAll_Ct-1),AK557=0),H557,0)</f>
        <v>0</v>
      </c>
      <c r="BN557" s="173">
        <f>IF(AND(Input_Product=Elig!$C557,Elig_MatchAll_Ct&lt;22,$BC557=(Elig_MatchAll_Ct-1),AL557=0),I557,0)</f>
        <v>0</v>
      </c>
      <c r="BO557" s="173">
        <f>IF(AND(Input_Product=Elig!$C557,Elig_MatchAll_Ct&lt;22,$BC557=(Elig_MatchAll_Ct-1),AM557=0),J557,0)</f>
        <v>0</v>
      </c>
      <c r="BP557" s="173">
        <f>IF(AND(Input_Product=Elig!$C557,Elig_MatchAll_Ct&lt;22,$BC557=(Elig_MatchAll_Ct-1),AN557=0),K557,0)</f>
        <v>0</v>
      </c>
      <c r="BQ557" s="173">
        <f>IF(AND(Input_Product=Elig!$C557,Elig_MatchAll_Ct&lt;22,$BC557=(Elig_MatchAll_Ct-1),AP557=0),L557,0)</f>
        <v>0</v>
      </c>
      <c r="BR557" s="173">
        <f>IF(AND(Input_Product=Elig!$C557,Elig_MatchAll_Ct&lt;22,$BC557=(Elig_MatchAll_Ct-1),AO557=0),M557,0)</f>
        <v>0</v>
      </c>
      <c r="BS557" s="173">
        <f>IF(AND(Input_Product=Elig!$C557,Elig_MatchAll_Ct&lt;22,$BC557=(Elig_MatchAll_Ct-1),AQ557=0),N557,0)</f>
        <v>0</v>
      </c>
      <c r="BT557" s="173">
        <f>IF(AND(Input_Product=Elig!$C557,Elig_MatchAll_Ct&lt;22,$BC557=(Elig_MatchAll_Ct-1),AR557=0),O557,0)</f>
        <v>0</v>
      </c>
      <c r="BU557" s="173">
        <f>IF(AND(Input_Product=Elig!$C557,Elig_MatchAll_Ct&lt;22,$BC557=(Elig_MatchAll_Ct-1),AS557=0),P557,0)</f>
        <v>0</v>
      </c>
      <c r="BV557" s="174">
        <f>IF(AND(Input_Product=Elig!$C557,Elig_MatchAll_Ct&lt;22,$BC557=(Elig_MatchAll_Ct-1),AT557=0),Q557,0)</f>
        <v>0</v>
      </c>
      <c r="BW557" s="175">
        <f>IF(AND(Input_Product=Elig!$C557,Elig_MatchAll_Ct&lt;22,$BC557=(Elig_MatchAll_Ct-1),AU557=0),R557,0)</f>
        <v>0</v>
      </c>
      <c r="BX557" s="176">
        <f>IF(AND(Input_Product=Elig!$C557,Elig_MatchAll_Ct&lt;22,$BC557=(Elig_MatchAll_Ct-1),AU557=0),S557,0)</f>
        <v>0</v>
      </c>
      <c r="BY557" s="175">
        <f>IF(AND(Input_Product=Elig!$C557,Elig_MatchAll_Ct&lt;22,$BC557=(Elig_MatchAll_Ct-1),AV557=0),T557,0)</f>
        <v>0</v>
      </c>
      <c r="BZ557" s="176">
        <f>IF(AND(Input_Product=Elig!$C557,Elig_MatchAll_Ct&lt;22,$BC557=(Elig_MatchAll_Ct-1),AV557=0),U557,0)</f>
        <v>0</v>
      </c>
      <c r="CA557" s="175">
        <f>IF(AND(Input_Product=Elig!$C557,Elig_MatchAll_Ct&lt;22,$BC557=(Elig_MatchAll_Ct-1),AW557=0),V557,0)</f>
        <v>0</v>
      </c>
      <c r="CB557" s="176">
        <f>IF(AND(Input_Product=Elig!$C557,Elig_MatchAll_Ct&lt;22,$BC557=(Elig_MatchAll_Ct-1),AW557=0),W557,0)</f>
        <v>0</v>
      </c>
      <c r="CC557" s="175">
        <f>IF(AND(Input_Product=Elig!$C557,Elig_MatchAll_Ct&lt;22,$BC557=(Elig_MatchAll_Ct-1),AX557=0),X557,0)</f>
        <v>0</v>
      </c>
      <c r="CD557" s="176">
        <f>IF(AND(Input_Product=Elig!$C557,Elig_MatchAll_Ct&lt;22,$BC557=(Elig_MatchAll_Ct-1),AX557=0),Y557,0)</f>
        <v>0</v>
      </c>
      <c r="CE557" s="175">
        <f>IF(AND(Input_LTV&lt;=AE557,Input_Product=Elig!$C557,Elig_MatchAll_Ct&lt;22,$BC557=(Elig_MatchAll_Ct-1),AY557=0),Z557,0)</f>
        <v>0</v>
      </c>
      <c r="CF557" s="176">
        <f>IF(AND(Input_LTV&lt;=AE557,Input_Product=Elig!$C557,Elig_MatchAll_Ct&lt;22,$BC557=(Elig_MatchAll_Ct-1),AY557=0),AA557,0)</f>
        <v>0</v>
      </c>
      <c r="CG557" s="175">
        <f>IF(AND(Input_Product=Elig!$C557,Elig_MatchAll_Ct&lt;22,$BC557=(Elig_MatchAll_Ct-1),AZ557=0),AB557,0)</f>
        <v>0</v>
      </c>
      <c r="CH557" s="176">
        <f>IF(AND(Input_Product=Elig!$C557,Elig_MatchAll_Ct&lt;22,$BC557=(Elig_MatchAll_Ct-1),AZ557=0),AC557,0)</f>
        <v>0</v>
      </c>
      <c r="CI557" s="175">
        <f>IF(AND(Input_Product=Elig!$C557,Elig_MatchAll_Ct&lt;22,$BC557=(Elig_MatchAll_Ct-1),BA557=0),AD557,0)</f>
        <v>0</v>
      </c>
      <c r="CJ557" s="176">
        <f>IF(AND(Input_Product=Elig!$C557,Elig_MatchAll_Ct&lt;22,$BC557=(Elig_MatchAll_Ct-1),BA557=0),AE557,0)</f>
        <v>0</v>
      </c>
    </row>
    <row r="558" spans="1:88" ht="10.15" customHeight="1" x14ac:dyDescent="0.25">
      <c r="A558" s="1476" t="s">
        <v>76</v>
      </c>
      <c r="B558" s="1476" t="s">
        <v>1125</v>
      </c>
      <c r="C558" s="1481" t="str">
        <f t="shared" si="204"/>
        <v>Second OO</v>
      </c>
      <c r="D558" s="1480" t="s">
        <v>1331</v>
      </c>
      <c r="E558" s="1480" t="s">
        <v>98</v>
      </c>
      <c r="F558" s="1480" t="s">
        <v>327</v>
      </c>
      <c r="G558" s="1545" t="s">
        <v>469</v>
      </c>
      <c r="H558" s="1482" t="s">
        <v>135</v>
      </c>
      <c r="I558" s="1480" t="s">
        <v>1141</v>
      </c>
      <c r="J558" s="1480" t="s">
        <v>1130</v>
      </c>
      <c r="K558" s="1482" t="s">
        <v>2464</v>
      </c>
      <c r="L558" s="1480" t="s">
        <v>428</v>
      </c>
      <c r="M558" s="1480" t="s">
        <v>1835</v>
      </c>
      <c r="N558" s="1482" t="s">
        <v>82</v>
      </c>
      <c r="O558" s="1480" t="s">
        <v>309</v>
      </c>
      <c r="P558" s="1480" t="s">
        <v>2433</v>
      </c>
      <c r="Q558" s="1480" t="s">
        <v>293</v>
      </c>
      <c r="R558" s="1480">
        <v>50000</v>
      </c>
      <c r="S558" s="1480">
        <v>350000</v>
      </c>
      <c r="T558" s="1480">
        <v>0</v>
      </c>
      <c r="U558" s="1480">
        <f t="shared" si="205"/>
        <v>350000</v>
      </c>
      <c r="V558" s="1480">
        <v>0</v>
      </c>
      <c r="W558" s="1480">
        <v>50</v>
      </c>
      <c r="X558" s="1480">
        <v>0</v>
      </c>
      <c r="Y558" s="1480">
        <v>999</v>
      </c>
      <c r="Z558" s="1483">
        <v>660</v>
      </c>
      <c r="AA558" s="1483">
        <v>679</v>
      </c>
      <c r="AB558" s="1483">
        <v>0</v>
      </c>
      <c r="AC558" s="1483">
        <v>999999</v>
      </c>
      <c r="AD558" s="1480">
        <v>0</v>
      </c>
      <c r="AE558" s="1220">
        <v>70</v>
      </c>
      <c r="AF558" s="144">
        <v>0</v>
      </c>
      <c r="AG558" s="145">
        <v>1</v>
      </c>
      <c r="AH558" s="145">
        <v>1</v>
      </c>
      <c r="AI558" s="145">
        <v>0</v>
      </c>
      <c r="AJ558" s="145">
        <v>0</v>
      </c>
      <c r="AK558" s="145">
        <v>1</v>
      </c>
      <c r="AL558" s="145">
        <v>1</v>
      </c>
      <c r="AM558" s="145">
        <v>1</v>
      </c>
      <c r="AN558" s="145">
        <v>1</v>
      </c>
      <c r="AO558" s="145">
        <v>1</v>
      </c>
      <c r="AP558" s="145">
        <v>1</v>
      </c>
      <c r="AQ558" s="145">
        <v>0</v>
      </c>
      <c r="AR558" s="145">
        <v>1</v>
      </c>
      <c r="AS558" s="145">
        <v>1</v>
      </c>
      <c r="AT558" s="145">
        <v>1</v>
      </c>
      <c r="AU558" s="145">
        <f t="shared" si="206"/>
        <v>1</v>
      </c>
      <c r="AV558" s="145">
        <f t="shared" si="207"/>
        <v>1</v>
      </c>
      <c r="AW558" s="145">
        <f t="shared" si="208"/>
        <v>1</v>
      </c>
      <c r="AX558" s="145">
        <f t="shared" si="212"/>
        <v>1</v>
      </c>
      <c r="AY558" s="145">
        <f t="shared" si="209"/>
        <v>0</v>
      </c>
      <c r="AZ558" s="145">
        <f t="shared" si="210"/>
        <v>1</v>
      </c>
      <c r="BA558" s="146">
        <f t="shared" si="211"/>
        <v>1</v>
      </c>
      <c r="BB558" s="149">
        <f t="shared" si="190"/>
        <v>17</v>
      </c>
      <c r="BC558" s="150">
        <f t="shared" si="191"/>
        <v>16</v>
      </c>
      <c r="BD558" s="150">
        <f t="shared" si="192"/>
        <v>17</v>
      </c>
      <c r="BE558" s="211" t="str">
        <f t="shared" si="193"/>
        <v/>
      </c>
      <c r="BF558" s="205"/>
      <c r="BG558" s="205"/>
      <c r="BH558" s="188">
        <f>IF(AND(Input_Product=Elig!$C558,Elig_MatchAll_Ct&lt;22,$BC558=(Elig_MatchAll_Ct-1),AF558=0),C558,0)</f>
        <v>0</v>
      </c>
      <c r="BI558" s="188">
        <f>IF(AND(Input_Product=Elig!$C558,Elig_MatchAll_Ct&lt;22,$BC558=(Elig_MatchAll_Ct-1),AG558=0),D558,0)</f>
        <v>0</v>
      </c>
      <c r="BJ558" s="188">
        <f>IF(AND(Input_Product=Elig!$C558,Elig_MatchAll_Ct&lt;22,$BC558=(Elig_MatchAll_Ct-1),AH558=0),E558,0)</f>
        <v>0</v>
      </c>
      <c r="BK558" s="188">
        <f>IF(AND(Input_Product=Elig!$C558,Elig_MatchAll_Ct&lt;22,$BC558=(Elig_MatchAll_Ct-1),AI558=0),F558,0)</f>
        <v>0</v>
      </c>
      <c r="BL558" s="188">
        <f>IF(AND(Input_Product=Elig!$C558,Elig_MatchAll_Ct&lt;22,$BC558=(Elig_MatchAll_Ct-1),AJ558=0),G558,0)</f>
        <v>0</v>
      </c>
      <c r="BM558" s="188">
        <f>IF(AND(Input_Product=Elig!$C558,Elig_MatchAll_Ct&lt;22,$BC558=(Elig_MatchAll_Ct-1),AK558=0),H558,0)</f>
        <v>0</v>
      </c>
      <c r="BN558" s="188">
        <f>IF(AND(Input_Product=Elig!$C558,Elig_MatchAll_Ct&lt;22,$BC558=(Elig_MatchAll_Ct-1),AL558=0),I558,0)</f>
        <v>0</v>
      </c>
      <c r="BO558" s="188">
        <f>IF(AND(Input_Product=Elig!$C558,Elig_MatchAll_Ct&lt;22,$BC558=(Elig_MatchAll_Ct-1),AM558=0),J558,0)</f>
        <v>0</v>
      </c>
      <c r="BP558" s="188">
        <f>IF(AND(Input_Product=Elig!$C558,Elig_MatchAll_Ct&lt;22,$BC558=(Elig_MatchAll_Ct-1),AN558=0),K558,0)</f>
        <v>0</v>
      </c>
      <c r="BQ558" s="188">
        <f>IF(AND(Input_Product=Elig!$C558,Elig_MatchAll_Ct&lt;22,$BC558=(Elig_MatchAll_Ct-1),AP558=0),L558,0)</f>
        <v>0</v>
      </c>
      <c r="BR558" s="188">
        <f>IF(AND(Input_Product=Elig!$C558,Elig_MatchAll_Ct&lt;22,$BC558=(Elig_MatchAll_Ct-1),AO558=0),M558,0)</f>
        <v>0</v>
      </c>
      <c r="BS558" s="188">
        <f>IF(AND(Input_Product=Elig!$C558,Elig_MatchAll_Ct&lt;22,$BC558=(Elig_MatchAll_Ct-1),AQ558=0),N558,0)</f>
        <v>0</v>
      </c>
      <c r="BT558" s="188">
        <f>IF(AND(Input_Product=Elig!$C558,Elig_MatchAll_Ct&lt;22,$BC558=(Elig_MatchAll_Ct-1),AR558=0),O558,0)</f>
        <v>0</v>
      </c>
      <c r="BU558" s="188">
        <f>IF(AND(Input_Product=Elig!$C558,Elig_MatchAll_Ct&lt;22,$BC558=(Elig_MatchAll_Ct-1),AS558=0),P558,0)</f>
        <v>0</v>
      </c>
      <c r="BV558" s="189">
        <f>IF(AND(Input_Product=Elig!$C558,Elig_MatchAll_Ct&lt;22,$BC558=(Elig_MatchAll_Ct-1),AT558=0),Q558,0)</f>
        <v>0</v>
      </c>
      <c r="BW558" s="271">
        <f>IF(AND(Input_Product=Elig!$C558,Elig_MatchAll_Ct&lt;22,$BC558=(Elig_MatchAll_Ct-1),AU558=0),R558,0)</f>
        <v>0</v>
      </c>
      <c r="BX558" s="272">
        <f>IF(AND(Input_Product=Elig!$C558,Elig_MatchAll_Ct&lt;22,$BC558=(Elig_MatchAll_Ct-1),AU558=0),S558,0)</f>
        <v>0</v>
      </c>
      <c r="BY558" s="271">
        <f>IF(AND(Input_Product=Elig!$C558,Elig_MatchAll_Ct&lt;22,$BC558=(Elig_MatchAll_Ct-1),AV558=0),T558,0)</f>
        <v>0</v>
      </c>
      <c r="BZ558" s="272">
        <f>IF(AND(Input_Product=Elig!$C558,Elig_MatchAll_Ct&lt;22,$BC558=(Elig_MatchAll_Ct-1),AV558=0),U558,0)</f>
        <v>0</v>
      </c>
      <c r="CA558" s="271">
        <f>IF(AND(Input_Product=Elig!$C558,Elig_MatchAll_Ct&lt;22,$BC558=(Elig_MatchAll_Ct-1),AW558=0),V558,0)</f>
        <v>0</v>
      </c>
      <c r="CB558" s="272">
        <f>IF(AND(Input_Product=Elig!$C558,Elig_MatchAll_Ct&lt;22,$BC558=(Elig_MatchAll_Ct-1),AW558=0),W558,0)</f>
        <v>0</v>
      </c>
      <c r="CC558" s="271">
        <f>IF(AND(Input_Product=Elig!$C558,Elig_MatchAll_Ct&lt;22,$BC558=(Elig_MatchAll_Ct-1),AX558=0),X558,0)</f>
        <v>0</v>
      </c>
      <c r="CD558" s="272">
        <f>IF(AND(Input_Product=Elig!$C558,Elig_MatchAll_Ct&lt;22,$BC558=(Elig_MatchAll_Ct-1),AX558=0),Y558,0)</f>
        <v>0</v>
      </c>
      <c r="CE558" s="271">
        <f>IF(AND(Input_LTV&lt;=AE558,Input_Product=Elig!$C558,Elig_MatchAll_Ct&lt;22,$BC558=(Elig_MatchAll_Ct-1),AY558=0),Z558,0)</f>
        <v>0</v>
      </c>
      <c r="CF558" s="272">
        <f>IF(AND(Input_LTV&lt;=AE558,Input_Product=Elig!$C558,Elig_MatchAll_Ct&lt;22,$BC558=(Elig_MatchAll_Ct-1),AY558=0),AA558,0)</f>
        <v>0</v>
      </c>
      <c r="CG558" s="271">
        <f>IF(AND(Input_Product=Elig!$C558,Elig_MatchAll_Ct&lt;22,$BC558=(Elig_MatchAll_Ct-1),AZ558=0),AB558,0)</f>
        <v>0</v>
      </c>
      <c r="CH558" s="272">
        <f>IF(AND(Input_Product=Elig!$C558,Elig_MatchAll_Ct&lt;22,$BC558=(Elig_MatchAll_Ct-1),AZ558=0),AC558,0)</f>
        <v>0</v>
      </c>
      <c r="CI558" s="271">
        <f>IF(AND(Input_Product=Elig!$C558,Elig_MatchAll_Ct&lt;22,$BC558=(Elig_MatchAll_Ct-1),BA558=0),AD558,0)</f>
        <v>0</v>
      </c>
      <c r="CJ558" s="272">
        <f>IF(AND(Input_Product=Elig!$C558,Elig_MatchAll_Ct&lt;22,$BC558=(Elig_MatchAll_Ct-1),BA558=0),AE558,0)</f>
        <v>0</v>
      </c>
    </row>
    <row r="559" spans="1:88" ht="10.15" customHeight="1" x14ac:dyDescent="0.25">
      <c r="A559" s="1476" t="s">
        <v>76</v>
      </c>
      <c r="B559" s="1476" t="s">
        <v>1126</v>
      </c>
      <c r="C559" s="1473" t="str">
        <f t="shared" si="204"/>
        <v>Second OO</v>
      </c>
      <c r="D559" s="1474" t="s">
        <v>1121</v>
      </c>
      <c r="E559" s="1474" t="s">
        <v>98</v>
      </c>
      <c r="F559" s="1474" t="s">
        <v>327</v>
      </c>
      <c r="G559" s="1537" t="s">
        <v>469</v>
      </c>
      <c r="H559" s="1474" t="s">
        <v>135</v>
      </c>
      <c r="I559" s="1472" t="s">
        <v>1141</v>
      </c>
      <c r="J559" s="1472" t="s">
        <v>1130</v>
      </c>
      <c r="K559" s="1474" t="s">
        <v>2464</v>
      </c>
      <c r="L559" s="1472" t="s">
        <v>428</v>
      </c>
      <c r="M559" s="1472" t="s">
        <v>1835</v>
      </c>
      <c r="N559" s="1474" t="s">
        <v>82</v>
      </c>
      <c r="O559" s="1472" t="s">
        <v>309</v>
      </c>
      <c r="P559" s="1472" t="s">
        <v>2433</v>
      </c>
      <c r="Q559" s="1472" t="s">
        <v>293</v>
      </c>
      <c r="R559" s="1472">
        <v>200000</v>
      </c>
      <c r="S559" s="1472">
        <v>350000</v>
      </c>
      <c r="T559" s="1472">
        <v>0</v>
      </c>
      <c r="U559" s="1472">
        <f t="shared" si="205"/>
        <v>350000</v>
      </c>
      <c r="V559" s="1472">
        <v>0</v>
      </c>
      <c r="W559" s="1472">
        <v>50</v>
      </c>
      <c r="X559" s="1472">
        <v>0</v>
      </c>
      <c r="Y559" s="1472">
        <v>999</v>
      </c>
      <c r="Z559" s="1475">
        <v>720</v>
      </c>
      <c r="AA559" s="1475">
        <v>999</v>
      </c>
      <c r="AB559" s="1475">
        <v>0</v>
      </c>
      <c r="AC559" s="1475">
        <v>999999</v>
      </c>
      <c r="AD559" s="1472">
        <v>0</v>
      </c>
      <c r="AE559" s="1218">
        <v>85</v>
      </c>
      <c r="AF559" s="144">
        <v>0</v>
      </c>
      <c r="AG559" s="145">
        <v>0</v>
      </c>
      <c r="AH559" s="145">
        <v>1</v>
      </c>
      <c r="AI559" s="145">
        <v>0</v>
      </c>
      <c r="AJ559" s="145">
        <v>0</v>
      </c>
      <c r="AK559" s="145">
        <v>1</v>
      </c>
      <c r="AL559" s="145">
        <v>1</v>
      </c>
      <c r="AM559" s="145">
        <v>1</v>
      </c>
      <c r="AN559" s="145">
        <v>1</v>
      </c>
      <c r="AO559" s="145">
        <v>1</v>
      </c>
      <c r="AP559" s="145">
        <v>1</v>
      </c>
      <c r="AQ559" s="145">
        <v>0</v>
      </c>
      <c r="AR559" s="145">
        <v>1</v>
      </c>
      <c r="AS559" s="145">
        <v>1</v>
      </c>
      <c r="AT559" s="145">
        <v>1</v>
      </c>
      <c r="AU559" s="145">
        <f t="shared" si="206"/>
        <v>0</v>
      </c>
      <c r="AV559" s="145">
        <f t="shared" si="207"/>
        <v>1</v>
      </c>
      <c r="AW559" s="145">
        <f t="shared" si="208"/>
        <v>1</v>
      </c>
      <c r="AX559" s="145">
        <f t="shared" si="212"/>
        <v>1</v>
      </c>
      <c r="AY559" s="145">
        <f t="shared" si="209"/>
        <v>1</v>
      </c>
      <c r="AZ559" s="145">
        <f t="shared" si="210"/>
        <v>1</v>
      </c>
      <c r="BA559" s="146">
        <f t="shared" si="211"/>
        <v>1</v>
      </c>
      <c r="BB559" s="149">
        <f t="shared" si="190"/>
        <v>16</v>
      </c>
      <c r="BC559" s="150">
        <f t="shared" si="191"/>
        <v>15</v>
      </c>
      <c r="BD559" s="150">
        <f t="shared" si="192"/>
        <v>16</v>
      </c>
      <c r="BE559" s="211" t="str">
        <f t="shared" si="193"/>
        <v/>
      </c>
      <c r="BF559" s="194"/>
      <c r="BG559" s="194"/>
      <c r="BH559" s="190">
        <f>IF(AND(Input_Product=Elig!$C559,Elig_MatchAll_Ct&lt;22,$BC559=(Elig_MatchAll_Ct-1),AF559=0),C559,0)</f>
        <v>0</v>
      </c>
      <c r="BI559" s="190">
        <f>IF(AND(Input_Product=Elig!$C559,Elig_MatchAll_Ct&lt;22,$BC559=(Elig_MatchAll_Ct-1),AG559=0),D559,0)</f>
        <v>0</v>
      </c>
      <c r="BJ559" s="190">
        <f>IF(AND(Input_Product=Elig!$C559,Elig_MatchAll_Ct&lt;22,$BC559=(Elig_MatchAll_Ct-1),AH559=0),E559,0)</f>
        <v>0</v>
      </c>
      <c r="BK559" s="190">
        <f>IF(AND(Input_Product=Elig!$C559,Elig_MatchAll_Ct&lt;22,$BC559=(Elig_MatchAll_Ct-1),AI559=0),F559,0)</f>
        <v>0</v>
      </c>
      <c r="BL559" s="190">
        <f>IF(AND(Input_Product=Elig!$C559,Elig_MatchAll_Ct&lt;22,$BC559=(Elig_MatchAll_Ct-1),AJ559=0),G559,0)</f>
        <v>0</v>
      </c>
      <c r="BM559" s="190">
        <f>IF(AND(Input_Product=Elig!$C559,Elig_MatchAll_Ct&lt;22,$BC559=(Elig_MatchAll_Ct-1),AK559=0),H559,0)</f>
        <v>0</v>
      </c>
      <c r="BN559" s="190">
        <f>IF(AND(Input_Product=Elig!$C559,Elig_MatchAll_Ct&lt;22,$BC559=(Elig_MatchAll_Ct-1),AL559=0),I559,0)</f>
        <v>0</v>
      </c>
      <c r="BO559" s="190">
        <f>IF(AND(Input_Product=Elig!$C559,Elig_MatchAll_Ct&lt;22,$BC559=(Elig_MatchAll_Ct-1),AM559=0),J559,0)</f>
        <v>0</v>
      </c>
      <c r="BP559" s="190">
        <f>IF(AND(Input_Product=Elig!$C559,Elig_MatchAll_Ct&lt;22,$BC559=(Elig_MatchAll_Ct-1),AN559=0),K559,0)</f>
        <v>0</v>
      </c>
      <c r="BQ559" s="190">
        <f>IF(AND(Input_Product=Elig!$C559,Elig_MatchAll_Ct&lt;22,$BC559=(Elig_MatchAll_Ct-1),AP559=0),L559,0)</f>
        <v>0</v>
      </c>
      <c r="BR559" s="190">
        <f>IF(AND(Input_Product=Elig!$C559,Elig_MatchAll_Ct&lt;22,$BC559=(Elig_MatchAll_Ct-1),AO559=0),M559,0)</f>
        <v>0</v>
      </c>
      <c r="BS559" s="190">
        <f>IF(AND(Input_Product=Elig!$C559,Elig_MatchAll_Ct&lt;22,$BC559=(Elig_MatchAll_Ct-1),AQ559=0),N559,0)</f>
        <v>0</v>
      </c>
      <c r="BT559" s="190">
        <f>IF(AND(Input_Product=Elig!$C559,Elig_MatchAll_Ct&lt;22,$BC559=(Elig_MatchAll_Ct-1),AR559=0),O559,0)</f>
        <v>0</v>
      </c>
      <c r="BU559" s="190">
        <f>IF(AND(Input_Product=Elig!$C559,Elig_MatchAll_Ct&lt;22,$BC559=(Elig_MatchAll_Ct-1),AS559=0),P559,0)</f>
        <v>0</v>
      </c>
      <c r="BV559" s="191">
        <f>IF(AND(Input_Product=Elig!$C559,Elig_MatchAll_Ct&lt;22,$BC559=(Elig_MatchAll_Ct-1),AT559=0),Q559,0)</f>
        <v>0</v>
      </c>
      <c r="BW559" s="273">
        <f>IF(AND(Input_Product=Elig!$C559,Elig_MatchAll_Ct&lt;22,$BC559=(Elig_MatchAll_Ct-1),AU559=0),R559,0)</f>
        <v>0</v>
      </c>
      <c r="BX559" s="274">
        <f>IF(AND(Input_Product=Elig!$C559,Elig_MatchAll_Ct&lt;22,$BC559=(Elig_MatchAll_Ct-1),AU559=0),S559,0)</f>
        <v>0</v>
      </c>
      <c r="BY559" s="273">
        <f>IF(AND(Input_Product=Elig!$C559,Elig_MatchAll_Ct&lt;22,$BC559=(Elig_MatchAll_Ct-1),AV559=0),T559,0)</f>
        <v>0</v>
      </c>
      <c r="BZ559" s="274">
        <f>IF(AND(Input_Product=Elig!$C559,Elig_MatchAll_Ct&lt;22,$BC559=(Elig_MatchAll_Ct-1),AV559=0),U559,0)</f>
        <v>0</v>
      </c>
      <c r="CA559" s="273">
        <f>IF(AND(Input_Product=Elig!$C559,Elig_MatchAll_Ct&lt;22,$BC559=(Elig_MatchAll_Ct-1),AW559=0),V559,0)</f>
        <v>0</v>
      </c>
      <c r="CB559" s="274">
        <f>IF(AND(Input_Product=Elig!$C559,Elig_MatchAll_Ct&lt;22,$BC559=(Elig_MatchAll_Ct-1),AW559=0),W559,0)</f>
        <v>0</v>
      </c>
      <c r="CC559" s="273">
        <f>IF(AND(Input_Product=Elig!$C559,Elig_MatchAll_Ct&lt;22,$BC559=(Elig_MatchAll_Ct-1),AX559=0),X559,0)</f>
        <v>0</v>
      </c>
      <c r="CD559" s="274">
        <f>IF(AND(Input_Product=Elig!$C559,Elig_MatchAll_Ct&lt;22,$BC559=(Elig_MatchAll_Ct-1),AX559=0),Y559,0)</f>
        <v>0</v>
      </c>
      <c r="CE559" s="273">
        <f>IF(AND(Input_LTV&lt;=AE559,Input_Product=Elig!$C559,Elig_MatchAll_Ct&lt;22,$BC559=(Elig_MatchAll_Ct-1),AY559=0),Z559,0)</f>
        <v>0</v>
      </c>
      <c r="CF559" s="274">
        <f>IF(AND(Input_LTV&lt;=AE559,Input_Product=Elig!$C559,Elig_MatchAll_Ct&lt;22,$BC559=(Elig_MatchAll_Ct-1),AY559=0),AA559,0)</f>
        <v>0</v>
      </c>
      <c r="CG559" s="273">
        <f>IF(AND(Input_Product=Elig!$C559,Elig_MatchAll_Ct&lt;22,$BC559=(Elig_MatchAll_Ct-1),AZ559=0),AB559,0)</f>
        <v>0</v>
      </c>
      <c r="CH559" s="274">
        <f>IF(AND(Input_Product=Elig!$C559,Elig_MatchAll_Ct&lt;22,$BC559=(Elig_MatchAll_Ct-1),AZ559=0),AC559,0)</f>
        <v>0</v>
      </c>
      <c r="CI559" s="273">
        <f>IF(AND(Input_Product=Elig!$C559,Elig_MatchAll_Ct&lt;22,$BC559=(Elig_MatchAll_Ct-1),BA559=0),AD559,0)</f>
        <v>0</v>
      </c>
      <c r="CJ559" s="274">
        <f>IF(AND(Input_Product=Elig!$C559,Elig_MatchAll_Ct&lt;22,$BC559=(Elig_MatchAll_Ct-1),BA559=0),AE559,0)</f>
        <v>0</v>
      </c>
    </row>
    <row r="560" spans="1:88" ht="10.15" customHeight="1" x14ac:dyDescent="0.25">
      <c r="A560" s="1476" t="s">
        <v>76</v>
      </c>
      <c r="B560" s="1476" t="s">
        <v>1127</v>
      </c>
      <c r="C560" s="1477" t="str">
        <f t="shared" si="204"/>
        <v>Second OO</v>
      </c>
      <c r="D560" s="1476" t="s">
        <v>1121</v>
      </c>
      <c r="E560" s="1476" t="s">
        <v>98</v>
      </c>
      <c r="F560" s="1476" t="s">
        <v>327</v>
      </c>
      <c r="G560" s="1544" t="s">
        <v>469</v>
      </c>
      <c r="H560" s="1478" t="s">
        <v>135</v>
      </c>
      <c r="I560" s="1476" t="s">
        <v>1141</v>
      </c>
      <c r="J560" s="1476" t="s">
        <v>1130</v>
      </c>
      <c r="K560" s="1478" t="s">
        <v>2464</v>
      </c>
      <c r="L560" s="1476" t="s">
        <v>428</v>
      </c>
      <c r="M560" s="1476" t="s">
        <v>1835</v>
      </c>
      <c r="N560" s="1478" t="s">
        <v>82</v>
      </c>
      <c r="O560" s="1476" t="s">
        <v>309</v>
      </c>
      <c r="P560" s="1476" t="s">
        <v>2433</v>
      </c>
      <c r="Q560" s="1476" t="s">
        <v>293</v>
      </c>
      <c r="R560" s="1476">
        <v>200000</v>
      </c>
      <c r="S560" s="1476">
        <v>350000</v>
      </c>
      <c r="T560" s="1476">
        <v>0</v>
      </c>
      <c r="U560" s="1476">
        <f t="shared" si="205"/>
        <v>350000</v>
      </c>
      <c r="V560" s="1476">
        <v>0</v>
      </c>
      <c r="W560" s="1476">
        <v>50</v>
      </c>
      <c r="X560" s="1476">
        <v>0</v>
      </c>
      <c r="Y560" s="1476">
        <v>999</v>
      </c>
      <c r="Z560" s="1479">
        <v>700</v>
      </c>
      <c r="AA560" s="1479">
        <v>719</v>
      </c>
      <c r="AB560" s="1479">
        <v>0</v>
      </c>
      <c r="AC560" s="1479">
        <v>999999</v>
      </c>
      <c r="AD560" s="1476">
        <v>0</v>
      </c>
      <c r="AE560" s="1219">
        <v>80</v>
      </c>
      <c r="AF560" s="144">
        <v>0</v>
      </c>
      <c r="AG560" s="145">
        <v>0</v>
      </c>
      <c r="AH560" s="145">
        <v>1</v>
      </c>
      <c r="AI560" s="145">
        <v>0</v>
      </c>
      <c r="AJ560" s="145">
        <v>0</v>
      </c>
      <c r="AK560" s="145">
        <v>1</v>
      </c>
      <c r="AL560" s="145">
        <v>1</v>
      </c>
      <c r="AM560" s="145">
        <v>1</v>
      </c>
      <c r="AN560" s="145">
        <v>1</v>
      </c>
      <c r="AO560" s="145">
        <v>1</v>
      </c>
      <c r="AP560" s="145">
        <v>1</v>
      </c>
      <c r="AQ560" s="145">
        <v>0</v>
      </c>
      <c r="AR560" s="145">
        <v>1</v>
      </c>
      <c r="AS560" s="145">
        <v>1</v>
      </c>
      <c r="AT560" s="145">
        <v>1</v>
      </c>
      <c r="AU560" s="145">
        <f t="shared" si="206"/>
        <v>0</v>
      </c>
      <c r="AV560" s="145">
        <f t="shared" si="207"/>
        <v>1</v>
      </c>
      <c r="AW560" s="145">
        <f t="shared" si="208"/>
        <v>1</v>
      </c>
      <c r="AX560" s="145">
        <f t="shared" si="212"/>
        <v>1</v>
      </c>
      <c r="AY560" s="145">
        <f t="shared" si="209"/>
        <v>0</v>
      </c>
      <c r="AZ560" s="145">
        <f t="shared" si="210"/>
        <v>1</v>
      </c>
      <c r="BA560" s="146">
        <f t="shared" si="211"/>
        <v>1</v>
      </c>
      <c r="BB560" s="149">
        <f t="shared" si="190"/>
        <v>15</v>
      </c>
      <c r="BC560" s="150">
        <f t="shared" si="191"/>
        <v>14</v>
      </c>
      <c r="BD560" s="150">
        <f t="shared" si="192"/>
        <v>15</v>
      </c>
      <c r="BE560" s="211" t="str">
        <f t="shared" si="193"/>
        <v/>
      </c>
      <c r="BF560" s="205"/>
      <c r="BG560" s="205"/>
      <c r="BH560" s="173">
        <f>IF(AND(Input_Product=Elig!$C560,Elig_MatchAll_Ct&lt;22,$BC560=(Elig_MatchAll_Ct-1),AF560=0),C560,0)</f>
        <v>0</v>
      </c>
      <c r="BI560" s="173">
        <f>IF(AND(Input_Product=Elig!$C560,Elig_MatchAll_Ct&lt;22,$BC560=(Elig_MatchAll_Ct-1),AG560=0),D560,0)</f>
        <v>0</v>
      </c>
      <c r="BJ560" s="173">
        <f>IF(AND(Input_Product=Elig!$C560,Elig_MatchAll_Ct&lt;22,$BC560=(Elig_MatchAll_Ct-1),AH560=0),E560,0)</f>
        <v>0</v>
      </c>
      <c r="BK560" s="173">
        <f>IF(AND(Input_Product=Elig!$C560,Elig_MatchAll_Ct&lt;22,$BC560=(Elig_MatchAll_Ct-1),AI560=0),F560,0)</f>
        <v>0</v>
      </c>
      <c r="BL560" s="173">
        <f>IF(AND(Input_Product=Elig!$C560,Elig_MatchAll_Ct&lt;22,$BC560=(Elig_MatchAll_Ct-1),AJ560=0),G560,0)</f>
        <v>0</v>
      </c>
      <c r="BM560" s="173">
        <f>IF(AND(Input_Product=Elig!$C560,Elig_MatchAll_Ct&lt;22,$BC560=(Elig_MatchAll_Ct-1),AK560=0),H560,0)</f>
        <v>0</v>
      </c>
      <c r="BN560" s="173">
        <f>IF(AND(Input_Product=Elig!$C560,Elig_MatchAll_Ct&lt;22,$BC560=(Elig_MatchAll_Ct-1),AL560=0),I560,0)</f>
        <v>0</v>
      </c>
      <c r="BO560" s="173">
        <f>IF(AND(Input_Product=Elig!$C560,Elig_MatchAll_Ct&lt;22,$BC560=(Elig_MatchAll_Ct-1),AM560=0),J560,0)</f>
        <v>0</v>
      </c>
      <c r="BP560" s="173">
        <f>IF(AND(Input_Product=Elig!$C560,Elig_MatchAll_Ct&lt;22,$BC560=(Elig_MatchAll_Ct-1),AN560=0),K560,0)</f>
        <v>0</v>
      </c>
      <c r="BQ560" s="173">
        <f>IF(AND(Input_Product=Elig!$C560,Elig_MatchAll_Ct&lt;22,$BC560=(Elig_MatchAll_Ct-1),AP560=0),L560,0)</f>
        <v>0</v>
      </c>
      <c r="BR560" s="173">
        <f>IF(AND(Input_Product=Elig!$C560,Elig_MatchAll_Ct&lt;22,$BC560=(Elig_MatchAll_Ct-1),AO560=0),M560,0)</f>
        <v>0</v>
      </c>
      <c r="BS560" s="173">
        <f>IF(AND(Input_Product=Elig!$C560,Elig_MatchAll_Ct&lt;22,$BC560=(Elig_MatchAll_Ct-1),AQ560=0),N560,0)</f>
        <v>0</v>
      </c>
      <c r="BT560" s="173">
        <f>IF(AND(Input_Product=Elig!$C560,Elig_MatchAll_Ct&lt;22,$BC560=(Elig_MatchAll_Ct-1),AR560=0),O560,0)</f>
        <v>0</v>
      </c>
      <c r="BU560" s="173">
        <f>IF(AND(Input_Product=Elig!$C560,Elig_MatchAll_Ct&lt;22,$BC560=(Elig_MatchAll_Ct-1),AS560=0),P560,0)</f>
        <v>0</v>
      </c>
      <c r="BV560" s="174">
        <f>IF(AND(Input_Product=Elig!$C560,Elig_MatchAll_Ct&lt;22,$BC560=(Elig_MatchAll_Ct-1),AT560=0),Q560,0)</f>
        <v>0</v>
      </c>
      <c r="BW560" s="175">
        <f>IF(AND(Input_Product=Elig!$C560,Elig_MatchAll_Ct&lt;22,$BC560=(Elig_MatchAll_Ct-1),AU560=0),R560,0)</f>
        <v>0</v>
      </c>
      <c r="BX560" s="176">
        <f>IF(AND(Input_Product=Elig!$C560,Elig_MatchAll_Ct&lt;22,$BC560=(Elig_MatchAll_Ct-1),AU560=0),S560,0)</f>
        <v>0</v>
      </c>
      <c r="BY560" s="175">
        <f>IF(AND(Input_Product=Elig!$C560,Elig_MatchAll_Ct&lt;22,$BC560=(Elig_MatchAll_Ct-1),AV560=0),T560,0)</f>
        <v>0</v>
      </c>
      <c r="BZ560" s="176">
        <f>IF(AND(Input_Product=Elig!$C560,Elig_MatchAll_Ct&lt;22,$BC560=(Elig_MatchAll_Ct-1),AV560=0),U560,0)</f>
        <v>0</v>
      </c>
      <c r="CA560" s="175">
        <f>IF(AND(Input_Product=Elig!$C560,Elig_MatchAll_Ct&lt;22,$BC560=(Elig_MatchAll_Ct-1),AW560=0),V560,0)</f>
        <v>0</v>
      </c>
      <c r="CB560" s="176">
        <f>IF(AND(Input_Product=Elig!$C560,Elig_MatchAll_Ct&lt;22,$BC560=(Elig_MatchAll_Ct-1),AW560=0),W560,0)</f>
        <v>0</v>
      </c>
      <c r="CC560" s="175">
        <f>IF(AND(Input_Product=Elig!$C560,Elig_MatchAll_Ct&lt;22,$BC560=(Elig_MatchAll_Ct-1),AX560=0),X560,0)</f>
        <v>0</v>
      </c>
      <c r="CD560" s="176">
        <f>IF(AND(Input_Product=Elig!$C560,Elig_MatchAll_Ct&lt;22,$BC560=(Elig_MatchAll_Ct-1),AX560=0),Y560,0)</f>
        <v>0</v>
      </c>
      <c r="CE560" s="175">
        <f>IF(AND(Input_LTV&lt;=AE560,Input_Product=Elig!$C560,Elig_MatchAll_Ct&lt;22,$BC560=(Elig_MatchAll_Ct-1),AY560=0),Z560,0)</f>
        <v>0</v>
      </c>
      <c r="CF560" s="176">
        <f>IF(AND(Input_LTV&lt;=AE560,Input_Product=Elig!$C560,Elig_MatchAll_Ct&lt;22,$BC560=(Elig_MatchAll_Ct-1),AY560=0),AA560,0)</f>
        <v>0</v>
      </c>
      <c r="CG560" s="175">
        <f>IF(AND(Input_Product=Elig!$C560,Elig_MatchAll_Ct&lt;22,$BC560=(Elig_MatchAll_Ct-1),AZ560=0),AB560,0)</f>
        <v>0</v>
      </c>
      <c r="CH560" s="176">
        <f>IF(AND(Input_Product=Elig!$C560,Elig_MatchAll_Ct&lt;22,$BC560=(Elig_MatchAll_Ct-1),AZ560=0),AC560,0)</f>
        <v>0</v>
      </c>
      <c r="CI560" s="175">
        <f>IF(AND(Input_Product=Elig!$C560,Elig_MatchAll_Ct&lt;22,$BC560=(Elig_MatchAll_Ct-1),BA560=0),AD560,0)</f>
        <v>0</v>
      </c>
      <c r="CJ560" s="176">
        <f>IF(AND(Input_Product=Elig!$C560,Elig_MatchAll_Ct&lt;22,$BC560=(Elig_MatchAll_Ct-1),BA560=0),AE560,0)</f>
        <v>0</v>
      </c>
    </row>
    <row r="561" spans="1:88" ht="10.15" customHeight="1" x14ac:dyDescent="0.25">
      <c r="A561" s="1476" t="s">
        <v>76</v>
      </c>
      <c r="B561" s="1476" t="s">
        <v>1128</v>
      </c>
      <c r="C561" s="1477" t="str">
        <f t="shared" si="204"/>
        <v>Second OO</v>
      </c>
      <c r="D561" s="1476" t="s">
        <v>1121</v>
      </c>
      <c r="E561" s="1476" t="s">
        <v>98</v>
      </c>
      <c r="F561" s="1476" t="s">
        <v>327</v>
      </c>
      <c r="G561" s="1544" t="s">
        <v>469</v>
      </c>
      <c r="H561" s="1478" t="s">
        <v>135</v>
      </c>
      <c r="I561" s="1476" t="s">
        <v>1141</v>
      </c>
      <c r="J561" s="1476" t="s">
        <v>1130</v>
      </c>
      <c r="K561" s="1478" t="s">
        <v>2464</v>
      </c>
      <c r="L561" s="1476" t="s">
        <v>428</v>
      </c>
      <c r="M561" s="1476" t="s">
        <v>1835</v>
      </c>
      <c r="N561" s="1478" t="s">
        <v>82</v>
      </c>
      <c r="O561" s="1476" t="s">
        <v>309</v>
      </c>
      <c r="P561" s="1476" t="s">
        <v>2433</v>
      </c>
      <c r="Q561" s="1476" t="s">
        <v>293</v>
      </c>
      <c r="R561" s="1476">
        <v>200000</v>
      </c>
      <c r="S561" s="1476">
        <v>350000</v>
      </c>
      <c r="T561" s="1476">
        <v>0</v>
      </c>
      <c r="U561" s="1476">
        <f t="shared" si="205"/>
        <v>350000</v>
      </c>
      <c r="V561" s="1476">
        <v>0</v>
      </c>
      <c r="W561" s="1476">
        <v>50</v>
      </c>
      <c r="X561" s="1476">
        <v>0</v>
      </c>
      <c r="Y561" s="1476">
        <v>999</v>
      </c>
      <c r="Z561" s="1479">
        <v>680</v>
      </c>
      <c r="AA561" s="1479">
        <v>699</v>
      </c>
      <c r="AB561" s="1479">
        <v>0</v>
      </c>
      <c r="AC561" s="1479">
        <v>999999</v>
      </c>
      <c r="AD561" s="1476">
        <v>0</v>
      </c>
      <c r="AE561" s="1219">
        <v>75</v>
      </c>
      <c r="AF561" s="144">
        <v>0</v>
      </c>
      <c r="AG561" s="145">
        <v>0</v>
      </c>
      <c r="AH561" s="145">
        <v>1</v>
      </c>
      <c r="AI561" s="145">
        <v>0</v>
      </c>
      <c r="AJ561" s="145">
        <v>0</v>
      </c>
      <c r="AK561" s="145">
        <v>1</v>
      </c>
      <c r="AL561" s="145">
        <v>1</v>
      </c>
      <c r="AM561" s="145">
        <v>1</v>
      </c>
      <c r="AN561" s="145">
        <v>1</v>
      </c>
      <c r="AO561" s="145">
        <v>1</v>
      </c>
      <c r="AP561" s="145">
        <v>1</v>
      </c>
      <c r="AQ561" s="145">
        <v>0</v>
      </c>
      <c r="AR561" s="145">
        <v>1</v>
      </c>
      <c r="AS561" s="145">
        <v>1</v>
      </c>
      <c r="AT561" s="145">
        <v>1</v>
      </c>
      <c r="AU561" s="145">
        <f t="shared" si="206"/>
        <v>0</v>
      </c>
      <c r="AV561" s="145">
        <f t="shared" si="207"/>
        <v>1</v>
      </c>
      <c r="AW561" s="145">
        <f t="shared" si="208"/>
        <v>1</v>
      </c>
      <c r="AX561" s="145">
        <f t="shared" si="212"/>
        <v>1</v>
      </c>
      <c r="AY561" s="145">
        <f t="shared" si="209"/>
        <v>0</v>
      </c>
      <c r="AZ561" s="145">
        <f t="shared" si="210"/>
        <v>1</v>
      </c>
      <c r="BA561" s="146">
        <f t="shared" si="211"/>
        <v>1</v>
      </c>
      <c r="BB561" s="149">
        <f t="shared" si="190"/>
        <v>15</v>
      </c>
      <c r="BC561" s="150">
        <f t="shared" si="191"/>
        <v>14</v>
      </c>
      <c r="BD561" s="150">
        <f t="shared" si="192"/>
        <v>15</v>
      </c>
      <c r="BE561" s="211" t="str">
        <f t="shared" si="193"/>
        <v/>
      </c>
      <c r="BF561" s="205"/>
      <c r="BG561" s="205"/>
      <c r="BH561" s="173">
        <f>IF(AND(Input_Product=Elig!$C561,Elig_MatchAll_Ct&lt;22,$BC561=(Elig_MatchAll_Ct-1),AF561=0),C561,0)</f>
        <v>0</v>
      </c>
      <c r="BI561" s="173">
        <f>IF(AND(Input_Product=Elig!$C561,Elig_MatchAll_Ct&lt;22,$BC561=(Elig_MatchAll_Ct-1),AG561=0),D561,0)</f>
        <v>0</v>
      </c>
      <c r="BJ561" s="173">
        <f>IF(AND(Input_Product=Elig!$C561,Elig_MatchAll_Ct&lt;22,$BC561=(Elig_MatchAll_Ct-1),AH561=0),E561,0)</f>
        <v>0</v>
      </c>
      <c r="BK561" s="173">
        <f>IF(AND(Input_Product=Elig!$C561,Elig_MatchAll_Ct&lt;22,$BC561=(Elig_MatchAll_Ct-1),AI561=0),F561,0)</f>
        <v>0</v>
      </c>
      <c r="BL561" s="173">
        <f>IF(AND(Input_Product=Elig!$C561,Elig_MatchAll_Ct&lt;22,$BC561=(Elig_MatchAll_Ct-1),AJ561=0),G561,0)</f>
        <v>0</v>
      </c>
      <c r="BM561" s="173">
        <f>IF(AND(Input_Product=Elig!$C561,Elig_MatchAll_Ct&lt;22,$BC561=(Elig_MatchAll_Ct-1),AK561=0),H561,0)</f>
        <v>0</v>
      </c>
      <c r="BN561" s="173">
        <f>IF(AND(Input_Product=Elig!$C561,Elig_MatchAll_Ct&lt;22,$BC561=(Elig_MatchAll_Ct-1),AL561=0),I561,0)</f>
        <v>0</v>
      </c>
      <c r="BO561" s="173">
        <f>IF(AND(Input_Product=Elig!$C561,Elig_MatchAll_Ct&lt;22,$BC561=(Elig_MatchAll_Ct-1),AM561=0),J561,0)</f>
        <v>0</v>
      </c>
      <c r="BP561" s="173">
        <f>IF(AND(Input_Product=Elig!$C561,Elig_MatchAll_Ct&lt;22,$BC561=(Elig_MatchAll_Ct-1),AN561=0),K561,0)</f>
        <v>0</v>
      </c>
      <c r="BQ561" s="173">
        <f>IF(AND(Input_Product=Elig!$C561,Elig_MatchAll_Ct&lt;22,$BC561=(Elig_MatchAll_Ct-1),AP561=0),L561,0)</f>
        <v>0</v>
      </c>
      <c r="BR561" s="173">
        <f>IF(AND(Input_Product=Elig!$C561,Elig_MatchAll_Ct&lt;22,$BC561=(Elig_MatchAll_Ct-1),AO561=0),M561,0)</f>
        <v>0</v>
      </c>
      <c r="BS561" s="173">
        <f>IF(AND(Input_Product=Elig!$C561,Elig_MatchAll_Ct&lt;22,$BC561=(Elig_MatchAll_Ct-1),AQ561=0),N561,0)</f>
        <v>0</v>
      </c>
      <c r="BT561" s="173">
        <f>IF(AND(Input_Product=Elig!$C561,Elig_MatchAll_Ct&lt;22,$BC561=(Elig_MatchAll_Ct-1),AR561=0),O561,0)</f>
        <v>0</v>
      </c>
      <c r="BU561" s="173">
        <f>IF(AND(Input_Product=Elig!$C561,Elig_MatchAll_Ct&lt;22,$BC561=(Elig_MatchAll_Ct-1),AS561=0),P561,0)</f>
        <v>0</v>
      </c>
      <c r="BV561" s="174">
        <f>IF(AND(Input_Product=Elig!$C561,Elig_MatchAll_Ct&lt;22,$BC561=(Elig_MatchAll_Ct-1),AT561=0),Q561,0)</f>
        <v>0</v>
      </c>
      <c r="BW561" s="175">
        <f>IF(AND(Input_Product=Elig!$C561,Elig_MatchAll_Ct&lt;22,$BC561=(Elig_MatchAll_Ct-1),AU561=0),R561,0)</f>
        <v>0</v>
      </c>
      <c r="BX561" s="176">
        <f>IF(AND(Input_Product=Elig!$C561,Elig_MatchAll_Ct&lt;22,$BC561=(Elig_MatchAll_Ct-1),AU561=0),S561,0)</f>
        <v>0</v>
      </c>
      <c r="BY561" s="175">
        <f>IF(AND(Input_Product=Elig!$C561,Elig_MatchAll_Ct&lt;22,$BC561=(Elig_MatchAll_Ct-1),AV561=0),T561,0)</f>
        <v>0</v>
      </c>
      <c r="BZ561" s="176">
        <f>IF(AND(Input_Product=Elig!$C561,Elig_MatchAll_Ct&lt;22,$BC561=(Elig_MatchAll_Ct-1),AV561=0),U561,0)</f>
        <v>0</v>
      </c>
      <c r="CA561" s="175">
        <f>IF(AND(Input_Product=Elig!$C561,Elig_MatchAll_Ct&lt;22,$BC561=(Elig_MatchAll_Ct-1),AW561=0),V561,0)</f>
        <v>0</v>
      </c>
      <c r="CB561" s="176">
        <f>IF(AND(Input_Product=Elig!$C561,Elig_MatchAll_Ct&lt;22,$BC561=(Elig_MatchAll_Ct-1),AW561=0),W561,0)</f>
        <v>0</v>
      </c>
      <c r="CC561" s="175">
        <f>IF(AND(Input_Product=Elig!$C561,Elig_MatchAll_Ct&lt;22,$BC561=(Elig_MatchAll_Ct-1),AX561=0),X561,0)</f>
        <v>0</v>
      </c>
      <c r="CD561" s="176">
        <f>IF(AND(Input_Product=Elig!$C561,Elig_MatchAll_Ct&lt;22,$BC561=(Elig_MatchAll_Ct-1),AX561=0),Y561,0)</f>
        <v>0</v>
      </c>
      <c r="CE561" s="175">
        <f>IF(AND(Input_LTV&lt;=AE561,Input_Product=Elig!$C561,Elig_MatchAll_Ct&lt;22,$BC561=(Elig_MatchAll_Ct-1),AY561=0),Z561,0)</f>
        <v>0</v>
      </c>
      <c r="CF561" s="176">
        <f>IF(AND(Input_LTV&lt;=AE561,Input_Product=Elig!$C561,Elig_MatchAll_Ct&lt;22,$BC561=(Elig_MatchAll_Ct-1),AY561=0),AA561,0)</f>
        <v>0</v>
      </c>
      <c r="CG561" s="175">
        <f>IF(AND(Input_Product=Elig!$C561,Elig_MatchAll_Ct&lt;22,$BC561=(Elig_MatchAll_Ct-1),AZ561=0),AB561,0)</f>
        <v>0</v>
      </c>
      <c r="CH561" s="176">
        <f>IF(AND(Input_Product=Elig!$C561,Elig_MatchAll_Ct&lt;22,$BC561=(Elig_MatchAll_Ct-1),AZ561=0),AC561,0)</f>
        <v>0</v>
      </c>
      <c r="CI561" s="175">
        <f>IF(AND(Input_Product=Elig!$C561,Elig_MatchAll_Ct&lt;22,$BC561=(Elig_MatchAll_Ct-1),BA561=0),AD561,0)</f>
        <v>0</v>
      </c>
      <c r="CJ561" s="176">
        <f>IF(AND(Input_Product=Elig!$C561,Elig_MatchAll_Ct&lt;22,$BC561=(Elig_MatchAll_Ct-1),BA561=0),AE561,0)</f>
        <v>0</v>
      </c>
    </row>
    <row r="562" spans="1:88" ht="10.15" customHeight="1" x14ac:dyDescent="0.25">
      <c r="A562" s="1476" t="s">
        <v>76</v>
      </c>
      <c r="B562" s="1476" t="s">
        <v>1129</v>
      </c>
      <c r="C562" s="1481" t="str">
        <f t="shared" si="204"/>
        <v>Second OO</v>
      </c>
      <c r="D562" s="1480" t="s">
        <v>1121</v>
      </c>
      <c r="E562" s="1480" t="s">
        <v>98</v>
      </c>
      <c r="F562" s="1480" t="s">
        <v>327</v>
      </c>
      <c r="G562" s="1545" t="s">
        <v>469</v>
      </c>
      <c r="H562" s="1482" t="s">
        <v>135</v>
      </c>
      <c r="I562" s="1480" t="s">
        <v>1141</v>
      </c>
      <c r="J562" s="1480" t="s">
        <v>1130</v>
      </c>
      <c r="K562" s="1482" t="s">
        <v>2464</v>
      </c>
      <c r="L562" s="1480" t="s">
        <v>428</v>
      </c>
      <c r="M562" s="1480" t="s">
        <v>1835</v>
      </c>
      <c r="N562" s="1482" t="s">
        <v>82</v>
      </c>
      <c r="O562" s="1480" t="s">
        <v>309</v>
      </c>
      <c r="P562" s="1480" t="s">
        <v>2433</v>
      </c>
      <c r="Q562" s="1480" t="s">
        <v>293</v>
      </c>
      <c r="R562" s="1480">
        <v>200000</v>
      </c>
      <c r="S562" s="1480">
        <v>350000</v>
      </c>
      <c r="T562" s="1480">
        <v>0</v>
      </c>
      <c r="U562" s="1480">
        <f t="shared" si="205"/>
        <v>350000</v>
      </c>
      <c r="V562" s="1480">
        <v>0</v>
      </c>
      <c r="W562" s="1480">
        <v>50</v>
      </c>
      <c r="X562" s="1480">
        <v>0</v>
      </c>
      <c r="Y562" s="1480">
        <v>999</v>
      </c>
      <c r="Z562" s="1483">
        <v>660</v>
      </c>
      <c r="AA562" s="1483">
        <v>679</v>
      </c>
      <c r="AB562" s="1483">
        <v>0</v>
      </c>
      <c r="AC562" s="1483">
        <v>999999</v>
      </c>
      <c r="AD562" s="1480">
        <v>0</v>
      </c>
      <c r="AE562" s="1220">
        <v>70</v>
      </c>
      <c r="AF562" s="144">
        <v>0</v>
      </c>
      <c r="AG562" s="145">
        <v>0</v>
      </c>
      <c r="AH562" s="145">
        <v>1</v>
      </c>
      <c r="AI562" s="145">
        <v>0</v>
      </c>
      <c r="AJ562" s="145">
        <v>0</v>
      </c>
      <c r="AK562" s="145">
        <v>1</v>
      </c>
      <c r="AL562" s="145">
        <v>1</v>
      </c>
      <c r="AM562" s="145">
        <v>1</v>
      </c>
      <c r="AN562" s="145">
        <v>1</v>
      </c>
      <c r="AO562" s="145">
        <v>1</v>
      </c>
      <c r="AP562" s="145">
        <v>1</v>
      </c>
      <c r="AQ562" s="145">
        <v>0</v>
      </c>
      <c r="AR562" s="145">
        <v>1</v>
      </c>
      <c r="AS562" s="145">
        <v>1</v>
      </c>
      <c r="AT562" s="145">
        <v>1</v>
      </c>
      <c r="AU562" s="145">
        <f t="shared" si="206"/>
        <v>0</v>
      </c>
      <c r="AV562" s="145">
        <f t="shared" si="207"/>
        <v>1</v>
      </c>
      <c r="AW562" s="145">
        <f t="shared" si="208"/>
        <v>1</v>
      </c>
      <c r="AX562" s="145">
        <f t="shared" si="212"/>
        <v>1</v>
      </c>
      <c r="AY562" s="145">
        <f t="shared" si="209"/>
        <v>0</v>
      </c>
      <c r="AZ562" s="145">
        <f t="shared" si="210"/>
        <v>1</v>
      </c>
      <c r="BA562" s="146">
        <f t="shared" si="211"/>
        <v>1</v>
      </c>
      <c r="BB562" s="149">
        <f t="shared" si="190"/>
        <v>15</v>
      </c>
      <c r="BC562" s="150">
        <f t="shared" si="191"/>
        <v>14</v>
      </c>
      <c r="BD562" s="150">
        <f t="shared" si="192"/>
        <v>15</v>
      </c>
      <c r="BE562" s="211" t="str">
        <f t="shared" si="193"/>
        <v/>
      </c>
      <c r="BF562" s="205"/>
      <c r="BG562" s="205"/>
      <c r="BH562" s="188">
        <f>IF(AND(Input_Product=Elig!$C562,Elig_MatchAll_Ct&lt;22,$BC562=(Elig_MatchAll_Ct-1),AF562=0),C562,0)</f>
        <v>0</v>
      </c>
      <c r="BI562" s="188">
        <f>IF(AND(Input_Product=Elig!$C562,Elig_MatchAll_Ct&lt;22,$BC562=(Elig_MatchAll_Ct-1),AG562=0),D562,0)</f>
        <v>0</v>
      </c>
      <c r="BJ562" s="188">
        <f>IF(AND(Input_Product=Elig!$C562,Elig_MatchAll_Ct&lt;22,$BC562=(Elig_MatchAll_Ct-1),AH562=0),E562,0)</f>
        <v>0</v>
      </c>
      <c r="BK562" s="188">
        <f>IF(AND(Input_Product=Elig!$C562,Elig_MatchAll_Ct&lt;22,$BC562=(Elig_MatchAll_Ct-1),AI562=0),F562,0)</f>
        <v>0</v>
      </c>
      <c r="BL562" s="188">
        <f>IF(AND(Input_Product=Elig!$C562,Elig_MatchAll_Ct&lt;22,$BC562=(Elig_MatchAll_Ct-1),AJ562=0),G562,0)</f>
        <v>0</v>
      </c>
      <c r="BM562" s="188">
        <f>IF(AND(Input_Product=Elig!$C562,Elig_MatchAll_Ct&lt;22,$BC562=(Elig_MatchAll_Ct-1),AK562=0),H562,0)</f>
        <v>0</v>
      </c>
      <c r="BN562" s="188">
        <f>IF(AND(Input_Product=Elig!$C562,Elig_MatchAll_Ct&lt;22,$BC562=(Elig_MatchAll_Ct-1),AL562=0),I562,0)</f>
        <v>0</v>
      </c>
      <c r="BO562" s="188">
        <f>IF(AND(Input_Product=Elig!$C562,Elig_MatchAll_Ct&lt;22,$BC562=(Elig_MatchAll_Ct-1),AM562=0),J562,0)</f>
        <v>0</v>
      </c>
      <c r="BP562" s="188">
        <f>IF(AND(Input_Product=Elig!$C562,Elig_MatchAll_Ct&lt;22,$BC562=(Elig_MatchAll_Ct-1),AN562=0),K562,0)</f>
        <v>0</v>
      </c>
      <c r="BQ562" s="188">
        <f>IF(AND(Input_Product=Elig!$C562,Elig_MatchAll_Ct&lt;22,$BC562=(Elig_MatchAll_Ct-1),AP562=0),L562,0)</f>
        <v>0</v>
      </c>
      <c r="BR562" s="188">
        <f>IF(AND(Input_Product=Elig!$C562,Elig_MatchAll_Ct&lt;22,$BC562=(Elig_MatchAll_Ct-1),AO562=0),M562,0)</f>
        <v>0</v>
      </c>
      <c r="BS562" s="188">
        <f>IF(AND(Input_Product=Elig!$C562,Elig_MatchAll_Ct&lt;22,$BC562=(Elig_MatchAll_Ct-1),AQ562=0),N562,0)</f>
        <v>0</v>
      </c>
      <c r="BT562" s="188">
        <f>IF(AND(Input_Product=Elig!$C562,Elig_MatchAll_Ct&lt;22,$BC562=(Elig_MatchAll_Ct-1),AR562=0),O562,0)</f>
        <v>0</v>
      </c>
      <c r="BU562" s="188">
        <f>IF(AND(Input_Product=Elig!$C562,Elig_MatchAll_Ct&lt;22,$BC562=(Elig_MatchAll_Ct-1),AS562=0),P562,0)</f>
        <v>0</v>
      </c>
      <c r="BV562" s="189">
        <f>IF(AND(Input_Product=Elig!$C562,Elig_MatchAll_Ct&lt;22,$BC562=(Elig_MatchAll_Ct-1),AT562=0),Q562,0)</f>
        <v>0</v>
      </c>
      <c r="BW562" s="271">
        <f>IF(AND(Input_Product=Elig!$C562,Elig_MatchAll_Ct&lt;22,$BC562=(Elig_MatchAll_Ct-1),AU562=0),R562,0)</f>
        <v>0</v>
      </c>
      <c r="BX562" s="272">
        <f>IF(AND(Input_Product=Elig!$C562,Elig_MatchAll_Ct&lt;22,$BC562=(Elig_MatchAll_Ct-1),AU562=0),S562,0)</f>
        <v>0</v>
      </c>
      <c r="BY562" s="271">
        <f>IF(AND(Input_Product=Elig!$C562,Elig_MatchAll_Ct&lt;22,$BC562=(Elig_MatchAll_Ct-1),AV562=0),T562,0)</f>
        <v>0</v>
      </c>
      <c r="BZ562" s="272">
        <f>IF(AND(Input_Product=Elig!$C562,Elig_MatchAll_Ct&lt;22,$BC562=(Elig_MatchAll_Ct-1),AV562=0),U562,0)</f>
        <v>0</v>
      </c>
      <c r="CA562" s="271">
        <f>IF(AND(Input_Product=Elig!$C562,Elig_MatchAll_Ct&lt;22,$BC562=(Elig_MatchAll_Ct-1),AW562=0),V562,0)</f>
        <v>0</v>
      </c>
      <c r="CB562" s="272">
        <f>IF(AND(Input_Product=Elig!$C562,Elig_MatchAll_Ct&lt;22,$BC562=(Elig_MatchAll_Ct-1),AW562=0),W562,0)</f>
        <v>0</v>
      </c>
      <c r="CC562" s="271">
        <f>IF(AND(Input_Product=Elig!$C562,Elig_MatchAll_Ct&lt;22,$BC562=(Elig_MatchAll_Ct-1),AX562=0),X562,0)</f>
        <v>0</v>
      </c>
      <c r="CD562" s="272">
        <f>IF(AND(Input_Product=Elig!$C562,Elig_MatchAll_Ct&lt;22,$BC562=(Elig_MatchAll_Ct-1),AX562=0),Y562,0)</f>
        <v>0</v>
      </c>
      <c r="CE562" s="271">
        <f>IF(AND(Input_LTV&lt;=AE562,Input_Product=Elig!$C562,Elig_MatchAll_Ct&lt;22,$BC562=(Elig_MatchAll_Ct-1),AY562=0),Z562,0)</f>
        <v>0</v>
      </c>
      <c r="CF562" s="272">
        <f>IF(AND(Input_LTV&lt;=AE562,Input_Product=Elig!$C562,Elig_MatchAll_Ct&lt;22,$BC562=(Elig_MatchAll_Ct-1),AY562=0),AA562,0)</f>
        <v>0</v>
      </c>
      <c r="CG562" s="271">
        <f>IF(AND(Input_Product=Elig!$C562,Elig_MatchAll_Ct&lt;22,$BC562=(Elig_MatchAll_Ct-1),AZ562=0),AB562,0)</f>
        <v>0</v>
      </c>
      <c r="CH562" s="272">
        <f>IF(AND(Input_Product=Elig!$C562,Elig_MatchAll_Ct&lt;22,$BC562=(Elig_MatchAll_Ct-1),AZ562=0),AC562,0)</f>
        <v>0</v>
      </c>
      <c r="CI562" s="271">
        <f>IF(AND(Input_Product=Elig!$C562,Elig_MatchAll_Ct&lt;22,$BC562=(Elig_MatchAll_Ct-1),BA562=0),AD562,0)</f>
        <v>0</v>
      </c>
      <c r="CJ562" s="272">
        <f>IF(AND(Input_Product=Elig!$C562,Elig_MatchAll_Ct&lt;22,$BC562=(Elig_MatchAll_Ct-1),BA562=0),AE562,0)</f>
        <v>0</v>
      </c>
    </row>
    <row r="563" spans="1:88" ht="10.15" customHeight="1" x14ac:dyDescent="0.25">
      <c r="A563" s="1476" t="s">
        <v>76</v>
      </c>
      <c r="B563" s="1476" t="s">
        <v>1340</v>
      </c>
      <c r="C563" s="1473" t="str">
        <f t="shared" si="204"/>
        <v>Second OO</v>
      </c>
      <c r="D563" s="1474" t="s">
        <v>1331</v>
      </c>
      <c r="E563" s="1474" t="s">
        <v>98</v>
      </c>
      <c r="F563" s="1474" t="s">
        <v>327</v>
      </c>
      <c r="G563" s="1474" t="s">
        <v>178</v>
      </c>
      <c r="H563" s="1474" t="s">
        <v>135</v>
      </c>
      <c r="I563" s="1472" t="s">
        <v>1141</v>
      </c>
      <c r="J563" s="1472" t="s">
        <v>1130</v>
      </c>
      <c r="K563" s="1474" t="s">
        <v>2464</v>
      </c>
      <c r="L563" s="1472" t="s">
        <v>428</v>
      </c>
      <c r="M563" s="1472" t="s">
        <v>1835</v>
      </c>
      <c r="N563" s="1474" t="s">
        <v>82</v>
      </c>
      <c r="O563" s="1472" t="s">
        <v>309</v>
      </c>
      <c r="P563" s="1472" t="s">
        <v>2433</v>
      </c>
      <c r="Q563" s="1472" t="s">
        <v>293</v>
      </c>
      <c r="R563" s="1472">
        <v>50000</v>
      </c>
      <c r="S563" s="1472">
        <v>350000</v>
      </c>
      <c r="T563" s="1472">
        <v>0</v>
      </c>
      <c r="U563" s="1472">
        <f t="shared" si="205"/>
        <v>350000</v>
      </c>
      <c r="V563" s="1472">
        <v>0</v>
      </c>
      <c r="W563" s="1472">
        <v>50</v>
      </c>
      <c r="X563" s="1472">
        <v>0</v>
      </c>
      <c r="Y563" s="1472">
        <v>999</v>
      </c>
      <c r="Z563" s="1475">
        <v>720</v>
      </c>
      <c r="AA563" s="1475">
        <v>999</v>
      </c>
      <c r="AB563" s="1475">
        <v>0</v>
      </c>
      <c r="AC563" s="1475">
        <v>999999</v>
      </c>
      <c r="AD563" s="1472">
        <v>0</v>
      </c>
      <c r="AE563" s="1218">
        <v>80</v>
      </c>
      <c r="AF563" s="144">
        <v>0</v>
      </c>
      <c r="AG563" s="145">
        <v>1</v>
      </c>
      <c r="AH563" s="145">
        <v>1</v>
      </c>
      <c r="AI563" s="145">
        <v>0</v>
      </c>
      <c r="AJ563" s="145">
        <v>0</v>
      </c>
      <c r="AK563" s="145">
        <v>1</v>
      </c>
      <c r="AL563" s="145">
        <v>1</v>
      </c>
      <c r="AM563" s="145">
        <v>1</v>
      </c>
      <c r="AN563" s="145">
        <v>1</v>
      </c>
      <c r="AO563" s="145">
        <v>1</v>
      </c>
      <c r="AP563" s="145">
        <v>1</v>
      </c>
      <c r="AQ563" s="145">
        <v>0</v>
      </c>
      <c r="AR563" s="145">
        <v>1</v>
      </c>
      <c r="AS563" s="145">
        <v>1</v>
      </c>
      <c r="AT563" s="145">
        <v>1</v>
      </c>
      <c r="AU563" s="145">
        <f t="shared" si="206"/>
        <v>1</v>
      </c>
      <c r="AV563" s="145">
        <f t="shared" si="207"/>
        <v>1</v>
      </c>
      <c r="AW563" s="145">
        <f t="shared" si="208"/>
        <v>1</v>
      </c>
      <c r="AX563" s="145">
        <f t="shared" si="212"/>
        <v>1</v>
      </c>
      <c r="AY563" s="145">
        <f t="shared" si="209"/>
        <v>1</v>
      </c>
      <c r="AZ563" s="145">
        <f t="shared" si="210"/>
        <v>1</v>
      </c>
      <c r="BA563" s="146">
        <f t="shared" si="211"/>
        <v>1</v>
      </c>
      <c r="BB563" s="149">
        <f t="shared" si="190"/>
        <v>18</v>
      </c>
      <c r="BC563" s="150">
        <f t="shared" si="191"/>
        <v>17</v>
      </c>
      <c r="BD563" s="150">
        <f t="shared" si="192"/>
        <v>18</v>
      </c>
      <c r="BE563" s="211" t="str">
        <f t="shared" si="193"/>
        <v/>
      </c>
      <c r="BF563" s="205"/>
      <c r="BG563" s="205"/>
      <c r="BH563" s="1414">
        <f>IF(AND(Input_Product=Elig!$C563,Elig_MatchAll_Ct&lt;22,$BC563=(Elig_MatchAll_Ct-1),AF563=0),C563,0)</f>
        <v>0</v>
      </c>
      <c r="BI563" s="1414">
        <f>IF(AND(Input_Product=Elig!$C563,Elig_MatchAll_Ct&lt;22,$BC563=(Elig_MatchAll_Ct-1),AG563=0),D563,0)</f>
        <v>0</v>
      </c>
      <c r="BJ563" s="1414">
        <f>IF(AND(Input_Product=Elig!$C563,Elig_MatchAll_Ct&lt;22,$BC563=(Elig_MatchAll_Ct-1),AH563=0),E563,0)</f>
        <v>0</v>
      </c>
      <c r="BK563" s="1414">
        <f>IF(AND(Input_Product=Elig!$C563,Elig_MatchAll_Ct&lt;22,$BC563=(Elig_MatchAll_Ct-1),AI563=0),F563,0)</f>
        <v>0</v>
      </c>
      <c r="BL563" s="1414">
        <f>IF(AND(Input_Product=Elig!$C563,Elig_MatchAll_Ct&lt;22,$BC563=(Elig_MatchAll_Ct-1),AJ563=0),G563,0)</f>
        <v>0</v>
      </c>
      <c r="BM563" s="1414">
        <f>IF(AND(Input_Product=Elig!$C563,Elig_MatchAll_Ct&lt;22,$BC563=(Elig_MatchAll_Ct-1),AK563=0),H563,0)</f>
        <v>0</v>
      </c>
      <c r="BN563" s="1414">
        <f>IF(AND(Input_Product=Elig!$C563,Elig_MatchAll_Ct&lt;22,$BC563=(Elig_MatchAll_Ct-1),AL563=0),I563,0)</f>
        <v>0</v>
      </c>
      <c r="BO563" s="1414">
        <f>IF(AND(Input_Product=Elig!$C563,Elig_MatchAll_Ct&lt;22,$BC563=(Elig_MatchAll_Ct-1),AM563=0),J563,0)</f>
        <v>0</v>
      </c>
      <c r="BP563" s="1414">
        <f>IF(AND(Input_Product=Elig!$C563,Elig_MatchAll_Ct&lt;22,$BC563=(Elig_MatchAll_Ct-1),AN563=0),K563,0)</f>
        <v>0</v>
      </c>
      <c r="BQ563" s="1414">
        <f>IF(AND(Input_Product=Elig!$C563,Elig_MatchAll_Ct&lt;22,$BC563=(Elig_MatchAll_Ct-1),AP563=0),L563,0)</f>
        <v>0</v>
      </c>
      <c r="BR563" s="1414">
        <f>IF(AND(Input_Product=Elig!$C563,Elig_MatchAll_Ct&lt;22,$BC563=(Elig_MatchAll_Ct-1),AO563=0),M563,0)</f>
        <v>0</v>
      </c>
      <c r="BS563" s="1414">
        <f>IF(AND(Input_Product=Elig!$C563,Elig_MatchAll_Ct&lt;22,$BC563=(Elig_MatchAll_Ct-1),AQ563=0),N563,0)</f>
        <v>0</v>
      </c>
      <c r="BT563" s="1414">
        <f>IF(AND(Input_Product=Elig!$C563,Elig_MatchAll_Ct&lt;22,$BC563=(Elig_MatchAll_Ct-1),AR563=0),O563,0)</f>
        <v>0</v>
      </c>
      <c r="BU563" s="1414">
        <f>IF(AND(Input_Product=Elig!$C563,Elig_MatchAll_Ct&lt;22,$BC563=(Elig_MatchAll_Ct-1),AS563=0),P563,0)</f>
        <v>0</v>
      </c>
      <c r="BV563" s="1415">
        <f>IF(AND(Input_Product=Elig!$C563,Elig_MatchAll_Ct&lt;22,$BC563=(Elig_MatchAll_Ct-1),AT563=0),Q563,0)</f>
        <v>0</v>
      </c>
      <c r="BW563" s="1416">
        <f>IF(AND(Input_Product=Elig!$C563,Elig_MatchAll_Ct&lt;22,$BC563=(Elig_MatchAll_Ct-1),AU563=0),R563,0)</f>
        <v>0</v>
      </c>
      <c r="BX563" s="1417">
        <f>IF(AND(Input_Product=Elig!$C563,Elig_MatchAll_Ct&lt;22,$BC563=(Elig_MatchAll_Ct-1),AU563=0),S563,0)</f>
        <v>0</v>
      </c>
      <c r="BY563" s="1416">
        <f>IF(AND(Input_Product=Elig!$C563,Elig_MatchAll_Ct&lt;22,$BC563=(Elig_MatchAll_Ct-1),AV563=0),T563,0)</f>
        <v>0</v>
      </c>
      <c r="BZ563" s="1417">
        <f>IF(AND(Input_Product=Elig!$C563,Elig_MatchAll_Ct&lt;22,$BC563=(Elig_MatchAll_Ct-1),AV563=0),U563,0)</f>
        <v>0</v>
      </c>
      <c r="CA563" s="1416">
        <f>IF(AND(Input_Product=Elig!$C563,Elig_MatchAll_Ct&lt;22,$BC563=(Elig_MatchAll_Ct-1),AW563=0),V563,0)</f>
        <v>0</v>
      </c>
      <c r="CB563" s="1417">
        <f>IF(AND(Input_Product=Elig!$C563,Elig_MatchAll_Ct&lt;22,$BC563=(Elig_MatchAll_Ct-1),AW563=0),W563,0)</f>
        <v>0</v>
      </c>
      <c r="CC563" s="1416">
        <f>IF(AND(Input_Product=Elig!$C563,Elig_MatchAll_Ct&lt;22,$BC563=(Elig_MatchAll_Ct-1),AX563=0),X563,0)</f>
        <v>0</v>
      </c>
      <c r="CD563" s="1417">
        <f>IF(AND(Input_Product=Elig!$C563,Elig_MatchAll_Ct&lt;22,$BC563=(Elig_MatchAll_Ct-1),AX563=0),Y563,0)</f>
        <v>0</v>
      </c>
      <c r="CE563" s="1416">
        <f>IF(AND(Input_LTV&lt;=AE563,Input_Product=Elig!$C563,Elig_MatchAll_Ct&lt;22,$BC563=(Elig_MatchAll_Ct-1),AY563=0),Z563,0)</f>
        <v>0</v>
      </c>
      <c r="CF563" s="1417">
        <f>IF(AND(Input_LTV&lt;=AE563,Input_Product=Elig!$C563,Elig_MatchAll_Ct&lt;22,$BC563=(Elig_MatchAll_Ct-1),AY563=0),AA563,0)</f>
        <v>0</v>
      </c>
      <c r="CG563" s="1416">
        <f>IF(AND(Input_Product=Elig!$C563,Elig_MatchAll_Ct&lt;22,$BC563=(Elig_MatchAll_Ct-1),AZ563=0),AB563,0)</f>
        <v>0</v>
      </c>
      <c r="CH563" s="1417">
        <f>IF(AND(Input_Product=Elig!$C563,Elig_MatchAll_Ct&lt;22,$BC563=(Elig_MatchAll_Ct-1),AZ563=0),AC563,0)</f>
        <v>0</v>
      </c>
      <c r="CI563" s="1416">
        <f>IF(AND(Input_Product=Elig!$C563,Elig_MatchAll_Ct&lt;22,$BC563=(Elig_MatchAll_Ct-1),BA563=0),AD563,0)</f>
        <v>0</v>
      </c>
      <c r="CJ563" s="1417">
        <f>IF(AND(Input_Product=Elig!$C563,Elig_MatchAll_Ct&lt;22,$BC563=(Elig_MatchAll_Ct-1),BA563=0),AE563,0)</f>
        <v>0</v>
      </c>
    </row>
    <row r="564" spans="1:88" ht="10.15" customHeight="1" x14ac:dyDescent="0.25">
      <c r="A564" s="1476" t="s">
        <v>76</v>
      </c>
      <c r="B564" s="1476" t="s">
        <v>1341</v>
      </c>
      <c r="C564" s="1477" t="str">
        <f t="shared" si="204"/>
        <v>Second OO</v>
      </c>
      <c r="D564" s="1476" t="s">
        <v>1331</v>
      </c>
      <c r="E564" s="1476" t="s">
        <v>98</v>
      </c>
      <c r="F564" s="1476" t="s">
        <v>327</v>
      </c>
      <c r="G564" s="1478" t="s">
        <v>178</v>
      </c>
      <c r="H564" s="1478" t="s">
        <v>135</v>
      </c>
      <c r="I564" s="1476" t="s">
        <v>1141</v>
      </c>
      <c r="J564" s="1476" t="s">
        <v>1130</v>
      </c>
      <c r="K564" s="1478" t="s">
        <v>2464</v>
      </c>
      <c r="L564" s="1476" t="s">
        <v>428</v>
      </c>
      <c r="M564" s="1476" t="s">
        <v>1835</v>
      </c>
      <c r="N564" s="1478" t="s">
        <v>82</v>
      </c>
      <c r="O564" s="1476" t="s">
        <v>309</v>
      </c>
      <c r="P564" s="1476" t="s">
        <v>2433</v>
      </c>
      <c r="Q564" s="1476" t="s">
        <v>293</v>
      </c>
      <c r="R564" s="1476">
        <v>50000</v>
      </c>
      <c r="S564" s="1476">
        <v>350000</v>
      </c>
      <c r="T564" s="1476">
        <v>0</v>
      </c>
      <c r="U564" s="1476">
        <f t="shared" si="205"/>
        <v>350000</v>
      </c>
      <c r="V564" s="1476">
        <v>0</v>
      </c>
      <c r="W564" s="1476">
        <v>50</v>
      </c>
      <c r="X564" s="1476">
        <v>0</v>
      </c>
      <c r="Y564" s="1476">
        <v>999</v>
      </c>
      <c r="Z564" s="1479">
        <v>700</v>
      </c>
      <c r="AA564" s="1479">
        <v>719</v>
      </c>
      <c r="AB564" s="1479">
        <v>0</v>
      </c>
      <c r="AC564" s="1479">
        <v>999999</v>
      </c>
      <c r="AD564" s="1476">
        <v>0</v>
      </c>
      <c r="AE564" s="1219">
        <v>75</v>
      </c>
      <c r="AF564" s="144">
        <v>0</v>
      </c>
      <c r="AG564" s="145">
        <v>1</v>
      </c>
      <c r="AH564" s="145">
        <v>1</v>
      </c>
      <c r="AI564" s="145">
        <v>0</v>
      </c>
      <c r="AJ564" s="145">
        <v>0</v>
      </c>
      <c r="AK564" s="145">
        <v>1</v>
      </c>
      <c r="AL564" s="145">
        <v>1</v>
      </c>
      <c r="AM564" s="145">
        <v>1</v>
      </c>
      <c r="AN564" s="145">
        <v>1</v>
      </c>
      <c r="AO564" s="145">
        <v>1</v>
      </c>
      <c r="AP564" s="145">
        <v>1</v>
      </c>
      <c r="AQ564" s="145">
        <v>0</v>
      </c>
      <c r="AR564" s="145">
        <v>1</v>
      </c>
      <c r="AS564" s="145">
        <v>1</v>
      </c>
      <c r="AT564" s="145">
        <v>1</v>
      </c>
      <c r="AU564" s="145">
        <f t="shared" si="206"/>
        <v>1</v>
      </c>
      <c r="AV564" s="145">
        <f t="shared" si="207"/>
        <v>1</v>
      </c>
      <c r="AW564" s="145">
        <f t="shared" si="208"/>
        <v>1</v>
      </c>
      <c r="AX564" s="145">
        <f t="shared" si="212"/>
        <v>1</v>
      </c>
      <c r="AY564" s="145">
        <f t="shared" si="209"/>
        <v>0</v>
      </c>
      <c r="AZ564" s="145">
        <f t="shared" si="210"/>
        <v>1</v>
      </c>
      <c r="BA564" s="146">
        <f t="shared" si="211"/>
        <v>1</v>
      </c>
      <c r="BB564" s="149">
        <f t="shared" si="190"/>
        <v>17</v>
      </c>
      <c r="BC564" s="150">
        <f t="shared" si="191"/>
        <v>16</v>
      </c>
      <c r="BD564" s="150">
        <f t="shared" si="192"/>
        <v>17</v>
      </c>
      <c r="BE564" s="211" t="str">
        <f t="shared" si="193"/>
        <v/>
      </c>
      <c r="BF564" s="205"/>
      <c r="BG564" s="205"/>
      <c r="BH564" s="1414">
        <f>IF(AND(Input_Product=Elig!$C564,Elig_MatchAll_Ct&lt;22,$BC564=(Elig_MatchAll_Ct-1),AF564=0),C564,0)</f>
        <v>0</v>
      </c>
      <c r="BI564" s="1414">
        <f>IF(AND(Input_Product=Elig!$C564,Elig_MatchAll_Ct&lt;22,$BC564=(Elig_MatchAll_Ct-1),AG564=0),D564,0)</f>
        <v>0</v>
      </c>
      <c r="BJ564" s="1414">
        <f>IF(AND(Input_Product=Elig!$C564,Elig_MatchAll_Ct&lt;22,$BC564=(Elig_MatchAll_Ct-1),AH564=0),E564,0)</f>
        <v>0</v>
      </c>
      <c r="BK564" s="1414">
        <f>IF(AND(Input_Product=Elig!$C564,Elig_MatchAll_Ct&lt;22,$BC564=(Elig_MatchAll_Ct-1),AI564=0),F564,0)</f>
        <v>0</v>
      </c>
      <c r="BL564" s="1414">
        <f>IF(AND(Input_Product=Elig!$C564,Elig_MatchAll_Ct&lt;22,$BC564=(Elig_MatchAll_Ct-1),AJ564=0),G564,0)</f>
        <v>0</v>
      </c>
      <c r="BM564" s="1414">
        <f>IF(AND(Input_Product=Elig!$C564,Elig_MatchAll_Ct&lt;22,$BC564=(Elig_MatchAll_Ct-1),AK564=0),H564,0)</f>
        <v>0</v>
      </c>
      <c r="BN564" s="1414">
        <f>IF(AND(Input_Product=Elig!$C564,Elig_MatchAll_Ct&lt;22,$BC564=(Elig_MatchAll_Ct-1),AL564=0),I564,0)</f>
        <v>0</v>
      </c>
      <c r="BO564" s="1414">
        <f>IF(AND(Input_Product=Elig!$C564,Elig_MatchAll_Ct&lt;22,$BC564=(Elig_MatchAll_Ct-1),AM564=0),J564,0)</f>
        <v>0</v>
      </c>
      <c r="BP564" s="1414">
        <f>IF(AND(Input_Product=Elig!$C564,Elig_MatchAll_Ct&lt;22,$BC564=(Elig_MatchAll_Ct-1),AN564=0),K564,0)</f>
        <v>0</v>
      </c>
      <c r="BQ564" s="1414">
        <f>IF(AND(Input_Product=Elig!$C564,Elig_MatchAll_Ct&lt;22,$BC564=(Elig_MatchAll_Ct-1),AP564=0),L564,0)</f>
        <v>0</v>
      </c>
      <c r="BR564" s="1414">
        <f>IF(AND(Input_Product=Elig!$C564,Elig_MatchAll_Ct&lt;22,$BC564=(Elig_MatchAll_Ct-1),AO564=0),M564,0)</f>
        <v>0</v>
      </c>
      <c r="BS564" s="1414">
        <f>IF(AND(Input_Product=Elig!$C564,Elig_MatchAll_Ct&lt;22,$BC564=(Elig_MatchAll_Ct-1),AQ564=0),N564,0)</f>
        <v>0</v>
      </c>
      <c r="BT564" s="1414">
        <f>IF(AND(Input_Product=Elig!$C564,Elig_MatchAll_Ct&lt;22,$BC564=(Elig_MatchAll_Ct-1),AR564=0),O564,0)</f>
        <v>0</v>
      </c>
      <c r="BU564" s="1414">
        <f>IF(AND(Input_Product=Elig!$C564,Elig_MatchAll_Ct&lt;22,$BC564=(Elig_MatchAll_Ct-1),AS564=0),P564,0)</f>
        <v>0</v>
      </c>
      <c r="BV564" s="1415">
        <f>IF(AND(Input_Product=Elig!$C564,Elig_MatchAll_Ct&lt;22,$BC564=(Elig_MatchAll_Ct-1),AT564=0),Q564,0)</f>
        <v>0</v>
      </c>
      <c r="BW564" s="1416">
        <f>IF(AND(Input_Product=Elig!$C564,Elig_MatchAll_Ct&lt;22,$BC564=(Elig_MatchAll_Ct-1),AU564=0),R564,0)</f>
        <v>0</v>
      </c>
      <c r="BX564" s="1417">
        <f>IF(AND(Input_Product=Elig!$C564,Elig_MatchAll_Ct&lt;22,$BC564=(Elig_MatchAll_Ct-1),AU564=0),S564,0)</f>
        <v>0</v>
      </c>
      <c r="BY564" s="1416">
        <f>IF(AND(Input_Product=Elig!$C564,Elig_MatchAll_Ct&lt;22,$BC564=(Elig_MatchAll_Ct-1),AV564=0),T564,0)</f>
        <v>0</v>
      </c>
      <c r="BZ564" s="1417">
        <f>IF(AND(Input_Product=Elig!$C564,Elig_MatchAll_Ct&lt;22,$BC564=(Elig_MatchAll_Ct-1),AV564=0),U564,0)</f>
        <v>0</v>
      </c>
      <c r="CA564" s="1416">
        <f>IF(AND(Input_Product=Elig!$C564,Elig_MatchAll_Ct&lt;22,$BC564=(Elig_MatchAll_Ct-1),AW564=0),V564,0)</f>
        <v>0</v>
      </c>
      <c r="CB564" s="1417">
        <f>IF(AND(Input_Product=Elig!$C564,Elig_MatchAll_Ct&lt;22,$BC564=(Elig_MatchAll_Ct-1),AW564=0),W564,0)</f>
        <v>0</v>
      </c>
      <c r="CC564" s="1416">
        <f>IF(AND(Input_Product=Elig!$C564,Elig_MatchAll_Ct&lt;22,$BC564=(Elig_MatchAll_Ct-1),AX564=0),X564,0)</f>
        <v>0</v>
      </c>
      <c r="CD564" s="1417">
        <f>IF(AND(Input_Product=Elig!$C564,Elig_MatchAll_Ct&lt;22,$BC564=(Elig_MatchAll_Ct-1),AX564=0),Y564,0)</f>
        <v>0</v>
      </c>
      <c r="CE564" s="1416">
        <f>IF(AND(Input_LTV&lt;=AE564,Input_Product=Elig!$C564,Elig_MatchAll_Ct&lt;22,$BC564=(Elig_MatchAll_Ct-1),AY564=0),Z564,0)</f>
        <v>0</v>
      </c>
      <c r="CF564" s="1417">
        <f>IF(AND(Input_LTV&lt;=AE564,Input_Product=Elig!$C564,Elig_MatchAll_Ct&lt;22,$BC564=(Elig_MatchAll_Ct-1),AY564=0),AA564,0)</f>
        <v>0</v>
      </c>
      <c r="CG564" s="1416">
        <f>IF(AND(Input_Product=Elig!$C564,Elig_MatchAll_Ct&lt;22,$BC564=(Elig_MatchAll_Ct-1),AZ564=0),AB564,0)</f>
        <v>0</v>
      </c>
      <c r="CH564" s="1417">
        <f>IF(AND(Input_Product=Elig!$C564,Elig_MatchAll_Ct&lt;22,$BC564=(Elig_MatchAll_Ct-1),AZ564=0),AC564,0)</f>
        <v>0</v>
      </c>
      <c r="CI564" s="1416">
        <f>IF(AND(Input_Product=Elig!$C564,Elig_MatchAll_Ct&lt;22,$BC564=(Elig_MatchAll_Ct-1),BA564=0),AD564,0)</f>
        <v>0</v>
      </c>
      <c r="CJ564" s="1417">
        <f>IF(AND(Input_Product=Elig!$C564,Elig_MatchAll_Ct&lt;22,$BC564=(Elig_MatchAll_Ct-1),BA564=0),AE564,0)</f>
        <v>0</v>
      </c>
    </row>
    <row r="565" spans="1:88" ht="10.15" customHeight="1" x14ac:dyDescent="0.25">
      <c r="A565" s="1476" t="s">
        <v>76</v>
      </c>
      <c r="B565" s="1476" t="s">
        <v>1342</v>
      </c>
      <c r="C565" s="1477" t="str">
        <f t="shared" si="204"/>
        <v>Second OO</v>
      </c>
      <c r="D565" s="1476" t="s">
        <v>1331</v>
      </c>
      <c r="E565" s="1476" t="s">
        <v>98</v>
      </c>
      <c r="F565" s="1476" t="s">
        <v>327</v>
      </c>
      <c r="G565" s="1478" t="s">
        <v>178</v>
      </c>
      <c r="H565" s="1478" t="s">
        <v>135</v>
      </c>
      <c r="I565" s="1476" t="s">
        <v>1141</v>
      </c>
      <c r="J565" s="1476" t="s">
        <v>1130</v>
      </c>
      <c r="K565" s="1478" t="s">
        <v>2464</v>
      </c>
      <c r="L565" s="1476" t="s">
        <v>428</v>
      </c>
      <c r="M565" s="1476" t="s">
        <v>1835</v>
      </c>
      <c r="N565" s="1478" t="s">
        <v>82</v>
      </c>
      <c r="O565" s="1476" t="s">
        <v>309</v>
      </c>
      <c r="P565" s="1476" t="s">
        <v>2433</v>
      </c>
      <c r="Q565" s="1476" t="s">
        <v>293</v>
      </c>
      <c r="R565" s="1476">
        <v>50000</v>
      </c>
      <c r="S565" s="1476">
        <v>350000</v>
      </c>
      <c r="T565" s="1476">
        <v>0</v>
      </c>
      <c r="U565" s="1476">
        <f t="shared" si="205"/>
        <v>350000</v>
      </c>
      <c r="V565" s="1476">
        <v>0</v>
      </c>
      <c r="W565" s="1476">
        <v>50</v>
      </c>
      <c r="X565" s="1476">
        <v>0</v>
      </c>
      <c r="Y565" s="1476">
        <v>999</v>
      </c>
      <c r="Z565" s="1479">
        <v>680</v>
      </c>
      <c r="AA565" s="1479">
        <v>699</v>
      </c>
      <c r="AB565" s="1479">
        <v>0</v>
      </c>
      <c r="AC565" s="1479">
        <v>999999</v>
      </c>
      <c r="AD565" s="1476">
        <v>0</v>
      </c>
      <c r="AE565" s="1219">
        <v>70</v>
      </c>
      <c r="AF565" s="144">
        <v>0</v>
      </c>
      <c r="AG565" s="145">
        <v>1</v>
      </c>
      <c r="AH565" s="145">
        <v>1</v>
      </c>
      <c r="AI565" s="145">
        <v>0</v>
      </c>
      <c r="AJ565" s="145">
        <v>0</v>
      </c>
      <c r="AK565" s="145">
        <v>1</v>
      </c>
      <c r="AL565" s="145">
        <v>1</v>
      </c>
      <c r="AM565" s="145">
        <v>1</v>
      </c>
      <c r="AN565" s="145">
        <v>1</v>
      </c>
      <c r="AO565" s="145">
        <v>1</v>
      </c>
      <c r="AP565" s="145">
        <v>1</v>
      </c>
      <c r="AQ565" s="145">
        <v>0</v>
      </c>
      <c r="AR565" s="145">
        <v>1</v>
      </c>
      <c r="AS565" s="145">
        <v>1</v>
      </c>
      <c r="AT565" s="145">
        <v>1</v>
      </c>
      <c r="AU565" s="145">
        <f t="shared" si="206"/>
        <v>1</v>
      </c>
      <c r="AV565" s="145">
        <f t="shared" si="207"/>
        <v>1</v>
      </c>
      <c r="AW565" s="145">
        <f t="shared" si="208"/>
        <v>1</v>
      </c>
      <c r="AX565" s="145">
        <f t="shared" si="212"/>
        <v>1</v>
      </c>
      <c r="AY565" s="145">
        <f t="shared" si="209"/>
        <v>0</v>
      </c>
      <c r="AZ565" s="145">
        <f t="shared" si="210"/>
        <v>1</v>
      </c>
      <c r="BA565" s="146">
        <f t="shared" si="211"/>
        <v>1</v>
      </c>
      <c r="BB565" s="149">
        <f t="shared" si="190"/>
        <v>17</v>
      </c>
      <c r="BC565" s="150">
        <f t="shared" si="191"/>
        <v>16</v>
      </c>
      <c r="BD565" s="150">
        <f t="shared" si="192"/>
        <v>17</v>
      </c>
      <c r="BE565" s="211" t="str">
        <f t="shared" si="193"/>
        <v/>
      </c>
      <c r="BF565" s="205"/>
      <c r="BG565" s="205"/>
      <c r="BH565" s="1414">
        <f>IF(AND(Input_Product=Elig!$C565,Elig_MatchAll_Ct&lt;22,$BC565=(Elig_MatchAll_Ct-1),AF565=0),C565,0)</f>
        <v>0</v>
      </c>
      <c r="BI565" s="1414">
        <f>IF(AND(Input_Product=Elig!$C565,Elig_MatchAll_Ct&lt;22,$BC565=(Elig_MatchAll_Ct-1),AG565=0),D565,0)</f>
        <v>0</v>
      </c>
      <c r="BJ565" s="1414">
        <f>IF(AND(Input_Product=Elig!$C565,Elig_MatchAll_Ct&lt;22,$BC565=(Elig_MatchAll_Ct-1),AH565=0),E565,0)</f>
        <v>0</v>
      </c>
      <c r="BK565" s="1414">
        <f>IF(AND(Input_Product=Elig!$C565,Elig_MatchAll_Ct&lt;22,$BC565=(Elig_MatchAll_Ct-1),AI565=0),F565,0)</f>
        <v>0</v>
      </c>
      <c r="BL565" s="1414">
        <f>IF(AND(Input_Product=Elig!$C565,Elig_MatchAll_Ct&lt;22,$BC565=(Elig_MatchAll_Ct-1),AJ565=0),G565,0)</f>
        <v>0</v>
      </c>
      <c r="BM565" s="1414">
        <f>IF(AND(Input_Product=Elig!$C565,Elig_MatchAll_Ct&lt;22,$BC565=(Elig_MatchAll_Ct-1),AK565=0),H565,0)</f>
        <v>0</v>
      </c>
      <c r="BN565" s="1414">
        <f>IF(AND(Input_Product=Elig!$C565,Elig_MatchAll_Ct&lt;22,$BC565=(Elig_MatchAll_Ct-1),AL565=0),I565,0)</f>
        <v>0</v>
      </c>
      <c r="BO565" s="1414">
        <f>IF(AND(Input_Product=Elig!$C565,Elig_MatchAll_Ct&lt;22,$BC565=(Elig_MatchAll_Ct-1),AM565=0),J565,0)</f>
        <v>0</v>
      </c>
      <c r="BP565" s="1414">
        <f>IF(AND(Input_Product=Elig!$C565,Elig_MatchAll_Ct&lt;22,$BC565=(Elig_MatchAll_Ct-1),AN565=0),K565,0)</f>
        <v>0</v>
      </c>
      <c r="BQ565" s="1414">
        <f>IF(AND(Input_Product=Elig!$C565,Elig_MatchAll_Ct&lt;22,$BC565=(Elig_MatchAll_Ct-1),AP565=0),L565,0)</f>
        <v>0</v>
      </c>
      <c r="BR565" s="1414">
        <f>IF(AND(Input_Product=Elig!$C565,Elig_MatchAll_Ct&lt;22,$BC565=(Elig_MatchAll_Ct-1),AO565=0),M565,0)</f>
        <v>0</v>
      </c>
      <c r="BS565" s="1414">
        <f>IF(AND(Input_Product=Elig!$C565,Elig_MatchAll_Ct&lt;22,$BC565=(Elig_MatchAll_Ct-1),AQ565=0),N565,0)</f>
        <v>0</v>
      </c>
      <c r="BT565" s="1414">
        <f>IF(AND(Input_Product=Elig!$C565,Elig_MatchAll_Ct&lt;22,$BC565=(Elig_MatchAll_Ct-1),AR565=0),O565,0)</f>
        <v>0</v>
      </c>
      <c r="BU565" s="1414">
        <f>IF(AND(Input_Product=Elig!$C565,Elig_MatchAll_Ct&lt;22,$BC565=(Elig_MatchAll_Ct-1),AS565=0),P565,0)</f>
        <v>0</v>
      </c>
      <c r="BV565" s="1415">
        <f>IF(AND(Input_Product=Elig!$C565,Elig_MatchAll_Ct&lt;22,$BC565=(Elig_MatchAll_Ct-1),AT565=0),Q565,0)</f>
        <v>0</v>
      </c>
      <c r="BW565" s="1416">
        <f>IF(AND(Input_Product=Elig!$C565,Elig_MatchAll_Ct&lt;22,$BC565=(Elig_MatchAll_Ct-1),AU565=0),R565,0)</f>
        <v>0</v>
      </c>
      <c r="BX565" s="1417">
        <f>IF(AND(Input_Product=Elig!$C565,Elig_MatchAll_Ct&lt;22,$BC565=(Elig_MatchAll_Ct-1),AU565=0),S565,0)</f>
        <v>0</v>
      </c>
      <c r="BY565" s="1416">
        <f>IF(AND(Input_Product=Elig!$C565,Elig_MatchAll_Ct&lt;22,$BC565=(Elig_MatchAll_Ct-1),AV565=0),T565,0)</f>
        <v>0</v>
      </c>
      <c r="BZ565" s="1417">
        <f>IF(AND(Input_Product=Elig!$C565,Elig_MatchAll_Ct&lt;22,$BC565=(Elig_MatchAll_Ct-1),AV565=0),U565,0)</f>
        <v>0</v>
      </c>
      <c r="CA565" s="1416">
        <f>IF(AND(Input_Product=Elig!$C565,Elig_MatchAll_Ct&lt;22,$BC565=(Elig_MatchAll_Ct-1),AW565=0),V565,0)</f>
        <v>0</v>
      </c>
      <c r="CB565" s="1417">
        <f>IF(AND(Input_Product=Elig!$C565,Elig_MatchAll_Ct&lt;22,$BC565=(Elig_MatchAll_Ct-1),AW565=0),W565,0)</f>
        <v>0</v>
      </c>
      <c r="CC565" s="1416">
        <f>IF(AND(Input_Product=Elig!$C565,Elig_MatchAll_Ct&lt;22,$BC565=(Elig_MatchAll_Ct-1),AX565=0),X565,0)</f>
        <v>0</v>
      </c>
      <c r="CD565" s="1417">
        <f>IF(AND(Input_Product=Elig!$C565,Elig_MatchAll_Ct&lt;22,$BC565=(Elig_MatchAll_Ct-1),AX565=0),Y565,0)</f>
        <v>0</v>
      </c>
      <c r="CE565" s="1416">
        <f>IF(AND(Input_LTV&lt;=AE565,Input_Product=Elig!$C565,Elig_MatchAll_Ct&lt;22,$BC565=(Elig_MatchAll_Ct-1),AY565=0),Z565,0)</f>
        <v>0</v>
      </c>
      <c r="CF565" s="1417">
        <f>IF(AND(Input_LTV&lt;=AE565,Input_Product=Elig!$C565,Elig_MatchAll_Ct&lt;22,$BC565=(Elig_MatchAll_Ct-1),AY565=0),AA565,0)</f>
        <v>0</v>
      </c>
      <c r="CG565" s="1416">
        <f>IF(AND(Input_Product=Elig!$C565,Elig_MatchAll_Ct&lt;22,$BC565=(Elig_MatchAll_Ct-1),AZ565=0),AB565,0)</f>
        <v>0</v>
      </c>
      <c r="CH565" s="1417">
        <f>IF(AND(Input_Product=Elig!$C565,Elig_MatchAll_Ct&lt;22,$BC565=(Elig_MatchAll_Ct-1),AZ565=0),AC565,0)</f>
        <v>0</v>
      </c>
      <c r="CI565" s="1416">
        <f>IF(AND(Input_Product=Elig!$C565,Elig_MatchAll_Ct&lt;22,$BC565=(Elig_MatchAll_Ct-1),BA565=0),AD565,0)</f>
        <v>0</v>
      </c>
      <c r="CJ565" s="1417">
        <f>IF(AND(Input_Product=Elig!$C565,Elig_MatchAll_Ct&lt;22,$BC565=(Elig_MatchAll_Ct-1),BA565=0),AE565,0)</f>
        <v>0</v>
      </c>
    </row>
    <row r="566" spans="1:88" ht="10.15" customHeight="1" x14ac:dyDescent="0.25">
      <c r="A566" s="1476" t="s">
        <v>76</v>
      </c>
      <c r="B566" s="1476" t="s">
        <v>1343</v>
      </c>
      <c r="C566" s="1481" t="str">
        <f t="shared" si="204"/>
        <v>Second OO</v>
      </c>
      <c r="D566" s="1480" t="s">
        <v>1331</v>
      </c>
      <c r="E566" s="1480" t="s">
        <v>98</v>
      </c>
      <c r="F566" s="1480" t="s">
        <v>327</v>
      </c>
      <c r="G566" s="1482" t="s">
        <v>178</v>
      </c>
      <c r="H566" s="1482" t="s">
        <v>135</v>
      </c>
      <c r="I566" s="1480" t="s">
        <v>1141</v>
      </c>
      <c r="J566" s="1480" t="s">
        <v>1130</v>
      </c>
      <c r="K566" s="1482" t="s">
        <v>2464</v>
      </c>
      <c r="L566" s="1480" t="s">
        <v>428</v>
      </c>
      <c r="M566" s="1480" t="s">
        <v>1835</v>
      </c>
      <c r="N566" s="1482" t="s">
        <v>82</v>
      </c>
      <c r="O566" s="1480" t="s">
        <v>309</v>
      </c>
      <c r="P566" s="1480" t="s">
        <v>2433</v>
      </c>
      <c r="Q566" s="1480" t="s">
        <v>293</v>
      </c>
      <c r="R566" s="1480">
        <v>50000</v>
      </c>
      <c r="S566" s="1480">
        <v>350000</v>
      </c>
      <c r="T566" s="1480">
        <v>0</v>
      </c>
      <c r="U566" s="1480">
        <f t="shared" si="205"/>
        <v>350000</v>
      </c>
      <c r="V566" s="1480">
        <v>0</v>
      </c>
      <c r="W566" s="1480">
        <v>50</v>
      </c>
      <c r="X566" s="1480">
        <v>0</v>
      </c>
      <c r="Y566" s="1480">
        <v>999</v>
      </c>
      <c r="Z566" s="1483">
        <v>660</v>
      </c>
      <c r="AA566" s="1483">
        <v>679</v>
      </c>
      <c r="AB566" s="1483">
        <v>0</v>
      </c>
      <c r="AC566" s="1483">
        <v>999999</v>
      </c>
      <c r="AD566" s="1480">
        <v>0</v>
      </c>
      <c r="AE566" s="1220">
        <v>65</v>
      </c>
      <c r="AF566" s="144">
        <v>0</v>
      </c>
      <c r="AG566" s="145">
        <v>1</v>
      </c>
      <c r="AH566" s="145">
        <v>1</v>
      </c>
      <c r="AI566" s="145">
        <v>0</v>
      </c>
      <c r="AJ566" s="145">
        <v>0</v>
      </c>
      <c r="AK566" s="145">
        <v>1</v>
      </c>
      <c r="AL566" s="145">
        <v>1</v>
      </c>
      <c r="AM566" s="145">
        <v>1</v>
      </c>
      <c r="AN566" s="145">
        <v>1</v>
      </c>
      <c r="AO566" s="145">
        <v>1</v>
      </c>
      <c r="AP566" s="145">
        <v>1</v>
      </c>
      <c r="AQ566" s="145">
        <v>0</v>
      </c>
      <c r="AR566" s="145">
        <v>1</v>
      </c>
      <c r="AS566" s="145">
        <v>1</v>
      </c>
      <c r="AT566" s="145">
        <v>1</v>
      </c>
      <c r="AU566" s="145">
        <f t="shared" si="206"/>
        <v>1</v>
      </c>
      <c r="AV566" s="145">
        <f t="shared" si="207"/>
        <v>1</v>
      </c>
      <c r="AW566" s="145">
        <f t="shared" si="208"/>
        <v>1</v>
      </c>
      <c r="AX566" s="145">
        <f t="shared" si="212"/>
        <v>1</v>
      </c>
      <c r="AY566" s="145">
        <f t="shared" si="209"/>
        <v>0</v>
      </c>
      <c r="AZ566" s="145">
        <f t="shared" si="210"/>
        <v>1</v>
      </c>
      <c r="BA566" s="146">
        <f t="shared" si="211"/>
        <v>0</v>
      </c>
      <c r="BB566" s="149">
        <f t="shared" si="190"/>
        <v>16</v>
      </c>
      <c r="BC566" s="150">
        <f t="shared" si="191"/>
        <v>16</v>
      </c>
      <c r="BD566" s="150">
        <f t="shared" si="192"/>
        <v>16</v>
      </c>
      <c r="BE566" s="211" t="str">
        <f t="shared" si="193"/>
        <v/>
      </c>
      <c r="BF566" s="205"/>
      <c r="BG566" s="205"/>
      <c r="BH566" s="1414">
        <f>IF(AND(Input_Product=Elig!$C566,Elig_MatchAll_Ct&lt;22,$BC566=(Elig_MatchAll_Ct-1),AF566=0),C566,0)</f>
        <v>0</v>
      </c>
      <c r="BI566" s="1414">
        <f>IF(AND(Input_Product=Elig!$C566,Elig_MatchAll_Ct&lt;22,$BC566=(Elig_MatchAll_Ct-1),AG566=0),D566,0)</f>
        <v>0</v>
      </c>
      <c r="BJ566" s="1414">
        <f>IF(AND(Input_Product=Elig!$C566,Elig_MatchAll_Ct&lt;22,$BC566=(Elig_MatchAll_Ct-1),AH566=0),E566,0)</f>
        <v>0</v>
      </c>
      <c r="BK566" s="1414">
        <f>IF(AND(Input_Product=Elig!$C566,Elig_MatchAll_Ct&lt;22,$BC566=(Elig_MatchAll_Ct-1),AI566=0),F566,0)</f>
        <v>0</v>
      </c>
      <c r="BL566" s="1414">
        <f>IF(AND(Input_Product=Elig!$C566,Elig_MatchAll_Ct&lt;22,$BC566=(Elig_MatchAll_Ct-1),AJ566=0),G566,0)</f>
        <v>0</v>
      </c>
      <c r="BM566" s="1414">
        <f>IF(AND(Input_Product=Elig!$C566,Elig_MatchAll_Ct&lt;22,$BC566=(Elig_MatchAll_Ct-1),AK566=0),H566,0)</f>
        <v>0</v>
      </c>
      <c r="BN566" s="1414">
        <f>IF(AND(Input_Product=Elig!$C566,Elig_MatchAll_Ct&lt;22,$BC566=(Elig_MatchAll_Ct-1),AL566=0),I566,0)</f>
        <v>0</v>
      </c>
      <c r="BO566" s="1414">
        <f>IF(AND(Input_Product=Elig!$C566,Elig_MatchAll_Ct&lt;22,$BC566=(Elig_MatchAll_Ct-1),AM566=0),J566,0)</f>
        <v>0</v>
      </c>
      <c r="BP566" s="1414">
        <f>IF(AND(Input_Product=Elig!$C566,Elig_MatchAll_Ct&lt;22,$BC566=(Elig_MatchAll_Ct-1),AN566=0),K566,0)</f>
        <v>0</v>
      </c>
      <c r="BQ566" s="1414">
        <f>IF(AND(Input_Product=Elig!$C566,Elig_MatchAll_Ct&lt;22,$BC566=(Elig_MatchAll_Ct-1),AP566=0),L566,0)</f>
        <v>0</v>
      </c>
      <c r="BR566" s="1414">
        <f>IF(AND(Input_Product=Elig!$C566,Elig_MatchAll_Ct&lt;22,$BC566=(Elig_MatchAll_Ct-1),AO566=0),M566,0)</f>
        <v>0</v>
      </c>
      <c r="BS566" s="1414">
        <f>IF(AND(Input_Product=Elig!$C566,Elig_MatchAll_Ct&lt;22,$BC566=(Elig_MatchAll_Ct-1),AQ566=0),N566,0)</f>
        <v>0</v>
      </c>
      <c r="BT566" s="1414">
        <f>IF(AND(Input_Product=Elig!$C566,Elig_MatchAll_Ct&lt;22,$BC566=(Elig_MatchAll_Ct-1),AR566=0),O566,0)</f>
        <v>0</v>
      </c>
      <c r="BU566" s="1414">
        <f>IF(AND(Input_Product=Elig!$C566,Elig_MatchAll_Ct&lt;22,$BC566=(Elig_MatchAll_Ct-1),AS566=0),P566,0)</f>
        <v>0</v>
      </c>
      <c r="BV566" s="1415">
        <f>IF(AND(Input_Product=Elig!$C566,Elig_MatchAll_Ct&lt;22,$BC566=(Elig_MatchAll_Ct-1),AT566=0),Q566,0)</f>
        <v>0</v>
      </c>
      <c r="BW566" s="1416">
        <f>IF(AND(Input_Product=Elig!$C566,Elig_MatchAll_Ct&lt;22,$BC566=(Elig_MatchAll_Ct-1),AU566=0),R566,0)</f>
        <v>0</v>
      </c>
      <c r="BX566" s="1417">
        <f>IF(AND(Input_Product=Elig!$C566,Elig_MatchAll_Ct&lt;22,$BC566=(Elig_MatchAll_Ct-1),AU566=0),S566,0)</f>
        <v>0</v>
      </c>
      <c r="BY566" s="1416">
        <f>IF(AND(Input_Product=Elig!$C566,Elig_MatchAll_Ct&lt;22,$BC566=(Elig_MatchAll_Ct-1),AV566=0),T566,0)</f>
        <v>0</v>
      </c>
      <c r="BZ566" s="1417">
        <f>IF(AND(Input_Product=Elig!$C566,Elig_MatchAll_Ct&lt;22,$BC566=(Elig_MatchAll_Ct-1),AV566=0),U566,0)</f>
        <v>0</v>
      </c>
      <c r="CA566" s="1416">
        <f>IF(AND(Input_Product=Elig!$C566,Elig_MatchAll_Ct&lt;22,$BC566=(Elig_MatchAll_Ct-1),AW566=0),V566,0)</f>
        <v>0</v>
      </c>
      <c r="CB566" s="1417">
        <f>IF(AND(Input_Product=Elig!$C566,Elig_MatchAll_Ct&lt;22,$BC566=(Elig_MatchAll_Ct-1),AW566=0),W566,0)</f>
        <v>0</v>
      </c>
      <c r="CC566" s="1416">
        <f>IF(AND(Input_Product=Elig!$C566,Elig_MatchAll_Ct&lt;22,$BC566=(Elig_MatchAll_Ct-1),AX566=0),X566,0)</f>
        <v>0</v>
      </c>
      <c r="CD566" s="1417">
        <f>IF(AND(Input_Product=Elig!$C566,Elig_MatchAll_Ct&lt;22,$BC566=(Elig_MatchAll_Ct-1),AX566=0),Y566,0)</f>
        <v>0</v>
      </c>
      <c r="CE566" s="1416">
        <f>IF(AND(Input_LTV&lt;=AE566,Input_Product=Elig!$C566,Elig_MatchAll_Ct&lt;22,$BC566=(Elig_MatchAll_Ct-1),AY566=0),Z566,0)</f>
        <v>0</v>
      </c>
      <c r="CF566" s="1417">
        <f>IF(AND(Input_LTV&lt;=AE566,Input_Product=Elig!$C566,Elig_MatchAll_Ct&lt;22,$BC566=(Elig_MatchAll_Ct-1),AY566=0),AA566,0)</f>
        <v>0</v>
      </c>
      <c r="CG566" s="1416">
        <f>IF(AND(Input_Product=Elig!$C566,Elig_MatchAll_Ct&lt;22,$BC566=(Elig_MatchAll_Ct-1),AZ566=0),AB566,0)</f>
        <v>0</v>
      </c>
      <c r="CH566" s="1417">
        <f>IF(AND(Input_Product=Elig!$C566,Elig_MatchAll_Ct&lt;22,$BC566=(Elig_MatchAll_Ct-1),AZ566=0),AC566,0)</f>
        <v>0</v>
      </c>
      <c r="CI566" s="1416">
        <f>IF(AND(Input_Product=Elig!$C566,Elig_MatchAll_Ct&lt;22,$BC566=(Elig_MatchAll_Ct-1),BA566=0),AD566,0)</f>
        <v>0</v>
      </c>
      <c r="CJ566" s="1417">
        <f>IF(AND(Input_Product=Elig!$C566,Elig_MatchAll_Ct&lt;22,$BC566=(Elig_MatchAll_Ct-1),BA566=0),AE566,0)</f>
        <v>0</v>
      </c>
    </row>
    <row r="567" spans="1:88" ht="10.15" customHeight="1" x14ac:dyDescent="0.25">
      <c r="A567" s="1476" t="s">
        <v>76</v>
      </c>
      <c r="B567" s="1476" t="s">
        <v>1344</v>
      </c>
      <c r="C567" s="1473" t="str">
        <f t="shared" si="204"/>
        <v>Second OO</v>
      </c>
      <c r="D567" s="1474" t="s">
        <v>1121</v>
      </c>
      <c r="E567" s="1474" t="s">
        <v>98</v>
      </c>
      <c r="F567" s="1474" t="s">
        <v>327</v>
      </c>
      <c r="G567" s="1474" t="s">
        <v>178</v>
      </c>
      <c r="H567" s="1474" t="s">
        <v>135</v>
      </c>
      <c r="I567" s="1472" t="s">
        <v>1141</v>
      </c>
      <c r="J567" s="1472" t="s">
        <v>1130</v>
      </c>
      <c r="K567" s="1474" t="s">
        <v>2464</v>
      </c>
      <c r="L567" s="1472" t="s">
        <v>428</v>
      </c>
      <c r="M567" s="1472" t="s">
        <v>1835</v>
      </c>
      <c r="N567" s="1474" t="s">
        <v>82</v>
      </c>
      <c r="O567" s="1472" t="s">
        <v>309</v>
      </c>
      <c r="P567" s="1472" t="s">
        <v>2433</v>
      </c>
      <c r="Q567" s="1472" t="s">
        <v>293</v>
      </c>
      <c r="R567" s="1472">
        <v>200000</v>
      </c>
      <c r="S567" s="1472">
        <v>350000</v>
      </c>
      <c r="T567" s="1472">
        <v>0</v>
      </c>
      <c r="U567" s="1472">
        <f t="shared" si="205"/>
        <v>350000</v>
      </c>
      <c r="V567" s="1472">
        <v>0</v>
      </c>
      <c r="W567" s="1472">
        <v>50</v>
      </c>
      <c r="X567" s="1472">
        <v>0</v>
      </c>
      <c r="Y567" s="1472">
        <v>999</v>
      </c>
      <c r="Z567" s="1475">
        <v>720</v>
      </c>
      <c r="AA567" s="1475">
        <v>999</v>
      </c>
      <c r="AB567" s="1475">
        <v>0</v>
      </c>
      <c r="AC567" s="1475">
        <v>999999</v>
      </c>
      <c r="AD567" s="1472">
        <v>0</v>
      </c>
      <c r="AE567" s="1218">
        <v>80</v>
      </c>
      <c r="AF567" s="144">
        <v>0</v>
      </c>
      <c r="AG567" s="145">
        <v>0</v>
      </c>
      <c r="AH567" s="145">
        <v>1</v>
      </c>
      <c r="AI567" s="145">
        <v>0</v>
      </c>
      <c r="AJ567" s="145">
        <v>0</v>
      </c>
      <c r="AK567" s="145">
        <v>1</v>
      </c>
      <c r="AL567" s="145">
        <v>1</v>
      </c>
      <c r="AM567" s="145">
        <v>1</v>
      </c>
      <c r="AN567" s="145">
        <v>1</v>
      </c>
      <c r="AO567" s="145">
        <v>1</v>
      </c>
      <c r="AP567" s="145">
        <v>1</v>
      </c>
      <c r="AQ567" s="145">
        <v>0</v>
      </c>
      <c r="AR567" s="145">
        <v>1</v>
      </c>
      <c r="AS567" s="145">
        <v>1</v>
      </c>
      <c r="AT567" s="145">
        <v>1</v>
      </c>
      <c r="AU567" s="145">
        <f t="shared" si="206"/>
        <v>0</v>
      </c>
      <c r="AV567" s="145">
        <f t="shared" si="207"/>
        <v>1</v>
      </c>
      <c r="AW567" s="145">
        <f t="shared" si="208"/>
        <v>1</v>
      </c>
      <c r="AX567" s="145">
        <f t="shared" si="212"/>
        <v>1</v>
      </c>
      <c r="AY567" s="145">
        <f t="shared" si="209"/>
        <v>1</v>
      </c>
      <c r="AZ567" s="145">
        <f t="shared" si="210"/>
        <v>1</v>
      </c>
      <c r="BA567" s="146">
        <f t="shared" si="211"/>
        <v>1</v>
      </c>
      <c r="BB567" s="149">
        <f t="shared" si="190"/>
        <v>16</v>
      </c>
      <c r="BC567" s="150">
        <f t="shared" si="191"/>
        <v>15</v>
      </c>
      <c r="BD567" s="150">
        <f t="shared" si="192"/>
        <v>16</v>
      </c>
      <c r="BE567" s="211" t="str">
        <f t="shared" si="193"/>
        <v/>
      </c>
      <c r="BF567" s="205"/>
      <c r="BG567" s="205"/>
      <c r="BH567" s="1414">
        <f>IF(AND(Input_Product=Elig!$C567,Elig_MatchAll_Ct&lt;22,$BC567=(Elig_MatchAll_Ct-1),AF567=0),C567,0)</f>
        <v>0</v>
      </c>
      <c r="BI567" s="1414">
        <f>IF(AND(Input_Product=Elig!$C567,Elig_MatchAll_Ct&lt;22,$BC567=(Elig_MatchAll_Ct-1),AG567=0),D567,0)</f>
        <v>0</v>
      </c>
      <c r="BJ567" s="1414">
        <f>IF(AND(Input_Product=Elig!$C567,Elig_MatchAll_Ct&lt;22,$BC567=(Elig_MatchAll_Ct-1),AH567=0),E567,0)</f>
        <v>0</v>
      </c>
      <c r="BK567" s="1414">
        <f>IF(AND(Input_Product=Elig!$C567,Elig_MatchAll_Ct&lt;22,$BC567=(Elig_MatchAll_Ct-1),AI567=0),F567,0)</f>
        <v>0</v>
      </c>
      <c r="BL567" s="1414">
        <f>IF(AND(Input_Product=Elig!$C567,Elig_MatchAll_Ct&lt;22,$BC567=(Elig_MatchAll_Ct-1),AJ567=0),G567,0)</f>
        <v>0</v>
      </c>
      <c r="BM567" s="1414">
        <f>IF(AND(Input_Product=Elig!$C567,Elig_MatchAll_Ct&lt;22,$BC567=(Elig_MatchAll_Ct-1),AK567=0),H567,0)</f>
        <v>0</v>
      </c>
      <c r="BN567" s="1414">
        <f>IF(AND(Input_Product=Elig!$C567,Elig_MatchAll_Ct&lt;22,$BC567=(Elig_MatchAll_Ct-1),AL567=0),I567,0)</f>
        <v>0</v>
      </c>
      <c r="BO567" s="1414">
        <f>IF(AND(Input_Product=Elig!$C567,Elig_MatchAll_Ct&lt;22,$BC567=(Elig_MatchAll_Ct-1),AM567=0),J567,0)</f>
        <v>0</v>
      </c>
      <c r="BP567" s="1414">
        <f>IF(AND(Input_Product=Elig!$C567,Elig_MatchAll_Ct&lt;22,$BC567=(Elig_MatchAll_Ct-1),AN567=0),K567,0)</f>
        <v>0</v>
      </c>
      <c r="BQ567" s="1414">
        <f>IF(AND(Input_Product=Elig!$C567,Elig_MatchAll_Ct&lt;22,$BC567=(Elig_MatchAll_Ct-1),AP567=0),L567,0)</f>
        <v>0</v>
      </c>
      <c r="BR567" s="1414">
        <f>IF(AND(Input_Product=Elig!$C567,Elig_MatchAll_Ct&lt;22,$BC567=(Elig_MatchAll_Ct-1),AO567=0),M567,0)</f>
        <v>0</v>
      </c>
      <c r="BS567" s="1414">
        <f>IF(AND(Input_Product=Elig!$C567,Elig_MatchAll_Ct&lt;22,$BC567=(Elig_MatchAll_Ct-1),AQ567=0),N567,0)</f>
        <v>0</v>
      </c>
      <c r="BT567" s="1414">
        <f>IF(AND(Input_Product=Elig!$C567,Elig_MatchAll_Ct&lt;22,$BC567=(Elig_MatchAll_Ct-1),AR567=0),O567,0)</f>
        <v>0</v>
      </c>
      <c r="BU567" s="1414">
        <f>IF(AND(Input_Product=Elig!$C567,Elig_MatchAll_Ct&lt;22,$BC567=(Elig_MatchAll_Ct-1),AS567=0),P567,0)</f>
        <v>0</v>
      </c>
      <c r="BV567" s="1415">
        <f>IF(AND(Input_Product=Elig!$C567,Elig_MatchAll_Ct&lt;22,$BC567=(Elig_MatchAll_Ct-1),AT567=0),Q567,0)</f>
        <v>0</v>
      </c>
      <c r="BW567" s="1416">
        <f>IF(AND(Input_Product=Elig!$C567,Elig_MatchAll_Ct&lt;22,$BC567=(Elig_MatchAll_Ct-1),AU567=0),R567,0)</f>
        <v>0</v>
      </c>
      <c r="BX567" s="1417">
        <f>IF(AND(Input_Product=Elig!$C567,Elig_MatchAll_Ct&lt;22,$BC567=(Elig_MatchAll_Ct-1),AU567=0),S567,0)</f>
        <v>0</v>
      </c>
      <c r="BY567" s="1416">
        <f>IF(AND(Input_Product=Elig!$C567,Elig_MatchAll_Ct&lt;22,$BC567=(Elig_MatchAll_Ct-1),AV567=0),T567,0)</f>
        <v>0</v>
      </c>
      <c r="BZ567" s="1417">
        <f>IF(AND(Input_Product=Elig!$C567,Elig_MatchAll_Ct&lt;22,$BC567=(Elig_MatchAll_Ct-1),AV567=0),U567,0)</f>
        <v>0</v>
      </c>
      <c r="CA567" s="1416">
        <f>IF(AND(Input_Product=Elig!$C567,Elig_MatchAll_Ct&lt;22,$BC567=(Elig_MatchAll_Ct-1),AW567=0),V567,0)</f>
        <v>0</v>
      </c>
      <c r="CB567" s="1417">
        <f>IF(AND(Input_Product=Elig!$C567,Elig_MatchAll_Ct&lt;22,$BC567=(Elig_MatchAll_Ct-1),AW567=0),W567,0)</f>
        <v>0</v>
      </c>
      <c r="CC567" s="1416">
        <f>IF(AND(Input_Product=Elig!$C567,Elig_MatchAll_Ct&lt;22,$BC567=(Elig_MatchAll_Ct-1),AX567=0),X567,0)</f>
        <v>0</v>
      </c>
      <c r="CD567" s="1417">
        <f>IF(AND(Input_Product=Elig!$C567,Elig_MatchAll_Ct&lt;22,$BC567=(Elig_MatchAll_Ct-1),AX567=0),Y567,0)</f>
        <v>0</v>
      </c>
      <c r="CE567" s="1416">
        <f>IF(AND(Input_LTV&lt;=AE567,Input_Product=Elig!$C567,Elig_MatchAll_Ct&lt;22,$BC567=(Elig_MatchAll_Ct-1),AY567=0),Z567,0)</f>
        <v>0</v>
      </c>
      <c r="CF567" s="1417">
        <f>IF(AND(Input_LTV&lt;=AE567,Input_Product=Elig!$C567,Elig_MatchAll_Ct&lt;22,$BC567=(Elig_MatchAll_Ct-1),AY567=0),AA567,0)</f>
        <v>0</v>
      </c>
      <c r="CG567" s="1416">
        <f>IF(AND(Input_Product=Elig!$C567,Elig_MatchAll_Ct&lt;22,$BC567=(Elig_MatchAll_Ct-1),AZ567=0),AB567,0)</f>
        <v>0</v>
      </c>
      <c r="CH567" s="1417">
        <f>IF(AND(Input_Product=Elig!$C567,Elig_MatchAll_Ct&lt;22,$BC567=(Elig_MatchAll_Ct-1),AZ567=0),AC567,0)</f>
        <v>0</v>
      </c>
      <c r="CI567" s="1416">
        <f>IF(AND(Input_Product=Elig!$C567,Elig_MatchAll_Ct&lt;22,$BC567=(Elig_MatchAll_Ct-1),BA567=0),AD567,0)</f>
        <v>0</v>
      </c>
      <c r="CJ567" s="1417">
        <f>IF(AND(Input_Product=Elig!$C567,Elig_MatchAll_Ct&lt;22,$BC567=(Elig_MatchAll_Ct-1),BA567=0),AE567,0)</f>
        <v>0</v>
      </c>
    </row>
    <row r="568" spans="1:88" ht="10.15" customHeight="1" x14ac:dyDescent="0.25">
      <c r="A568" s="1476" t="s">
        <v>76</v>
      </c>
      <c r="B568" s="1476" t="s">
        <v>1345</v>
      </c>
      <c r="C568" s="1477" t="str">
        <f t="shared" si="204"/>
        <v>Second OO</v>
      </c>
      <c r="D568" s="1476" t="s">
        <v>1121</v>
      </c>
      <c r="E568" s="1476" t="s">
        <v>98</v>
      </c>
      <c r="F568" s="1476" t="s">
        <v>327</v>
      </c>
      <c r="G568" s="1478" t="s">
        <v>178</v>
      </c>
      <c r="H568" s="1478" t="s">
        <v>135</v>
      </c>
      <c r="I568" s="1476" t="s">
        <v>1141</v>
      </c>
      <c r="J568" s="1476" t="s">
        <v>1130</v>
      </c>
      <c r="K568" s="1478" t="s">
        <v>2464</v>
      </c>
      <c r="L568" s="1476" t="s">
        <v>428</v>
      </c>
      <c r="M568" s="1476" t="s">
        <v>1835</v>
      </c>
      <c r="N568" s="1478" t="s">
        <v>82</v>
      </c>
      <c r="O568" s="1476" t="s">
        <v>309</v>
      </c>
      <c r="P568" s="1476" t="s">
        <v>2433</v>
      </c>
      <c r="Q568" s="1476" t="s">
        <v>293</v>
      </c>
      <c r="R568" s="1476">
        <v>200000</v>
      </c>
      <c r="S568" s="1476">
        <v>350000</v>
      </c>
      <c r="T568" s="1476">
        <v>0</v>
      </c>
      <c r="U568" s="1476">
        <f t="shared" si="205"/>
        <v>350000</v>
      </c>
      <c r="V568" s="1476">
        <v>0</v>
      </c>
      <c r="W568" s="1476">
        <v>50</v>
      </c>
      <c r="X568" s="1476">
        <v>0</v>
      </c>
      <c r="Y568" s="1476">
        <v>999</v>
      </c>
      <c r="Z568" s="1479">
        <v>700</v>
      </c>
      <c r="AA568" s="1479">
        <v>719</v>
      </c>
      <c r="AB568" s="1479">
        <v>0</v>
      </c>
      <c r="AC568" s="1479">
        <v>999999</v>
      </c>
      <c r="AD568" s="1476">
        <v>0</v>
      </c>
      <c r="AE568" s="1219">
        <v>75</v>
      </c>
      <c r="AF568" s="144">
        <v>0</v>
      </c>
      <c r="AG568" s="145">
        <v>0</v>
      </c>
      <c r="AH568" s="145">
        <v>1</v>
      </c>
      <c r="AI568" s="145">
        <v>0</v>
      </c>
      <c r="AJ568" s="145">
        <v>0</v>
      </c>
      <c r="AK568" s="145">
        <v>1</v>
      </c>
      <c r="AL568" s="145">
        <v>1</v>
      </c>
      <c r="AM568" s="145">
        <v>1</v>
      </c>
      <c r="AN568" s="145">
        <v>1</v>
      </c>
      <c r="AO568" s="145">
        <v>1</v>
      </c>
      <c r="AP568" s="145">
        <v>1</v>
      </c>
      <c r="AQ568" s="145">
        <v>0</v>
      </c>
      <c r="AR568" s="145">
        <v>1</v>
      </c>
      <c r="AS568" s="145">
        <v>1</v>
      </c>
      <c r="AT568" s="145">
        <v>1</v>
      </c>
      <c r="AU568" s="145">
        <f t="shared" si="206"/>
        <v>0</v>
      </c>
      <c r="AV568" s="145">
        <f t="shared" si="207"/>
        <v>1</v>
      </c>
      <c r="AW568" s="145">
        <f t="shared" si="208"/>
        <v>1</v>
      </c>
      <c r="AX568" s="145">
        <f t="shared" si="212"/>
        <v>1</v>
      </c>
      <c r="AY568" s="145">
        <f t="shared" si="209"/>
        <v>0</v>
      </c>
      <c r="AZ568" s="145">
        <f t="shared" si="210"/>
        <v>1</v>
      </c>
      <c r="BA568" s="146">
        <f t="shared" si="211"/>
        <v>1</v>
      </c>
      <c r="BB568" s="149">
        <f t="shared" si="190"/>
        <v>15</v>
      </c>
      <c r="BC568" s="150">
        <f t="shared" si="191"/>
        <v>14</v>
      </c>
      <c r="BD568" s="150">
        <f t="shared" si="192"/>
        <v>15</v>
      </c>
      <c r="BE568" s="211" t="str">
        <f t="shared" si="193"/>
        <v/>
      </c>
      <c r="BF568" s="205"/>
      <c r="BG568" s="205"/>
      <c r="BH568" s="1414">
        <f>IF(AND(Input_Product=Elig!$C568,Elig_MatchAll_Ct&lt;22,$BC568=(Elig_MatchAll_Ct-1),AF568=0),C568,0)</f>
        <v>0</v>
      </c>
      <c r="BI568" s="1414">
        <f>IF(AND(Input_Product=Elig!$C568,Elig_MatchAll_Ct&lt;22,$BC568=(Elig_MatchAll_Ct-1),AG568=0),D568,0)</f>
        <v>0</v>
      </c>
      <c r="BJ568" s="1414">
        <f>IF(AND(Input_Product=Elig!$C568,Elig_MatchAll_Ct&lt;22,$BC568=(Elig_MatchAll_Ct-1),AH568=0),E568,0)</f>
        <v>0</v>
      </c>
      <c r="BK568" s="1414">
        <f>IF(AND(Input_Product=Elig!$C568,Elig_MatchAll_Ct&lt;22,$BC568=(Elig_MatchAll_Ct-1),AI568=0),F568,0)</f>
        <v>0</v>
      </c>
      <c r="BL568" s="1414">
        <f>IF(AND(Input_Product=Elig!$C568,Elig_MatchAll_Ct&lt;22,$BC568=(Elig_MatchAll_Ct-1),AJ568=0),G568,0)</f>
        <v>0</v>
      </c>
      <c r="BM568" s="1414">
        <f>IF(AND(Input_Product=Elig!$C568,Elig_MatchAll_Ct&lt;22,$BC568=(Elig_MatchAll_Ct-1),AK568=0),H568,0)</f>
        <v>0</v>
      </c>
      <c r="BN568" s="1414">
        <f>IF(AND(Input_Product=Elig!$C568,Elig_MatchAll_Ct&lt;22,$BC568=(Elig_MatchAll_Ct-1),AL568=0),I568,0)</f>
        <v>0</v>
      </c>
      <c r="BO568" s="1414">
        <f>IF(AND(Input_Product=Elig!$C568,Elig_MatchAll_Ct&lt;22,$BC568=(Elig_MatchAll_Ct-1),AM568=0),J568,0)</f>
        <v>0</v>
      </c>
      <c r="BP568" s="1414">
        <f>IF(AND(Input_Product=Elig!$C568,Elig_MatchAll_Ct&lt;22,$BC568=(Elig_MatchAll_Ct-1),AN568=0),K568,0)</f>
        <v>0</v>
      </c>
      <c r="BQ568" s="1414">
        <f>IF(AND(Input_Product=Elig!$C568,Elig_MatchAll_Ct&lt;22,$BC568=(Elig_MatchAll_Ct-1),AP568=0),L568,0)</f>
        <v>0</v>
      </c>
      <c r="BR568" s="1414">
        <f>IF(AND(Input_Product=Elig!$C568,Elig_MatchAll_Ct&lt;22,$BC568=(Elig_MatchAll_Ct-1),AO568=0),M568,0)</f>
        <v>0</v>
      </c>
      <c r="BS568" s="1414">
        <f>IF(AND(Input_Product=Elig!$C568,Elig_MatchAll_Ct&lt;22,$BC568=(Elig_MatchAll_Ct-1),AQ568=0),N568,0)</f>
        <v>0</v>
      </c>
      <c r="BT568" s="1414">
        <f>IF(AND(Input_Product=Elig!$C568,Elig_MatchAll_Ct&lt;22,$BC568=(Elig_MatchAll_Ct-1),AR568=0),O568,0)</f>
        <v>0</v>
      </c>
      <c r="BU568" s="1414">
        <f>IF(AND(Input_Product=Elig!$C568,Elig_MatchAll_Ct&lt;22,$BC568=(Elig_MatchAll_Ct-1),AS568=0),P568,0)</f>
        <v>0</v>
      </c>
      <c r="BV568" s="1415">
        <f>IF(AND(Input_Product=Elig!$C568,Elig_MatchAll_Ct&lt;22,$BC568=(Elig_MatchAll_Ct-1),AT568=0),Q568,0)</f>
        <v>0</v>
      </c>
      <c r="BW568" s="1416">
        <f>IF(AND(Input_Product=Elig!$C568,Elig_MatchAll_Ct&lt;22,$BC568=(Elig_MatchAll_Ct-1),AU568=0),R568,0)</f>
        <v>0</v>
      </c>
      <c r="BX568" s="1417">
        <f>IF(AND(Input_Product=Elig!$C568,Elig_MatchAll_Ct&lt;22,$BC568=(Elig_MatchAll_Ct-1),AU568=0),S568,0)</f>
        <v>0</v>
      </c>
      <c r="BY568" s="1416">
        <f>IF(AND(Input_Product=Elig!$C568,Elig_MatchAll_Ct&lt;22,$BC568=(Elig_MatchAll_Ct-1),AV568=0),T568,0)</f>
        <v>0</v>
      </c>
      <c r="BZ568" s="1417">
        <f>IF(AND(Input_Product=Elig!$C568,Elig_MatchAll_Ct&lt;22,$BC568=(Elig_MatchAll_Ct-1),AV568=0),U568,0)</f>
        <v>0</v>
      </c>
      <c r="CA568" s="1416">
        <f>IF(AND(Input_Product=Elig!$C568,Elig_MatchAll_Ct&lt;22,$BC568=(Elig_MatchAll_Ct-1),AW568=0),V568,0)</f>
        <v>0</v>
      </c>
      <c r="CB568" s="1417">
        <f>IF(AND(Input_Product=Elig!$C568,Elig_MatchAll_Ct&lt;22,$BC568=(Elig_MatchAll_Ct-1),AW568=0),W568,0)</f>
        <v>0</v>
      </c>
      <c r="CC568" s="1416">
        <f>IF(AND(Input_Product=Elig!$C568,Elig_MatchAll_Ct&lt;22,$BC568=(Elig_MatchAll_Ct-1),AX568=0),X568,0)</f>
        <v>0</v>
      </c>
      <c r="CD568" s="1417">
        <f>IF(AND(Input_Product=Elig!$C568,Elig_MatchAll_Ct&lt;22,$BC568=(Elig_MatchAll_Ct-1),AX568=0),Y568,0)</f>
        <v>0</v>
      </c>
      <c r="CE568" s="1416">
        <f>IF(AND(Input_LTV&lt;=AE568,Input_Product=Elig!$C568,Elig_MatchAll_Ct&lt;22,$BC568=(Elig_MatchAll_Ct-1),AY568=0),Z568,0)</f>
        <v>0</v>
      </c>
      <c r="CF568" s="1417">
        <f>IF(AND(Input_LTV&lt;=AE568,Input_Product=Elig!$C568,Elig_MatchAll_Ct&lt;22,$BC568=(Elig_MatchAll_Ct-1),AY568=0),AA568,0)</f>
        <v>0</v>
      </c>
      <c r="CG568" s="1416">
        <f>IF(AND(Input_Product=Elig!$C568,Elig_MatchAll_Ct&lt;22,$BC568=(Elig_MatchAll_Ct-1),AZ568=0),AB568,0)</f>
        <v>0</v>
      </c>
      <c r="CH568" s="1417">
        <f>IF(AND(Input_Product=Elig!$C568,Elig_MatchAll_Ct&lt;22,$BC568=(Elig_MatchAll_Ct-1),AZ568=0),AC568,0)</f>
        <v>0</v>
      </c>
      <c r="CI568" s="1416">
        <f>IF(AND(Input_Product=Elig!$C568,Elig_MatchAll_Ct&lt;22,$BC568=(Elig_MatchAll_Ct-1),BA568=0),AD568,0)</f>
        <v>0</v>
      </c>
      <c r="CJ568" s="1417">
        <f>IF(AND(Input_Product=Elig!$C568,Elig_MatchAll_Ct&lt;22,$BC568=(Elig_MatchAll_Ct-1),BA568=0),AE568,0)</f>
        <v>0</v>
      </c>
    </row>
    <row r="569" spans="1:88" ht="10.15" customHeight="1" x14ac:dyDescent="0.25">
      <c r="A569" s="1476" t="s">
        <v>76</v>
      </c>
      <c r="B569" s="1476" t="s">
        <v>1346</v>
      </c>
      <c r="C569" s="1477" t="str">
        <f t="shared" si="204"/>
        <v>Second OO</v>
      </c>
      <c r="D569" s="1476" t="s">
        <v>1121</v>
      </c>
      <c r="E569" s="1476" t="s">
        <v>98</v>
      </c>
      <c r="F569" s="1476" t="s">
        <v>327</v>
      </c>
      <c r="G569" s="1478" t="s">
        <v>178</v>
      </c>
      <c r="H569" s="1478" t="s">
        <v>135</v>
      </c>
      <c r="I569" s="1476" t="s">
        <v>1141</v>
      </c>
      <c r="J569" s="1476" t="s">
        <v>1130</v>
      </c>
      <c r="K569" s="1478" t="s">
        <v>2464</v>
      </c>
      <c r="L569" s="1476" t="s">
        <v>428</v>
      </c>
      <c r="M569" s="1476" t="s">
        <v>1835</v>
      </c>
      <c r="N569" s="1478" t="s">
        <v>82</v>
      </c>
      <c r="O569" s="1476" t="s">
        <v>309</v>
      </c>
      <c r="P569" s="1476" t="s">
        <v>2433</v>
      </c>
      <c r="Q569" s="1476" t="s">
        <v>293</v>
      </c>
      <c r="R569" s="1476">
        <v>200000</v>
      </c>
      <c r="S569" s="1476">
        <v>350000</v>
      </c>
      <c r="T569" s="1476">
        <v>0</v>
      </c>
      <c r="U569" s="1476">
        <f t="shared" si="205"/>
        <v>350000</v>
      </c>
      <c r="V569" s="1476">
        <v>0</v>
      </c>
      <c r="W569" s="1476">
        <v>50</v>
      </c>
      <c r="X569" s="1476">
        <v>0</v>
      </c>
      <c r="Y569" s="1476">
        <v>999</v>
      </c>
      <c r="Z569" s="1479">
        <v>680</v>
      </c>
      <c r="AA569" s="1479">
        <v>699</v>
      </c>
      <c r="AB569" s="1479">
        <v>0</v>
      </c>
      <c r="AC569" s="1479">
        <v>999999</v>
      </c>
      <c r="AD569" s="1476">
        <v>0</v>
      </c>
      <c r="AE569" s="1219">
        <v>70</v>
      </c>
      <c r="AF569" s="144">
        <v>0</v>
      </c>
      <c r="AG569" s="145">
        <v>0</v>
      </c>
      <c r="AH569" s="145">
        <v>1</v>
      </c>
      <c r="AI569" s="145">
        <v>0</v>
      </c>
      <c r="AJ569" s="145">
        <v>0</v>
      </c>
      <c r="AK569" s="145">
        <v>1</v>
      </c>
      <c r="AL569" s="145">
        <v>1</v>
      </c>
      <c r="AM569" s="145">
        <v>1</v>
      </c>
      <c r="AN569" s="145">
        <v>1</v>
      </c>
      <c r="AO569" s="145">
        <v>1</v>
      </c>
      <c r="AP569" s="145">
        <v>1</v>
      </c>
      <c r="AQ569" s="145">
        <v>0</v>
      </c>
      <c r="AR569" s="145">
        <v>1</v>
      </c>
      <c r="AS569" s="145">
        <v>1</v>
      </c>
      <c r="AT569" s="145">
        <v>1</v>
      </c>
      <c r="AU569" s="145">
        <f t="shared" si="206"/>
        <v>0</v>
      </c>
      <c r="AV569" s="145">
        <f t="shared" si="207"/>
        <v>1</v>
      </c>
      <c r="AW569" s="145">
        <f t="shared" si="208"/>
        <v>1</v>
      </c>
      <c r="AX569" s="145">
        <f t="shared" si="212"/>
        <v>1</v>
      </c>
      <c r="AY569" s="145">
        <f t="shared" si="209"/>
        <v>0</v>
      </c>
      <c r="AZ569" s="145">
        <f t="shared" si="210"/>
        <v>1</v>
      </c>
      <c r="BA569" s="146">
        <f t="shared" si="211"/>
        <v>1</v>
      </c>
      <c r="BB569" s="149">
        <f t="shared" si="190"/>
        <v>15</v>
      </c>
      <c r="BC569" s="150">
        <f t="shared" si="191"/>
        <v>14</v>
      </c>
      <c r="BD569" s="150">
        <f t="shared" si="192"/>
        <v>15</v>
      </c>
      <c r="BE569" s="211" t="str">
        <f t="shared" si="193"/>
        <v/>
      </c>
      <c r="BF569" s="205"/>
      <c r="BG569" s="205"/>
      <c r="BH569" s="1414">
        <f>IF(AND(Input_Product=Elig!$C569,Elig_MatchAll_Ct&lt;22,$BC569=(Elig_MatchAll_Ct-1),AF569=0),C569,0)</f>
        <v>0</v>
      </c>
      <c r="BI569" s="1414">
        <f>IF(AND(Input_Product=Elig!$C569,Elig_MatchAll_Ct&lt;22,$BC569=(Elig_MatchAll_Ct-1),AG569=0),D569,0)</f>
        <v>0</v>
      </c>
      <c r="BJ569" s="1414">
        <f>IF(AND(Input_Product=Elig!$C569,Elig_MatchAll_Ct&lt;22,$BC569=(Elig_MatchAll_Ct-1),AH569=0),E569,0)</f>
        <v>0</v>
      </c>
      <c r="BK569" s="1414">
        <f>IF(AND(Input_Product=Elig!$C569,Elig_MatchAll_Ct&lt;22,$BC569=(Elig_MatchAll_Ct-1),AI569=0),F569,0)</f>
        <v>0</v>
      </c>
      <c r="BL569" s="1414">
        <f>IF(AND(Input_Product=Elig!$C569,Elig_MatchAll_Ct&lt;22,$BC569=(Elig_MatchAll_Ct-1),AJ569=0),G569,0)</f>
        <v>0</v>
      </c>
      <c r="BM569" s="1414">
        <f>IF(AND(Input_Product=Elig!$C569,Elig_MatchAll_Ct&lt;22,$BC569=(Elig_MatchAll_Ct-1),AK569=0),H569,0)</f>
        <v>0</v>
      </c>
      <c r="BN569" s="1414">
        <f>IF(AND(Input_Product=Elig!$C569,Elig_MatchAll_Ct&lt;22,$BC569=(Elig_MatchAll_Ct-1),AL569=0),I569,0)</f>
        <v>0</v>
      </c>
      <c r="BO569" s="1414">
        <f>IF(AND(Input_Product=Elig!$C569,Elig_MatchAll_Ct&lt;22,$BC569=(Elig_MatchAll_Ct-1),AM569=0),J569,0)</f>
        <v>0</v>
      </c>
      <c r="BP569" s="1414">
        <f>IF(AND(Input_Product=Elig!$C569,Elig_MatchAll_Ct&lt;22,$BC569=(Elig_MatchAll_Ct-1),AN569=0),K569,0)</f>
        <v>0</v>
      </c>
      <c r="BQ569" s="1414">
        <f>IF(AND(Input_Product=Elig!$C569,Elig_MatchAll_Ct&lt;22,$BC569=(Elig_MatchAll_Ct-1),AP569=0),L569,0)</f>
        <v>0</v>
      </c>
      <c r="BR569" s="1414">
        <f>IF(AND(Input_Product=Elig!$C569,Elig_MatchAll_Ct&lt;22,$BC569=(Elig_MatchAll_Ct-1),AO569=0),M569,0)</f>
        <v>0</v>
      </c>
      <c r="BS569" s="1414">
        <f>IF(AND(Input_Product=Elig!$C569,Elig_MatchAll_Ct&lt;22,$BC569=(Elig_MatchAll_Ct-1),AQ569=0),N569,0)</f>
        <v>0</v>
      </c>
      <c r="BT569" s="1414">
        <f>IF(AND(Input_Product=Elig!$C569,Elig_MatchAll_Ct&lt;22,$BC569=(Elig_MatchAll_Ct-1),AR569=0),O569,0)</f>
        <v>0</v>
      </c>
      <c r="BU569" s="1414">
        <f>IF(AND(Input_Product=Elig!$C569,Elig_MatchAll_Ct&lt;22,$BC569=(Elig_MatchAll_Ct-1),AS569=0),P569,0)</f>
        <v>0</v>
      </c>
      <c r="BV569" s="1415">
        <f>IF(AND(Input_Product=Elig!$C569,Elig_MatchAll_Ct&lt;22,$BC569=(Elig_MatchAll_Ct-1),AT569=0),Q569,0)</f>
        <v>0</v>
      </c>
      <c r="BW569" s="1416">
        <f>IF(AND(Input_Product=Elig!$C569,Elig_MatchAll_Ct&lt;22,$BC569=(Elig_MatchAll_Ct-1),AU569=0),R569,0)</f>
        <v>0</v>
      </c>
      <c r="BX569" s="1417">
        <f>IF(AND(Input_Product=Elig!$C569,Elig_MatchAll_Ct&lt;22,$BC569=(Elig_MatchAll_Ct-1),AU569=0),S569,0)</f>
        <v>0</v>
      </c>
      <c r="BY569" s="1416">
        <f>IF(AND(Input_Product=Elig!$C569,Elig_MatchAll_Ct&lt;22,$BC569=(Elig_MatchAll_Ct-1),AV569=0),T569,0)</f>
        <v>0</v>
      </c>
      <c r="BZ569" s="1417">
        <f>IF(AND(Input_Product=Elig!$C569,Elig_MatchAll_Ct&lt;22,$BC569=(Elig_MatchAll_Ct-1),AV569=0),U569,0)</f>
        <v>0</v>
      </c>
      <c r="CA569" s="1416">
        <f>IF(AND(Input_Product=Elig!$C569,Elig_MatchAll_Ct&lt;22,$BC569=(Elig_MatchAll_Ct-1),AW569=0),V569,0)</f>
        <v>0</v>
      </c>
      <c r="CB569" s="1417">
        <f>IF(AND(Input_Product=Elig!$C569,Elig_MatchAll_Ct&lt;22,$BC569=(Elig_MatchAll_Ct-1),AW569=0),W569,0)</f>
        <v>0</v>
      </c>
      <c r="CC569" s="1416">
        <f>IF(AND(Input_Product=Elig!$C569,Elig_MatchAll_Ct&lt;22,$BC569=(Elig_MatchAll_Ct-1),AX569=0),X569,0)</f>
        <v>0</v>
      </c>
      <c r="CD569" s="1417">
        <f>IF(AND(Input_Product=Elig!$C569,Elig_MatchAll_Ct&lt;22,$BC569=(Elig_MatchAll_Ct-1),AX569=0),Y569,0)</f>
        <v>0</v>
      </c>
      <c r="CE569" s="1416">
        <f>IF(AND(Input_LTV&lt;=AE569,Input_Product=Elig!$C569,Elig_MatchAll_Ct&lt;22,$BC569=(Elig_MatchAll_Ct-1),AY569=0),Z569,0)</f>
        <v>0</v>
      </c>
      <c r="CF569" s="1417">
        <f>IF(AND(Input_LTV&lt;=AE569,Input_Product=Elig!$C569,Elig_MatchAll_Ct&lt;22,$BC569=(Elig_MatchAll_Ct-1),AY569=0),AA569,0)</f>
        <v>0</v>
      </c>
      <c r="CG569" s="1416">
        <f>IF(AND(Input_Product=Elig!$C569,Elig_MatchAll_Ct&lt;22,$BC569=(Elig_MatchAll_Ct-1),AZ569=0),AB569,0)</f>
        <v>0</v>
      </c>
      <c r="CH569" s="1417">
        <f>IF(AND(Input_Product=Elig!$C569,Elig_MatchAll_Ct&lt;22,$BC569=(Elig_MatchAll_Ct-1),AZ569=0),AC569,0)</f>
        <v>0</v>
      </c>
      <c r="CI569" s="1416">
        <f>IF(AND(Input_Product=Elig!$C569,Elig_MatchAll_Ct&lt;22,$BC569=(Elig_MatchAll_Ct-1),BA569=0),AD569,0)</f>
        <v>0</v>
      </c>
      <c r="CJ569" s="1417">
        <f>IF(AND(Input_Product=Elig!$C569,Elig_MatchAll_Ct&lt;22,$BC569=(Elig_MatchAll_Ct-1),BA569=0),AE569,0)</f>
        <v>0</v>
      </c>
    </row>
    <row r="570" spans="1:88" ht="10.15" customHeight="1" x14ac:dyDescent="0.25">
      <c r="A570" s="1476" t="s">
        <v>76</v>
      </c>
      <c r="B570" s="1476" t="s">
        <v>1347</v>
      </c>
      <c r="C570" s="1481" t="str">
        <f t="shared" si="204"/>
        <v>Second OO</v>
      </c>
      <c r="D570" s="1480" t="s">
        <v>1121</v>
      </c>
      <c r="E570" s="1480" t="s">
        <v>98</v>
      </c>
      <c r="F570" s="1480" t="s">
        <v>327</v>
      </c>
      <c r="G570" s="1482" t="s">
        <v>178</v>
      </c>
      <c r="H570" s="1482" t="s">
        <v>135</v>
      </c>
      <c r="I570" s="1480" t="s">
        <v>1141</v>
      </c>
      <c r="J570" s="1480" t="s">
        <v>1130</v>
      </c>
      <c r="K570" s="1482" t="s">
        <v>2464</v>
      </c>
      <c r="L570" s="1480" t="s">
        <v>428</v>
      </c>
      <c r="M570" s="1480" t="s">
        <v>1835</v>
      </c>
      <c r="N570" s="1482" t="s">
        <v>82</v>
      </c>
      <c r="O570" s="1480" t="s">
        <v>309</v>
      </c>
      <c r="P570" s="1480" t="s">
        <v>2433</v>
      </c>
      <c r="Q570" s="1480" t="s">
        <v>293</v>
      </c>
      <c r="R570" s="1480">
        <v>200000</v>
      </c>
      <c r="S570" s="1480">
        <v>350000</v>
      </c>
      <c r="T570" s="1480">
        <v>0</v>
      </c>
      <c r="U570" s="1480">
        <f t="shared" si="205"/>
        <v>350000</v>
      </c>
      <c r="V570" s="1480">
        <v>0</v>
      </c>
      <c r="W570" s="1480">
        <v>50</v>
      </c>
      <c r="X570" s="1480">
        <v>0</v>
      </c>
      <c r="Y570" s="1480">
        <v>999</v>
      </c>
      <c r="Z570" s="1483">
        <v>660</v>
      </c>
      <c r="AA570" s="1483">
        <v>679</v>
      </c>
      <c r="AB570" s="1483">
        <v>0</v>
      </c>
      <c r="AC570" s="1483">
        <v>999999</v>
      </c>
      <c r="AD570" s="1480">
        <v>0</v>
      </c>
      <c r="AE570" s="1220">
        <v>65</v>
      </c>
      <c r="AF570" s="144">
        <v>0</v>
      </c>
      <c r="AG570" s="145">
        <v>0</v>
      </c>
      <c r="AH570" s="145">
        <v>1</v>
      </c>
      <c r="AI570" s="145">
        <v>0</v>
      </c>
      <c r="AJ570" s="145">
        <v>0</v>
      </c>
      <c r="AK570" s="145">
        <v>1</v>
      </c>
      <c r="AL570" s="145">
        <v>1</v>
      </c>
      <c r="AM570" s="145">
        <v>1</v>
      </c>
      <c r="AN570" s="145">
        <v>1</v>
      </c>
      <c r="AO570" s="145">
        <v>1</v>
      </c>
      <c r="AP570" s="145">
        <v>1</v>
      </c>
      <c r="AQ570" s="145">
        <v>0</v>
      </c>
      <c r="AR570" s="145">
        <v>1</v>
      </c>
      <c r="AS570" s="145">
        <v>1</v>
      </c>
      <c r="AT570" s="145">
        <v>1</v>
      </c>
      <c r="AU570" s="145">
        <f t="shared" si="206"/>
        <v>0</v>
      </c>
      <c r="AV570" s="145">
        <f t="shared" si="207"/>
        <v>1</v>
      </c>
      <c r="AW570" s="145">
        <f t="shared" si="208"/>
        <v>1</v>
      </c>
      <c r="AX570" s="145">
        <f t="shared" si="212"/>
        <v>1</v>
      </c>
      <c r="AY570" s="145">
        <f t="shared" si="209"/>
        <v>0</v>
      </c>
      <c r="AZ570" s="145">
        <f t="shared" si="210"/>
        <v>1</v>
      </c>
      <c r="BA570" s="146">
        <f t="shared" si="211"/>
        <v>0</v>
      </c>
      <c r="BB570" s="149">
        <f t="shared" si="190"/>
        <v>14</v>
      </c>
      <c r="BC570" s="150">
        <f t="shared" si="191"/>
        <v>14</v>
      </c>
      <c r="BD570" s="150">
        <f t="shared" si="192"/>
        <v>14</v>
      </c>
      <c r="BE570" s="211" t="str">
        <f t="shared" si="193"/>
        <v/>
      </c>
      <c r="BF570" s="205"/>
      <c r="BG570" s="205"/>
      <c r="BH570" s="1414">
        <f>IF(AND(Input_Product=Elig!$C570,Elig_MatchAll_Ct&lt;22,$BC570=(Elig_MatchAll_Ct-1),AF570=0),C570,0)</f>
        <v>0</v>
      </c>
      <c r="BI570" s="1414">
        <f>IF(AND(Input_Product=Elig!$C570,Elig_MatchAll_Ct&lt;22,$BC570=(Elig_MatchAll_Ct-1),AG570=0),D570,0)</f>
        <v>0</v>
      </c>
      <c r="BJ570" s="1414">
        <f>IF(AND(Input_Product=Elig!$C570,Elig_MatchAll_Ct&lt;22,$BC570=(Elig_MatchAll_Ct-1),AH570=0),E570,0)</f>
        <v>0</v>
      </c>
      <c r="BK570" s="1414">
        <f>IF(AND(Input_Product=Elig!$C570,Elig_MatchAll_Ct&lt;22,$BC570=(Elig_MatchAll_Ct-1),AI570=0),F570,0)</f>
        <v>0</v>
      </c>
      <c r="BL570" s="1414">
        <f>IF(AND(Input_Product=Elig!$C570,Elig_MatchAll_Ct&lt;22,$BC570=(Elig_MatchAll_Ct-1),AJ570=0),G570,0)</f>
        <v>0</v>
      </c>
      <c r="BM570" s="1414">
        <f>IF(AND(Input_Product=Elig!$C570,Elig_MatchAll_Ct&lt;22,$BC570=(Elig_MatchAll_Ct-1),AK570=0),H570,0)</f>
        <v>0</v>
      </c>
      <c r="BN570" s="1414">
        <f>IF(AND(Input_Product=Elig!$C570,Elig_MatchAll_Ct&lt;22,$BC570=(Elig_MatchAll_Ct-1),AL570=0),I570,0)</f>
        <v>0</v>
      </c>
      <c r="BO570" s="1414">
        <f>IF(AND(Input_Product=Elig!$C570,Elig_MatchAll_Ct&lt;22,$BC570=(Elig_MatchAll_Ct-1),AM570=0),J570,0)</f>
        <v>0</v>
      </c>
      <c r="BP570" s="1414">
        <f>IF(AND(Input_Product=Elig!$C570,Elig_MatchAll_Ct&lt;22,$BC570=(Elig_MatchAll_Ct-1),AN570=0),K570,0)</f>
        <v>0</v>
      </c>
      <c r="BQ570" s="1414">
        <f>IF(AND(Input_Product=Elig!$C570,Elig_MatchAll_Ct&lt;22,$BC570=(Elig_MatchAll_Ct-1),AP570=0),L570,0)</f>
        <v>0</v>
      </c>
      <c r="BR570" s="1414">
        <f>IF(AND(Input_Product=Elig!$C570,Elig_MatchAll_Ct&lt;22,$BC570=(Elig_MatchAll_Ct-1),AO570=0),M570,0)</f>
        <v>0</v>
      </c>
      <c r="BS570" s="1414">
        <f>IF(AND(Input_Product=Elig!$C570,Elig_MatchAll_Ct&lt;22,$BC570=(Elig_MatchAll_Ct-1),AQ570=0),N570,0)</f>
        <v>0</v>
      </c>
      <c r="BT570" s="1414">
        <f>IF(AND(Input_Product=Elig!$C570,Elig_MatchAll_Ct&lt;22,$BC570=(Elig_MatchAll_Ct-1),AR570=0),O570,0)</f>
        <v>0</v>
      </c>
      <c r="BU570" s="1414">
        <f>IF(AND(Input_Product=Elig!$C570,Elig_MatchAll_Ct&lt;22,$BC570=(Elig_MatchAll_Ct-1),AS570=0),P570,0)</f>
        <v>0</v>
      </c>
      <c r="BV570" s="1415">
        <f>IF(AND(Input_Product=Elig!$C570,Elig_MatchAll_Ct&lt;22,$BC570=(Elig_MatchAll_Ct-1),AT570=0),Q570,0)</f>
        <v>0</v>
      </c>
      <c r="BW570" s="1416">
        <f>IF(AND(Input_Product=Elig!$C570,Elig_MatchAll_Ct&lt;22,$BC570=(Elig_MatchAll_Ct-1),AU570=0),R570,0)</f>
        <v>0</v>
      </c>
      <c r="BX570" s="1417">
        <f>IF(AND(Input_Product=Elig!$C570,Elig_MatchAll_Ct&lt;22,$BC570=(Elig_MatchAll_Ct-1),AU570=0),S570,0)</f>
        <v>0</v>
      </c>
      <c r="BY570" s="1416">
        <f>IF(AND(Input_Product=Elig!$C570,Elig_MatchAll_Ct&lt;22,$BC570=(Elig_MatchAll_Ct-1),AV570=0),T570,0)</f>
        <v>0</v>
      </c>
      <c r="BZ570" s="1417">
        <f>IF(AND(Input_Product=Elig!$C570,Elig_MatchAll_Ct&lt;22,$BC570=(Elig_MatchAll_Ct-1),AV570=0),U570,0)</f>
        <v>0</v>
      </c>
      <c r="CA570" s="1416">
        <f>IF(AND(Input_Product=Elig!$C570,Elig_MatchAll_Ct&lt;22,$BC570=(Elig_MatchAll_Ct-1),AW570=0),V570,0)</f>
        <v>0</v>
      </c>
      <c r="CB570" s="1417">
        <f>IF(AND(Input_Product=Elig!$C570,Elig_MatchAll_Ct&lt;22,$BC570=(Elig_MatchAll_Ct-1),AW570=0),W570,0)</f>
        <v>0</v>
      </c>
      <c r="CC570" s="1416">
        <f>IF(AND(Input_Product=Elig!$C570,Elig_MatchAll_Ct&lt;22,$BC570=(Elig_MatchAll_Ct-1),AX570=0),X570,0)</f>
        <v>0</v>
      </c>
      <c r="CD570" s="1417">
        <f>IF(AND(Input_Product=Elig!$C570,Elig_MatchAll_Ct&lt;22,$BC570=(Elig_MatchAll_Ct-1),AX570=0),Y570,0)</f>
        <v>0</v>
      </c>
      <c r="CE570" s="1416">
        <f>IF(AND(Input_LTV&lt;=AE570,Input_Product=Elig!$C570,Elig_MatchAll_Ct&lt;22,$BC570=(Elig_MatchAll_Ct-1),AY570=0),Z570,0)</f>
        <v>0</v>
      </c>
      <c r="CF570" s="1417">
        <f>IF(AND(Input_LTV&lt;=AE570,Input_Product=Elig!$C570,Elig_MatchAll_Ct&lt;22,$BC570=(Elig_MatchAll_Ct-1),AY570=0),AA570,0)</f>
        <v>0</v>
      </c>
      <c r="CG570" s="1416">
        <f>IF(AND(Input_Product=Elig!$C570,Elig_MatchAll_Ct&lt;22,$BC570=(Elig_MatchAll_Ct-1),AZ570=0),AB570,0)</f>
        <v>0</v>
      </c>
      <c r="CH570" s="1417">
        <f>IF(AND(Input_Product=Elig!$C570,Elig_MatchAll_Ct&lt;22,$BC570=(Elig_MatchAll_Ct-1),AZ570=0),AC570,0)</f>
        <v>0</v>
      </c>
      <c r="CI570" s="1416">
        <f>IF(AND(Input_Product=Elig!$C570,Elig_MatchAll_Ct&lt;22,$BC570=(Elig_MatchAll_Ct-1),BA570=0),AD570,0)</f>
        <v>0</v>
      </c>
      <c r="CJ570" s="1417">
        <f>IF(AND(Input_Product=Elig!$C570,Elig_MatchAll_Ct&lt;22,$BC570=(Elig_MatchAll_Ct-1),BA570=0),AE570,0)</f>
        <v>0</v>
      </c>
    </row>
    <row r="571" spans="1:88" ht="10.15" customHeight="1" x14ac:dyDescent="0.25">
      <c r="A571" s="1476" t="s">
        <v>76</v>
      </c>
      <c r="B571" s="1476" t="s">
        <v>1348</v>
      </c>
      <c r="C571" s="1473" t="str">
        <f t="shared" si="204"/>
        <v>Second OO</v>
      </c>
      <c r="D571" s="1474" t="s">
        <v>1331</v>
      </c>
      <c r="E571" s="1474" t="s">
        <v>98</v>
      </c>
      <c r="F571" s="1474" t="s">
        <v>328</v>
      </c>
      <c r="G571" s="1474" t="s">
        <v>302</v>
      </c>
      <c r="H571" s="1474" t="s">
        <v>135</v>
      </c>
      <c r="I571" s="1472" t="s">
        <v>1141</v>
      </c>
      <c r="J571" s="1472" t="s">
        <v>1130</v>
      </c>
      <c r="K571" s="1474" t="s">
        <v>2464</v>
      </c>
      <c r="L571" s="1472" t="s">
        <v>428</v>
      </c>
      <c r="M571" s="1472" t="s">
        <v>1835</v>
      </c>
      <c r="N571" s="1474" t="s">
        <v>82</v>
      </c>
      <c r="O571" s="1472" t="s">
        <v>309</v>
      </c>
      <c r="P571" s="1472" t="s">
        <v>2433</v>
      </c>
      <c r="Q571" s="1472" t="s">
        <v>293</v>
      </c>
      <c r="R571" s="1472">
        <v>50000</v>
      </c>
      <c r="S571" s="1472">
        <v>350000</v>
      </c>
      <c r="T571" s="1472">
        <v>0</v>
      </c>
      <c r="U571" s="1472">
        <f t="shared" si="205"/>
        <v>350000</v>
      </c>
      <c r="V571" s="1472">
        <v>0</v>
      </c>
      <c r="W571" s="1472">
        <v>50</v>
      </c>
      <c r="X571" s="1472">
        <v>0</v>
      </c>
      <c r="Y571" s="1472">
        <v>999</v>
      </c>
      <c r="Z571" s="1475">
        <v>720</v>
      </c>
      <c r="AA571" s="1475">
        <v>999</v>
      </c>
      <c r="AB571" s="1475">
        <v>0</v>
      </c>
      <c r="AC571" s="1475">
        <v>999999</v>
      </c>
      <c r="AD571" s="1472">
        <v>0</v>
      </c>
      <c r="AE571" s="1218">
        <v>80</v>
      </c>
      <c r="AF571" s="144">
        <v>0</v>
      </c>
      <c r="AG571" s="145">
        <v>1</v>
      </c>
      <c r="AH571" s="145">
        <v>1</v>
      </c>
      <c r="AI571" s="145">
        <v>0</v>
      </c>
      <c r="AJ571" s="145">
        <v>0</v>
      </c>
      <c r="AK571" s="145">
        <v>1</v>
      </c>
      <c r="AL571" s="145">
        <v>1</v>
      </c>
      <c r="AM571" s="145">
        <v>1</v>
      </c>
      <c r="AN571" s="145">
        <v>1</v>
      </c>
      <c r="AO571" s="145">
        <v>1</v>
      </c>
      <c r="AP571" s="145">
        <v>1</v>
      </c>
      <c r="AQ571" s="145">
        <v>0</v>
      </c>
      <c r="AR571" s="145">
        <v>1</v>
      </c>
      <c r="AS571" s="145">
        <v>1</v>
      </c>
      <c r="AT571" s="145">
        <v>1</v>
      </c>
      <c r="AU571" s="145">
        <f t="shared" si="206"/>
        <v>1</v>
      </c>
      <c r="AV571" s="145">
        <f t="shared" si="207"/>
        <v>1</v>
      </c>
      <c r="AW571" s="145">
        <f t="shared" si="208"/>
        <v>1</v>
      </c>
      <c r="AX571" s="145">
        <f t="shared" si="212"/>
        <v>1</v>
      </c>
      <c r="AY571" s="145">
        <f t="shared" si="209"/>
        <v>1</v>
      </c>
      <c r="AZ571" s="145">
        <f t="shared" si="210"/>
        <v>1</v>
      </c>
      <c r="BA571" s="146">
        <f t="shared" si="211"/>
        <v>1</v>
      </c>
      <c r="BB571" s="149">
        <f t="shared" si="190"/>
        <v>18</v>
      </c>
      <c r="BC571" s="150">
        <f t="shared" si="191"/>
        <v>17</v>
      </c>
      <c r="BD571" s="150">
        <f t="shared" si="192"/>
        <v>18</v>
      </c>
      <c r="BE571" s="211" t="str">
        <f t="shared" si="193"/>
        <v/>
      </c>
      <c r="BF571" s="194"/>
      <c r="BG571" s="194"/>
      <c r="BH571" s="190">
        <f>IF(AND(Input_Product=Elig!$C571,Elig_MatchAll_Ct&lt;22,$BC571=(Elig_MatchAll_Ct-1),AF571=0),C571,0)</f>
        <v>0</v>
      </c>
      <c r="BI571" s="190">
        <f>IF(AND(Input_Product=Elig!$C571,Elig_MatchAll_Ct&lt;22,$BC571=(Elig_MatchAll_Ct-1),AG571=0),D571,0)</f>
        <v>0</v>
      </c>
      <c r="BJ571" s="190">
        <f>IF(AND(Input_Product=Elig!$C571,Elig_MatchAll_Ct&lt;22,$BC571=(Elig_MatchAll_Ct-1),AH571=0),E571,0)</f>
        <v>0</v>
      </c>
      <c r="BK571" s="190">
        <f>IF(AND(Input_Product=Elig!$C571,Elig_MatchAll_Ct&lt;22,$BC571=(Elig_MatchAll_Ct-1),AI571=0),F571,0)</f>
        <v>0</v>
      </c>
      <c r="BL571" s="190">
        <f>IF(AND(Input_Product=Elig!$C571,Elig_MatchAll_Ct&lt;22,$BC571=(Elig_MatchAll_Ct-1),AJ571=0),G571,0)</f>
        <v>0</v>
      </c>
      <c r="BM571" s="190">
        <f>IF(AND(Input_Product=Elig!$C571,Elig_MatchAll_Ct&lt;22,$BC571=(Elig_MatchAll_Ct-1),AK571=0),H571,0)</f>
        <v>0</v>
      </c>
      <c r="BN571" s="190">
        <f>IF(AND(Input_Product=Elig!$C571,Elig_MatchAll_Ct&lt;22,$BC571=(Elig_MatchAll_Ct-1),AL571=0),I571,0)</f>
        <v>0</v>
      </c>
      <c r="BO571" s="190">
        <f>IF(AND(Input_Product=Elig!$C571,Elig_MatchAll_Ct&lt;22,$BC571=(Elig_MatchAll_Ct-1),AM571=0),J571,0)</f>
        <v>0</v>
      </c>
      <c r="BP571" s="190">
        <f>IF(AND(Input_Product=Elig!$C571,Elig_MatchAll_Ct&lt;22,$BC571=(Elig_MatchAll_Ct-1),AN571=0),K571,0)</f>
        <v>0</v>
      </c>
      <c r="BQ571" s="190">
        <f>IF(AND(Input_Product=Elig!$C571,Elig_MatchAll_Ct&lt;22,$BC571=(Elig_MatchAll_Ct-1),AP571=0),L571,0)</f>
        <v>0</v>
      </c>
      <c r="BR571" s="190">
        <f>IF(AND(Input_Product=Elig!$C571,Elig_MatchAll_Ct&lt;22,$BC571=(Elig_MatchAll_Ct-1),AO571=0),M571,0)</f>
        <v>0</v>
      </c>
      <c r="BS571" s="190">
        <f>IF(AND(Input_Product=Elig!$C571,Elig_MatchAll_Ct&lt;22,$BC571=(Elig_MatchAll_Ct-1),AQ571=0),N571,0)</f>
        <v>0</v>
      </c>
      <c r="BT571" s="190">
        <f>IF(AND(Input_Product=Elig!$C571,Elig_MatchAll_Ct&lt;22,$BC571=(Elig_MatchAll_Ct-1),AR571=0),O571,0)</f>
        <v>0</v>
      </c>
      <c r="BU571" s="190">
        <f>IF(AND(Input_Product=Elig!$C571,Elig_MatchAll_Ct&lt;22,$BC571=(Elig_MatchAll_Ct-1),AS571=0),P571,0)</f>
        <v>0</v>
      </c>
      <c r="BV571" s="191">
        <f>IF(AND(Input_Product=Elig!$C571,Elig_MatchAll_Ct&lt;22,$BC571=(Elig_MatchAll_Ct-1),AT571=0),Q571,0)</f>
        <v>0</v>
      </c>
      <c r="BW571" s="273">
        <f>IF(AND(Input_Product=Elig!$C571,Elig_MatchAll_Ct&lt;22,$BC571=(Elig_MatchAll_Ct-1),AU571=0),R571,0)</f>
        <v>0</v>
      </c>
      <c r="BX571" s="274">
        <f>IF(AND(Input_Product=Elig!$C571,Elig_MatchAll_Ct&lt;22,$BC571=(Elig_MatchAll_Ct-1),AU571=0),S571,0)</f>
        <v>0</v>
      </c>
      <c r="BY571" s="273">
        <f>IF(AND(Input_Product=Elig!$C571,Elig_MatchAll_Ct&lt;22,$BC571=(Elig_MatchAll_Ct-1),AV571=0),T571,0)</f>
        <v>0</v>
      </c>
      <c r="BZ571" s="274">
        <f>IF(AND(Input_Product=Elig!$C571,Elig_MatchAll_Ct&lt;22,$BC571=(Elig_MatchAll_Ct-1),AV571=0),U571,0)</f>
        <v>0</v>
      </c>
      <c r="CA571" s="273">
        <f>IF(AND(Input_Product=Elig!$C571,Elig_MatchAll_Ct&lt;22,$BC571=(Elig_MatchAll_Ct-1),AW571=0),V571,0)</f>
        <v>0</v>
      </c>
      <c r="CB571" s="274">
        <f>IF(AND(Input_Product=Elig!$C571,Elig_MatchAll_Ct&lt;22,$BC571=(Elig_MatchAll_Ct-1),AW571=0),W571,0)</f>
        <v>0</v>
      </c>
      <c r="CC571" s="273">
        <f>IF(AND(Input_Product=Elig!$C571,Elig_MatchAll_Ct&lt;22,$BC571=(Elig_MatchAll_Ct-1),AX571=0),X571,0)</f>
        <v>0</v>
      </c>
      <c r="CD571" s="274">
        <f>IF(AND(Input_Product=Elig!$C571,Elig_MatchAll_Ct&lt;22,$BC571=(Elig_MatchAll_Ct-1),AX571=0),Y571,0)</f>
        <v>0</v>
      </c>
      <c r="CE571" s="273">
        <f>IF(AND(Input_LTV&lt;=AE571,Input_Product=Elig!$C571,Elig_MatchAll_Ct&lt;22,$BC571=(Elig_MatchAll_Ct-1),AY571=0),Z571,0)</f>
        <v>0</v>
      </c>
      <c r="CF571" s="274">
        <f>IF(AND(Input_LTV&lt;=AE571,Input_Product=Elig!$C571,Elig_MatchAll_Ct&lt;22,$BC571=(Elig_MatchAll_Ct-1),AY571=0),AA571,0)</f>
        <v>0</v>
      </c>
      <c r="CG571" s="273">
        <f>IF(AND(Input_Product=Elig!$C571,Elig_MatchAll_Ct&lt;22,$BC571=(Elig_MatchAll_Ct-1),AZ571=0),AB571,0)</f>
        <v>0</v>
      </c>
      <c r="CH571" s="274">
        <f>IF(AND(Input_Product=Elig!$C571,Elig_MatchAll_Ct&lt;22,$BC571=(Elig_MatchAll_Ct-1),AZ571=0),AC571,0)</f>
        <v>0</v>
      </c>
      <c r="CI571" s="273">
        <f>IF(AND(Input_Product=Elig!$C571,Elig_MatchAll_Ct&lt;22,$BC571=(Elig_MatchAll_Ct-1),BA571=0),AD571,0)</f>
        <v>0</v>
      </c>
      <c r="CJ571" s="274">
        <f>IF(AND(Input_Product=Elig!$C571,Elig_MatchAll_Ct&lt;22,$BC571=(Elig_MatchAll_Ct-1),BA571=0),AE571,0)</f>
        <v>0</v>
      </c>
    </row>
    <row r="572" spans="1:88" ht="10.15" customHeight="1" x14ac:dyDescent="0.25">
      <c r="A572" s="1476" t="s">
        <v>76</v>
      </c>
      <c r="B572" s="1476" t="s">
        <v>1349</v>
      </c>
      <c r="C572" s="1477" t="str">
        <f t="shared" si="204"/>
        <v>Second OO</v>
      </c>
      <c r="D572" s="1476" t="s">
        <v>1331</v>
      </c>
      <c r="E572" s="1476" t="s">
        <v>98</v>
      </c>
      <c r="F572" s="1476" t="s">
        <v>328</v>
      </c>
      <c r="G572" s="1478" t="s">
        <v>302</v>
      </c>
      <c r="H572" s="1478" t="s">
        <v>135</v>
      </c>
      <c r="I572" s="1476" t="s">
        <v>1141</v>
      </c>
      <c r="J572" s="1476" t="s">
        <v>1130</v>
      </c>
      <c r="K572" s="1478" t="s">
        <v>2464</v>
      </c>
      <c r="L572" s="1476" t="s">
        <v>428</v>
      </c>
      <c r="M572" s="1476" t="s">
        <v>1835</v>
      </c>
      <c r="N572" s="1478" t="s">
        <v>82</v>
      </c>
      <c r="O572" s="1476" t="s">
        <v>309</v>
      </c>
      <c r="P572" s="1476" t="s">
        <v>2433</v>
      </c>
      <c r="Q572" s="1476" t="s">
        <v>293</v>
      </c>
      <c r="R572" s="1476">
        <v>50000</v>
      </c>
      <c r="S572" s="1476">
        <v>350000</v>
      </c>
      <c r="T572" s="1476">
        <v>0</v>
      </c>
      <c r="U572" s="1476">
        <f t="shared" si="205"/>
        <v>350000</v>
      </c>
      <c r="V572" s="1476">
        <v>0</v>
      </c>
      <c r="W572" s="1476">
        <v>50</v>
      </c>
      <c r="X572" s="1476">
        <v>0</v>
      </c>
      <c r="Y572" s="1476">
        <v>999</v>
      </c>
      <c r="Z572" s="1479">
        <v>700</v>
      </c>
      <c r="AA572" s="1479">
        <v>719</v>
      </c>
      <c r="AB572" s="1479">
        <v>0</v>
      </c>
      <c r="AC572" s="1479">
        <v>999999</v>
      </c>
      <c r="AD572" s="1476">
        <v>0</v>
      </c>
      <c r="AE572" s="1219">
        <v>80</v>
      </c>
      <c r="AF572" s="144">
        <v>0</v>
      </c>
      <c r="AG572" s="145">
        <v>1</v>
      </c>
      <c r="AH572" s="145">
        <v>1</v>
      </c>
      <c r="AI572" s="145">
        <v>0</v>
      </c>
      <c r="AJ572" s="145">
        <v>0</v>
      </c>
      <c r="AK572" s="145">
        <v>1</v>
      </c>
      <c r="AL572" s="145">
        <v>1</v>
      </c>
      <c r="AM572" s="145">
        <v>1</v>
      </c>
      <c r="AN572" s="145">
        <v>1</v>
      </c>
      <c r="AO572" s="145">
        <v>1</v>
      </c>
      <c r="AP572" s="145">
        <v>1</v>
      </c>
      <c r="AQ572" s="145">
        <v>0</v>
      </c>
      <c r="AR572" s="145">
        <v>1</v>
      </c>
      <c r="AS572" s="145">
        <v>1</v>
      </c>
      <c r="AT572" s="145">
        <v>1</v>
      </c>
      <c r="AU572" s="145">
        <f t="shared" si="206"/>
        <v>1</v>
      </c>
      <c r="AV572" s="145">
        <f t="shared" si="207"/>
        <v>1</v>
      </c>
      <c r="AW572" s="145">
        <f t="shared" si="208"/>
        <v>1</v>
      </c>
      <c r="AX572" s="145">
        <f t="shared" si="212"/>
        <v>1</v>
      </c>
      <c r="AY572" s="145">
        <f t="shared" si="209"/>
        <v>0</v>
      </c>
      <c r="AZ572" s="145">
        <f t="shared" si="210"/>
        <v>1</v>
      </c>
      <c r="BA572" s="146">
        <f t="shared" si="211"/>
        <v>1</v>
      </c>
      <c r="BB572" s="149">
        <f t="shared" si="190"/>
        <v>17</v>
      </c>
      <c r="BC572" s="150">
        <f t="shared" si="191"/>
        <v>16</v>
      </c>
      <c r="BD572" s="150">
        <f t="shared" si="192"/>
        <v>17</v>
      </c>
      <c r="BE572" s="211" t="str">
        <f t="shared" si="193"/>
        <v/>
      </c>
      <c r="BF572" s="205"/>
      <c r="BG572" s="205"/>
      <c r="BH572" s="173">
        <f>IF(AND(Input_Product=Elig!$C572,Elig_MatchAll_Ct&lt;22,$BC572=(Elig_MatchAll_Ct-1),AF572=0),C572,0)</f>
        <v>0</v>
      </c>
      <c r="BI572" s="173">
        <f>IF(AND(Input_Product=Elig!$C572,Elig_MatchAll_Ct&lt;22,$BC572=(Elig_MatchAll_Ct-1),AG572=0),D572,0)</f>
        <v>0</v>
      </c>
      <c r="BJ572" s="173">
        <f>IF(AND(Input_Product=Elig!$C572,Elig_MatchAll_Ct&lt;22,$BC572=(Elig_MatchAll_Ct-1),AH572=0),E572,0)</f>
        <v>0</v>
      </c>
      <c r="BK572" s="173">
        <f>IF(AND(Input_Product=Elig!$C572,Elig_MatchAll_Ct&lt;22,$BC572=(Elig_MatchAll_Ct-1),AI572=0),F572,0)</f>
        <v>0</v>
      </c>
      <c r="BL572" s="173">
        <f>IF(AND(Input_Product=Elig!$C572,Elig_MatchAll_Ct&lt;22,$BC572=(Elig_MatchAll_Ct-1),AJ572=0),G572,0)</f>
        <v>0</v>
      </c>
      <c r="BM572" s="173">
        <f>IF(AND(Input_Product=Elig!$C572,Elig_MatchAll_Ct&lt;22,$BC572=(Elig_MatchAll_Ct-1),AK572=0),H572,0)</f>
        <v>0</v>
      </c>
      <c r="BN572" s="173">
        <f>IF(AND(Input_Product=Elig!$C572,Elig_MatchAll_Ct&lt;22,$BC572=(Elig_MatchAll_Ct-1),AL572=0),I572,0)</f>
        <v>0</v>
      </c>
      <c r="BO572" s="173">
        <f>IF(AND(Input_Product=Elig!$C572,Elig_MatchAll_Ct&lt;22,$BC572=(Elig_MatchAll_Ct-1),AM572=0),J572,0)</f>
        <v>0</v>
      </c>
      <c r="BP572" s="173">
        <f>IF(AND(Input_Product=Elig!$C572,Elig_MatchAll_Ct&lt;22,$BC572=(Elig_MatchAll_Ct-1),AN572=0),K572,0)</f>
        <v>0</v>
      </c>
      <c r="BQ572" s="173">
        <f>IF(AND(Input_Product=Elig!$C572,Elig_MatchAll_Ct&lt;22,$BC572=(Elig_MatchAll_Ct-1),AP572=0),L572,0)</f>
        <v>0</v>
      </c>
      <c r="BR572" s="173">
        <f>IF(AND(Input_Product=Elig!$C572,Elig_MatchAll_Ct&lt;22,$BC572=(Elig_MatchAll_Ct-1),AO572=0),M572,0)</f>
        <v>0</v>
      </c>
      <c r="BS572" s="173">
        <f>IF(AND(Input_Product=Elig!$C572,Elig_MatchAll_Ct&lt;22,$BC572=(Elig_MatchAll_Ct-1),AQ572=0),N572,0)</f>
        <v>0</v>
      </c>
      <c r="BT572" s="173">
        <f>IF(AND(Input_Product=Elig!$C572,Elig_MatchAll_Ct&lt;22,$BC572=(Elig_MatchAll_Ct-1),AR572=0),O572,0)</f>
        <v>0</v>
      </c>
      <c r="BU572" s="173">
        <f>IF(AND(Input_Product=Elig!$C572,Elig_MatchAll_Ct&lt;22,$BC572=(Elig_MatchAll_Ct-1),AS572=0),P572,0)</f>
        <v>0</v>
      </c>
      <c r="BV572" s="174">
        <f>IF(AND(Input_Product=Elig!$C572,Elig_MatchAll_Ct&lt;22,$BC572=(Elig_MatchAll_Ct-1),AT572=0),Q572,0)</f>
        <v>0</v>
      </c>
      <c r="BW572" s="175">
        <f>IF(AND(Input_Product=Elig!$C572,Elig_MatchAll_Ct&lt;22,$BC572=(Elig_MatchAll_Ct-1),AU572=0),R572,0)</f>
        <v>0</v>
      </c>
      <c r="BX572" s="176">
        <f>IF(AND(Input_Product=Elig!$C572,Elig_MatchAll_Ct&lt;22,$BC572=(Elig_MatchAll_Ct-1),AU572=0),S572,0)</f>
        <v>0</v>
      </c>
      <c r="BY572" s="175">
        <f>IF(AND(Input_Product=Elig!$C572,Elig_MatchAll_Ct&lt;22,$BC572=(Elig_MatchAll_Ct-1),AV572=0),T572,0)</f>
        <v>0</v>
      </c>
      <c r="BZ572" s="176">
        <f>IF(AND(Input_Product=Elig!$C572,Elig_MatchAll_Ct&lt;22,$BC572=(Elig_MatchAll_Ct-1),AV572=0),U572,0)</f>
        <v>0</v>
      </c>
      <c r="CA572" s="175">
        <f>IF(AND(Input_Product=Elig!$C572,Elig_MatchAll_Ct&lt;22,$BC572=(Elig_MatchAll_Ct-1),AW572=0),V572,0)</f>
        <v>0</v>
      </c>
      <c r="CB572" s="176">
        <f>IF(AND(Input_Product=Elig!$C572,Elig_MatchAll_Ct&lt;22,$BC572=(Elig_MatchAll_Ct-1),AW572=0),W572,0)</f>
        <v>0</v>
      </c>
      <c r="CC572" s="175">
        <f>IF(AND(Input_Product=Elig!$C572,Elig_MatchAll_Ct&lt;22,$BC572=(Elig_MatchAll_Ct-1),AX572=0),X572,0)</f>
        <v>0</v>
      </c>
      <c r="CD572" s="176">
        <f>IF(AND(Input_Product=Elig!$C572,Elig_MatchAll_Ct&lt;22,$BC572=(Elig_MatchAll_Ct-1),AX572=0),Y572,0)</f>
        <v>0</v>
      </c>
      <c r="CE572" s="175">
        <f>IF(AND(Input_LTV&lt;=AE572,Input_Product=Elig!$C572,Elig_MatchAll_Ct&lt;22,$BC572=(Elig_MatchAll_Ct-1),AY572=0),Z572,0)</f>
        <v>0</v>
      </c>
      <c r="CF572" s="176">
        <f>IF(AND(Input_LTV&lt;=AE572,Input_Product=Elig!$C572,Elig_MatchAll_Ct&lt;22,$BC572=(Elig_MatchAll_Ct-1),AY572=0),AA572,0)</f>
        <v>0</v>
      </c>
      <c r="CG572" s="175">
        <f>IF(AND(Input_Product=Elig!$C572,Elig_MatchAll_Ct&lt;22,$BC572=(Elig_MatchAll_Ct-1),AZ572=0),AB572,0)</f>
        <v>0</v>
      </c>
      <c r="CH572" s="176">
        <f>IF(AND(Input_Product=Elig!$C572,Elig_MatchAll_Ct&lt;22,$BC572=(Elig_MatchAll_Ct-1),AZ572=0),AC572,0)</f>
        <v>0</v>
      </c>
      <c r="CI572" s="175">
        <f>IF(AND(Input_Product=Elig!$C572,Elig_MatchAll_Ct&lt;22,$BC572=(Elig_MatchAll_Ct-1),BA572=0),AD572,0)</f>
        <v>0</v>
      </c>
      <c r="CJ572" s="176">
        <f>IF(AND(Input_Product=Elig!$C572,Elig_MatchAll_Ct&lt;22,$BC572=(Elig_MatchAll_Ct-1),BA572=0),AE572,0)</f>
        <v>0</v>
      </c>
    </row>
    <row r="573" spans="1:88" ht="10.15" customHeight="1" x14ac:dyDescent="0.25">
      <c r="A573" s="1476" t="s">
        <v>76</v>
      </c>
      <c r="B573" s="1476" t="s">
        <v>1350</v>
      </c>
      <c r="C573" s="1477" t="str">
        <f t="shared" si="204"/>
        <v>Second OO</v>
      </c>
      <c r="D573" s="1476" t="s">
        <v>1331</v>
      </c>
      <c r="E573" s="1476" t="s">
        <v>98</v>
      </c>
      <c r="F573" s="1476" t="s">
        <v>328</v>
      </c>
      <c r="G573" s="1478" t="s">
        <v>302</v>
      </c>
      <c r="H573" s="1478" t="s">
        <v>135</v>
      </c>
      <c r="I573" s="1476" t="s">
        <v>1141</v>
      </c>
      <c r="J573" s="1476" t="s">
        <v>1130</v>
      </c>
      <c r="K573" s="1478" t="s">
        <v>2464</v>
      </c>
      <c r="L573" s="1476" t="s">
        <v>428</v>
      </c>
      <c r="M573" s="1476" t="s">
        <v>1835</v>
      </c>
      <c r="N573" s="1478" t="s">
        <v>82</v>
      </c>
      <c r="O573" s="1476" t="s">
        <v>309</v>
      </c>
      <c r="P573" s="1476" t="s">
        <v>2433</v>
      </c>
      <c r="Q573" s="1476" t="s">
        <v>293</v>
      </c>
      <c r="R573" s="1476">
        <v>50000</v>
      </c>
      <c r="S573" s="1476">
        <v>350000</v>
      </c>
      <c r="T573" s="1476">
        <v>0</v>
      </c>
      <c r="U573" s="1476">
        <f t="shared" si="205"/>
        <v>350000</v>
      </c>
      <c r="V573" s="1476">
        <v>0</v>
      </c>
      <c r="W573" s="1476">
        <v>50</v>
      </c>
      <c r="X573" s="1476">
        <v>0</v>
      </c>
      <c r="Y573" s="1476">
        <v>999</v>
      </c>
      <c r="Z573" s="1479">
        <v>680</v>
      </c>
      <c r="AA573" s="1479">
        <v>699</v>
      </c>
      <c r="AB573" s="1479">
        <v>0</v>
      </c>
      <c r="AC573" s="1479">
        <v>999999</v>
      </c>
      <c r="AD573" s="1476">
        <v>0</v>
      </c>
      <c r="AE573" s="1219">
        <v>75</v>
      </c>
      <c r="AF573" s="144">
        <v>0</v>
      </c>
      <c r="AG573" s="145">
        <v>1</v>
      </c>
      <c r="AH573" s="145">
        <v>1</v>
      </c>
      <c r="AI573" s="145">
        <v>0</v>
      </c>
      <c r="AJ573" s="145">
        <v>0</v>
      </c>
      <c r="AK573" s="145">
        <v>1</v>
      </c>
      <c r="AL573" s="145">
        <v>1</v>
      </c>
      <c r="AM573" s="145">
        <v>1</v>
      </c>
      <c r="AN573" s="145">
        <v>1</v>
      </c>
      <c r="AO573" s="145">
        <v>1</v>
      </c>
      <c r="AP573" s="145">
        <v>1</v>
      </c>
      <c r="AQ573" s="145">
        <v>0</v>
      </c>
      <c r="AR573" s="145">
        <v>1</v>
      </c>
      <c r="AS573" s="145">
        <v>1</v>
      </c>
      <c r="AT573" s="145">
        <v>1</v>
      </c>
      <c r="AU573" s="145">
        <f t="shared" si="206"/>
        <v>1</v>
      </c>
      <c r="AV573" s="145">
        <f t="shared" si="207"/>
        <v>1</v>
      </c>
      <c r="AW573" s="145">
        <f t="shared" si="208"/>
        <v>1</v>
      </c>
      <c r="AX573" s="145">
        <f t="shared" si="212"/>
        <v>1</v>
      </c>
      <c r="AY573" s="145">
        <f t="shared" si="209"/>
        <v>0</v>
      </c>
      <c r="AZ573" s="145">
        <f t="shared" si="210"/>
        <v>1</v>
      </c>
      <c r="BA573" s="146">
        <f t="shared" si="211"/>
        <v>1</v>
      </c>
      <c r="BB573" s="149">
        <f t="shared" si="190"/>
        <v>17</v>
      </c>
      <c r="BC573" s="150">
        <f t="shared" si="191"/>
        <v>16</v>
      </c>
      <c r="BD573" s="150">
        <f t="shared" si="192"/>
        <v>17</v>
      </c>
      <c r="BE573" s="211" t="str">
        <f t="shared" si="193"/>
        <v/>
      </c>
      <c r="BF573" s="205"/>
      <c r="BG573" s="205"/>
      <c r="BH573" s="173">
        <f>IF(AND(Input_Product=Elig!$C573,Elig_MatchAll_Ct&lt;22,$BC573=(Elig_MatchAll_Ct-1),AF573=0),C573,0)</f>
        <v>0</v>
      </c>
      <c r="BI573" s="173">
        <f>IF(AND(Input_Product=Elig!$C573,Elig_MatchAll_Ct&lt;22,$BC573=(Elig_MatchAll_Ct-1),AG573=0),D573,0)</f>
        <v>0</v>
      </c>
      <c r="BJ573" s="173">
        <f>IF(AND(Input_Product=Elig!$C573,Elig_MatchAll_Ct&lt;22,$BC573=(Elig_MatchAll_Ct-1),AH573=0),E573,0)</f>
        <v>0</v>
      </c>
      <c r="BK573" s="173">
        <f>IF(AND(Input_Product=Elig!$C573,Elig_MatchAll_Ct&lt;22,$BC573=(Elig_MatchAll_Ct-1),AI573=0),F573,0)</f>
        <v>0</v>
      </c>
      <c r="BL573" s="173">
        <f>IF(AND(Input_Product=Elig!$C573,Elig_MatchAll_Ct&lt;22,$BC573=(Elig_MatchAll_Ct-1),AJ573=0),G573,0)</f>
        <v>0</v>
      </c>
      <c r="BM573" s="173">
        <f>IF(AND(Input_Product=Elig!$C573,Elig_MatchAll_Ct&lt;22,$BC573=(Elig_MatchAll_Ct-1),AK573=0),H573,0)</f>
        <v>0</v>
      </c>
      <c r="BN573" s="173">
        <f>IF(AND(Input_Product=Elig!$C573,Elig_MatchAll_Ct&lt;22,$BC573=(Elig_MatchAll_Ct-1),AL573=0),I573,0)</f>
        <v>0</v>
      </c>
      <c r="BO573" s="173">
        <f>IF(AND(Input_Product=Elig!$C573,Elig_MatchAll_Ct&lt;22,$BC573=(Elig_MatchAll_Ct-1),AM573=0),J573,0)</f>
        <v>0</v>
      </c>
      <c r="BP573" s="173">
        <f>IF(AND(Input_Product=Elig!$C573,Elig_MatchAll_Ct&lt;22,$BC573=(Elig_MatchAll_Ct-1),AN573=0),K573,0)</f>
        <v>0</v>
      </c>
      <c r="BQ573" s="173">
        <f>IF(AND(Input_Product=Elig!$C573,Elig_MatchAll_Ct&lt;22,$BC573=(Elig_MatchAll_Ct-1),AP573=0),L573,0)</f>
        <v>0</v>
      </c>
      <c r="BR573" s="173">
        <f>IF(AND(Input_Product=Elig!$C573,Elig_MatchAll_Ct&lt;22,$BC573=(Elig_MatchAll_Ct-1),AO573=0),M573,0)</f>
        <v>0</v>
      </c>
      <c r="BS573" s="173">
        <f>IF(AND(Input_Product=Elig!$C573,Elig_MatchAll_Ct&lt;22,$BC573=(Elig_MatchAll_Ct-1),AQ573=0),N573,0)</f>
        <v>0</v>
      </c>
      <c r="BT573" s="173">
        <f>IF(AND(Input_Product=Elig!$C573,Elig_MatchAll_Ct&lt;22,$BC573=(Elig_MatchAll_Ct-1),AR573=0),O573,0)</f>
        <v>0</v>
      </c>
      <c r="BU573" s="173">
        <f>IF(AND(Input_Product=Elig!$C573,Elig_MatchAll_Ct&lt;22,$BC573=(Elig_MatchAll_Ct-1),AS573=0),P573,0)</f>
        <v>0</v>
      </c>
      <c r="BV573" s="174">
        <f>IF(AND(Input_Product=Elig!$C573,Elig_MatchAll_Ct&lt;22,$BC573=(Elig_MatchAll_Ct-1),AT573=0),Q573,0)</f>
        <v>0</v>
      </c>
      <c r="BW573" s="175">
        <f>IF(AND(Input_Product=Elig!$C573,Elig_MatchAll_Ct&lt;22,$BC573=(Elig_MatchAll_Ct-1),AU573=0),R573,0)</f>
        <v>0</v>
      </c>
      <c r="BX573" s="176">
        <f>IF(AND(Input_Product=Elig!$C573,Elig_MatchAll_Ct&lt;22,$BC573=(Elig_MatchAll_Ct-1),AU573=0),S573,0)</f>
        <v>0</v>
      </c>
      <c r="BY573" s="175">
        <f>IF(AND(Input_Product=Elig!$C573,Elig_MatchAll_Ct&lt;22,$BC573=(Elig_MatchAll_Ct-1),AV573=0),T573,0)</f>
        <v>0</v>
      </c>
      <c r="BZ573" s="176">
        <f>IF(AND(Input_Product=Elig!$C573,Elig_MatchAll_Ct&lt;22,$BC573=(Elig_MatchAll_Ct-1),AV573=0),U573,0)</f>
        <v>0</v>
      </c>
      <c r="CA573" s="175">
        <f>IF(AND(Input_Product=Elig!$C573,Elig_MatchAll_Ct&lt;22,$BC573=(Elig_MatchAll_Ct-1),AW573=0),V573,0)</f>
        <v>0</v>
      </c>
      <c r="CB573" s="176">
        <f>IF(AND(Input_Product=Elig!$C573,Elig_MatchAll_Ct&lt;22,$BC573=(Elig_MatchAll_Ct-1),AW573=0),W573,0)</f>
        <v>0</v>
      </c>
      <c r="CC573" s="175">
        <f>IF(AND(Input_Product=Elig!$C573,Elig_MatchAll_Ct&lt;22,$BC573=(Elig_MatchAll_Ct-1),AX573=0),X573,0)</f>
        <v>0</v>
      </c>
      <c r="CD573" s="176">
        <f>IF(AND(Input_Product=Elig!$C573,Elig_MatchAll_Ct&lt;22,$BC573=(Elig_MatchAll_Ct-1),AX573=0),Y573,0)</f>
        <v>0</v>
      </c>
      <c r="CE573" s="175">
        <f>IF(AND(Input_LTV&lt;=AE573,Input_Product=Elig!$C573,Elig_MatchAll_Ct&lt;22,$BC573=(Elig_MatchAll_Ct-1),AY573=0),Z573,0)</f>
        <v>0</v>
      </c>
      <c r="CF573" s="176">
        <f>IF(AND(Input_LTV&lt;=AE573,Input_Product=Elig!$C573,Elig_MatchAll_Ct&lt;22,$BC573=(Elig_MatchAll_Ct-1),AY573=0),AA573,0)</f>
        <v>0</v>
      </c>
      <c r="CG573" s="175">
        <f>IF(AND(Input_Product=Elig!$C573,Elig_MatchAll_Ct&lt;22,$BC573=(Elig_MatchAll_Ct-1),AZ573=0),AB573,0)</f>
        <v>0</v>
      </c>
      <c r="CH573" s="176">
        <f>IF(AND(Input_Product=Elig!$C573,Elig_MatchAll_Ct&lt;22,$BC573=(Elig_MatchAll_Ct-1),AZ573=0),AC573,0)</f>
        <v>0</v>
      </c>
      <c r="CI573" s="175">
        <f>IF(AND(Input_Product=Elig!$C573,Elig_MatchAll_Ct&lt;22,$BC573=(Elig_MatchAll_Ct-1),BA573=0),AD573,0)</f>
        <v>0</v>
      </c>
      <c r="CJ573" s="176">
        <f>IF(AND(Input_Product=Elig!$C573,Elig_MatchAll_Ct&lt;22,$BC573=(Elig_MatchAll_Ct-1),BA573=0),AE573,0)</f>
        <v>0</v>
      </c>
    </row>
    <row r="574" spans="1:88" ht="10.15" customHeight="1" x14ac:dyDescent="0.25">
      <c r="A574" s="1476" t="s">
        <v>76</v>
      </c>
      <c r="B574" s="1476" t="s">
        <v>1351</v>
      </c>
      <c r="C574" s="1481" t="str">
        <f t="shared" si="204"/>
        <v>Second OO</v>
      </c>
      <c r="D574" s="1480" t="s">
        <v>1331</v>
      </c>
      <c r="E574" s="1480" t="s">
        <v>98</v>
      </c>
      <c r="F574" s="1480" t="s">
        <v>328</v>
      </c>
      <c r="G574" s="1482" t="s">
        <v>302</v>
      </c>
      <c r="H574" s="1482" t="s">
        <v>135</v>
      </c>
      <c r="I574" s="1480" t="s">
        <v>1141</v>
      </c>
      <c r="J574" s="1480" t="s">
        <v>1130</v>
      </c>
      <c r="K574" s="1482" t="s">
        <v>2464</v>
      </c>
      <c r="L574" s="1480" t="s">
        <v>428</v>
      </c>
      <c r="M574" s="1480" t="s">
        <v>1835</v>
      </c>
      <c r="N574" s="1482" t="s">
        <v>82</v>
      </c>
      <c r="O574" s="1480" t="s">
        <v>309</v>
      </c>
      <c r="P574" s="1480" t="s">
        <v>2433</v>
      </c>
      <c r="Q574" s="1480" t="s">
        <v>293</v>
      </c>
      <c r="R574" s="1480">
        <v>50000</v>
      </c>
      <c r="S574" s="1480">
        <v>350000</v>
      </c>
      <c r="T574" s="1480">
        <v>0</v>
      </c>
      <c r="U574" s="1480">
        <f t="shared" si="205"/>
        <v>350000</v>
      </c>
      <c r="V574" s="1480">
        <v>0</v>
      </c>
      <c r="W574" s="1480">
        <v>50</v>
      </c>
      <c r="X574" s="1480">
        <v>0</v>
      </c>
      <c r="Y574" s="1480">
        <v>999</v>
      </c>
      <c r="Z574" s="1483">
        <v>660</v>
      </c>
      <c r="AA574" s="1483">
        <v>679</v>
      </c>
      <c r="AB574" s="1483">
        <v>0</v>
      </c>
      <c r="AC574" s="1483">
        <v>999999</v>
      </c>
      <c r="AD574" s="1480">
        <v>0</v>
      </c>
      <c r="AE574" s="1220">
        <v>70</v>
      </c>
      <c r="AF574" s="144">
        <v>0</v>
      </c>
      <c r="AG574" s="145">
        <v>1</v>
      </c>
      <c r="AH574" s="145">
        <v>1</v>
      </c>
      <c r="AI574" s="145">
        <v>0</v>
      </c>
      <c r="AJ574" s="145">
        <v>0</v>
      </c>
      <c r="AK574" s="145">
        <v>1</v>
      </c>
      <c r="AL574" s="145">
        <v>1</v>
      </c>
      <c r="AM574" s="145">
        <v>1</v>
      </c>
      <c r="AN574" s="145">
        <v>1</v>
      </c>
      <c r="AO574" s="145">
        <v>1</v>
      </c>
      <c r="AP574" s="145">
        <v>1</v>
      </c>
      <c r="AQ574" s="145">
        <v>0</v>
      </c>
      <c r="AR574" s="145">
        <v>1</v>
      </c>
      <c r="AS574" s="145">
        <v>1</v>
      </c>
      <c r="AT574" s="145">
        <v>1</v>
      </c>
      <c r="AU574" s="145">
        <f t="shared" si="206"/>
        <v>1</v>
      </c>
      <c r="AV574" s="145">
        <f t="shared" si="207"/>
        <v>1</v>
      </c>
      <c r="AW574" s="145">
        <f t="shared" si="208"/>
        <v>1</v>
      </c>
      <c r="AX574" s="145">
        <f t="shared" si="212"/>
        <v>1</v>
      </c>
      <c r="AY574" s="145">
        <f t="shared" si="209"/>
        <v>0</v>
      </c>
      <c r="AZ574" s="145">
        <f t="shared" si="210"/>
        <v>1</v>
      </c>
      <c r="BA574" s="146">
        <f t="shared" si="211"/>
        <v>1</v>
      </c>
      <c r="BB574" s="149">
        <f t="shared" ref="BB574:BB637" si="214">SUM(AF574:BA574)</f>
        <v>17</v>
      </c>
      <c r="BC574" s="150">
        <f t="shared" ref="BC574:BC637" si="215">SUM(AF574:AZ574)</f>
        <v>16</v>
      </c>
      <c r="BD574" s="150">
        <f t="shared" ref="BD574:BD637" si="216">SUM(AG574:BA574)</f>
        <v>17</v>
      </c>
      <c r="BE574" s="211" t="str">
        <f t="shared" ref="BE574:BE637" si="217">IF(BD574=21,C574,"")</f>
        <v/>
      </c>
      <c r="BF574" s="205"/>
      <c r="BG574" s="205"/>
      <c r="BH574" s="188">
        <f>IF(AND(Input_Product=Elig!$C574,Elig_MatchAll_Ct&lt;22,$BC574=(Elig_MatchAll_Ct-1),AF574=0),C574,0)</f>
        <v>0</v>
      </c>
      <c r="BI574" s="188">
        <f>IF(AND(Input_Product=Elig!$C574,Elig_MatchAll_Ct&lt;22,$BC574=(Elig_MatchAll_Ct-1),AG574=0),D574,0)</f>
        <v>0</v>
      </c>
      <c r="BJ574" s="188">
        <f>IF(AND(Input_Product=Elig!$C574,Elig_MatchAll_Ct&lt;22,$BC574=(Elig_MatchAll_Ct-1),AH574=0),E574,0)</f>
        <v>0</v>
      </c>
      <c r="BK574" s="188">
        <f>IF(AND(Input_Product=Elig!$C574,Elig_MatchAll_Ct&lt;22,$BC574=(Elig_MatchAll_Ct-1),AI574=0),F574,0)</f>
        <v>0</v>
      </c>
      <c r="BL574" s="188">
        <f>IF(AND(Input_Product=Elig!$C574,Elig_MatchAll_Ct&lt;22,$BC574=(Elig_MatchAll_Ct-1),AJ574=0),G574,0)</f>
        <v>0</v>
      </c>
      <c r="BM574" s="188">
        <f>IF(AND(Input_Product=Elig!$C574,Elig_MatchAll_Ct&lt;22,$BC574=(Elig_MatchAll_Ct-1),AK574=0),H574,0)</f>
        <v>0</v>
      </c>
      <c r="BN574" s="188">
        <f>IF(AND(Input_Product=Elig!$C574,Elig_MatchAll_Ct&lt;22,$BC574=(Elig_MatchAll_Ct-1),AL574=0),I574,0)</f>
        <v>0</v>
      </c>
      <c r="BO574" s="188">
        <f>IF(AND(Input_Product=Elig!$C574,Elig_MatchAll_Ct&lt;22,$BC574=(Elig_MatchAll_Ct-1),AM574=0),J574,0)</f>
        <v>0</v>
      </c>
      <c r="BP574" s="188">
        <f>IF(AND(Input_Product=Elig!$C574,Elig_MatchAll_Ct&lt;22,$BC574=(Elig_MatchAll_Ct-1),AN574=0),K574,0)</f>
        <v>0</v>
      </c>
      <c r="BQ574" s="188">
        <f>IF(AND(Input_Product=Elig!$C574,Elig_MatchAll_Ct&lt;22,$BC574=(Elig_MatchAll_Ct-1),AP574=0),L574,0)</f>
        <v>0</v>
      </c>
      <c r="BR574" s="188">
        <f>IF(AND(Input_Product=Elig!$C574,Elig_MatchAll_Ct&lt;22,$BC574=(Elig_MatchAll_Ct-1),AO574=0),M574,0)</f>
        <v>0</v>
      </c>
      <c r="BS574" s="188">
        <f>IF(AND(Input_Product=Elig!$C574,Elig_MatchAll_Ct&lt;22,$BC574=(Elig_MatchAll_Ct-1),AQ574=0),N574,0)</f>
        <v>0</v>
      </c>
      <c r="BT574" s="188">
        <f>IF(AND(Input_Product=Elig!$C574,Elig_MatchAll_Ct&lt;22,$BC574=(Elig_MatchAll_Ct-1),AR574=0),O574,0)</f>
        <v>0</v>
      </c>
      <c r="BU574" s="188">
        <f>IF(AND(Input_Product=Elig!$C574,Elig_MatchAll_Ct&lt;22,$BC574=(Elig_MatchAll_Ct-1),AS574=0),P574,0)</f>
        <v>0</v>
      </c>
      <c r="BV574" s="189">
        <f>IF(AND(Input_Product=Elig!$C574,Elig_MatchAll_Ct&lt;22,$BC574=(Elig_MatchAll_Ct-1),AT574=0),Q574,0)</f>
        <v>0</v>
      </c>
      <c r="BW574" s="271">
        <f>IF(AND(Input_Product=Elig!$C574,Elig_MatchAll_Ct&lt;22,$BC574=(Elig_MatchAll_Ct-1),AU574=0),R574,0)</f>
        <v>0</v>
      </c>
      <c r="BX574" s="272">
        <f>IF(AND(Input_Product=Elig!$C574,Elig_MatchAll_Ct&lt;22,$BC574=(Elig_MatchAll_Ct-1),AU574=0),S574,0)</f>
        <v>0</v>
      </c>
      <c r="BY574" s="271">
        <f>IF(AND(Input_Product=Elig!$C574,Elig_MatchAll_Ct&lt;22,$BC574=(Elig_MatchAll_Ct-1),AV574=0),T574,0)</f>
        <v>0</v>
      </c>
      <c r="BZ574" s="272">
        <f>IF(AND(Input_Product=Elig!$C574,Elig_MatchAll_Ct&lt;22,$BC574=(Elig_MatchAll_Ct-1),AV574=0),U574,0)</f>
        <v>0</v>
      </c>
      <c r="CA574" s="271">
        <f>IF(AND(Input_Product=Elig!$C574,Elig_MatchAll_Ct&lt;22,$BC574=(Elig_MatchAll_Ct-1),AW574=0),V574,0)</f>
        <v>0</v>
      </c>
      <c r="CB574" s="272">
        <f>IF(AND(Input_Product=Elig!$C574,Elig_MatchAll_Ct&lt;22,$BC574=(Elig_MatchAll_Ct-1),AW574=0),W574,0)</f>
        <v>0</v>
      </c>
      <c r="CC574" s="271">
        <f>IF(AND(Input_Product=Elig!$C574,Elig_MatchAll_Ct&lt;22,$BC574=(Elig_MatchAll_Ct-1),AX574=0),X574,0)</f>
        <v>0</v>
      </c>
      <c r="CD574" s="272">
        <f>IF(AND(Input_Product=Elig!$C574,Elig_MatchAll_Ct&lt;22,$BC574=(Elig_MatchAll_Ct-1),AX574=0),Y574,0)</f>
        <v>0</v>
      </c>
      <c r="CE574" s="271">
        <f>IF(AND(Input_LTV&lt;=AE574,Input_Product=Elig!$C574,Elig_MatchAll_Ct&lt;22,$BC574=(Elig_MatchAll_Ct-1),AY574=0),Z574,0)</f>
        <v>0</v>
      </c>
      <c r="CF574" s="272">
        <f>IF(AND(Input_LTV&lt;=AE574,Input_Product=Elig!$C574,Elig_MatchAll_Ct&lt;22,$BC574=(Elig_MatchAll_Ct-1),AY574=0),AA574,0)</f>
        <v>0</v>
      </c>
      <c r="CG574" s="271">
        <f>IF(AND(Input_Product=Elig!$C574,Elig_MatchAll_Ct&lt;22,$BC574=(Elig_MatchAll_Ct-1),AZ574=0),AB574,0)</f>
        <v>0</v>
      </c>
      <c r="CH574" s="272">
        <f>IF(AND(Input_Product=Elig!$C574,Elig_MatchAll_Ct&lt;22,$BC574=(Elig_MatchAll_Ct-1),AZ574=0),AC574,0)</f>
        <v>0</v>
      </c>
      <c r="CI574" s="271">
        <f>IF(AND(Input_Product=Elig!$C574,Elig_MatchAll_Ct&lt;22,$BC574=(Elig_MatchAll_Ct-1),BA574=0),AD574,0)</f>
        <v>0</v>
      </c>
      <c r="CJ574" s="272">
        <f>IF(AND(Input_Product=Elig!$C574,Elig_MatchAll_Ct&lt;22,$BC574=(Elig_MatchAll_Ct-1),BA574=0),AE574,0)</f>
        <v>0</v>
      </c>
    </row>
    <row r="575" spans="1:88" ht="10.15" customHeight="1" x14ac:dyDescent="0.25">
      <c r="A575" s="1476" t="s">
        <v>76</v>
      </c>
      <c r="B575" s="1476" t="s">
        <v>1352</v>
      </c>
      <c r="C575" s="1473" t="str">
        <f t="shared" si="204"/>
        <v>Second OO</v>
      </c>
      <c r="D575" s="1474" t="s">
        <v>1121</v>
      </c>
      <c r="E575" s="1474" t="s">
        <v>98</v>
      </c>
      <c r="F575" s="1474" t="s">
        <v>328</v>
      </c>
      <c r="G575" s="1474" t="s">
        <v>302</v>
      </c>
      <c r="H575" s="1474" t="s">
        <v>135</v>
      </c>
      <c r="I575" s="1472" t="s">
        <v>1141</v>
      </c>
      <c r="J575" s="1472" t="s">
        <v>1130</v>
      </c>
      <c r="K575" s="1474" t="s">
        <v>2464</v>
      </c>
      <c r="L575" s="1472" t="s">
        <v>428</v>
      </c>
      <c r="M575" s="1472" t="s">
        <v>1835</v>
      </c>
      <c r="N575" s="1474" t="s">
        <v>82</v>
      </c>
      <c r="O575" s="1472" t="s">
        <v>309</v>
      </c>
      <c r="P575" s="1472" t="s">
        <v>2433</v>
      </c>
      <c r="Q575" s="1472" t="s">
        <v>293</v>
      </c>
      <c r="R575" s="1472">
        <v>200000</v>
      </c>
      <c r="S575" s="1472">
        <v>350000</v>
      </c>
      <c r="T575" s="1472">
        <v>0</v>
      </c>
      <c r="U575" s="1472">
        <f t="shared" si="205"/>
        <v>350000</v>
      </c>
      <c r="V575" s="1472">
        <v>0</v>
      </c>
      <c r="W575" s="1472">
        <v>50</v>
      </c>
      <c r="X575" s="1472">
        <v>0</v>
      </c>
      <c r="Y575" s="1472">
        <v>999</v>
      </c>
      <c r="Z575" s="1475">
        <v>720</v>
      </c>
      <c r="AA575" s="1475">
        <v>999</v>
      </c>
      <c r="AB575" s="1475">
        <v>0</v>
      </c>
      <c r="AC575" s="1475">
        <v>999999</v>
      </c>
      <c r="AD575" s="1472">
        <v>0</v>
      </c>
      <c r="AE575" s="1218">
        <v>80</v>
      </c>
      <c r="AF575" s="144">
        <v>0</v>
      </c>
      <c r="AG575" s="145">
        <v>0</v>
      </c>
      <c r="AH575" s="145">
        <v>1</v>
      </c>
      <c r="AI575" s="145">
        <v>0</v>
      </c>
      <c r="AJ575" s="145">
        <v>0</v>
      </c>
      <c r="AK575" s="145">
        <v>1</v>
      </c>
      <c r="AL575" s="145">
        <v>1</v>
      </c>
      <c r="AM575" s="145">
        <v>1</v>
      </c>
      <c r="AN575" s="145">
        <v>1</v>
      </c>
      <c r="AO575" s="145">
        <v>1</v>
      </c>
      <c r="AP575" s="145">
        <v>1</v>
      </c>
      <c r="AQ575" s="145">
        <v>0</v>
      </c>
      <c r="AR575" s="145">
        <v>1</v>
      </c>
      <c r="AS575" s="145">
        <v>1</v>
      </c>
      <c r="AT575" s="145">
        <v>1</v>
      </c>
      <c r="AU575" s="145">
        <f t="shared" si="206"/>
        <v>0</v>
      </c>
      <c r="AV575" s="145">
        <f t="shared" si="207"/>
        <v>1</v>
      </c>
      <c r="AW575" s="145">
        <f t="shared" si="208"/>
        <v>1</v>
      </c>
      <c r="AX575" s="145">
        <f t="shared" si="212"/>
        <v>1</v>
      </c>
      <c r="AY575" s="145">
        <f t="shared" si="209"/>
        <v>1</v>
      </c>
      <c r="AZ575" s="145">
        <f t="shared" si="210"/>
        <v>1</v>
      </c>
      <c r="BA575" s="146">
        <f t="shared" si="211"/>
        <v>1</v>
      </c>
      <c r="BB575" s="149">
        <f t="shared" si="214"/>
        <v>16</v>
      </c>
      <c r="BC575" s="150">
        <f t="shared" si="215"/>
        <v>15</v>
      </c>
      <c r="BD575" s="150">
        <f t="shared" si="216"/>
        <v>16</v>
      </c>
      <c r="BE575" s="211" t="str">
        <f t="shared" si="217"/>
        <v/>
      </c>
      <c r="BF575" s="194"/>
      <c r="BG575" s="194"/>
      <c r="BH575" s="190">
        <f>IF(AND(Input_Product=Elig!$C575,Elig_MatchAll_Ct&lt;22,$BC575=(Elig_MatchAll_Ct-1),AF575=0),C575,0)</f>
        <v>0</v>
      </c>
      <c r="BI575" s="190">
        <f>IF(AND(Input_Product=Elig!$C575,Elig_MatchAll_Ct&lt;22,$BC575=(Elig_MatchAll_Ct-1),AG575=0),D575,0)</f>
        <v>0</v>
      </c>
      <c r="BJ575" s="190">
        <f>IF(AND(Input_Product=Elig!$C575,Elig_MatchAll_Ct&lt;22,$BC575=(Elig_MatchAll_Ct-1),AH575=0),E575,0)</f>
        <v>0</v>
      </c>
      <c r="BK575" s="190">
        <f>IF(AND(Input_Product=Elig!$C575,Elig_MatchAll_Ct&lt;22,$BC575=(Elig_MatchAll_Ct-1),AI575=0),F575,0)</f>
        <v>0</v>
      </c>
      <c r="BL575" s="190">
        <f>IF(AND(Input_Product=Elig!$C575,Elig_MatchAll_Ct&lt;22,$BC575=(Elig_MatchAll_Ct-1),AJ575=0),G575,0)</f>
        <v>0</v>
      </c>
      <c r="BM575" s="190">
        <f>IF(AND(Input_Product=Elig!$C575,Elig_MatchAll_Ct&lt;22,$BC575=(Elig_MatchAll_Ct-1),AK575=0),H575,0)</f>
        <v>0</v>
      </c>
      <c r="BN575" s="190">
        <f>IF(AND(Input_Product=Elig!$C575,Elig_MatchAll_Ct&lt;22,$BC575=(Elig_MatchAll_Ct-1),AL575=0),I575,0)</f>
        <v>0</v>
      </c>
      <c r="BO575" s="190">
        <f>IF(AND(Input_Product=Elig!$C575,Elig_MatchAll_Ct&lt;22,$BC575=(Elig_MatchAll_Ct-1),AM575=0),J575,0)</f>
        <v>0</v>
      </c>
      <c r="BP575" s="190">
        <f>IF(AND(Input_Product=Elig!$C575,Elig_MatchAll_Ct&lt;22,$BC575=(Elig_MatchAll_Ct-1),AN575=0),K575,0)</f>
        <v>0</v>
      </c>
      <c r="BQ575" s="190">
        <f>IF(AND(Input_Product=Elig!$C575,Elig_MatchAll_Ct&lt;22,$BC575=(Elig_MatchAll_Ct-1),AP575=0),L575,0)</f>
        <v>0</v>
      </c>
      <c r="BR575" s="190">
        <f>IF(AND(Input_Product=Elig!$C575,Elig_MatchAll_Ct&lt;22,$BC575=(Elig_MatchAll_Ct-1),AO575=0),M575,0)</f>
        <v>0</v>
      </c>
      <c r="BS575" s="190">
        <f>IF(AND(Input_Product=Elig!$C575,Elig_MatchAll_Ct&lt;22,$BC575=(Elig_MatchAll_Ct-1),AQ575=0),N575,0)</f>
        <v>0</v>
      </c>
      <c r="BT575" s="190">
        <f>IF(AND(Input_Product=Elig!$C575,Elig_MatchAll_Ct&lt;22,$BC575=(Elig_MatchAll_Ct-1),AR575=0),O575,0)</f>
        <v>0</v>
      </c>
      <c r="BU575" s="190">
        <f>IF(AND(Input_Product=Elig!$C575,Elig_MatchAll_Ct&lt;22,$BC575=(Elig_MatchAll_Ct-1),AS575=0),P575,0)</f>
        <v>0</v>
      </c>
      <c r="BV575" s="191">
        <f>IF(AND(Input_Product=Elig!$C575,Elig_MatchAll_Ct&lt;22,$BC575=(Elig_MatchAll_Ct-1),AT575=0),Q575,0)</f>
        <v>0</v>
      </c>
      <c r="BW575" s="273">
        <f>IF(AND(Input_Product=Elig!$C575,Elig_MatchAll_Ct&lt;22,$BC575=(Elig_MatchAll_Ct-1),AU575=0),R575,0)</f>
        <v>0</v>
      </c>
      <c r="BX575" s="274">
        <f>IF(AND(Input_Product=Elig!$C575,Elig_MatchAll_Ct&lt;22,$BC575=(Elig_MatchAll_Ct-1),AU575=0),S575,0)</f>
        <v>0</v>
      </c>
      <c r="BY575" s="273">
        <f>IF(AND(Input_Product=Elig!$C575,Elig_MatchAll_Ct&lt;22,$BC575=(Elig_MatchAll_Ct-1),AV575=0),T575,0)</f>
        <v>0</v>
      </c>
      <c r="BZ575" s="274">
        <f>IF(AND(Input_Product=Elig!$C575,Elig_MatchAll_Ct&lt;22,$BC575=(Elig_MatchAll_Ct-1),AV575=0),U575,0)</f>
        <v>0</v>
      </c>
      <c r="CA575" s="273">
        <f>IF(AND(Input_Product=Elig!$C575,Elig_MatchAll_Ct&lt;22,$BC575=(Elig_MatchAll_Ct-1),AW575=0),V575,0)</f>
        <v>0</v>
      </c>
      <c r="CB575" s="274">
        <f>IF(AND(Input_Product=Elig!$C575,Elig_MatchAll_Ct&lt;22,$BC575=(Elig_MatchAll_Ct-1),AW575=0),W575,0)</f>
        <v>0</v>
      </c>
      <c r="CC575" s="273">
        <f>IF(AND(Input_Product=Elig!$C575,Elig_MatchAll_Ct&lt;22,$BC575=(Elig_MatchAll_Ct-1),AX575=0),X575,0)</f>
        <v>0</v>
      </c>
      <c r="CD575" s="274">
        <f>IF(AND(Input_Product=Elig!$C575,Elig_MatchAll_Ct&lt;22,$BC575=(Elig_MatchAll_Ct-1),AX575=0),Y575,0)</f>
        <v>0</v>
      </c>
      <c r="CE575" s="273">
        <f>IF(AND(Input_LTV&lt;=AE575,Input_Product=Elig!$C575,Elig_MatchAll_Ct&lt;22,$BC575=(Elig_MatchAll_Ct-1),AY575=0),Z575,0)</f>
        <v>0</v>
      </c>
      <c r="CF575" s="274">
        <f>IF(AND(Input_LTV&lt;=AE575,Input_Product=Elig!$C575,Elig_MatchAll_Ct&lt;22,$BC575=(Elig_MatchAll_Ct-1),AY575=0),AA575,0)</f>
        <v>0</v>
      </c>
      <c r="CG575" s="273">
        <f>IF(AND(Input_Product=Elig!$C575,Elig_MatchAll_Ct&lt;22,$BC575=(Elig_MatchAll_Ct-1),AZ575=0),AB575,0)</f>
        <v>0</v>
      </c>
      <c r="CH575" s="274">
        <f>IF(AND(Input_Product=Elig!$C575,Elig_MatchAll_Ct&lt;22,$BC575=(Elig_MatchAll_Ct-1),AZ575=0),AC575,0)</f>
        <v>0</v>
      </c>
      <c r="CI575" s="273">
        <f>IF(AND(Input_Product=Elig!$C575,Elig_MatchAll_Ct&lt;22,$BC575=(Elig_MatchAll_Ct-1),BA575=0),AD575,0)</f>
        <v>0</v>
      </c>
      <c r="CJ575" s="274">
        <f>IF(AND(Input_Product=Elig!$C575,Elig_MatchAll_Ct&lt;22,$BC575=(Elig_MatchAll_Ct-1),BA575=0),AE575,0)</f>
        <v>0</v>
      </c>
    </row>
    <row r="576" spans="1:88" ht="10.15" customHeight="1" x14ac:dyDescent="0.25">
      <c r="A576" s="1476" t="s">
        <v>76</v>
      </c>
      <c r="B576" s="1476" t="s">
        <v>1353</v>
      </c>
      <c r="C576" s="1477" t="str">
        <f t="shared" si="204"/>
        <v>Second OO</v>
      </c>
      <c r="D576" s="1476" t="s">
        <v>1121</v>
      </c>
      <c r="E576" s="1476" t="s">
        <v>98</v>
      </c>
      <c r="F576" s="1476" t="s">
        <v>328</v>
      </c>
      <c r="G576" s="1478" t="s">
        <v>302</v>
      </c>
      <c r="H576" s="1478" t="s">
        <v>135</v>
      </c>
      <c r="I576" s="1476" t="s">
        <v>1141</v>
      </c>
      <c r="J576" s="1476" t="s">
        <v>1130</v>
      </c>
      <c r="K576" s="1478" t="s">
        <v>2464</v>
      </c>
      <c r="L576" s="1476" t="s">
        <v>428</v>
      </c>
      <c r="M576" s="1476" t="s">
        <v>1835</v>
      </c>
      <c r="N576" s="1478" t="s">
        <v>82</v>
      </c>
      <c r="O576" s="1476" t="s">
        <v>309</v>
      </c>
      <c r="P576" s="1476" t="s">
        <v>2433</v>
      </c>
      <c r="Q576" s="1476" t="s">
        <v>293</v>
      </c>
      <c r="R576" s="1476">
        <v>200000</v>
      </c>
      <c r="S576" s="1476">
        <v>350000</v>
      </c>
      <c r="T576" s="1476">
        <v>0</v>
      </c>
      <c r="U576" s="1476">
        <f t="shared" si="205"/>
        <v>350000</v>
      </c>
      <c r="V576" s="1476">
        <v>0</v>
      </c>
      <c r="W576" s="1476">
        <v>50</v>
      </c>
      <c r="X576" s="1476">
        <v>0</v>
      </c>
      <c r="Y576" s="1476">
        <v>999</v>
      </c>
      <c r="Z576" s="1479">
        <v>700</v>
      </c>
      <c r="AA576" s="1479">
        <v>719</v>
      </c>
      <c r="AB576" s="1479">
        <v>0</v>
      </c>
      <c r="AC576" s="1479">
        <v>999999</v>
      </c>
      <c r="AD576" s="1476">
        <v>0</v>
      </c>
      <c r="AE576" s="1219">
        <v>80</v>
      </c>
      <c r="AF576" s="144">
        <v>0</v>
      </c>
      <c r="AG576" s="145">
        <v>0</v>
      </c>
      <c r="AH576" s="145">
        <v>1</v>
      </c>
      <c r="AI576" s="145">
        <v>0</v>
      </c>
      <c r="AJ576" s="145">
        <v>0</v>
      </c>
      <c r="AK576" s="145">
        <v>1</v>
      </c>
      <c r="AL576" s="145">
        <v>1</v>
      </c>
      <c r="AM576" s="145">
        <v>1</v>
      </c>
      <c r="AN576" s="145">
        <v>1</v>
      </c>
      <c r="AO576" s="145">
        <v>1</v>
      </c>
      <c r="AP576" s="145">
        <v>1</v>
      </c>
      <c r="AQ576" s="145">
        <v>0</v>
      </c>
      <c r="AR576" s="145">
        <v>1</v>
      </c>
      <c r="AS576" s="145">
        <v>1</v>
      </c>
      <c r="AT576" s="145">
        <v>1</v>
      </c>
      <c r="AU576" s="145">
        <f t="shared" si="206"/>
        <v>0</v>
      </c>
      <c r="AV576" s="145">
        <f t="shared" si="207"/>
        <v>1</v>
      </c>
      <c r="AW576" s="145">
        <f t="shared" si="208"/>
        <v>1</v>
      </c>
      <c r="AX576" s="145">
        <f t="shared" si="212"/>
        <v>1</v>
      </c>
      <c r="AY576" s="145">
        <f t="shared" si="209"/>
        <v>0</v>
      </c>
      <c r="AZ576" s="145">
        <f t="shared" si="210"/>
        <v>1</v>
      </c>
      <c r="BA576" s="146">
        <f t="shared" si="211"/>
        <v>1</v>
      </c>
      <c r="BB576" s="149">
        <f t="shared" si="214"/>
        <v>15</v>
      </c>
      <c r="BC576" s="150">
        <f t="shared" si="215"/>
        <v>14</v>
      </c>
      <c r="BD576" s="150">
        <f t="shared" si="216"/>
        <v>15</v>
      </c>
      <c r="BE576" s="211" t="str">
        <f t="shared" si="217"/>
        <v/>
      </c>
      <c r="BF576" s="205"/>
      <c r="BG576" s="205"/>
      <c r="BH576" s="173">
        <f>IF(AND(Input_Product=Elig!$C576,Elig_MatchAll_Ct&lt;22,$BC576=(Elig_MatchAll_Ct-1),AF576=0),C576,0)</f>
        <v>0</v>
      </c>
      <c r="BI576" s="173">
        <f>IF(AND(Input_Product=Elig!$C576,Elig_MatchAll_Ct&lt;22,$BC576=(Elig_MatchAll_Ct-1),AG576=0),D576,0)</f>
        <v>0</v>
      </c>
      <c r="BJ576" s="173">
        <f>IF(AND(Input_Product=Elig!$C576,Elig_MatchAll_Ct&lt;22,$BC576=(Elig_MatchAll_Ct-1),AH576=0),E576,0)</f>
        <v>0</v>
      </c>
      <c r="BK576" s="173">
        <f>IF(AND(Input_Product=Elig!$C576,Elig_MatchAll_Ct&lt;22,$BC576=(Elig_MatchAll_Ct-1),AI576=0),F576,0)</f>
        <v>0</v>
      </c>
      <c r="BL576" s="173">
        <f>IF(AND(Input_Product=Elig!$C576,Elig_MatchAll_Ct&lt;22,$BC576=(Elig_MatchAll_Ct-1),AJ576=0),G576,0)</f>
        <v>0</v>
      </c>
      <c r="BM576" s="173">
        <f>IF(AND(Input_Product=Elig!$C576,Elig_MatchAll_Ct&lt;22,$BC576=(Elig_MatchAll_Ct-1),AK576=0),H576,0)</f>
        <v>0</v>
      </c>
      <c r="BN576" s="173">
        <f>IF(AND(Input_Product=Elig!$C576,Elig_MatchAll_Ct&lt;22,$BC576=(Elig_MatchAll_Ct-1),AL576=0),I576,0)</f>
        <v>0</v>
      </c>
      <c r="BO576" s="173">
        <f>IF(AND(Input_Product=Elig!$C576,Elig_MatchAll_Ct&lt;22,$BC576=(Elig_MatchAll_Ct-1),AM576=0),J576,0)</f>
        <v>0</v>
      </c>
      <c r="BP576" s="173">
        <f>IF(AND(Input_Product=Elig!$C576,Elig_MatchAll_Ct&lt;22,$BC576=(Elig_MatchAll_Ct-1),AN576=0),K576,0)</f>
        <v>0</v>
      </c>
      <c r="BQ576" s="173">
        <f>IF(AND(Input_Product=Elig!$C576,Elig_MatchAll_Ct&lt;22,$BC576=(Elig_MatchAll_Ct-1),AP576=0),L576,0)</f>
        <v>0</v>
      </c>
      <c r="BR576" s="173">
        <f>IF(AND(Input_Product=Elig!$C576,Elig_MatchAll_Ct&lt;22,$BC576=(Elig_MatchAll_Ct-1),AO576=0),M576,0)</f>
        <v>0</v>
      </c>
      <c r="BS576" s="173">
        <f>IF(AND(Input_Product=Elig!$C576,Elig_MatchAll_Ct&lt;22,$BC576=(Elig_MatchAll_Ct-1),AQ576=0),N576,0)</f>
        <v>0</v>
      </c>
      <c r="BT576" s="173">
        <f>IF(AND(Input_Product=Elig!$C576,Elig_MatchAll_Ct&lt;22,$BC576=(Elig_MatchAll_Ct-1),AR576=0),O576,0)</f>
        <v>0</v>
      </c>
      <c r="BU576" s="173">
        <f>IF(AND(Input_Product=Elig!$C576,Elig_MatchAll_Ct&lt;22,$BC576=(Elig_MatchAll_Ct-1),AS576=0),P576,0)</f>
        <v>0</v>
      </c>
      <c r="BV576" s="174">
        <f>IF(AND(Input_Product=Elig!$C576,Elig_MatchAll_Ct&lt;22,$BC576=(Elig_MatchAll_Ct-1),AT576=0),Q576,0)</f>
        <v>0</v>
      </c>
      <c r="BW576" s="175">
        <f>IF(AND(Input_Product=Elig!$C576,Elig_MatchAll_Ct&lt;22,$BC576=(Elig_MatchAll_Ct-1),AU576=0),R576,0)</f>
        <v>0</v>
      </c>
      <c r="BX576" s="176">
        <f>IF(AND(Input_Product=Elig!$C576,Elig_MatchAll_Ct&lt;22,$BC576=(Elig_MatchAll_Ct-1),AU576=0),S576,0)</f>
        <v>0</v>
      </c>
      <c r="BY576" s="175">
        <f>IF(AND(Input_Product=Elig!$C576,Elig_MatchAll_Ct&lt;22,$BC576=(Elig_MatchAll_Ct-1),AV576=0),T576,0)</f>
        <v>0</v>
      </c>
      <c r="BZ576" s="176">
        <f>IF(AND(Input_Product=Elig!$C576,Elig_MatchAll_Ct&lt;22,$BC576=(Elig_MatchAll_Ct-1),AV576=0),U576,0)</f>
        <v>0</v>
      </c>
      <c r="CA576" s="175">
        <f>IF(AND(Input_Product=Elig!$C576,Elig_MatchAll_Ct&lt;22,$BC576=(Elig_MatchAll_Ct-1),AW576=0),V576,0)</f>
        <v>0</v>
      </c>
      <c r="CB576" s="176">
        <f>IF(AND(Input_Product=Elig!$C576,Elig_MatchAll_Ct&lt;22,$BC576=(Elig_MatchAll_Ct-1),AW576=0),W576,0)</f>
        <v>0</v>
      </c>
      <c r="CC576" s="175">
        <f>IF(AND(Input_Product=Elig!$C576,Elig_MatchAll_Ct&lt;22,$BC576=(Elig_MatchAll_Ct-1),AX576=0),X576,0)</f>
        <v>0</v>
      </c>
      <c r="CD576" s="176">
        <f>IF(AND(Input_Product=Elig!$C576,Elig_MatchAll_Ct&lt;22,$BC576=(Elig_MatchAll_Ct-1),AX576=0),Y576,0)</f>
        <v>0</v>
      </c>
      <c r="CE576" s="175">
        <f>IF(AND(Input_LTV&lt;=AE576,Input_Product=Elig!$C576,Elig_MatchAll_Ct&lt;22,$BC576=(Elig_MatchAll_Ct-1),AY576=0),Z576,0)</f>
        <v>0</v>
      </c>
      <c r="CF576" s="176">
        <f>IF(AND(Input_LTV&lt;=AE576,Input_Product=Elig!$C576,Elig_MatchAll_Ct&lt;22,$BC576=(Elig_MatchAll_Ct-1),AY576=0),AA576,0)</f>
        <v>0</v>
      </c>
      <c r="CG576" s="175">
        <f>IF(AND(Input_Product=Elig!$C576,Elig_MatchAll_Ct&lt;22,$BC576=(Elig_MatchAll_Ct-1),AZ576=0),AB576,0)</f>
        <v>0</v>
      </c>
      <c r="CH576" s="176">
        <f>IF(AND(Input_Product=Elig!$C576,Elig_MatchAll_Ct&lt;22,$BC576=(Elig_MatchAll_Ct-1),AZ576=0),AC576,0)</f>
        <v>0</v>
      </c>
      <c r="CI576" s="175">
        <f>IF(AND(Input_Product=Elig!$C576,Elig_MatchAll_Ct&lt;22,$BC576=(Elig_MatchAll_Ct-1),BA576=0),AD576,0)</f>
        <v>0</v>
      </c>
      <c r="CJ576" s="176">
        <f>IF(AND(Input_Product=Elig!$C576,Elig_MatchAll_Ct&lt;22,$BC576=(Elig_MatchAll_Ct-1),BA576=0),AE576,0)</f>
        <v>0</v>
      </c>
    </row>
    <row r="577" spans="1:88" ht="10.15" customHeight="1" x14ac:dyDescent="0.25">
      <c r="A577" s="1476" t="s">
        <v>76</v>
      </c>
      <c r="B577" s="1476" t="s">
        <v>1354</v>
      </c>
      <c r="C577" s="1477" t="str">
        <f t="shared" si="204"/>
        <v>Second OO</v>
      </c>
      <c r="D577" s="1476" t="s">
        <v>1121</v>
      </c>
      <c r="E577" s="1476" t="s">
        <v>98</v>
      </c>
      <c r="F577" s="1476" t="s">
        <v>328</v>
      </c>
      <c r="G577" s="1478" t="s">
        <v>302</v>
      </c>
      <c r="H577" s="1478" t="s">
        <v>135</v>
      </c>
      <c r="I577" s="1476" t="s">
        <v>1141</v>
      </c>
      <c r="J577" s="1476" t="s">
        <v>1130</v>
      </c>
      <c r="K577" s="1478" t="s">
        <v>2464</v>
      </c>
      <c r="L577" s="1476" t="s">
        <v>428</v>
      </c>
      <c r="M577" s="1476" t="s">
        <v>1835</v>
      </c>
      <c r="N577" s="1478" t="s">
        <v>82</v>
      </c>
      <c r="O577" s="1476" t="s">
        <v>309</v>
      </c>
      <c r="P577" s="1476" t="s">
        <v>2433</v>
      </c>
      <c r="Q577" s="1476" t="s">
        <v>293</v>
      </c>
      <c r="R577" s="1476">
        <v>200000</v>
      </c>
      <c r="S577" s="1476">
        <v>350000</v>
      </c>
      <c r="T577" s="1476">
        <v>0</v>
      </c>
      <c r="U577" s="1476">
        <f t="shared" si="205"/>
        <v>350000</v>
      </c>
      <c r="V577" s="1476">
        <v>0</v>
      </c>
      <c r="W577" s="1476">
        <v>50</v>
      </c>
      <c r="X577" s="1476">
        <v>0</v>
      </c>
      <c r="Y577" s="1476">
        <v>999</v>
      </c>
      <c r="Z577" s="1479">
        <v>680</v>
      </c>
      <c r="AA577" s="1479">
        <v>699</v>
      </c>
      <c r="AB577" s="1479">
        <v>0</v>
      </c>
      <c r="AC577" s="1479">
        <v>999999</v>
      </c>
      <c r="AD577" s="1476">
        <v>0</v>
      </c>
      <c r="AE577" s="1219">
        <v>75</v>
      </c>
      <c r="AF577" s="144">
        <v>0</v>
      </c>
      <c r="AG577" s="145">
        <v>0</v>
      </c>
      <c r="AH577" s="145">
        <v>1</v>
      </c>
      <c r="AI577" s="145">
        <v>0</v>
      </c>
      <c r="AJ577" s="145">
        <v>0</v>
      </c>
      <c r="AK577" s="145">
        <v>1</v>
      </c>
      <c r="AL577" s="145">
        <v>1</v>
      </c>
      <c r="AM577" s="145">
        <v>1</v>
      </c>
      <c r="AN577" s="145">
        <v>1</v>
      </c>
      <c r="AO577" s="145">
        <v>1</v>
      </c>
      <c r="AP577" s="145">
        <v>1</v>
      </c>
      <c r="AQ577" s="145">
        <v>0</v>
      </c>
      <c r="AR577" s="145">
        <v>1</v>
      </c>
      <c r="AS577" s="145">
        <v>1</v>
      </c>
      <c r="AT577" s="145">
        <v>1</v>
      </c>
      <c r="AU577" s="145">
        <f t="shared" si="206"/>
        <v>0</v>
      </c>
      <c r="AV577" s="145">
        <f t="shared" si="207"/>
        <v>1</v>
      </c>
      <c r="AW577" s="145">
        <f t="shared" si="208"/>
        <v>1</v>
      </c>
      <c r="AX577" s="145">
        <f t="shared" si="212"/>
        <v>1</v>
      </c>
      <c r="AY577" s="145">
        <f t="shared" si="209"/>
        <v>0</v>
      </c>
      <c r="AZ577" s="145">
        <f t="shared" si="210"/>
        <v>1</v>
      </c>
      <c r="BA577" s="146">
        <f t="shared" si="211"/>
        <v>1</v>
      </c>
      <c r="BB577" s="149">
        <f t="shared" si="214"/>
        <v>15</v>
      </c>
      <c r="BC577" s="150">
        <f t="shared" si="215"/>
        <v>14</v>
      </c>
      <c r="BD577" s="150">
        <f t="shared" si="216"/>
        <v>15</v>
      </c>
      <c r="BE577" s="211" t="str">
        <f t="shared" si="217"/>
        <v/>
      </c>
      <c r="BF577" s="205"/>
      <c r="BG577" s="205"/>
      <c r="BH577" s="173">
        <f>IF(AND(Input_Product=Elig!$C577,Elig_MatchAll_Ct&lt;22,$BC577=(Elig_MatchAll_Ct-1),AF577=0),C577,0)</f>
        <v>0</v>
      </c>
      <c r="BI577" s="173">
        <f>IF(AND(Input_Product=Elig!$C577,Elig_MatchAll_Ct&lt;22,$BC577=(Elig_MatchAll_Ct-1),AG577=0),D577,0)</f>
        <v>0</v>
      </c>
      <c r="BJ577" s="173">
        <f>IF(AND(Input_Product=Elig!$C577,Elig_MatchAll_Ct&lt;22,$BC577=(Elig_MatchAll_Ct-1),AH577=0),E577,0)</f>
        <v>0</v>
      </c>
      <c r="BK577" s="173">
        <f>IF(AND(Input_Product=Elig!$C577,Elig_MatchAll_Ct&lt;22,$BC577=(Elig_MatchAll_Ct-1),AI577=0),F577,0)</f>
        <v>0</v>
      </c>
      <c r="BL577" s="173">
        <f>IF(AND(Input_Product=Elig!$C577,Elig_MatchAll_Ct&lt;22,$BC577=(Elig_MatchAll_Ct-1),AJ577=0),G577,0)</f>
        <v>0</v>
      </c>
      <c r="BM577" s="173">
        <f>IF(AND(Input_Product=Elig!$C577,Elig_MatchAll_Ct&lt;22,$BC577=(Elig_MatchAll_Ct-1),AK577=0),H577,0)</f>
        <v>0</v>
      </c>
      <c r="BN577" s="173">
        <f>IF(AND(Input_Product=Elig!$C577,Elig_MatchAll_Ct&lt;22,$BC577=(Elig_MatchAll_Ct-1),AL577=0),I577,0)</f>
        <v>0</v>
      </c>
      <c r="BO577" s="173">
        <f>IF(AND(Input_Product=Elig!$C577,Elig_MatchAll_Ct&lt;22,$BC577=(Elig_MatchAll_Ct-1),AM577=0),J577,0)</f>
        <v>0</v>
      </c>
      <c r="BP577" s="173">
        <f>IF(AND(Input_Product=Elig!$C577,Elig_MatchAll_Ct&lt;22,$BC577=(Elig_MatchAll_Ct-1),AN577=0),K577,0)</f>
        <v>0</v>
      </c>
      <c r="BQ577" s="173">
        <f>IF(AND(Input_Product=Elig!$C577,Elig_MatchAll_Ct&lt;22,$BC577=(Elig_MatchAll_Ct-1),AP577=0),L577,0)</f>
        <v>0</v>
      </c>
      <c r="BR577" s="173">
        <f>IF(AND(Input_Product=Elig!$C577,Elig_MatchAll_Ct&lt;22,$BC577=(Elig_MatchAll_Ct-1),AO577=0),M577,0)</f>
        <v>0</v>
      </c>
      <c r="BS577" s="173">
        <f>IF(AND(Input_Product=Elig!$C577,Elig_MatchAll_Ct&lt;22,$BC577=(Elig_MatchAll_Ct-1),AQ577=0),N577,0)</f>
        <v>0</v>
      </c>
      <c r="BT577" s="173">
        <f>IF(AND(Input_Product=Elig!$C577,Elig_MatchAll_Ct&lt;22,$BC577=(Elig_MatchAll_Ct-1),AR577=0),O577,0)</f>
        <v>0</v>
      </c>
      <c r="BU577" s="173">
        <f>IF(AND(Input_Product=Elig!$C577,Elig_MatchAll_Ct&lt;22,$BC577=(Elig_MatchAll_Ct-1),AS577=0),P577,0)</f>
        <v>0</v>
      </c>
      <c r="BV577" s="174">
        <f>IF(AND(Input_Product=Elig!$C577,Elig_MatchAll_Ct&lt;22,$BC577=(Elig_MatchAll_Ct-1),AT577=0),Q577,0)</f>
        <v>0</v>
      </c>
      <c r="BW577" s="175">
        <f>IF(AND(Input_Product=Elig!$C577,Elig_MatchAll_Ct&lt;22,$BC577=(Elig_MatchAll_Ct-1),AU577=0),R577,0)</f>
        <v>0</v>
      </c>
      <c r="BX577" s="176">
        <f>IF(AND(Input_Product=Elig!$C577,Elig_MatchAll_Ct&lt;22,$BC577=(Elig_MatchAll_Ct-1),AU577=0),S577,0)</f>
        <v>0</v>
      </c>
      <c r="BY577" s="175">
        <f>IF(AND(Input_Product=Elig!$C577,Elig_MatchAll_Ct&lt;22,$BC577=(Elig_MatchAll_Ct-1),AV577=0),T577,0)</f>
        <v>0</v>
      </c>
      <c r="BZ577" s="176">
        <f>IF(AND(Input_Product=Elig!$C577,Elig_MatchAll_Ct&lt;22,$BC577=(Elig_MatchAll_Ct-1),AV577=0),U577,0)</f>
        <v>0</v>
      </c>
      <c r="CA577" s="175">
        <f>IF(AND(Input_Product=Elig!$C577,Elig_MatchAll_Ct&lt;22,$BC577=(Elig_MatchAll_Ct-1),AW577=0),V577,0)</f>
        <v>0</v>
      </c>
      <c r="CB577" s="176">
        <f>IF(AND(Input_Product=Elig!$C577,Elig_MatchAll_Ct&lt;22,$BC577=(Elig_MatchAll_Ct-1),AW577=0),W577,0)</f>
        <v>0</v>
      </c>
      <c r="CC577" s="175">
        <f>IF(AND(Input_Product=Elig!$C577,Elig_MatchAll_Ct&lt;22,$BC577=(Elig_MatchAll_Ct-1),AX577=0),X577,0)</f>
        <v>0</v>
      </c>
      <c r="CD577" s="176">
        <f>IF(AND(Input_Product=Elig!$C577,Elig_MatchAll_Ct&lt;22,$BC577=(Elig_MatchAll_Ct-1),AX577=0),Y577,0)</f>
        <v>0</v>
      </c>
      <c r="CE577" s="175">
        <f>IF(AND(Input_LTV&lt;=AE577,Input_Product=Elig!$C577,Elig_MatchAll_Ct&lt;22,$BC577=(Elig_MatchAll_Ct-1),AY577=0),Z577,0)</f>
        <v>0</v>
      </c>
      <c r="CF577" s="176">
        <f>IF(AND(Input_LTV&lt;=AE577,Input_Product=Elig!$C577,Elig_MatchAll_Ct&lt;22,$BC577=(Elig_MatchAll_Ct-1),AY577=0),AA577,0)</f>
        <v>0</v>
      </c>
      <c r="CG577" s="175">
        <f>IF(AND(Input_Product=Elig!$C577,Elig_MatchAll_Ct&lt;22,$BC577=(Elig_MatchAll_Ct-1),AZ577=0),AB577,0)</f>
        <v>0</v>
      </c>
      <c r="CH577" s="176">
        <f>IF(AND(Input_Product=Elig!$C577,Elig_MatchAll_Ct&lt;22,$BC577=(Elig_MatchAll_Ct-1),AZ577=0),AC577,0)</f>
        <v>0</v>
      </c>
      <c r="CI577" s="175">
        <f>IF(AND(Input_Product=Elig!$C577,Elig_MatchAll_Ct&lt;22,$BC577=(Elig_MatchAll_Ct-1),BA577=0),AD577,0)</f>
        <v>0</v>
      </c>
      <c r="CJ577" s="176">
        <f>IF(AND(Input_Product=Elig!$C577,Elig_MatchAll_Ct&lt;22,$BC577=(Elig_MatchAll_Ct-1),BA577=0),AE577,0)</f>
        <v>0</v>
      </c>
    </row>
    <row r="578" spans="1:88" ht="10.15" customHeight="1" x14ac:dyDescent="0.25">
      <c r="A578" s="1476" t="s">
        <v>76</v>
      </c>
      <c r="B578" s="1476" t="s">
        <v>1355</v>
      </c>
      <c r="C578" s="1481" t="str">
        <f t="shared" si="204"/>
        <v>Second OO</v>
      </c>
      <c r="D578" s="1480" t="s">
        <v>1121</v>
      </c>
      <c r="E578" s="1480" t="s">
        <v>98</v>
      </c>
      <c r="F578" s="1480" t="s">
        <v>328</v>
      </c>
      <c r="G578" s="1482" t="s">
        <v>302</v>
      </c>
      <c r="H578" s="1482" t="s">
        <v>135</v>
      </c>
      <c r="I578" s="1480" t="s">
        <v>1141</v>
      </c>
      <c r="J578" s="1480" t="s">
        <v>1130</v>
      </c>
      <c r="K578" s="1482" t="s">
        <v>2464</v>
      </c>
      <c r="L578" s="1480" t="s">
        <v>428</v>
      </c>
      <c r="M578" s="1480" t="s">
        <v>1835</v>
      </c>
      <c r="N578" s="1482" t="s">
        <v>82</v>
      </c>
      <c r="O578" s="1480" t="s">
        <v>309</v>
      </c>
      <c r="P578" s="1480" t="s">
        <v>2433</v>
      </c>
      <c r="Q578" s="1480" t="s">
        <v>293</v>
      </c>
      <c r="R578" s="1480">
        <v>200000</v>
      </c>
      <c r="S578" s="1480">
        <v>350000</v>
      </c>
      <c r="T578" s="1480">
        <v>0</v>
      </c>
      <c r="U578" s="1480">
        <f t="shared" si="205"/>
        <v>350000</v>
      </c>
      <c r="V578" s="1480">
        <v>0</v>
      </c>
      <c r="W578" s="1480">
        <v>50</v>
      </c>
      <c r="X578" s="1480">
        <v>0</v>
      </c>
      <c r="Y578" s="1480">
        <v>999</v>
      </c>
      <c r="Z578" s="1483">
        <v>660</v>
      </c>
      <c r="AA578" s="1483">
        <v>679</v>
      </c>
      <c r="AB578" s="1483">
        <v>0</v>
      </c>
      <c r="AC578" s="1483">
        <v>999999</v>
      </c>
      <c r="AD578" s="1480">
        <v>0</v>
      </c>
      <c r="AE578" s="1220">
        <v>70</v>
      </c>
      <c r="AF578" s="144">
        <v>0</v>
      </c>
      <c r="AG578" s="145">
        <v>0</v>
      </c>
      <c r="AH578" s="145">
        <v>1</v>
      </c>
      <c r="AI578" s="145">
        <v>0</v>
      </c>
      <c r="AJ578" s="145">
        <v>0</v>
      </c>
      <c r="AK578" s="145">
        <v>1</v>
      </c>
      <c r="AL578" s="145">
        <v>1</v>
      </c>
      <c r="AM578" s="145">
        <v>1</v>
      </c>
      <c r="AN578" s="145">
        <v>1</v>
      </c>
      <c r="AO578" s="145">
        <v>1</v>
      </c>
      <c r="AP578" s="145">
        <v>1</v>
      </c>
      <c r="AQ578" s="145">
        <v>0</v>
      </c>
      <c r="AR578" s="145">
        <v>1</v>
      </c>
      <c r="AS578" s="145">
        <v>1</v>
      </c>
      <c r="AT578" s="145">
        <v>1</v>
      </c>
      <c r="AU578" s="145">
        <f t="shared" si="206"/>
        <v>0</v>
      </c>
      <c r="AV578" s="145">
        <f t="shared" si="207"/>
        <v>1</v>
      </c>
      <c r="AW578" s="145">
        <f t="shared" si="208"/>
        <v>1</v>
      </c>
      <c r="AX578" s="145">
        <f t="shared" si="212"/>
        <v>1</v>
      </c>
      <c r="AY578" s="145">
        <f t="shared" si="209"/>
        <v>0</v>
      </c>
      <c r="AZ578" s="145">
        <f t="shared" si="210"/>
        <v>1</v>
      </c>
      <c r="BA578" s="146">
        <f t="shared" si="211"/>
        <v>1</v>
      </c>
      <c r="BB578" s="149">
        <f t="shared" si="214"/>
        <v>15</v>
      </c>
      <c r="BC578" s="150">
        <f t="shared" si="215"/>
        <v>14</v>
      </c>
      <c r="BD578" s="150">
        <f t="shared" si="216"/>
        <v>15</v>
      </c>
      <c r="BE578" s="211" t="str">
        <f t="shared" si="217"/>
        <v/>
      </c>
      <c r="BF578" s="205"/>
      <c r="BG578" s="205"/>
      <c r="BH578" s="188">
        <f>IF(AND(Input_Product=Elig!$C578,Elig_MatchAll_Ct&lt;22,$BC578=(Elig_MatchAll_Ct-1),AF578=0),C578,0)</f>
        <v>0</v>
      </c>
      <c r="BI578" s="188">
        <f>IF(AND(Input_Product=Elig!$C578,Elig_MatchAll_Ct&lt;22,$BC578=(Elig_MatchAll_Ct-1),AG578=0),D578,0)</f>
        <v>0</v>
      </c>
      <c r="BJ578" s="188">
        <f>IF(AND(Input_Product=Elig!$C578,Elig_MatchAll_Ct&lt;22,$BC578=(Elig_MatchAll_Ct-1),AH578=0),E578,0)</f>
        <v>0</v>
      </c>
      <c r="BK578" s="188">
        <f>IF(AND(Input_Product=Elig!$C578,Elig_MatchAll_Ct&lt;22,$BC578=(Elig_MatchAll_Ct-1),AI578=0),F578,0)</f>
        <v>0</v>
      </c>
      <c r="BL578" s="188">
        <f>IF(AND(Input_Product=Elig!$C578,Elig_MatchAll_Ct&lt;22,$BC578=(Elig_MatchAll_Ct-1),AJ578=0),G578,0)</f>
        <v>0</v>
      </c>
      <c r="BM578" s="188">
        <f>IF(AND(Input_Product=Elig!$C578,Elig_MatchAll_Ct&lt;22,$BC578=(Elig_MatchAll_Ct-1),AK578=0),H578,0)</f>
        <v>0</v>
      </c>
      <c r="BN578" s="188">
        <f>IF(AND(Input_Product=Elig!$C578,Elig_MatchAll_Ct&lt;22,$BC578=(Elig_MatchAll_Ct-1),AL578=0),I578,0)</f>
        <v>0</v>
      </c>
      <c r="BO578" s="188">
        <f>IF(AND(Input_Product=Elig!$C578,Elig_MatchAll_Ct&lt;22,$BC578=(Elig_MatchAll_Ct-1),AM578=0),J578,0)</f>
        <v>0</v>
      </c>
      <c r="BP578" s="188">
        <f>IF(AND(Input_Product=Elig!$C578,Elig_MatchAll_Ct&lt;22,$BC578=(Elig_MatchAll_Ct-1),AN578=0),K578,0)</f>
        <v>0</v>
      </c>
      <c r="BQ578" s="188">
        <f>IF(AND(Input_Product=Elig!$C578,Elig_MatchAll_Ct&lt;22,$BC578=(Elig_MatchAll_Ct-1),AP578=0),L578,0)</f>
        <v>0</v>
      </c>
      <c r="BR578" s="188">
        <f>IF(AND(Input_Product=Elig!$C578,Elig_MatchAll_Ct&lt;22,$BC578=(Elig_MatchAll_Ct-1),AO578=0),M578,0)</f>
        <v>0</v>
      </c>
      <c r="BS578" s="188">
        <f>IF(AND(Input_Product=Elig!$C578,Elig_MatchAll_Ct&lt;22,$BC578=(Elig_MatchAll_Ct-1),AQ578=0),N578,0)</f>
        <v>0</v>
      </c>
      <c r="BT578" s="188">
        <f>IF(AND(Input_Product=Elig!$C578,Elig_MatchAll_Ct&lt;22,$BC578=(Elig_MatchAll_Ct-1),AR578=0),O578,0)</f>
        <v>0</v>
      </c>
      <c r="BU578" s="188">
        <f>IF(AND(Input_Product=Elig!$C578,Elig_MatchAll_Ct&lt;22,$BC578=(Elig_MatchAll_Ct-1),AS578=0),P578,0)</f>
        <v>0</v>
      </c>
      <c r="BV578" s="189">
        <f>IF(AND(Input_Product=Elig!$C578,Elig_MatchAll_Ct&lt;22,$BC578=(Elig_MatchAll_Ct-1),AT578=0),Q578,0)</f>
        <v>0</v>
      </c>
      <c r="BW578" s="271">
        <f>IF(AND(Input_Product=Elig!$C578,Elig_MatchAll_Ct&lt;22,$BC578=(Elig_MatchAll_Ct-1),AU578=0),R578,0)</f>
        <v>0</v>
      </c>
      <c r="BX578" s="272">
        <f>IF(AND(Input_Product=Elig!$C578,Elig_MatchAll_Ct&lt;22,$BC578=(Elig_MatchAll_Ct-1),AU578=0),S578,0)</f>
        <v>0</v>
      </c>
      <c r="BY578" s="271">
        <f>IF(AND(Input_Product=Elig!$C578,Elig_MatchAll_Ct&lt;22,$BC578=(Elig_MatchAll_Ct-1),AV578=0),T578,0)</f>
        <v>0</v>
      </c>
      <c r="BZ578" s="272">
        <f>IF(AND(Input_Product=Elig!$C578,Elig_MatchAll_Ct&lt;22,$BC578=(Elig_MatchAll_Ct-1),AV578=0),U578,0)</f>
        <v>0</v>
      </c>
      <c r="CA578" s="271">
        <f>IF(AND(Input_Product=Elig!$C578,Elig_MatchAll_Ct&lt;22,$BC578=(Elig_MatchAll_Ct-1),AW578=0),V578,0)</f>
        <v>0</v>
      </c>
      <c r="CB578" s="272">
        <f>IF(AND(Input_Product=Elig!$C578,Elig_MatchAll_Ct&lt;22,$BC578=(Elig_MatchAll_Ct-1),AW578=0),W578,0)</f>
        <v>0</v>
      </c>
      <c r="CC578" s="271">
        <f>IF(AND(Input_Product=Elig!$C578,Elig_MatchAll_Ct&lt;22,$BC578=(Elig_MatchAll_Ct-1),AX578=0),X578,0)</f>
        <v>0</v>
      </c>
      <c r="CD578" s="272">
        <f>IF(AND(Input_Product=Elig!$C578,Elig_MatchAll_Ct&lt;22,$BC578=(Elig_MatchAll_Ct-1),AX578=0),Y578,0)</f>
        <v>0</v>
      </c>
      <c r="CE578" s="271">
        <f>IF(AND(Input_LTV&lt;=AE578,Input_Product=Elig!$C578,Elig_MatchAll_Ct&lt;22,$BC578=(Elig_MatchAll_Ct-1),AY578=0),Z578,0)</f>
        <v>0</v>
      </c>
      <c r="CF578" s="272">
        <f>IF(AND(Input_LTV&lt;=AE578,Input_Product=Elig!$C578,Elig_MatchAll_Ct&lt;22,$BC578=(Elig_MatchAll_Ct-1),AY578=0),AA578,0)</f>
        <v>0</v>
      </c>
      <c r="CG578" s="271">
        <f>IF(AND(Input_Product=Elig!$C578,Elig_MatchAll_Ct&lt;22,$BC578=(Elig_MatchAll_Ct-1),AZ578=0),AB578,0)</f>
        <v>0</v>
      </c>
      <c r="CH578" s="272">
        <f>IF(AND(Input_Product=Elig!$C578,Elig_MatchAll_Ct&lt;22,$BC578=(Elig_MatchAll_Ct-1),AZ578=0),AC578,0)</f>
        <v>0</v>
      </c>
      <c r="CI578" s="271">
        <f>IF(AND(Input_Product=Elig!$C578,Elig_MatchAll_Ct&lt;22,$BC578=(Elig_MatchAll_Ct-1),BA578=0),AD578,0)</f>
        <v>0</v>
      </c>
      <c r="CJ578" s="272">
        <f>IF(AND(Input_Product=Elig!$C578,Elig_MatchAll_Ct&lt;22,$BC578=(Elig_MatchAll_Ct-1),BA578=0),AE578,0)</f>
        <v>0</v>
      </c>
    </row>
    <row r="579" spans="1:88" ht="10.15" customHeight="1" x14ac:dyDescent="0.25">
      <c r="A579" s="1476" t="s">
        <v>76</v>
      </c>
      <c r="B579" s="1476" t="s">
        <v>1356</v>
      </c>
      <c r="C579" s="1473" t="str">
        <f t="shared" si="204"/>
        <v>Second OO</v>
      </c>
      <c r="D579" s="1474" t="s">
        <v>1331</v>
      </c>
      <c r="E579" s="1474" t="s">
        <v>98</v>
      </c>
      <c r="F579" s="1474" t="s">
        <v>328</v>
      </c>
      <c r="G579" s="1537" t="s">
        <v>174</v>
      </c>
      <c r="H579" s="1474" t="s">
        <v>444</v>
      </c>
      <c r="I579" s="1472" t="s">
        <v>1141</v>
      </c>
      <c r="J579" s="1472" t="s">
        <v>1130</v>
      </c>
      <c r="K579" s="1474" t="s">
        <v>2464</v>
      </c>
      <c r="L579" s="1472" t="s">
        <v>428</v>
      </c>
      <c r="M579" s="1472" t="s">
        <v>1835</v>
      </c>
      <c r="N579" s="1474" t="s">
        <v>82</v>
      </c>
      <c r="O579" s="1472" t="s">
        <v>309</v>
      </c>
      <c r="P579" s="1472" t="s">
        <v>2433</v>
      </c>
      <c r="Q579" s="1472" t="s">
        <v>293</v>
      </c>
      <c r="R579" s="1472">
        <v>50000</v>
      </c>
      <c r="S579" s="1472">
        <v>350000</v>
      </c>
      <c r="T579" s="1472">
        <v>0</v>
      </c>
      <c r="U579" s="1472">
        <f t="shared" si="205"/>
        <v>350000</v>
      </c>
      <c r="V579" s="1472">
        <v>0</v>
      </c>
      <c r="W579" s="1472">
        <v>50</v>
      </c>
      <c r="X579" s="1472">
        <v>0</v>
      </c>
      <c r="Y579" s="1472">
        <v>999</v>
      </c>
      <c r="Z579" s="1475">
        <v>720</v>
      </c>
      <c r="AA579" s="1475">
        <v>999</v>
      </c>
      <c r="AB579" s="1475">
        <v>0</v>
      </c>
      <c r="AC579" s="1475">
        <v>999999</v>
      </c>
      <c r="AD579" s="1472">
        <v>0</v>
      </c>
      <c r="AE579" s="1538">
        <v>80</v>
      </c>
      <c r="AF579" s="144">
        <v>0</v>
      </c>
      <c r="AG579" s="145">
        <v>1</v>
      </c>
      <c r="AH579" s="145">
        <v>1</v>
      </c>
      <c r="AI579" s="145">
        <v>0</v>
      </c>
      <c r="AJ579" s="145">
        <v>0</v>
      </c>
      <c r="AK579" s="145">
        <v>0</v>
      </c>
      <c r="AL579" s="145">
        <v>1</v>
      </c>
      <c r="AM579" s="145">
        <v>1</v>
      </c>
      <c r="AN579" s="145">
        <v>1</v>
      </c>
      <c r="AO579" s="145">
        <v>1</v>
      </c>
      <c r="AP579" s="145">
        <v>1</v>
      </c>
      <c r="AQ579" s="145">
        <v>0</v>
      </c>
      <c r="AR579" s="145">
        <v>1</v>
      </c>
      <c r="AS579" s="145">
        <v>1</v>
      </c>
      <c r="AT579" s="145">
        <v>1</v>
      </c>
      <c r="AU579" s="145">
        <f t="shared" si="206"/>
        <v>1</v>
      </c>
      <c r="AV579" s="145">
        <f t="shared" si="207"/>
        <v>1</v>
      </c>
      <c r="AW579" s="145">
        <f t="shared" si="208"/>
        <v>1</v>
      </c>
      <c r="AX579" s="145">
        <f t="shared" si="212"/>
        <v>1</v>
      </c>
      <c r="AY579" s="145">
        <f t="shared" si="209"/>
        <v>1</v>
      </c>
      <c r="AZ579" s="145">
        <f t="shared" si="210"/>
        <v>1</v>
      </c>
      <c r="BA579" s="146">
        <f t="shared" si="211"/>
        <v>1</v>
      </c>
      <c r="BB579" s="149">
        <f t="shared" si="214"/>
        <v>17</v>
      </c>
      <c r="BC579" s="150">
        <f t="shared" si="215"/>
        <v>16</v>
      </c>
      <c r="BD579" s="150">
        <f t="shared" si="216"/>
        <v>17</v>
      </c>
      <c r="BE579" s="211" t="str">
        <f t="shared" si="217"/>
        <v/>
      </c>
      <c r="BF579" s="194"/>
      <c r="BG579" s="194"/>
      <c r="BH579" s="190">
        <f>IF(AND(Input_Product=Elig!$C579,Elig_MatchAll_Ct&lt;22,$BC579=(Elig_MatchAll_Ct-1),AF579=0),C579,0)</f>
        <v>0</v>
      </c>
      <c r="BI579" s="190">
        <f>IF(AND(Input_Product=Elig!$C579,Elig_MatchAll_Ct&lt;22,$BC579=(Elig_MatchAll_Ct-1),AG579=0),D579,0)</f>
        <v>0</v>
      </c>
      <c r="BJ579" s="190">
        <f>IF(AND(Input_Product=Elig!$C579,Elig_MatchAll_Ct&lt;22,$BC579=(Elig_MatchAll_Ct-1),AH579=0),E579,0)</f>
        <v>0</v>
      </c>
      <c r="BK579" s="190">
        <f>IF(AND(Input_Product=Elig!$C579,Elig_MatchAll_Ct&lt;22,$BC579=(Elig_MatchAll_Ct-1),AI579=0),F579,0)</f>
        <v>0</v>
      </c>
      <c r="BL579" s="190">
        <f>IF(AND(Input_Product=Elig!$C579,Elig_MatchAll_Ct&lt;22,$BC579=(Elig_MatchAll_Ct-1),AJ579=0),G579,0)</f>
        <v>0</v>
      </c>
      <c r="BM579" s="190">
        <f>IF(AND(Input_Product=Elig!$C579,Elig_MatchAll_Ct&lt;22,$BC579=(Elig_MatchAll_Ct-1),AK579=0),H579,0)</f>
        <v>0</v>
      </c>
      <c r="BN579" s="190">
        <f>IF(AND(Input_Product=Elig!$C579,Elig_MatchAll_Ct&lt;22,$BC579=(Elig_MatchAll_Ct-1),AL579=0),I579,0)</f>
        <v>0</v>
      </c>
      <c r="BO579" s="190">
        <f>IF(AND(Input_Product=Elig!$C579,Elig_MatchAll_Ct&lt;22,$BC579=(Elig_MatchAll_Ct-1),AM579=0),J579,0)</f>
        <v>0</v>
      </c>
      <c r="BP579" s="190">
        <f>IF(AND(Input_Product=Elig!$C579,Elig_MatchAll_Ct&lt;22,$BC579=(Elig_MatchAll_Ct-1),AN579=0),K579,0)</f>
        <v>0</v>
      </c>
      <c r="BQ579" s="190">
        <f>IF(AND(Input_Product=Elig!$C579,Elig_MatchAll_Ct&lt;22,$BC579=(Elig_MatchAll_Ct-1),AP579=0),L579,0)</f>
        <v>0</v>
      </c>
      <c r="BR579" s="190">
        <f>IF(AND(Input_Product=Elig!$C579,Elig_MatchAll_Ct&lt;22,$BC579=(Elig_MatchAll_Ct-1),AO579=0),M579,0)</f>
        <v>0</v>
      </c>
      <c r="BS579" s="190">
        <f>IF(AND(Input_Product=Elig!$C579,Elig_MatchAll_Ct&lt;22,$BC579=(Elig_MatchAll_Ct-1),AQ579=0),N579,0)</f>
        <v>0</v>
      </c>
      <c r="BT579" s="190">
        <f>IF(AND(Input_Product=Elig!$C579,Elig_MatchAll_Ct&lt;22,$BC579=(Elig_MatchAll_Ct-1),AR579=0),O579,0)</f>
        <v>0</v>
      </c>
      <c r="BU579" s="190">
        <f>IF(AND(Input_Product=Elig!$C579,Elig_MatchAll_Ct&lt;22,$BC579=(Elig_MatchAll_Ct-1),AS579=0),P579,0)</f>
        <v>0</v>
      </c>
      <c r="BV579" s="191">
        <f>IF(AND(Input_Product=Elig!$C579,Elig_MatchAll_Ct&lt;22,$BC579=(Elig_MatchAll_Ct-1),AT579=0),Q579,0)</f>
        <v>0</v>
      </c>
      <c r="BW579" s="273">
        <f>IF(AND(Input_Product=Elig!$C579,Elig_MatchAll_Ct&lt;22,$BC579=(Elig_MatchAll_Ct-1),AU579=0),R579,0)</f>
        <v>0</v>
      </c>
      <c r="BX579" s="274">
        <f>IF(AND(Input_Product=Elig!$C579,Elig_MatchAll_Ct&lt;22,$BC579=(Elig_MatchAll_Ct-1),AU579=0),S579,0)</f>
        <v>0</v>
      </c>
      <c r="BY579" s="273">
        <f>IF(AND(Input_Product=Elig!$C579,Elig_MatchAll_Ct&lt;22,$BC579=(Elig_MatchAll_Ct-1),AV579=0),T579,0)</f>
        <v>0</v>
      </c>
      <c r="BZ579" s="274">
        <f>IF(AND(Input_Product=Elig!$C579,Elig_MatchAll_Ct&lt;22,$BC579=(Elig_MatchAll_Ct-1),AV579=0),U579,0)</f>
        <v>0</v>
      </c>
      <c r="CA579" s="273">
        <f>IF(AND(Input_Product=Elig!$C579,Elig_MatchAll_Ct&lt;22,$BC579=(Elig_MatchAll_Ct-1),AW579=0),V579,0)</f>
        <v>0</v>
      </c>
      <c r="CB579" s="274">
        <f>IF(AND(Input_Product=Elig!$C579,Elig_MatchAll_Ct&lt;22,$BC579=(Elig_MatchAll_Ct-1),AW579=0),W579,0)</f>
        <v>0</v>
      </c>
      <c r="CC579" s="273">
        <f>IF(AND(Input_Product=Elig!$C579,Elig_MatchAll_Ct&lt;22,$BC579=(Elig_MatchAll_Ct-1),AX579=0),X579,0)</f>
        <v>0</v>
      </c>
      <c r="CD579" s="274">
        <f>IF(AND(Input_Product=Elig!$C579,Elig_MatchAll_Ct&lt;22,$BC579=(Elig_MatchAll_Ct-1),AX579=0),Y579,0)</f>
        <v>0</v>
      </c>
      <c r="CE579" s="273">
        <f>IF(AND(Input_LTV&lt;=AE579,Input_Product=Elig!$C579,Elig_MatchAll_Ct&lt;22,$BC579=(Elig_MatchAll_Ct-1),AY579=0),Z579,0)</f>
        <v>0</v>
      </c>
      <c r="CF579" s="274">
        <f>IF(AND(Input_LTV&lt;=AE579,Input_Product=Elig!$C579,Elig_MatchAll_Ct&lt;22,$BC579=(Elig_MatchAll_Ct-1),AY579=0),AA579,0)</f>
        <v>0</v>
      </c>
      <c r="CG579" s="273">
        <f>IF(AND(Input_Product=Elig!$C579,Elig_MatchAll_Ct&lt;22,$BC579=(Elig_MatchAll_Ct-1),AZ579=0),AB579,0)</f>
        <v>0</v>
      </c>
      <c r="CH579" s="274">
        <f>IF(AND(Input_Product=Elig!$C579,Elig_MatchAll_Ct&lt;22,$BC579=(Elig_MatchAll_Ct-1),AZ579=0),AC579,0)</f>
        <v>0</v>
      </c>
      <c r="CI579" s="273">
        <f>IF(AND(Input_Product=Elig!$C579,Elig_MatchAll_Ct&lt;22,$BC579=(Elig_MatchAll_Ct-1),BA579=0),AD579,0)</f>
        <v>0</v>
      </c>
      <c r="CJ579" s="274">
        <f>IF(AND(Input_Product=Elig!$C579,Elig_MatchAll_Ct&lt;22,$BC579=(Elig_MatchAll_Ct-1),BA579=0),AE579,0)</f>
        <v>0</v>
      </c>
    </row>
    <row r="580" spans="1:88" ht="10.15" customHeight="1" x14ac:dyDescent="0.25">
      <c r="A580" s="1476" t="s">
        <v>76</v>
      </c>
      <c r="B580" s="1476" t="s">
        <v>1357</v>
      </c>
      <c r="C580" s="1477" t="str">
        <f t="shared" si="204"/>
        <v>Second OO</v>
      </c>
      <c r="D580" s="1476" t="s">
        <v>1331</v>
      </c>
      <c r="E580" s="1476" t="s">
        <v>98</v>
      </c>
      <c r="F580" s="1476" t="s">
        <v>328</v>
      </c>
      <c r="G580" s="1544" t="s">
        <v>174</v>
      </c>
      <c r="H580" s="1478" t="s">
        <v>444</v>
      </c>
      <c r="I580" s="1476" t="s">
        <v>1141</v>
      </c>
      <c r="J580" s="1476" t="s">
        <v>1130</v>
      </c>
      <c r="K580" s="1478" t="s">
        <v>2464</v>
      </c>
      <c r="L580" s="1476" t="s">
        <v>428</v>
      </c>
      <c r="M580" s="1476" t="s">
        <v>1835</v>
      </c>
      <c r="N580" s="1478" t="s">
        <v>82</v>
      </c>
      <c r="O580" s="1476" t="s">
        <v>309</v>
      </c>
      <c r="P580" s="1476" t="s">
        <v>2433</v>
      </c>
      <c r="Q580" s="1476" t="s">
        <v>293</v>
      </c>
      <c r="R580" s="1476">
        <v>50000</v>
      </c>
      <c r="S580" s="1476">
        <v>350000</v>
      </c>
      <c r="T580" s="1476">
        <v>0</v>
      </c>
      <c r="U580" s="1476">
        <f t="shared" si="205"/>
        <v>350000</v>
      </c>
      <c r="V580" s="1476">
        <v>0</v>
      </c>
      <c r="W580" s="1476">
        <v>50</v>
      </c>
      <c r="X580" s="1476">
        <v>0</v>
      </c>
      <c r="Y580" s="1476">
        <v>999</v>
      </c>
      <c r="Z580" s="1479">
        <v>700</v>
      </c>
      <c r="AA580" s="1479">
        <v>719</v>
      </c>
      <c r="AB580" s="1479">
        <v>0</v>
      </c>
      <c r="AC580" s="1479">
        <v>999999</v>
      </c>
      <c r="AD580" s="1476">
        <v>0</v>
      </c>
      <c r="AE580" s="1539">
        <v>75</v>
      </c>
      <c r="AF580" s="144">
        <v>0</v>
      </c>
      <c r="AG580" s="145">
        <v>1</v>
      </c>
      <c r="AH580" s="145">
        <v>1</v>
      </c>
      <c r="AI580" s="145">
        <v>0</v>
      </c>
      <c r="AJ580" s="145">
        <v>0</v>
      </c>
      <c r="AK580" s="145">
        <v>0</v>
      </c>
      <c r="AL580" s="145">
        <v>1</v>
      </c>
      <c r="AM580" s="145">
        <v>1</v>
      </c>
      <c r="AN580" s="145">
        <v>1</v>
      </c>
      <c r="AO580" s="145">
        <v>1</v>
      </c>
      <c r="AP580" s="145">
        <v>1</v>
      </c>
      <c r="AQ580" s="145">
        <v>0</v>
      </c>
      <c r="AR580" s="145">
        <v>1</v>
      </c>
      <c r="AS580" s="145">
        <v>1</v>
      </c>
      <c r="AT580" s="145">
        <v>1</v>
      </c>
      <c r="AU580" s="145">
        <f t="shared" si="206"/>
        <v>1</v>
      </c>
      <c r="AV580" s="145">
        <f t="shared" si="207"/>
        <v>1</v>
      </c>
      <c r="AW580" s="145">
        <f t="shared" si="208"/>
        <v>1</v>
      </c>
      <c r="AX580" s="145">
        <f t="shared" si="212"/>
        <v>1</v>
      </c>
      <c r="AY580" s="145">
        <f t="shared" si="209"/>
        <v>0</v>
      </c>
      <c r="AZ580" s="145">
        <f t="shared" si="210"/>
        <v>1</v>
      </c>
      <c r="BA580" s="146">
        <f t="shared" si="211"/>
        <v>1</v>
      </c>
      <c r="BB580" s="149">
        <f t="shared" si="214"/>
        <v>16</v>
      </c>
      <c r="BC580" s="150">
        <f t="shared" si="215"/>
        <v>15</v>
      </c>
      <c r="BD580" s="150">
        <f t="shared" si="216"/>
        <v>16</v>
      </c>
      <c r="BE580" s="211" t="str">
        <f t="shared" si="217"/>
        <v/>
      </c>
      <c r="BF580" s="205"/>
      <c r="BG580" s="205"/>
      <c r="BH580" s="173">
        <f>IF(AND(Input_Product=Elig!$C580,Elig_MatchAll_Ct&lt;22,$BC580=(Elig_MatchAll_Ct-1),AF580=0),C580,0)</f>
        <v>0</v>
      </c>
      <c r="BI580" s="173">
        <f>IF(AND(Input_Product=Elig!$C580,Elig_MatchAll_Ct&lt;22,$BC580=(Elig_MatchAll_Ct-1),AG580=0),D580,0)</f>
        <v>0</v>
      </c>
      <c r="BJ580" s="173">
        <f>IF(AND(Input_Product=Elig!$C580,Elig_MatchAll_Ct&lt;22,$BC580=(Elig_MatchAll_Ct-1),AH580=0),E580,0)</f>
        <v>0</v>
      </c>
      <c r="BK580" s="173">
        <f>IF(AND(Input_Product=Elig!$C580,Elig_MatchAll_Ct&lt;22,$BC580=(Elig_MatchAll_Ct-1),AI580=0),F580,0)</f>
        <v>0</v>
      </c>
      <c r="BL580" s="173">
        <f>IF(AND(Input_Product=Elig!$C580,Elig_MatchAll_Ct&lt;22,$BC580=(Elig_MatchAll_Ct-1),AJ580=0),G580,0)</f>
        <v>0</v>
      </c>
      <c r="BM580" s="173">
        <f>IF(AND(Input_Product=Elig!$C580,Elig_MatchAll_Ct&lt;22,$BC580=(Elig_MatchAll_Ct-1),AK580=0),H580,0)</f>
        <v>0</v>
      </c>
      <c r="BN580" s="173">
        <f>IF(AND(Input_Product=Elig!$C580,Elig_MatchAll_Ct&lt;22,$BC580=(Elig_MatchAll_Ct-1),AL580=0),I580,0)</f>
        <v>0</v>
      </c>
      <c r="BO580" s="173">
        <f>IF(AND(Input_Product=Elig!$C580,Elig_MatchAll_Ct&lt;22,$BC580=(Elig_MatchAll_Ct-1),AM580=0),J580,0)</f>
        <v>0</v>
      </c>
      <c r="BP580" s="173">
        <f>IF(AND(Input_Product=Elig!$C580,Elig_MatchAll_Ct&lt;22,$BC580=(Elig_MatchAll_Ct-1),AN580=0),K580,0)</f>
        <v>0</v>
      </c>
      <c r="BQ580" s="173">
        <f>IF(AND(Input_Product=Elig!$C580,Elig_MatchAll_Ct&lt;22,$BC580=(Elig_MatchAll_Ct-1),AP580=0),L580,0)</f>
        <v>0</v>
      </c>
      <c r="BR580" s="173">
        <f>IF(AND(Input_Product=Elig!$C580,Elig_MatchAll_Ct&lt;22,$BC580=(Elig_MatchAll_Ct-1),AO580=0),M580,0)</f>
        <v>0</v>
      </c>
      <c r="BS580" s="173">
        <f>IF(AND(Input_Product=Elig!$C580,Elig_MatchAll_Ct&lt;22,$BC580=(Elig_MatchAll_Ct-1),AQ580=0),N580,0)</f>
        <v>0</v>
      </c>
      <c r="BT580" s="173">
        <f>IF(AND(Input_Product=Elig!$C580,Elig_MatchAll_Ct&lt;22,$BC580=(Elig_MatchAll_Ct-1),AR580=0),O580,0)</f>
        <v>0</v>
      </c>
      <c r="BU580" s="173">
        <f>IF(AND(Input_Product=Elig!$C580,Elig_MatchAll_Ct&lt;22,$BC580=(Elig_MatchAll_Ct-1),AS580=0),P580,0)</f>
        <v>0</v>
      </c>
      <c r="BV580" s="174">
        <f>IF(AND(Input_Product=Elig!$C580,Elig_MatchAll_Ct&lt;22,$BC580=(Elig_MatchAll_Ct-1),AT580=0),Q580,0)</f>
        <v>0</v>
      </c>
      <c r="BW580" s="175">
        <f>IF(AND(Input_Product=Elig!$C580,Elig_MatchAll_Ct&lt;22,$BC580=(Elig_MatchAll_Ct-1),AU580=0),R580,0)</f>
        <v>0</v>
      </c>
      <c r="BX580" s="176">
        <f>IF(AND(Input_Product=Elig!$C580,Elig_MatchAll_Ct&lt;22,$BC580=(Elig_MatchAll_Ct-1),AU580=0),S580,0)</f>
        <v>0</v>
      </c>
      <c r="BY580" s="175">
        <f>IF(AND(Input_Product=Elig!$C580,Elig_MatchAll_Ct&lt;22,$BC580=(Elig_MatchAll_Ct-1),AV580=0),T580,0)</f>
        <v>0</v>
      </c>
      <c r="BZ580" s="176">
        <f>IF(AND(Input_Product=Elig!$C580,Elig_MatchAll_Ct&lt;22,$BC580=(Elig_MatchAll_Ct-1),AV580=0),U580,0)</f>
        <v>0</v>
      </c>
      <c r="CA580" s="175">
        <f>IF(AND(Input_Product=Elig!$C580,Elig_MatchAll_Ct&lt;22,$BC580=(Elig_MatchAll_Ct-1),AW580=0),V580,0)</f>
        <v>0</v>
      </c>
      <c r="CB580" s="176">
        <f>IF(AND(Input_Product=Elig!$C580,Elig_MatchAll_Ct&lt;22,$BC580=(Elig_MatchAll_Ct-1),AW580=0),W580,0)</f>
        <v>0</v>
      </c>
      <c r="CC580" s="175">
        <f>IF(AND(Input_Product=Elig!$C580,Elig_MatchAll_Ct&lt;22,$BC580=(Elig_MatchAll_Ct-1),AX580=0),X580,0)</f>
        <v>0</v>
      </c>
      <c r="CD580" s="176">
        <f>IF(AND(Input_Product=Elig!$C580,Elig_MatchAll_Ct&lt;22,$BC580=(Elig_MatchAll_Ct-1),AX580=0),Y580,0)</f>
        <v>0</v>
      </c>
      <c r="CE580" s="175">
        <f>IF(AND(Input_LTV&lt;=AE580,Input_Product=Elig!$C580,Elig_MatchAll_Ct&lt;22,$BC580=(Elig_MatchAll_Ct-1),AY580=0),Z580,0)</f>
        <v>0</v>
      </c>
      <c r="CF580" s="176">
        <f>IF(AND(Input_LTV&lt;=AE580,Input_Product=Elig!$C580,Elig_MatchAll_Ct&lt;22,$BC580=(Elig_MatchAll_Ct-1),AY580=0),AA580,0)</f>
        <v>0</v>
      </c>
      <c r="CG580" s="175">
        <f>IF(AND(Input_Product=Elig!$C580,Elig_MatchAll_Ct&lt;22,$BC580=(Elig_MatchAll_Ct-1),AZ580=0),AB580,0)</f>
        <v>0</v>
      </c>
      <c r="CH580" s="176">
        <f>IF(AND(Input_Product=Elig!$C580,Elig_MatchAll_Ct&lt;22,$BC580=(Elig_MatchAll_Ct-1),AZ580=0),AC580,0)</f>
        <v>0</v>
      </c>
      <c r="CI580" s="175">
        <f>IF(AND(Input_Product=Elig!$C580,Elig_MatchAll_Ct&lt;22,$BC580=(Elig_MatchAll_Ct-1),BA580=0),AD580,0)</f>
        <v>0</v>
      </c>
      <c r="CJ580" s="176">
        <f>IF(AND(Input_Product=Elig!$C580,Elig_MatchAll_Ct&lt;22,$BC580=(Elig_MatchAll_Ct-1),BA580=0),AE580,0)</f>
        <v>0</v>
      </c>
    </row>
    <row r="581" spans="1:88" ht="10.15" customHeight="1" x14ac:dyDescent="0.25">
      <c r="A581" s="1476" t="s">
        <v>76</v>
      </c>
      <c r="B581" s="1476" t="s">
        <v>1358</v>
      </c>
      <c r="C581" s="1477" t="str">
        <f t="shared" si="204"/>
        <v>Second OO</v>
      </c>
      <c r="D581" s="1476" t="s">
        <v>1331</v>
      </c>
      <c r="E581" s="1476" t="s">
        <v>98</v>
      </c>
      <c r="F581" s="1476" t="s">
        <v>328</v>
      </c>
      <c r="G581" s="1544" t="s">
        <v>174</v>
      </c>
      <c r="H581" s="1478" t="s">
        <v>444</v>
      </c>
      <c r="I581" s="1476" t="s">
        <v>1141</v>
      </c>
      <c r="J581" s="1476" t="s">
        <v>1130</v>
      </c>
      <c r="K581" s="1478" t="s">
        <v>2464</v>
      </c>
      <c r="L581" s="1476" t="s">
        <v>428</v>
      </c>
      <c r="M581" s="1476" t="s">
        <v>1835</v>
      </c>
      <c r="N581" s="1478" t="s">
        <v>82</v>
      </c>
      <c r="O581" s="1476" t="s">
        <v>309</v>
      </c>
      <c r="P581" s="1476" t="s">
        <v>2433</v>
      </c>
      <c r="Q581" s="1476" t="s">
        <v>293</v>
      </c>
      <c r="R581" s="1476">
        <v>50000</v>
      </c>
      <c r="S581" s="1476">
        <v>350000</v>
      </c>
      <c r="T581" s="1476">
        <v>0</v>
      </c>
      <c r="U581" s="1476">
        <f t="shared" si="205"/>
        <v>350000</v>
      </c>
      <c r="V581" s="1476">
        <v>0</v>
      </c>
      <c r="W581" s="1476">
        <v>50</v>
      </c>
      <c r="X581" s="1476">
        <v>0</v>
      </c>
      <c r="Y581" s="1476">
        <v>999</v>
      </c>
      <c r="Z581" s="1479">
        <v>680</v>
      </c>
      <c r="AA581" s="1479">
        <v>699</v>
      </c>
      <c r="AB581" s="1479">
        <v>0</v>
      </c>
      <c r="AC581" s="1479">
        <v>999999</v>
      </c>
      <c r="AD581" s="1476">
        <v>0</v>
      </c>
      <c r="AE581" s="1539">
        <v>70</v>
      </c>
      <c r="AF581" s="144">
        <v>0</v>
      </c>
      <c r="AG581" s="145">
        <v>1</v>
      </c>
      <c r="AH581" s="145">
        <v>1</v>
      </c>
      <c r="AI581" s="145">
        <v>0</v>
      </c>
      <c r="AJ581" s="145">
        <v>0</v>
      </c>
      <c r="AK581" s="145">
        <v>0</v>
      </c>
      <c r="AL581" s="145">
        <v>1</v>
      </c>
      <c r="AM581" s="145">
        <v>1</v>
      </c>
      <c r="AN581" s="145">
        <v>1</v>
      </c>
      <c r="AO581" s="145">
        <v>1</v>
      </c>
      <c r="AP581" s="145">
        <v>1</v>
      </c>
      <c r="AQ581" s="145">
        <v>0</v>
      </c>
      <c r="AR581" s="145">
        <v>1</v>
      </c>
      <c r="AS581" s="145">
        <v>1</v>
      </c>
      <c r="AT581" s="145">
        <v>1</v>
      </c>
      <c r="AU581" s="145">
        <f t="shared" si="206"/>
        <v>1</v>
      </c>
      <c r="AV581" s="145">
        <f t="shared" si="207"/>
        <v>1</v>
      </c>
      <c r="AW581" s="145">
        <f t="shared" si="208"/>
        <v>1</v>
      </c>
      <c r="AX581" s="145">
        <f t="shared" si="212"/>
        <v>1</v>
      </c>
      <c r="AY581" s="145">
        <f t="shared" si="209"/>
        <v>0</v>
      </c>
      <c r="AZ581" s="145">
        <f t="shared" si="210"/>
        <v>1</v>
      </c>
      <c r="BA581" s="146">
        <f t="shared" si="211"/>
        <v>1</v>
      </c>
      <c r="BB581" s="149">
        <f t="shared" si="214"/>
        <v>16</v>
      </c>
      <c r="BC581" s="150">
        <f t="shared" si="215"/>
        <v>15</v>
      </c>
      <c r="BD581" s="150">
        <f t="shared" si="216"/>
        <v>16</v>
      </c>
      <c r="BE581" s="211" t="str">
        <f t="shared" si="217"/>
        <v/>
      </c>
      <c r="BF581" s="205"/>
      <c r="BG581" s="205"/>
      <c r="BH581" s="173">
        <f>IF(AND(Input_Product=Elig!$C581,Elig_MatchAll_Ct&lt;22,$BC581=(Elig_MatchAll_Ct-1),AF581=0),C581,0)</f>
        <v>0</v>
      </c>
      <c r="BI581" s="173">
        <f>IF(AND(Input_Product=Elig!$C581,Elig_MatchAll_Ct&lt;22,$BC581=(Elig_MatchAll_Ct-1),AG581=0),D581,0)</f>
        <v>0</v>
      </c>
      <c r="BJ581" s="173">
        <f>IF(AND(Input_Product=Elig!$C581,Elig_MatchAll_Ct&lt;22,$BC581=(Elig_MatchAll_Ct-1),AH581=0),E581,0)</f>
        <v>0</v>
      </c>
      <c r="BK581" s="173">
        <f>IF(AND(Input_Product=Elig!$C581,Elig_MatchAll_Ct&lt;22,$BC581=(Elig_MatchAll_Ct-1),AI581=0),F581,0)</f>
        <v>0</v>
      </c>
      <c r="BL581" s="173">
        <f>IF(AND(Input_Product=Elig!$C581,Elig_MatchAll_Ct&lt;22,$BC581=(Elig_MatchAll_Ct-1),AJ581=0),G581,0)</f>
        <v>0</v>
      </c>
      <c r="BM581" s="173">
        <f>IF(AND(Input_Product=Elig!$C581,Elig_MatchAll_Ct&lt;22,$BC581=(Elig_MatchAll_Ct-1),AK581=0),H581,0)</f>
        <v>0</v>
      </c>
      <c r="BN581" s="173">
        <f>IF(AND(Input_Product=Elig!$C581,Elig_MatchAll_Ct&lt;22,$BC581=(Elig_MatchAll_Ct-1),AL581=0),I581,0)</f>
        <v>0</v>
      </c>
      <c r="BO581" s="173">
        <f>IF(AND(Input_Product=Elig!$C581,Elig_MatchAll_Ct&lt;22,$BC581=(Elig_MatchAll_Ct-1),AM581=0),J581,0)</f>
        <v>0</v>
      </c>
      <c r="BP581" s="173">
        <f>IF(AND(Input_Product=Elig!$C581,Elig_MatchAll_Ct&lt;22,$BC581=(Elig_MatchAll_Ct-1),AN581=0),K581,0)</f>
        <v>0</v>
      </c>
      <c r="BQ581" s="173">
        <f>IF(AND(Input_Product=Elig!$C581,Elig_MatchAll_Ct&lt;22,$BC581=(Elig_MatchAll_Ct-1),AP581=0),L581,0)</f>
        <v>0</v>
      </c>
      <c r="BR581" s="173">
        <f>IF(AND(Input_Product=Elig!$C581,Elig_MatchAll_Ct&lt;22,$BC581=(Elig_MatchAll_Ct-1),AO581=0),M581,0)</f>
        <v>0</v>
      </c>
      <c r="BS581" s="173">
        <f>IF(AND(Input_Product=Elig!$C581,Elig_MatchAll_Ct&lt;22,$BC581=(Elig_MatchAll_Ct-1),AQ581=0),N581,0)</f>
        <v>0</v>
      </c>
      <c r="BT581" s="173">
        <f>IF(AND(Input_Product=Elig!$C581,Elig_MatchAll_Ct&lt;22,$BC581=(Elig_MatchAll_Ct-1),AR581=0),O581,0)</f>
        <v>0</v>
      </c>
      <c r="BU581" s="173">
        <f>IF(AND(Input_Product=Elig!$C581,Elig_MatchAll_Ct&lt;22,$BC581=(Elig_MatchAll_Ct-1),AS581=0),P581,0)</f>
        <v>0</v>
      </c>
      <c r="BV581" s="174">
        <f>IF(AND(Input_Product=Elig!$C581,Elig_MatchAll_Ct&lt;22,$BC581=(Elig_MatchAll_Ct-1),AT581=0),Q581,0)</f>
        <v>0</v>
      </c>
      <c r="BW581" s="175">
        <f>IF(AND(Input_Product=Elig!$C581,Elig_MatchAll_Ct&lt;22,$BC581=(Elig_MatchAll_Ct-1),AU581=0),R581,0)</f>
        <v>0</v>
      </c>
      <c r="BX581" s="176">
        <f>IF(AND(Input_Product=Elig!$C581,Elig_MatchAll_Ct&lt;22,$BC581=(Elig_MatchAll_Ct-1),AU581=0),S581,0)</f>
        <v>0</v>
      </c>
      <c r="BY581" s="175">
        <f>IF(AND(Input_Product=Elig!$C581,Elig_MatchAll_Ct&lt;22,$BC581=(Elig_MatchAll_Ct-1),AV581=0),T581,0)</f>
        <v>0</v>
      </c>
      <c r="BZ581" s="176">
        <f>IF(AND(Input_Product=Elig!$C581,Elig_MatchAll_Ct&lt;22,$BC581=(Elig_MatchAll_Ct-1),AV581=0),U581,0)</f>
        <v>0</v>
      </c>
      <c r="CA581" s="175">
        <f>IF(AND(Input_Product=Elig!$C581,Elig_MatchAll_Ct&lt;22,$BC581=(Elig_MatchAll_Ct-1),AW581=0),V581,0)</f>
        <v>0</v>
      </c>
      <c r="CB581" s="176">
        <f>IF(AND(Input_Product=Elig!$C581,Elig_MatchAll_Ct&lt;22,$BC581=(Elig_MatchAll_Ct-1),AW581=0),W581,0)</f>
        <v>0</v>
      </c>
      <c r="CC581" s="175">
        <f>IF(AND(Input_Product=Elig!$C581,Elig_MatchAll_Ct&lt;22,$BC581=(Elig_MatchAll_Ct-1),AX581=0),X581,0)</f>
        <v>0</v>
      </c>
      <c r="CD581" s="176">
        <f>IF(AND(Input_Product=Elig!$C581,Elig_MatchAll_Ct&lt;22,$BC581=(Elig_MatchAll_Ct-1),AX581=0),Y581,0)</f>
        <v>0</v>
      </c>
      <c r="CE581" s="175">
        <f>IF(AND(Input_LTV&lt;=AE581,Input_Product=Elig!$C581,Elig_MatchAll_Ct&lt;22,$BC581=(Elig_MatchAll_Ct-1),AY581=0),Z581,0)</f>
        <v>0</v>
      </c>
      <c r="CF581" s="176">
        <f>IF(AND(Input_LTV&lt;=AE581,Input_Product=Elig!$C581,Elig_MatchAll_Ct&lt;22,$BC581=(Elig_MatchAll_Ct-1),AY581=0),AA581,0)</f>
        <v>0</v>
      </c>
      <c r="CG581" s="175">
        <f>IF(AND(Input_Product=Elig!$C581,Elig_MatchAll_Ct&lt;22,$BC581=(Elig_MatchAll_Ct-1),AZ581=0),AB581,0)</f>
        <v>0</v>
      </c>
      <c r="CH581" s="176">
        <f>IF(AND(Input_Product=Elig!$C581,Elig_MatchAll_Ct&lt;22,$BC581=(Elig_MatchAll_Ct-1),AZ581=0),AC581,0)</f>
        <v>0</v>
      </c>
      <c r="CI581" s="175">
        <f>IF(AND(Input_Product=Elig!$C581,Elig_MatchAll_Ct&lt;22,$BC581=(Elig_MatchAll_Ct-1),BA581=0),AD581,0)</f>
        <v>0</v>
      </c>
      <c r="CJ581" s="176">
        <f>IF(AND(Input_Product=Elig!$C581,Elig_MatchAll_Ct&lt;22,$BC581=(Elig_MatchAll_Ct-1),BA581=0),AE581,0)</f>
        <v>0</v>
      </c>
    </row>
    <row r="582" spans="1:88" ht="10.15" customHeight="1" x14ac:dyDescent="0.25">
      <c r="A582" s="1476" t="s">
        <v>76</v>
      </c>
      <c r="B582" s="1476" t="s">
        <v>1359</v>
      </c>
      <c r="C582" s="1481" t="str">
        <f t="shared" si="204"/>
        <v>Second OO</v>
      </c>
      <c r="D582" s="1480" t="s">
        <v>1331</v>
      </c>
      <c r="E582" s="1480" t="s">
        <v>98</v>
      </c>
      <c r="F582" s="1480" t="s">
        <v>328</v>
      </c>
      <c r="G582" s="1545" t="s">
        <v>174</v>
      </c>
      <c r="H582" s="1482" t="s">
        <v>444</v>
      </c>
      <c r="I582" s="1480" t="s">
        <v>1141</v>
      </c>
      <c r="J582" s="1480" t="s">
        <v>1130</v>
      </c>
      <c r="K582" s="1482" t="s">
        <v>2464</v>
      </c>
      <c r="L582" s="1480" t="s">
        <v>428</v>
      </c>
      <c r="M582" s="1480" t="s">
        <v>1835</v>
      </c>
      <c r="N582" s="1482" t="s">
        <v>82</v>
      </c>
      <c r="O582" s="1480" t="s">
        <v>309</v>
      </c>
      <c r="P582" s="1480" t="s">
        <v>2433</v>
      </c>
      <c r="Q582" s="1480" t="s">
        <v>293</v>
      </c>
      <c r="R582" s="1480">
        <v>50000</v>
      </c>
      <c r="S582" s="1480">
        <v>350000</v>
      </c>
      <c r="T582" s="1480">
        <v>0</v>
      </c>
      <c r="U582" s="1480">
        <f t="shared" si="205"/>
        <v>350000</v>
      </c>
      <c r="V582" s="1480">
        <v>0</v>
      </c>
      <c r="W582" s="1480">
        <v>50</v>
      </c>
      <c r="X582" s="1480">
        <v>0</v>
      </c>
      <c r="Y582" s="1480">
        <v>999</v>
      </c>
      <c r="Z582" s="1483">
        <v>660</v>
      </c>
      <c r="AA582" s="1483">
        <v>679</v>
      </c>
      <c r="AB582" s="1483">
        <v>0</v>
      </c>
      <c r="AC582" s="1483">
        <v>999999</v>
      </c>
      <c r="AD582" s="1480">
        <v>0</v>
      </c>
      <c r="AE582" s="1220">
        <v>60</v>
      </c>
      <c r="AF582" s="144">
        <v>0</v>
      </c>
      <c r="AG582" s="145">
        <v>1</v>
      </c>
      <c r="AH582" s="145">
        <v>1</v>
      </c>
      <c r="AI582" s="145">
        <v>0</v>
      </c>
      <c r="AJ582" s="145">
        <v>0</v>
      </c>
      <c r="AK582" s="145">
        <v>0</v>
      </c>
      <c r="AL582" s="145">
        <v>1</v>
      </c>
      <c r="AM582" s="145">
        <v>1</v>
      </c>
      <c r="AN582" s="145">
        <v>1</v>
      </c>
      <c r="AO582" s="145">
        <v>1</v>
      </c>
      <c r="AP582" s="145">
        <v>1</v>
      </c>
      <c r="AQ582" s="145">
        <v>0</v>
      </c>
      <c r="AR582" s="145">
        <v>1</v>
      </c>
      <c r="AS582" s="145">
        <v>1</v>
      </c>
      <c r="AT582" s="145">
        <v>1</v>
      </c>
      <c r="AU582" s="145">
        <f t="shared" si="206"/>
        <v>1</v>
      </c>
      <c r="AV582" s="145">
        <f t="shared" si="207"/>
        <v>1</v>
      </c>
      <c r="AW582" s="145">
        <f t="shared" si="208"/>
        <v>1</v>
      </c>
      <c r="AX582" s="145">
        <f t="shared" si="212"/>
        <v>1</v>
      </c>
      <c r="AY582" s="145">
        <f t="shared" si="209"/>
        <v>0</v>
      </c>
      <c r="AZ582" s="145">
        <f t="shared" si="210"/>
        <v>1</v>
      </c>
      <c r="BA582" s="146">
        <f t="shared" si="211"/>
        <v>0</v>
      </c>
      <c r="BB582" s="149">
        <f t="shared" si="214"/>
        <v>15</v>
      </c>
      <c r="BC582" s="150">
        <f t="shared" si="215"/>
        <v>15</v>
      </c>
      <c r="BD582" s="150">
        <f t="shared" si="216"/>
        <v>15</v>
      </c>
      <c r="BE582" s="211" t="str">
        <f t="shared" si="217"/>
        <v/>
      </c>
      <c r="BF582" s="205"/>
      <c r="BG582" s="205"/>
      <c r="BH582" s="188">
        <f>IF(AND(Input_Product=Elig!$C582,Elig_MatchAll_Ct&lt;22,$BC582=(Elig_MatchAll_Ct-1),AF582=0),C582,0)</f>
        <v>0</v>
      </c>
      <c r="BI582" s="188">
        <f>IF(AND(Input_Product=Elig!$C582,Elig_MatchAll_Ct&lt;22,$BC582=(Elig_MatchAll_Ct-1),AG582=0),D582,0)</f>
        <v>0</v>
      </c>
      <c r="BJ582" s="188">
        <f>IF(AND(Input_Product=Elig!$C582,Elig_MatchAll_Ct&lt;22,$BC582=(Elig_MatchAll_Ct-1),AH582=0),E582,0)</f>
        <v>0</v>
      </c>
      <c r="BK582" s="188">
        <f>IF(AND(Input_Product=Elig!$C582,Elig_MatchAll_Ct&lt;22,$BC582=(Elig_MatchAll_Ct-1),AI582=0),F582,0)</f>
        <v>0</v>
      </c>
      <c r="BL582" s="188">
        <f>IF(AND(Input_Product=Elig!$C582,Elig_MatchAll_Ct&lt;22,$BC582=(Elig_MatchAll_Ct-1),AJ582=0),G582,0)</f>
        <v>0</v>
      </c>
      <c r="BM582" s="188">
        <f>IF(AND(Input_Product=Elig!$C582,Elig_MatchAll_Ct&lt;22,$BC582=(Elig_MatchAll_Ct-1),AK582=0),H582,0)</f>
        <v>0</v>
      </c>
      <c r="BN582" s="188">
        <f>IF(AND(Input_Product=Elig!$C582,Elig_MatchAll_Ct&lt;22,$BC582=(Elig_MatchAll_Ct-1),AL582=0),I582,0)</f>
        <v>0</v>
      </c>
      <c r="BO582" s="188">
        <f>IF(AND(Input_Product=Elig!$C582,Elig_MatchAll_Ct&lt;22,$BC582=(Elig_MatchAll_Ct-1),AM582=0),J582,0)</f>
        <v>0</v>
      </c>
      <c r="BP582" s="188">
        <f>IF(AND(Input_Product=Elig!$C582,Elig_MatchAll_Ct&lt;22,$BC582=(Elig_MatchAll_Ct-1),AN582=0),K582,0)</f>
        <v>0</v>
      </c>
      <c r="BQ582" s="188">
        <f>IF(AND(Input_Product=Elig!$C582,Elig_MatchAll_Ct&lt;22,$BC582=(Elig_MatchAll_Ct-1),AP582=0),L582,0)</f>
        <v>0</v>
      </c>
      <c r="BR582" s="188">
        <f>IF(AND(Input_Product=Elig!$C582,Elig_MatchAll_Ct&lt;22,$BC582=(Elig_MatchAll_Ct-1),AO582=0),M582,0)</f>
        <v>0</v>
      </c>
      <c r="BS582" s="188">
        <f>IF(AND(Input_Product=Elig!$C582,Elig_MatchAll_Ct&lt;22,$BC582=(Elig_MatchAll_Ct-1),AQ582=0),N582,0)</f>
        <v>0</v>
      </c>
      <c r="BT582" s="188">
        <f>IF(AND(Input_Product=Elig!$C582,Elig_MatchAll_Ct&lt;22,$BC582=(Elig_MatchAll_Ct-1),AR582=0),O582,0)</f>
        <v>0</v>
      </c>
      <c r="BU582" s="188">
        <f>IF(AND(Input_Product=Elig!$C582,Elig_MatchAll_Ct&lt;22,$BC582=(Elig_MatchAll_Ct-1),AS582=0),P582,0)</f>
        <v>0</v>
      </c>
      <c r="BV582" s="189">
        <f>IF(AND(Input_Product=Elig!$C582,Elig_MatchAll_Ct&lt;22,$BC582=(Elig_MatchAll_Ct-1),AT582=0),Q582,0)</f>
        <v>0</v>
      </c>
      <c r="BW582" s="271">
        <f>IF(AND(Input_Product=Elig!$C582,Elig_MatchAll_Ct&lt;22,$BC582=(Elig_MatchAll_Ct-1),AU582=0),R582,0)</f>
        <v>0</v>
      </c>
      <c r="BX582" s="272">
        <f>IF(AND(Input_Product=Elig!$C582,Elig_MatchAll_Ct&lt;22,$BC582=(Elig_MatchAll_Ct-1),AU582=0),S582,0)</f>
        <v>0</v>
      </c>
      <c r="BY582" s="271">
        <f>IF(AND(Input_Product=Elig!$C582,Elig_MatchAll_Ct&lt;22,$BC582=(Elig_MatchAll_Ct-1),AV582=0),T582,0)</f>
        <v>0</v>
      </c>
      <c r="BZ582" s="272">
        <f>IF(AND(Input_Product=Elig!$C582,Elig_MatchAll_Ct&lt;22,$BC582=(Elig_MatchAll_Ct-1),AV582=0),U582,0)</f>
        <v>0</v>
      </c>
      <c r="CA582" s="271">
        <f>IF(AND(Input_Product=Elig!$C582,Elig_MatchAll_Ct&lt;22,$BC582=(Elig_MatchAll_Ct-1),AW582=0),V582,0)</f>
        <v>0</v>
      </c>
      <c r="CB582" s="272">
        <f>IF(AND(Input_Product=Elig!$C582,Elig_MatchAll_Ct&lt;22,$BC582=(Elig_MatchAll_Ct-1),AW582=0),W582,0)</f>
        <v>0</v>
      </c>
      <c r="CC582" s="271">
        <f>IF(AND(Input_Product=Elig!$C582,Elig_MatchAll_Ct&lt;22,$BC582=(Elig_MatchAll_Ct-1),AX582=0),X582,0)</f>
        <v>0</v>
      </c>
      <c r="CD582" s="272">
        <f>IF(AND(Input_Product=Elig!$C582,Elig_MatchAll_Ct&lt;22,$BC582=(Elig_MatchAll_Ct-1),AX582=0),Y582,0)</f>
        <v>0</v>
      </c>
      <c r="CE582" s="271">
        <f>IF(AND(Input_LTV&lt;=AE582,Input_Product=Elig!$C582,Elig_MatchAll_Ct&lt;22,$BC582=(Elig_MatchAll_Ct-1),AY582=0),Z582,0)</f>
        <v>0</v>
      </c>
      <c r="CF582" s="272">
        <f>IF(AND(Input_LTV&lt;=AE582,Input_Product=Elig!$C582,Elig_MatchAll_Ct&lt;22,$BC582=(Elig_MatchAll_Ct-1),AY582=0),AA582,0)</f>
        <v>0</v>
      </c>
      <c r="CG582" s="271">
        <f>IF(AND(Input_Product=Elig!$C582,Elig_MatchAll_Ct&lt;22,$BC582=(Elig_MatchAll_Ct-1),AZ582=0),AB582,0)</f>
        <v>0</v>
      </c>
      <c r="CH582" s="272">
        <f>IF(AND(Input_Product=Elig!$C582,Elig_MatchAll_Ct&lt;22,$BC582=(Elig_MatchAll_Ct-1),AZ582=0),AC582,0)</f>
        <v>0</v>
      </c>
      <c r="CI582" s="271">
        <f>IF(AND(Input_Product=Elig!$C582,Elig_MatchAll_Ct&lt;22,$BC582=(Elig_MatchAll_Ct-1),BA582=0),AD582,0)</f>
        <v>0</v>
      </c>
      <c r="CJ582" s="272">
        <f>IF(AND(Input_Product=Elig!$C582,Elig_MatchAll_Ct&lt;22,$BC582=(Elig_MatchAll_Ct-1),BA582=0),AE582,0)</f>
        <v>0</v>
      </c>
    </row>
    <row r="583" spans="1:88" ht="10.15" customHeight="1" x14ac:dyDescent="0.25">
      <c r="A583" s="1476" t="s">
        <v>76</v>
      </c>
      <c r="B583" s="1476" t="s">
        <v>1360</v>
      </c>
      <c r="C583" s="1473" t="str">
        <f t="shared" si="204"/>
        <v>Second OO</v>
      </c>
      <c r="D583" s="1474" t="s">
        <v>1121</v>
      </c>
      <c r="E583" s="1474" t="s">
        <v>98</v>
      </c>
      <c r="F583" s="1474" t="s">
        <v>328</v>
      </c>
      <c r="G583" s="1537" t="s">
        <v>174</v>
      </c>
      <c r="H583" s="1474" t="s">
        <v>444</v>
      </c>
      <c r="I583" s="1472" t="s">
        <v>1141</v>
      </c>
      <c r="J583" s="1472" t="s">
        <v>1130</v>
      </c>
      <c r="K583" s="1474" t="s">
        <v>2464</v>
      </c>
      <c r="L583" s="1472" t="s">
        <v>428</v>
      </c>
      <c r="M583" s="1472" t="s">
        <v>1835</v>
      </c>
      <c r="N583" s="1474" t="s">
        <v>82</v>
      </c>
      <c r="O583" s="1472" t="s">
        <v>309</v>
      </c>
      <c r="P583" s="1472" t="s">
        <v>2433</v>
      </c>
      <c r="Q583" s="1472" t="s">
        <v>293</v>
      </c>
      <c r="R583" s="1472">
        <v>200000</v>
      </c>
      <c r="S583" s="1472">
        <v>350000</v>
      </c>
      <c r="T583" s="1472">
        <v>0</v>
      </c>
      <c r="U583" s="1472">
        <f t="shared" si="205"/>
        <v>350000</v>
      </c>
      <c r="V583" s="1472">
        <v>0</v>
      </c>
      <c r="W583" s="1472">
        <v>50</v>
      </c>
      <c r="X583" s="1472">
        <v>0</v>
      </c>
      <c r="Y583" s="1472">
        <v>999</v>
      </c>
      <c r="Z583" s="1475">
        <v>720</v>
      </c>
      <c r="AA583" s="1475">
        <v>999</v>
      </c>
      <c r="AB583" s="1475">
        <v>0</v>
      </c>
      <c r="AC583" s="1475">
        <v>999999</v>
      </c>
      <c r="AD583" s="1472">
        <v>0</v>
      </c>
      <c r="AE583" s="1538">
        <v>80</v>
      </c>
      <c r="AF583" s="144">
        <v>0</v>
      </c>
      <c r="AG583" s="145">
        <v>0</v>
      </c>
      <c r="AH583" s="145">
        <v>1</v>
      </c>
      <c r="AI583" s="145">
        <v>0</v>
      </c>
      <c r="AJ583" s="145">
        <v>0</v>
      </c>
      <c r="AK583" s="145">
        <v>0</v>
      </c>
      <c r="AL583" s="145">
        <v>1</v>
      </c>
      <c r="AM583" s="145">
        <v>1</v>
      </c>
      <c r="AN583" s="145">
        <v>1</v>
      </c>
      <c r="AO583" s="145">
        <v>1</v>
      </c>
      <c r="AP583" s="145">
        <v>1</v>
      </c>
      <c r="AQ583" s="145">
        <v>0</v>
      </c>
      <c r="AR583" s="145">
        <v>1</v>
      </c>
      <c r="AS583" s="145">
        <v>1</v>
      </c>
      <c r="AT583" s="145">
        <v>1</v>
      </c>
      <c r="AU583" s="145">
        <f t="shared" si="206"/>
        <v>0</v>
      </c>
      <c r="AV583" s="145">
        <f t="shared" si="207"/>
        <v>1</v>
      </c>
      <c r="AW583" s="145">
        <f t="shared" si="208"/>
        <v>1</v>
      </c>
      <c r="AX583" s="145">
        <f t="shared" si="212"/>
        <v>1</v>
      </c>
      <c r="AY583" s="145">
        <f t="shared" si="209"/>
        <v>1</v>
      </c>
      <c r="AZ583" s="145">
        <f t="shared" si="210"/>
        <v>1</v>
      </c>
      <c r="BA583" s="146">
        <f t="shared" si="211"/>
        <v>1</v>
      </c>
      <c r="BB583" s="149">
        <f t="shared" si="214"/>
        <v>15</v>
      </c>
      <c r="BC583" s="150">
        <f t="shared" si="215"/>
        <v>14</v>
      </c>
      <c r="BD583" s="150">
        <f t="shared" si="216"/>
        <v>15</v>
      </c>
      <c r="BE583" s="211" t="str">
        <f t="shared" si="217"/>
        <v/>
      </c>
      <c r="BF583" s="194"/>
      <c r="BG583" s="194"/>
      <c r="BH583" s="190">
        <f>IF(AND(Input_Product=Elig!$C583,Elig_MatchAll_Ct&lt;22,$BC583=(Elig_MatchAll_Ct-1),AF583=0),C583,0)</f>
        <v>0</v>
      </c>
      <c r="BI583" s="190">
        <f>IF(AND(Input_Product=Elig!$C583,Elig_MatchAll_Ct&lt;22,$BC583=(Elig_MatchAll_Ct-1),AG583=0),D583,0)</f>
        <v>0</v>
      </c>
      <c r="BJ583" s="190">
        <f>IF(AND(Input_Product=Elig!$C583,Elig_MatchAll_Ct&lt;22,$BC583=(Elig_MatchAll_Ct-1),AH583=0),E583,0)</f>
        <v>0</v>
      </c>
      <c r="BK583" s="190">
        <f>IF(AND(Input_Product=Elig!$C583,Elig_MatchAll_Ct&lt;22,$BC583=(Elig_MatchAll_Ct-1),AI583=0),F583,0)</f>
        <v>0</v>
      </c>
      <c r="BL583" s="190">
        <f>IF(AND(Input_Product=Elig!$C583,Elig_MatchAll_Ct&lt;22,$BC583=(Elig_MatchAll_Ct-1),AJ583=0),G583,0)</f>
        <v>0</v>
      </c>
      <c r="BM583" s="190">
        <f>IF(AND(Input_Product=Elig!$C583,Elig_MatchAll_Ct&lt;22,$BC583=(Elig_MatchAll_Ct-1),AK583=0),H583,0)</f>
        <v>0</v>
      </c>
      <c r="BN583" s="190">
        <f>IF(AND(Input_Product=Elig!$C583,Elig_MatchAll_Ct&lt;22,$BC583=(Elig_MatchAll_Ct-1),AL583=0),I583,0)</f>
        <v>0</v>
      </c>
      <c r="BO583" s="190">
        <f>IF(AND(Input_Product=Elig!$C583,Elig_MatchAll_Ct&lt;22,$BC583=(Elig_MatchAll_Ct-1),AM583=0),J583,0)</f>
        <v>0</v>
      </c>
      <c r="BP583" s="190">
        <f>IF(AND(Input_Product=Elig!$C583,Elig_MatchAll_Ct&lt;22,$BC583=(Elig_MatchAll_Ct-1),AN583=0),K583,0)</f>
        <v>0</v>
      </c>
      <c r="BQ583" s="190">
        <f>IF(AND(Input_Product=Elig!$C583,Elig_MatchAll_Ct&lt;22,$BC583=(Elig_MatchAll_Ct-1),AP583=0),L583,0)</f>
        <v>0</v>
      </c>
      <c r="BR583" s="190">
        <f>IF(AND(Input_Product=Elig!$C583,Elig_MatchAll_Ct&lt;22,$BC583=(Elig_MatchAll_Ct-1),AO583=0),M583,0)</f>
        <v>0</v>
      </c>
      <c r="BS583" s="190">
        <f>IF(AND(Input_Product=Elig!$C583,Elig_MatchAll_Ct&lt;22,$BC583=(Elig_MatchAll_Ct-1),AQ583=0),N583,0)</f>
        <v>0</v>
      </c>
      <c r="BT583" s="190">
        <f>IF(AND(Input_Product=Elig!$C583,Elig_MatchAll_Ct&lt;22,$BC583=(Elig_MatchAll_Ct-1),AR583=0),O583,0)</f>
        <v>0</v>
      </c>
      <c r="BU583" s="190">
        <f>IF(AND(Input_Product=Elig!$C583,Elig_MatchAll_Ct&lt;22,$BC583=(Elig_MatchAll_Ct-1),AS583=0),P583,0)</f>
        <v>0</v>
      </c>
      <c r="BV583" s="191">
        <f>IF(AND(Input_Product=Elig!$C583,Elig_MatchAll_Ct&lt;22,$BC583=(Elig_MatchAll_Ct-1),AT583=0),Q583,0)</f>
        <v>0</v>
      </c>
      <c r="BW583" s="273">
        <f>IF(AND(Input_Product=Elig!$C583,Elig_MatchAll_Ct&lt;22,$BC583=(Elig_MatchAll_Ct-1),AU583=0),R583,0)</f>
        <v>0</v>
      </c>
      <c r="BX583" s="274">
        <f>IF(AND(Input_Product=Elig!$C583,Elig_MatchAll_Ct&lt;22,$BC583=(Elig_MatchAll_Ct-1),AU583=0),S583,0)</f>
        <v>0</v>
      </c>
      <c r="BY583" s="273">
        <f>IF(AND(Input_Product=Elig!$C583,Elig_MatchAll_Ct&lt;22,$BC583=(Elig_MatchAll_Ct-1),AV583=0),T583,0)</f>
        <v>0</v>
      </c>
      <c r="BZ583" s="274">
        <f>IF(AND(Input_Product=Elig!$C583,Elig_MatchAll_Ct&lt;22,$BC583=(Elig_MatchAll_Ct-1),AV583=0),U583,0)</f>
        <v>0</v>
      </c>
      <c r="CA583" s="273">
        <f>IF(AND(Input_Product=Elig!$C583,Elig_MatchAll_Ct&lt;22,$BC583=(Elig_MatchAll_Ct-1),AW583=0),V583,0)</f>
        <v>0</v>
      </c>
      <c r="CB583" s="274">
        <f>IF(AND(Input_Product=Elig!$C583,Elig_MatchAll_Ct&lt;22,$BC583=(Elig_MatchAll_Ct-1),AW583=0),W583,0)</f>
        <v>0</v>
      </c>
      <c r="CC583" s="273">
        <f>IF(AND(Input_Product=Elig!$C583,Elig_MatchAll_Ct&lt;22,$BC583=(Elig_MatchAll_Ct-1),AX583=0),X583,0)</f>
        <v>0</v>
      </c>
      <c r="CD583" s="274">
        <f>IF(AND(Input_Product=Elig!$C583,Elig_MatchAll_Ct&lt;22,$BC583=(Elig_MatchAll_Ct-1),AX583=0),Y583,0)</f>
        <v>0</v>
      </c>
      <c r="CE583" s="273">
        <f>IF(AND(Input_LTV&lt;=AE583,Input_Product=Elig!$C583,Elig_MatchAll_Ct&lt;22,$BC583=(Elig_MatchAll_Ct-1),AY583=0),Z583,0)</f>
        <v>0</v>
      </c>
      <c r="CF583" s="274">
        <f>IF(AND(Input_LTV&lt;=AE583,Input_Product=Elig!$C583,Elig_MatchAll_Ct&lt;22,$BC583=(Elig_MatchAll_Ct-1),AY583=0),AA583,0)</f>
        <v>0</v>
      </c>
      <c r="CG583" s="273">
        <f>IF(AND(Input_Product=Elig!$C583,Elig_MatchAll_Ct&lt;22,$BC583=(Elig_MatchAll_Ct-1),AZ583=0),AB583,0)</f>
        <v>0</v>
      </c>
      <c r="CH583" s="274">
        <f>IF(AND(Input_Product=Elig!$C583,Elig_MatchAll_Ct&lt;22,$BC583=(Elig_MatchAll_Ct-1),AZ583=0),AC583,0)</f>
        <v>0</v>
      </c>
      <c r="CI583" s="273">
        <f>IF(AND(Input_Product=Elig!$C583,Elig_MatchAll_Ct&lt;22,$BC583=(Elig_MatchAll_Ct-1),BA583=0),AD583,0)</f>
        <v>0</v>
      </c>
      <c r="CJ583" s="274">
        <f>IF(AND(Input_Product=Elig!$C583,Elig_MatchAll_Ct&lt;22,$BC583=(Elig_MatchAll_Ct-1),BA583=0),AE583,0)</f>
        <v>0</v>
      </c>
    </row>
    <row r="584" spans="1:88" ht="10.15" customHeight="1" x14ac:dyDescent="0.25">
      <c r="A584" s="1476" t="s">
        <v>76</v>
      </c>
      <c r="B584" s="1476" t="s">
        <v>1361</v>
      </c>
      <c r="C584" s="1477" t="str">
        <f t="shared" si="204"/>
        <v>Second OO</v>
      </c>
      <c r="D584" s="1476" t="s">
        <v>1121</v>
      </c>
      <c r="E584" s="1476" t="s">
        <v>98</v>
      </c>
      <c r="F584" s="1476" t="s">
        <v>328</v>
      </c>
      <c r="G584" s="1544" t="s">
        <v>174</v>
      </c>
      <c r="H584" s="1478" t="s">
        <v>444</v>
      </c>
      <c r="I584" s="1476" t="s">
        <v>1141</v>
      </c>
      <c r="J584" s="1476" t="s">
        <v>1130</v>
      </c>
      <c r="K584" s="1478" t="s">
        <v>2464</v>
      </c>
      <c r="L584" s="1476" t="s">
        <v>428</v>
      </c>
      <c r="M584" s="1476" t="s">
        <v>1835</v>
      </c>
      <c r="N584" s="1478" t="s">
        <v>82</v>
      </c>
      <c r="O584" s="1476" t="s">
        <v>309</v>
      </c>
      <c r="P584" s="1476" t="s">
        <v>2433</v>
      </c>
      <c r="Q584" s="1476" t="s">
        <v>293</v>
      </c>
      <c r="R584" s="1476">
        <v>200000</v>
      </c>
      <c r="S584" s="1476">
        <v>350000</v>
      </c>
      <c r="T584" s="1476">
        <v>0</v>
      </c>
      <c r="U584" s="1476">
        <f t="shared" si="205"/>
        <v>350000</v>
      </c>
      <c r="V584" s="1476">
        <v>0</v>
      </c>
      <c r="W584" s="1476">
        <v>50</v>
      </c>
      <c r="X584" s="1476">
        <v>0</v>
      </c>
      <c r="Y584" s="1476">
        <v>999</v>
      </c>
      <c r="Z584" s="1479">
        <v>700</v>
      </c>
      <c r="AA584" s="1479">
        <v>719</v>
      </c>
      <c r="AB584" s="1479">
        <v>0</v>
      </c>
      <c r="AC584" s="1479">
        <v>999999</v>
      </c>
      <c r="AD584" s="1476">
        <v>0</v>
      </c>
      <c r="AE584" s="1539">
        <v>75</v>
      </c>
      <c r="AF584" s="144">
        <v>0</v>
      </c>
      <c r="AG584" s="145">
        <v>0</v>
      </c>
      <c r="AH584" s="145">
        <v>1</v>
      </c>
      <c r="AI584" s="145">
        <v>0</v>
      </c>
      <c r="AJ584" s="145">
        <v>0</v>
      </c>
      <c r="AK584" s="145">
        <v>0</v>
      </c>
      <c r="AL584" s="145">
        <v>1</v>
      </c>
      <c r="AM584" s="145">
        <v>1</v>
      </c>
      <c r="AN584" s="145">
        <v>1</v>
      </c>
      <c r="AO584" s="145">
        <v>1</v>
      </c>
      <c r="AP584" s="145">
        <v>1</v>
      </c>
      <c r="AQ584" s="145">
        <v>0</v>
      </c>
      <c r="AR584" s="145">
        <v>1</v>
      </c>
      <c r="AS584" s="145">
        <v>1</v>
      </c>
      <c r="AT584" s="145">
        <v>1</v>
      </c>
      <c r="AU584" s="145">
        <f t="shared" si="206"/>
        <v>0</v>
      </c>
      <c r="AV584" s="145">
        <f t="shared" si="207"/>
        <v>1</v>
      </c>
      <c r="AW584" s="145">
        <f t="shared" si="208"/>
        <v>1</v>
      </c>
      <c r="AX584" s="145">
        <f t="shared" si="212"/>
        <v>1</v>
      </c>
      <c r="AY584" s="145">
        <f t="shared" si="209"/>
        <v>0</v>
      </c>
      <c r="AZ584" s="145">
        <f t="shared" si="210"/>
        <v>1</v>
      </c>
      <c r="BA584" s="146">
        <f t="shared" si="211"/>
        <v>1</v>
      </c>
      <c r="BB584" s="149">
        <f t="shared" si="214"/>
        <v>14</v>
      </c>
      <c r="BC584" s="150">
        <f t="shared" si="215"/>
        <v>13</v>
      </c>
      <c r="BD584" s="150">
        <f t="shared" si="216"/>
        <v>14</v>
      </c>
      <c r="BE584" s="211" t="str">
        <f t="shared" si="217"/>
        <v/>
      </c>
      <c r="BF584" s="205"/>
      <c r="BG584" s="205"/>
      <c r="BH584" s="173">
        <f>IF(AND(Input_Product=Elig!$C584,Elig_MatchAll_Ct&lt;22,$BC584=(Elig_MatchAll_Ct-1),AF584=0),C584,0)</f>
        <v>0</v>
      </c>
      <c r="BI584" s="173">
        <f>IF(AND(Input_Product=Elig!$C584,Elig_MatchAll_Ct&lt;22,$BC584=(Elig_MatchAll_Ct-1),AG584=0),D584,0)</f>
        <v>0</v>
      </c>
      <c r="BJ584" s="173">
        <f>IF(AND(Input_Product=Elig!$C584,Elig_MatchAll_Ct&lt;22,$BC584=(Elig_MatchAll_Ct-1),AH584=0),E584,0)</f>
        <v>0</v>
      </c>
      <c r="BK584" s="173">
        <f>IF(AND(Input_Product=Elig!$C584,Elig_MatchAll_Ct&lt;22,$BC584=(Elig_MatchAll_Ct-1),AI584=0),F584,0)</f>
        <v>0</v>
      </c>
      <c r="BL584" s="173">
        <f>IF(AND(Input_Product=Elig!$C584,Elig_MatchAll_Ct&lt;22,$BC584=(Elig_MatchAll_Ct-1),AJ584=0),G584,0)</f>
        <v>0</v>
      </c>
      <c r="BM584" s="173">
        <f>IF(AND(Input_Product=Elig!$C584,Elig_MatchAll_Ct&lt;22,$BC584=(Elig_MatchAll_Ct-1),AK584=0),H584,0)</f>
        <v>0</v>
      </c>
      <c r="BN584" s="173">
        <f>IF(AND(Input_Product=Elig!$C584,Elig_MatchAll_Ct&lt;22,$BC584=(Elig_MatchAll_Ct-1),AL584=0),I584,0)</f>
        <v>0</v>
      </c>
      <c r="BO584" s="173">
        <f>IF(AND(Input_Product=Elig!$C584,Elig_MatchAll_Ct&lt;22,$BC584=(Elig_MatchAll_Ct-1),AM584=0),J584,0)</f>
        <v>0</v>
      </c>
      <c r="BP584" s="173">
        <f>IF(AND(Input_Product=Elig!$C584,Elig_MatchAll_Ct&lt;22,$BC584=(Elig_MatchAll_Ct-1),AN584=0),K584,0)</f>
        <v>0</v>
      </c>
      <c r="BQ584" s="173">
        <f>IF(AND(Input_Product=Elig!$C584,Elig_MatchAll_Ct&lt;22,$BC584=(Elig_MatchAll_Ct-1),AP584=0),L584,0)</f>
        <v>0</v>
      </c>
      <c r="BR584" s="173">
        <f>IF(AND(Input_Product=Elig!$C584,Elig_MatchAll_Ct&lt;22,$BC584=(Elig_MatchAll_Ct-1),AO584=0),M584,0)</f>
        <v>0</v>
      </c>
      <c r="BS584" s="173">
        <f>IF(AND(Input_Product=Elig!$C584,Elig_MatchAll_Ct&lt;22,$BC584=(Elig_MatchAll_Ct-1),AQ584=0),N584,0)</f>
        <v>0</v>
      </c>
      <c r="BT584" s="173">
        <f>IF(AND(Input_Product=Elig!$C584,Elig_MatchAll_Ct&lt;22,$BC584=(Elig_MatchAll_Ct-1),AR584=0),O584,0)</f>
        <v>0</v>
      </c>
      <c r="BU584" s="173">
        <f>IF(AND(Input_Product=Elig!$C584,Elig_MatchAll_Ct&lt;22,$BC584=(Elig_MatchAll_Ct-1),AS584=0),P584,0)</f>
        <v>0</v>
      </c>
      <c r="BV584" s="174">
        <f>IF(AND(Input_Product=Elig!$C584,Elig_MatchAll_Ct&lt;22,$BC584=(Elig_MatchAll_Ct-1),AT584=0),Q584,0)</f>
        <v>0</v>
      </c>
      <c r="BW584" s="175">
        <f>IF(AND(Input_Product=Elig!$C584,Elig_MatchAll_Ct&lt;22,$BC584=(Elig_MatchAll_Ct-1),AU584=0),R584,0)</f>
        <v>0</v>
      </c>
      <c r="BX584" s="176">
        <f>IF(AND(Input_Product=Elig!$C584,Elig_MatchAll_Ct&lt;22,$BC584=(Elig_MatchAll_Ct-1),AU584=0),S584,0)</f>
        <v>0</v>
      </c>
      <c r="BY584" s="175">
        <f>IF(AND(Input_Product=Elig!$C584,Elig_MatchAll_Ct&lt;22,$BC584=(Elig_MatchAll_Ct-1),AV584=0),T584,0)</f>
        <v>0</v>
      </c>
      <c r="BZ584" s="176">
        <f>IF(AND(Input_Product=Elig!$C584,Elig_MatchAll_Ct&lt;22,$BC584=(Elig_MatchAll_Ct-1),AV584=0),U584,0)</f>
        <v>0</v>
      </c>
      <c r="CA584" s="175">
        <f>IF(AND(Input_Product=Elig!$C584,Elig_MatchAll_Ct&lt;22,$BC584=(Elig_MatchAll_Ct-1),AW584=0),V584,0)</f>
        <v>0</v>
      </c>
      <c r="CB584" s="176">
        <f>IF(AND(Input_Product=Elig!$C584,Elig_MatchAll_Ct&lt;22,$BC584=(Elig_MatchAll_Ct-1),AW584=0),W584,0)</f>
        <v>0</v>
      </c>
      <c r="CC584" s="175">
        <f>IF(AND(Input_Product=Elig!$C584,Elig_MatchAll_Ct&lt;22,$BC584=(Elig_MatchAll_Ct-1),AX584=0),X584,0)</f>
        <v>0</v>
      </c>
      <c r="CD584" s="176">
        <f>IF(AND(Input_Product=Elig!$C584,Elig_MatchAll_Ct&lt;22,$BC584=(Elig_MatchAll_Ct-1),AX584=0),Y584,0)</f>
        <v>0</v>
      </c>
      <c r="CE584" s="175">
        <f>IF(AND(Input_LTV&lt;=AE584,Input_Product=Elig!$C584,Elig_MatchAll_Ct&lt;22,$BC584=(Elig_MatchAll_Ct-1),AY584=0),Z584,0)</f>
        <v>0</v>
      </c>
      <c r="CF584" s="176">
        <f>IF(AND(Input_LTV&lt;=AE584,Input_Product=Elig!$C584,Elig_MatchAll_Ct&lt;22,$BC584=(Elig_MatchAll_Ct-1),AY584=0),AA584,0)</f>
        <v>0</v>
      </c>
      <c r="CG584" s="175">
        <f>IF(AND(Input_Product=Elig!$C584,Elig_MatchAll_Ct&lt;22,$BC584=(Elig_MatchAll_Ct-1),AZ584=0),AB584,0)</f>
        <v>0</v>
      </c>
      <c r="CH584" s="176">
        <f>IF(AND(Input_Product=Elig!$C584,Elig_MatchAll_Ct&lt;22,$BC584=(Elig_MatchAll_Ct-1),AZ584=0),AC584,0)</f>
        <v>0</v>
      </c>
      <c r="CI584" s="175">
        <f>IF(AND(Input_Product=Elig!$C584,Elig_MatchAll_Ct&lt;22,$BC584=(Elig_MatchAll_Ct-1),BA584=0),AD584,0)</f>
        <v>0</v>
      </c>
      <c r="CJ584" s="176">
        <f>IF(AND(Input_Product=Elig!$C584,Elig_MatchAll_Ct&lt;22,$BC584=(Elig_MatchAll_Ct-1),BA584=0),AE584,0)</f>
        <v>0</v>
      </c>
    </row>
    <row r="585" spans="1:88" ht="10.15" customHeight="1" x14ac:dyDescent="0.25">
      <c r="A585" s="1476" t="s">
        <v>76</v>
      </c>
      <c r="B585" s="1476" t="s">
        <v>1362</v>
      </c>
      <c r="C585" s="1477" t="str">
        <f t="shared" si="204"/>
        <v>Second OO</v>
      </c>
      <c r="D585" s="1476" t="s">
        <v>1121</v>
      </c>
      <c r="E585" s="1476" t="s">
        <v>98</v>
      </c>
      <c r="F585" s="1476" t="s">
        <v>328</v>
      </c>
      <c r="G585" s="1544" t="s">
        <v>174</v>
      </c>
      <c r="H585" s="1478" t="s">
        <v>444</v>
      </c>
      <c r="I585" s="1476" t="s">
        <v>1141</v>
      </c>
      <c r="J585" s="1476" t="s">
        <v>1130</v>
      </c>
      <c r="K585" s="1478" t="s">
        <v>2464</v>
      </c>
      <c r="L585" s="1476" t="s">
        <v>428</v>
      </c>
      <c r="M585" s="1476" t="s">
        <v>1835</v>
      </c>
      <c r="N585" s="1478" t="s">
        <v>82</v>
      </c>
      <c r="O585" s="1476" t="s">
        <v>309</v>
      </c>
      <c r="P585" s="1476" t="s">
        <v>2433</v>
      </c>
      <c r="Q585" s="1476" t="s">
        <v>293</v>
      </c>
      <c r="R585" s="1476">
        <v>200000</v>
      </c>
      <c r="S585" s="1476">
        <v>350000</v>
      </c>
      <c r="T585" s="1476">
        <v>0</v>
      </c>
      <c r="U585" s="1476">
        <f t="shared" si="205"/>
        <v>350000</v>
      </c>
      <c r="V585" s="1476">
        <v>0</v>
      </c>
      <c r="W585" s="1476">
        <v>50</v>
      </c>
      <c r="X585" s="1476">
        <v>0</v>
      </c>
      <c r="Y585" s="1476">
        <v>999</v>
      </c>
      <c r="Z585" s="1479">
        <v>680</v>
      </c>
      <c r="AA585" s="1479">
        <v>699</v>
      </c>
      <c r="AB585" s="1479">
        <v>0</v>
      </c>
      <c r="AC585" s="1479">
        <v>999999</v>
      </c>
      <c r="AD585" s="1476">
        <v>0</v>
      </c>
      <c r="AE585" s="1539">
        <v>70</v>
      </c>
      <c r="AF585" s="144">
        <v>0</v>
      </c>
      <c r="AG585" s="145">
        <v>0</v>
      </c>
      <c r="AH585" s="145">
        <v>1</v>
      </c>
      <c r="AI585" s="145">
        <v>0</v>
      </c>
      <c r="AJ585" s="145">
        <v>0</v>
      </c>
      <c r="AK585" s="145">
        <v>0</v>
      </c>
      <c r="AL585" s="145">
        <v>1</v>
      </c>
      <c r="AM585" s="145">
        <v>1</v>
      </c>
      <c r="AN585" s="145">
        <v>1</v>
      </c>
      <c r="AO585" s="145">
        <v>1</v>
      </c>
      <c r="AP585" s="145">
        <v>1</v>
      </c>
      <c r="AQ585" s="145">
        <v>0</v>
      </c>
      <c r="AR585" s="145">
        <v>1</v>
      </c>
      <c r="AS585" s="145">
        <v>1</v>
      </c>
      <c r="AT585" s="145">
        <v>1</v>
      </c>
      <c r="AU585" s="145">
        <f t="shared" si="206"/>
        <v>0</v>
      </c>
      <c r="AV585" s="145">
        <f t="shared" si="207"/>
        <v>1</v>
      </c>
      <c r="AW585" s="145">
        <f t="shared" si="208"/>
        <v>1</v>
      </c>
      <c r="AX585" s="145">
        <f t="shared" si="212"/>
        <v>1</v>
      </c>
      <c r="AY585" s="145">
        <f t="shared" si="209"/>
        <v>0</v>
      </c>
      <c r="AZ585" s="145">
        <f t="shared" si="210"/>
        <v>1</v>
      </c>
      <c r="BA585" s="146">
        <f t="shared" si="211"/>
        <v>1</v>
      </c>
      <c r="BB585" s="149">
        <f t="shared" si="214"/>
        <v>14</v>
      </c>
      <c r="BC585" s="150">
        <f t="shared" si="215"/>
        <v>13</v>
      </c>
      <c r="BD585" s="150">
        <f t="shared" si="216"/>
        <v>14</v>
      </c>
      <c r="BE585" s="211" t="str">
        <f t="shared" si="217"/>
        <v/>
      </c>
      <c r="BF585" s="205"/>
      <c r="BG585" s="205"/>
      <c r="BH585" s="173">
        <f>IF(AND(Input_Product=Elig!$C585,Elig_MatchAll_Ct&lt;22,$BC585=(Elig_MatchAll_Ct-1),AF585=0),C585,0)</f>
        <v>0</v>
      </c>
      <c r="BI585" s="173">
        <f>IF(AND(Input_Product=Elig!$C585,Elig_MatchAll_Ct&lt;22,$BC585=(Elig_MatchAll_Ct-1),AG585=0),D585,0)</f>
        <v>0</v>
      </c>
      <c r="BJ585" s="173">
        <f>IF(AND(Input_Product=Elig!$C585,Elig_MatchAll_Ct&lt;22,$BC585=(Elig_MatchAll_Ct-1),AH585=0),E585,0)</f>
        <v>0</v>
      </c>
      <c r="BK585" s="173">
        <f>IF(AND(Input_Product=Elig!$C585,Elig_MatchAll_Ct&lt;22,$BC585=(Elig_MatchAll_Ct-1),AI585=0),F585,0)</f>
        <v>0</v>
      </c>
      <c r="BL585" s="173">
        <f>IF(AND(Input_Product=Elig!$C585,Elig_MatchAll_Ct&lt;22,$BC585=(Elig_MatchAll_Ct-1),AJ585=0),G585,0)</f>
        <v>0</v>
      </c>
      <c r="BM585" s="173">
        <f>IF(AND(Input_Product=Elig!$C585,Elig_MatchAll_Ct&lt;22,$BC585=(Elig_MatchAll_Ct-1),AK585=0),H585,0)</f>
        <v>0</v>
      </c>
      <c r="BN585" s="173">
        <f>IF(AND(Input_Product=Elig!$C585,Elig_MatchAll_Ct&lt;22,$BC585=(Elig_MatchAll_Ct-1),AL585=0),I585,0)</f>
        <v>0</v>
      </c>
      <c r="BO585" s="173">
        <f>IF(AND(Input_Product=Elig!$C585,Elig_MatchAll_Ct&lt;22,$BC585=(Elig_MatchAll_Ct-1),AM585=0),J585,0)</f>
        <v>0</v>
      </c>
      <c r="BP585" s="173">
        <f>IF(AND(Input_Product=Elig!$C585,Elig_MatchAll_Ct&lt;22,$BC585=(Elig_MatchAll_Ct-1),AN585=0),K585,0)</f>
        <v>0</v>
      </c>
      <c r="BQ585" s="173">
        <f>IF(AND(Input_Product=Elig!$C585,Elig_MatchAll_Ct&lt;22,$BC585=(Elig_MatchAll_Ct-1),AP585=0),L585,0)</f>
        <v>0</v>
      </c>
      <c r="BR585" s="173">
        <f>IF(AND(Input_Product=Elig!$C585,Elig_MatchAll_Ct&lt;22,$BC585=(Elig_MatchAll_Ct-1),AO585=0),M585,0)</f>
        <v>0</v>
      </c>
      <c r="BS585" s="173">
        <f>IF(AND(Input_Product=Elig!$C585,Elig_MatchAll_Ct&lt;22,$BC585=(Elig_MatchAll_Ct-1),AQ585=0),N585,0)</f>
        <v>0</v>
      </c>
      <c r="BT585" s="173">
        <f>IF(AND(Input_Product=Elig!$C585,Elig_MatchAll_Ct&lt;22,$BC585=(Elig_MatchAll_Ct-1),AR585=0),O585,0)</f>
        <v>0</v>
      </c>
      <c r="BU585" s="173">
        <f>IF(AND(Input_Product=Elig!$C585,Elig_MatchAll_Ct&lt;22,$BC585=(Elig_MatchAll_Ct-1),AS585=0),P585,0)</f>
        <v>0</v>
      </c>
      <c r="BV585" s="174">
        <f>IF(AND(Input_Product=Elig!$C585,Elig_MatchAll_Ct&lt;22,$BC585=(Elig_MatchAll_Ct-1),AT585=0),Q585,0)</f>
        <v>0</v>
      </c>
      <c r="BW585" s="175">
        <f>IF(AND(Input_Product=Elig!$C585,Elig_MatchAll_Ct&lt;22,$BC585=(Elig_MatchAll_Ct-1),AU585=0),R585,0)</f>
        <v>0</v>
      </c>
      <c r="BX585" s="176">
        <f>IF(AND(Input_Product=Elig!$C585,Elig_MatchAll_Ct&lt;22,$BC585=(Elig_MatchAll_Ct-1),AU585=0),S585,0)</f>
        <v>0</v>
      </c>
      <c r="BY585" s="175">
        <f>IF(AND(Input_Product=Elig!$C585,Elig_MatchAll_Ct&lt;22,$BC585=(Elig_MatchAll_Ct-1),AV585=0),T585,0)</f>
        <v>0</v>
      </c>
      <c r="BZ585" s="176">
        <f>IF(AND(Input_Product=Elig!$C585,Elig_MatchAll_Ct&lt;22,$BC585=(Elig_MatchAll_Ct-1),AV585=0),U585,0)</f>
        <v>0</v>
      </c>
      <c r="CA585" s="175">
        <f>IF(AND(Input_Product=Elig!$C585,Elig_MatchAll_Ct&lt;22,$BC585=(Elig_MatchAll_Ct-1),AW585=0),V585,0)</f>
        <v>0</v>
      </c>
      <c r="CB585" s="176">
        <f>IF(AND(Input_Product=Elig!$C585,Elig_MatchAll_Ct&lt;22,$BC585=(Elig_MatchAll_Ct-1),AW585=0),W585,0)</f>
        <v>0</v>
      </c>
      <c r="CC585" s="175">
        <f>IF(AND(Input_Product=Elig!$C585,Elig_MatchAll_Ct&lt;22,$BC585=(Elig_MatchAll_Ct-1),AX585=0),X585,0)</f>
        <v>0</v>
      </c>
      <c r="CD585" s="176">
        <f>IF(AND(Input_Product=Elig!$C585,Elig_MatchAll_Ct&lt;22,$BC585=(Elig_MatchAll_Ct-1),AX585=0),Y585,0)</f>
        <v>0</v>
      </c>
      <c r="CE585" s="175">
        <f>IF(AND(Input_LTV&lt;=AE585,Input_Product=Elig!$C585,Elig_MatchAll_Ct&lt;22,$BC585=(Elig_MatchAll_Ct-1),AY585=0),Z585,0)</f>
        <v>0</v>
      </c>
      <c r="CF585" s="176">
        <f>IF(AND(Input_LTV&lt;=AE585,Input_Product=Elig!$C585,Elig_MatchAll_Ct&lt;22,$BC585=(Elig_MatchAll_Ct-1),AY585=0),AA585,0)</f>
        <v>0</v>
      </c>
      <c r="CG585" s="175">
        <f>IF(AND(Input_Product=Elig!$C585,Elig_MatchAll_Ct&lt;22,$BC585=(Elig_MatchAll_Ct-1),AZ585=0),AB585,0)</f>
        <v>0</v>
      </c>
      <c r="CH585" s="176">
        <f>IF(AND(Input_Product=Elig!$C585,Elig_MatchAll_Ct&lt;22,$BC585=(Elig_MatchAll_Ct-1),AZ585=0),AC585,0)</f>
        <v>0</v>
      </c>
      <c r="CI585" s="175">
        <f>IF(AND(Input_Product=Elig!$C585,Elig_MatchAll_Ct&lt;22,$BC585=(Elig_MatchAll_Ct-1),BA585=0),AD585,0)</f>
        <v>0</v>
      </c>
      <c r="CJ585" s="176">
        <f>IF(AND(Input_Product=Elig!$C585,Elig_MatchAll_Ct&lt;22,$BC585=(Elig_MatchAll_Ct-1),BA585=0),AE585,0)</f>
        <v>0</v>
      </c>
    </row>
    <row r="586" spans="1:88" ht="10.15" customHeight="1" x14ac:dyDescent="0.25">
      <c r="A586" s="1476" t="s">
        <v>76</v>
      </c>
      <c r="B586" s="1476" t="s">
        <v>1363</v>
      </c>
      <c r="C586" s="1481" t="str">
        <f t="shared" si="204"/>
        <v>Second OO</v>
      </c>
      <c r="D586" s="1480" t="s">
        <v>1121</v>
      </c>
      <c r="E586" s="1480" t="s">
        <v>98</v>
      </c>
      <c r="F586" s="1480" t="s">
        <v>328</v>
      </c>
      <c r="G586" s="1545" t="s">
        <v>174</v>
      </c>
      <c r="H586" s="1482" t="s">
        <v>444</v>
      </c>
      <c r="I586" s="1480" t="s">
        <v>1141</v>
      </c>
      <c r="J586" s="1480" t="s">
        <v>1130</v>
      </c>
      <c r="K586" s="1482" t="s">
        <v>2464</v>
      </c>
      <c r="L586" s="1480" t="s">
        <v>428</v>
      </c>
      <c r="M586" s="1480" t="s">
        <v>1835</v>
      </c>
      <c r="N586" s="1482" t="s">
        <v>82</v>
      </c>
      <c r="O586" s="1480" t="s">
        <v>309</v>
      </c>
      <c r="P586" s="1480" t="s">
        <v>2433</v>
      </c>
      <c r="Q586" s="1480" t="s">
        <v>293</v>
      </c>
      <c r="R586" s="1480">
        <v>200000</v>
      </c>
      <c r="S586" s="1480">
        <v>350000</v>
      </c>
      <c r="T586" s="1480">
        <v>0</v>
      </c>
      <c r="U586" s="1480">
        <f t="shared" si="205"/>
        <v>350000</v>
      </c>
      <c r="V586" s="1480">
        <v>0</v>
      </c>
      <c r="W586" s="1480">
        <v>50</v>
      </c>
      <c r="X586" s="1480">
        <v>0</v>
      </c>
      <c r="Y586" s="1480">
        <v>999</v>
      </c>
      <c r="Z586" s="1483">
        <v>660</v>
      </c>
      <c r="AA586" s="1483">
        <v>679</v>
      </c>
      <c r="AB586" s="1483">
        <v>0</v>
      </c>
      <c r="AC586" s="1483">
        <v>999999</v>
      </c>
      <c r="AD586" s="1480">
        <v>0</v>
      </c>
      <c r="AE586" s="1220">
        <v>60</v>
      </c>
      <c r="AF586" s="144">
        <v>0</v>
      </c>
      <c r="AG586" s="145">
        <v>0</v>
      </c>
      <c r="AH586" s="145">
        <v>1</v>
      </c>
      <c r="AI586" s="145">
        <v>0</v>
      </c>
      <c r="AJ586" s="145">
        <v>0</v>
      </c>
      <c r="AK586" s="145">
        <v>0</v>
      </c>
      <c r="AL586" s="145">
        <v>1</v>
      </c>
      <c r="AM586" s="145">
        <v>1</v>
      </c>
      <c r="AN586" s="145">
        <v>1</v>
      </c>
      <c r="AO586" s="145">
        <v>1</v>
      </c>
      <c r="AP586" s="145">
        <v>1</v>
      </c>
      <c r="AQ586" s="145">
        <v>0</v>
      </c>
      <c r="AR586" s="145">
        <v>1</v>
      </c>
      <c r="AS586" s="145">
        <v>1</v>
      </c>
      <c r="AT586" s="145">
        <v>1</v>
      </c>
      <c r="AU586" s="145">
        <f t="shared" si="206"/>
        <v>0</v>
      </c>
      <c r="AV586" s="145">
        <f t="shared" si="207"/>
        <v>1</v>
      </c>
      <c r="AW586" s="145">
        <f t="shared" si="208"/>
        <v>1</v>
      </c>
      <c r="AX586" s="145">
        <f t="shared" si="212"/>
        <v>1</v>
      </c>
      <c r="AY586" s="145">
        <f t="shared" si="209"/>
        <v>0</v>
      </c>
      <c r="AZ586" s="145">
        <f t="shared" si="210"/>
        <v>1</v>
      </c>
      <c r="BA586" s="146">
        <f t="shared" si="211"/>
        <v>0</v>
      </c>
      <c r="BB586" s="149">
        <f t="shared" si="214"/>
        <v>13</v>
      </c>
      <c r="BC586" s="150">
        <f t="shared" si="215"/>
        <v>13</v>
      </c>
      <c r="BD586" s="150">
        <f t="shared" si="216"/>
        <v>13</v>
      </c>
      <c r="BE586" s="211" t="str">
        <f t="shared" si="217"/>
        <v/>
      </c>
      <c r="BF586" s="205"/>
      <c r="BG586" s="205"/>
      <c r="BH586" s="188">
        <f>IF(AND(Input_Product=Elig!$C586,Elig_MatchAll_Ct&lt;22,$BC586=(Elig_MatchAll_Ct-1),AF586=0),C586,0)</f>
        <v>0</v>
      </c>
      <c r="BI586" s="188">
        <f>IF(AND(Input_Product=Elig!$C586,Elig_MatchAll_Ct&lt;22,$BC586=(Elig_MatchAll_Ct-1),AG586=0),D586,0)</f>
        <v>0</v>
      </c>
      <c r="BJ586" s="188">
        <f>IF(AND(Input_Product=Elig!$C586,Elig_MatchAll_Ct&lt;22,$BC586=(Elig_MatchAll_Ct-1),AH586=0),E586,0)</f>
        <v>0</v>
      </c>
      <c r="BK586" s="188">
        <f>IF(AND(Input_Product=Elig!$C586,Elig_MatchAll_Ct&lt;22,$BC586=(Elig_MatchAll_Ct-1),AI586=0),F586,0)</f>
        <v>0</v>
      </c>
      <c r="BL586" s="188">
        <f>IF(AND(Input_Product=Elig!$C586,Elig_MatchAll_Ct&lt;22,$BC586=(Elig_MatchAll_Ct-1),AJ586=0),G586,0)</f>
        <v>0</v>
      </c>
      <c r="BM586" s="188">
        <f>IF(AND(Input_Product=Elig!$C586,Elig_MatchAll_Ct&lt;22,$BC586=(Elig_MatchAll_Ct-1),AK586=0),H586,0)</f>
        <v>0</v>
      </c>
      <c r="BN586" s="188">
        <f>IF(AND(Input_Product=Elig!$C586,Elig_MatchAll_Ct&lt;22,$BC586=(Elig_MatchAll_Ct-1),AL586=0),I586,0)</f>
        <v>0</v>
      </c>
      <c r="BO586" s="188">
        <f>IF(AND(Input_Product=Elig!$C586,Elig_MatchAll_Ct&lt;22,$BC586=(Elig_MatchAll_Ct-1),AM586=0),J586,0)</f>
        <v>0</v>
      </c>
      <c r="BP586" s="188">
        <f>IF(AND(Input_Product=Elig!$C586,Elig_MatchAll_Ct&lt;22,$BC586=(Elig_MatchAll_Ct-1),AN586=0),K586,0)</f>
        <v>0</v>
      </c>
      <c r="BQ586" s="188">
        <f>IF(AND(Input_Product=Elig!$C586,Elig_MatchAll_Ct&lt;22,$BC586=(Elig_MatchAll_Ct-1),AP586=0),L586,0)</f>
        <v>0</v>
      </c>
      <c r="BR586" s="188">
        <f>IF(AND(Input_Product=Elig!$C586,Elig_MatchAll_Ct&lt;22,$BC586=(Elig_MatchAll_Ct-1),AO586=0),M586,0)</f>
        <v>0</v>
      </c>
      <c r="BS586" s="188">
        <f>IF(AND(Input_Product=Elig!$C586,Elig_MatchAll_Ct&lt;22,$BC586=(Elig_MatchAll_Ct-1),AQ586=0),N586,0)</f>
        <v>0</v>
      </c>
      <c r="BT586" s="188">
        <f>IF(AND(Input_Product=Elig!$C586,Elig_MatchAll_Ct&lt;22,$BC586=(Elig_MatchAll_Ct-1),AR586=0),O586,0)</f>
        <v>0</v>
      </c>
      <c r="BU586" s="188">
        <f>IF(AND(Input_Product=Elig!$C586,Elig_MatchAll_Ct&lt;22,$BC586=(Elig_MatchAll_Ct-1),AS586=0),P586,0)</f>
        <v>0</v>
      </c>
      <c r="BV586" s="189">
        <f>IF(AND(Input_Product=Elig!$C586,Elig_MatchAll_Ct&lt;22,$BC586=(Elig_MatchAll_Ct-1),AT586=0),Q586,0)</f>
        <v>0</v>
      </c>
      <c r="BW586" s="271">
        <f>IF(AND(Input_Product=Elig!$C586,Elig_MatchAll_Ct&lt;22,$BC586=(Elig_MatchAll_Ct-1),AU586=0),R586,0)</f>
        <v>0</v>
      </c>
      <c r="BX586" s="272">
        <f>IF(AND(Input_Product=Elig!$C586,Elig_MatchAll_Ct&lt;22,$BC586=(Elig_MatchAll_Ct-1),AU586=0),S586,0)</f>
        <v>0</v>
      </c>
      <c r="BY586" s="271">
        <f>IF(AND(Input_Product=Elig!$C586,Elig_MatchAll_Ct&lt;22,$BC586=(Elig_MatchAll_Ct-1),AV586=0),T586,0)</f>
        <v>0</v>
      </c>
      <c r="BZ586" s="272">
        <f>IF(AND(Input_Product=Elig!$C586,Elig_MatchAll_Ct&lt;22,$BC586=(Elig_MatchAll_Ct-1),AV586=0),U586,0)</f>
        <v>0</v>
      </c>
      <c r="CA586" s="271">
        <f>IF(AND(Input_Product=Elig!$C586,Elig_MatchAll_Ct&lt;22,$BC586=(Elig_MatchAll_Ct-1),AW586=0),V586,0)</f>
        <v>0</v>
      </c>
      <c r="CB586" s="272">
        <f>IF(AND(Input_Product=Elig!$C586,Elig_MatchAll_Ct&lt;22,$BC586=(Elig_MatchAll_Ct-1),AW586=0),W586,0)</f>
        <v>0</v>
      </c>
      <c r="CC586" s="271">
        <f>IF(AND(Input_Product=Elig!$C586,Elig_MatchAll_Ct&lt;22,$BC586=(Elig_MatchAll_Ct-1),AX586=0),X586,0)</f>
        <v>0</v>
      </c>
      <c r="CD586" s="272">
        <f>IF(AND(Input_Product=Elig!$C586,Elig_MatchAll_Ct&lt;22,$BC586=(Elig_MatchAll_Ct-1),AX586=0),Y586,0)</f>
        <v>0</v>
      </c>
      <c r="CE586" s="271">
        <f>IF(AND(Input_LTV&lt;=AE586,Input_Product=Elig!$C586,Elig_MatchAll_Ct&lt;22,$BC586=(Elig_MatchAll_Ct-1),AY586=0),Z586,0)</f>
        <v>0</v>
      </c>
      <c r="CF586" s="272">
        <f>IF(AND(Input_LTV&lt;=AE586,Input_Product=Elig!$C586,Elig_MatchAll_Ct&lt;22,$BC586=(Elig_MatchAll_Ct-1),AY586=0),AA586,0)</f>
        <v>0</v>
      </c>
      <c r="CG586" s="271">
        <f>IF(AND(Input_Product=Elig!$C586,Elig_MatchAll_Ct&lt;22,$BC586=(Elig_MatchAll_Ct-1),AZ586=0),AB586,0)</f>
        <v>0</v>
      </c>
      <c r="CH586" s="272">
        <f>IF(AND(Input_Product=Elig!$C586,Elig_MatchAll_Ct&lt;22,$BC586=(Elig_MatchAll_Ct-1),AZ586=0),AC586,0)</f>
        <v>0</v>
      </c>
      <c r="CI586" s="271">
        <f>IF(AND(Input_Product=Elig!$C586,Elig_MatchAll_Ct&lt;22,$BC586=(Elig_MatchAll_Ct-1),BA586=0),AD586,0)</f>
        <v>0</v>
      </c>
      <c r="CJ586" s="272">
        <f>IF(AND(Input_Product=Elig!$C586,Elig_MatchAll_Ct&lt;22,$BC586=(Elig_MatchAll_Ct-1),BA586=0),AE586,0)</f>
        <v>0</v>
      </c>
    </row>
    <row r="587" spans="1:88" ht="10.15" customHeight="1" x14ac:dyDescent="0.25">
      <c r="A587" s="1476" t="s">
        <v>76</v>
      </c>
      <c r="B587" s="1476" t="s">
        <v>1364</v>
      </c>
      <c r="C587" s="1473" t="str">
        <f t="shared" si="204"/>
        <v>Second OO</v>
      </c>
      <c r="D587" s="1474" t="s">
        <v>1331</v>
      </c>
      <c r="E587" s="1474" t="s">
        <v>98</v>
      </c>
      <c r="F587" s="1474" t="s">
        <v>328</v>
      </c>
      <c r="G587" s="1537" t="s">
        <v>465</v>
      </c>
      <c r="H587" s="1474" t="s">
        <v>135</v>
      </c>
      <c r="I587" s="1472" t="s">
        <v>1141</v>
      </c>
      <c r="J587" s="1472" t="s">
        <v>1130</v>
      </c>
      <c r="K587" s="1474" t="s">
        <v>2464</v>
      </c>
      <c r="L587" s="1472" t="s">
        <v>428</v>
      </c>
      <c r="M587" s="1472" t="s">
        <v>1835</v>
      </c>
      <c r="N587" s="1474" t="s">
        <v>82</v>
      </c>
      <c r="O587" s="1472" t="s">
        <v>309</v>
      </c>
      <c r="P587" s="1472" t="s">
        <v>2433</v>
      </c>
      <c r="Q587" s="1472" t="s">
        <v>293</v>
      </c>
      <c r="R587" s="1472">
        <v>50000</v>
      </c>
      <c r="S587" s="1472">
        <v>350000</v>
      </c>
      <c r="T587" s="1472">
        <v>0</v>
      </c>
      <c r="U587" s="1472">
        <f t="shared" ref="U587:U594" si="218">S587</f>
        <v>350000</v>
      </c>
      <c r="V587" s="1472">
        <v>0</v>
      </c>
      <c r="W587" s="1472">
        <v>50</v>
      </c>
      <c r="X587" s="1472">
        <v>0</v>
      </c>
      <c r="Y587" s="1472">
        <v>999</v>
      </c>
      <c r="Z587" s="1475">
        <v>720</v>
      </c>
      <c r="AA587" s="1475">
        <v>999</v>
      </c>
      <c r="AB587" s="1475">
        <v>0</v>
      </c>
      <c r="AC587" s="1475">
        <v>999999</v>
      </c>
      <c r="AD587" s="1472">
        <v>0</v>
      </c>
      <c r="AE587" s="1538">
        <v>80</v>
      </c>
      <c r="AF587" s="144">
        <v>0</v>
      </c>
      <c r="AG587" s="145">
        <v>1</v>
      </c>
      <c r="AH587" s="145">
        <v>1</v>
      </c>
      <c r="AI587" s="145">
        <v>0</v>
      </c>
      <c r="AJ587" s="145">
        <v>0</v>
      </c>
      <c r="AK587" s="145">
        <v>1</v>
      </c>
      <c r="AL587" s="145">
        <v>1</v>
      </c>
      <c r="AM587" s="145">
        <v>1</v>
      </c>
      <c r="AN587" s="145">
        <v>1</v>
      </c>
      <c r="AO587" s="145">
        <v>1</v>
      </c>
      <c r="AP587" s="145">
        <v>1</v>
      </c>
      <c r="AQ587" s="145">
        <v>0</v>
      </c>
      <c r="AR587" s="145">
        <v>1</v>
      </c>
      <c r="AS587" s="145">
        <v>1</v>
      </c>
      <c r="AT587" s="145">
        <v>1</v>
      </c>
      <c r="AU587" s="145">
        <f t="shared" si="206"/>
        <v>1</v>
      </c>
      <c r="AV587" s="145">
        <f t="shared" si="207"/>
        <v>1</v>
      </c>
      <c r="AW587" s="145">
        <f t="shared" si="208"/>
        <v>1</v>
      </c>
      <c r="AX587" s="145">
        <f t="shared" si="212"/>
        <v>1</v>
      </c>
      <c r="AY587" s="145">
        <f t="shared" si="209"/>
        <v>1</v>
      </c>
      <c r="AZ587" s="145">
        <f t="shared" si="210"/>
        <v>1</v>
      </c>
      <c r="BA587" s="146">
        <f t="shared" si="211"/>
        <v>1</v>
      </c>
      <c r="BB587" s="149">
        <f t="shared" si="214"/>
        <v>18</v>
      </c>
      <c r="BC587" s="150">
        <f t="shared" si="215"/>
        <v>17</v>
      </c>
      <c r="BD587" s="150">
        <f t="shared" si="216"/>
        <v>18</v>
      </c>
      <c r="BE587" s="211" t="str">
        <f t="shared" si="217"/>
        <v/>
      </c>
      <c r="BF587" s="194"/>
      <c r="BG587" s="194"/>
      <c r="BH587" s="190">
        <f>IF(AND(Input_Product=Elig!$C587,Elig_MatchAll_Ct&lt;22,$BC587=(Elig_MatchAll_Ct-1),AF587=0),C587,0)</f>
        <v>0</v>
      </c>
      <c r="BI587" s="190">
        <f>IF(AND(Input_Product=Elig!$C587,Elig_MatchAll_Ct&lt;22,$BC587=(Elig_MatchAll_Ct-1),AG587=0),D587,0)</f>
        <v>0</v>
      </c>
      <c r="BJ587" s="190">
        <f>IF(AND(Input_Product=Elig!$C587,Elig_MatchAll_Ct&lt;22,$BC587=(Elig_MatchAll_Ct-1),AH587=0),E587,0)</f>
        <v>0</v>
      </c>
      <c r="BK587" s="190">
        <f>IF(AND(Input_Product=Elig!$C587,Elig_MatchAll_Ct&lt;22,$BC587=(Elig_MatchAll_Ct-1),AI587=0),F587,0)</f>
        <v>0</v>
      </c>
      <c r="BL587" s="190">
        <f>IF(AND(Input_Product=Elig!$C587,Elig_MatchAll_Ct&lt;22,$BC587=(Elig_MatchAll_Ct-1),AJ587=0),G587,0)</f>
        <v>0</v>
      </c>
      <c r="BM587" s="190">
        <f>IF(AND(Input_Product=Elig!$C587,Elig_MatchAll_Ct&lt;22,$BC587=(Elig_MatchAll_Ct-1),AK587=0),H587,0)</f>
        <v>0</v>
      </c>
      <c r="BN587" s="190">
        <f>IF(AND(Input_Product=Elig!$C587,Elig_MatchAll_Ct&lt;22,$BC587=(Elig_MatchAll_Ct-1),AL587=0),I587,0)</f>
        <v>0</v>
      </c>
      <c r="BO587" s="190">
        <f>IF(AND(Input_Product=Elig!$C587,Elig_MatchAll_Ct&lt;22,$BC587=(Elig_MatchAll_Ct-1),AM587=0),J587,0)</f>
        <v>0</v>
      </c>
      <c r="BP587" s="190">
        <f>IF(AND(Input_Product=Elig!$C587,Elig_MatchAll_Ct&lt;22,$BC587=(Elig_MatchAll_Ct-1),AN587=0),K587,0)</f>
        <v>0</v>
      </c>
      <c r="BQ587" s="190">
        <f>IF(AND(Input_Product=Elig!$C587,Elig_MatchAll_Ct&lt;22,$BC587=(Elig_MatchAll_Ct-1),AP587=0),L587,0)</f>
        <v>0</v>
      </c>
      <c r="BR587" s="190">
        <f>IF(AND(Input_Product=Elig!$C587,Elig_MatchAll_Ct&lt;22,$BC587=(Elig_MatchAll_Ct-1),AO587=0),M587,0)</f>
        <v>0</v>
      </c>
      <c r="BS587" s="190">
        <f>IF(AND(Input_Product=Elig!$C587,Elig_MatchAll_Ct&lt;22,$BC587=(Elig_MatchAll_Ct-1),AQ587=0),N587,0)</f>
        <v>0</v>
      </c>
      <c r="BT587" s="190">
        <f>IF(AND(Input_Product=Elig!$C587,Elig_MatchAll_Ct&lt;22,$BC587=(Elig_MatchAll_Ct-1),AR587=0),O587,0)</f>
        <v>0</v>
      </c>
      <c r="BU587" s="190">
        <f>IF(AND(Input_Product=Elig!$C587,Elig_MatchAll_Ct&lt;22,$BC587=(Elig_MatchAll_Ct-1),AS587=0),P587,0)</f>
        <v>0</v>
      </c>
      <c r="BV587" s="191">
        <f>IF(AND(Input_Product=Elig!$C587,Elig_MatchAll_Ct&lt;22,$BC587=(Elig_MatchAll_Ct-1),AT587=0),Q587,0)</f>
        <v>0</v>
      </c>
      <c r="BW587" s="273">
        <f>IF(AND(Input_Product=Elig!$C587,Elig_MatchAll_Ct&lt;22,$BC587=(Elig_MatchAll_Ct-1),AU587=0),R587,0)</f>
        <v>0</v>
      </c>
      <c r="BX587" s="274">
        <f>IF(AND(Input_Product=Elig!$C587,Elig_MatchAll_Ct&lt;22,$BC587=(Elig_MatchAll_Ct-1),AU587=0),S587,0)</f>
        <v>0</v>
      </c>
      <c r="BY587" s="273">
        <f>IF(AND(Input_Product=Elig!$C587,Elig_MatchAll_Ct&lt;22,$BC587=(Elig_MatchAll_Ct-1),AV587=0),T587,0)</f>
        <v>0</v>
      </c>
      <c r="BZ587" s="274">
        <f>IF(AND(Input_Product=Elig!$C587,Elig_MatchAll_Ct&lt;22,$BC587=(Elig_MatchAll_Ct-1),AV587=0),U587,0)</f>
        <v>0</v>
      </c>
      <c r="CA587" s="273">
        <f>IF(AND(Input_Product=Elig!$C587,Elig_MatchAll_Ct&lt;22,$BC587=(Elig_MatchAll_Ct-1),AW587=0),V587,0)</f>
        <v>0</v>
      </c>
      <c r="CB587" s="274">
        <f>IF(AND(Input_Product=Elig!$C587,Elig_MatchAll_Ct&lt;22,$BC587=(Elig_MatchAll_Ct-1),AW587=0),W587,0)</f>
        <v>0</v>
      </c>
      <c r="CC587" s="273">
        <f>IF(AND(Input_Product=Elig!$C587,Elig_MatchAll_Ct&lt;22,$BC587=(Elig_MatchAll_Ct-1),AX587=0),X587,0)</f>
        <v>0</v>
      </c>
      <c r="CD587" s="274">
        <f>IF(AND(Input_Product=Elig!$C587,Elig_MatchAll_Ct&lt;22,$BC587=(Elig_MatchAll_Ct-1),AX587=0),Y587,0)</f>
        <v>0</v>
      </c>
      <c r="CE587" s="273">
        <f>IF(AND(Input_LTV&lt;=AE587,Input_Product=Elig!$C587,Elig_MatchAll_Ct&lt;22,$BC587=(Elig_MatchAll_Ct-1),AY587=0),Z587,0)</f>
        <v>0</v>
      </c>
      <c r="CF587" s="274">
        <f>IF(AND(Input_LTV&lt;=AE587,Input_Product=Elig!$C587,Elig_MatchAll_Ct&lt;22,$BC587=(Elig_MatchAll_Ct-1),AY587=0),AA587,0)</f>
        <v>0</v>
      </c>
      <c r="CG587" s="273">
        <f>IF(AND(Input_Product=Elig!$C587,Elig_MatchAll_Ct&lt;22,$BC587=(Elig_MatchAll_Ct-1),AZ587=0),AB587,0)</f>
        <v>0</v>
      </c>
      <c r="CH587" s="274">
        <f>IF(AND(Input_Product=Elig!$C587,Elig_MatchAll_Ct&lt;22,$BC587=(Elig_MatchAll_Ct-1),AZ587=0),AC587,0)</f>
        <v>0</v>
      </c>
      <c r="CI587" s="273">
        <f>IF(AND(Input_Product=Elig!$C587,Elig_MatchAll_Ct&lt;22,$BC587=(Elig_MatchAll_Ct-1),BA587=0),AD587,0)</f>
        <v>0</v>
      </c>
      <c r="CJ587" s="274">
        <f>IF(AND(Input_Product=Elig!$C587,Elig_MatchAll_Ct&lt;22,$BC587=(Elig_MatchAll_Ct-1),BA587=0),AE587,0)</f>
        <v>0</v>
      </c>
    </row>
    <row r="588" spans="1:88" ht="10.15" customHeight="1" x14ac:dyDescent="0.25">
      <c r="A588" s="1476" t="s">
        <v>76</v>
      </c>
      <c r="B588" s="1476" t="s">
        <v>1365</v>
      </c>
      <c r="C588" s="1477" t="str">
        <f t="shared" si="204"/>
        <v>Second OO</v>
      </c>
      <c r="D588" s="1476" t="s">
        <v>1331</v>
      </c>
      <c r="E588" s="1476" t="s">
        <v>98</v>
      </c>
      <c r="F588" s="1476" t="s">
        <v>328</v>
      </c>
      <c r="G588" s="1544" t="s">
        <v>465</v>
      </c>
      <c r="H588" s="1478" t="s">
        <v>135</v>
      </c>
      <c r="I588" s="1476" t="s">
        <v>1141</v>
      </c>
      <c r="J588" s="1476" t="s">
        <v>1130</v>
      </c>
      <c r="K588" s="1478" t="s">
        <v>2464</v>
      </c>
      <c r="L588" s="1476" t="s">
        <v>428</v>
      </c>
      <c r="M588" s="1476" t="s">
        <v>1835</v>
      </c>
      <c r="N588" s="1478" t="s">
        <v>82</v>
      </c>
      <c r="O588" s="1476" t="s">
        <v>309</v>
      </c>
      <c r="P588" s="1476" t="s">
        <v>2433</v>
      </c>
      <c r="Q588" s="1476" t="s">
        <v>293</v>
      </c>
      <c r="R588" s="1476">
        <v>50000</v>
      </c>
      <c r="S588" s="1476">
        <v>350000</v>
      </c>
      <c r="T588" s="1476">
        <v>0</v>
      </c>
      <c r="U588" s="1476">
        <f t="shared" si="218"/>
        <v>350000</v>
      </c>
      <c r="V588" s="1476">
        <v>0</v>
      </c>
      <c r="W588" s="1476">
        <v>50</v>
      </c>
      <c r="X588" s="1476">
        <v>0</v>
      </c>
      <c r="Y588" s="1476">
        <v>999</v>
      </c>
      <c r="Z588" s="1479">
        <v>700</v>
      </c>
      <c r="AA588" s="1479">
        <v>719</v>
      </c>
      <c r="AB588" s="1479">
        <v>0</v>
      </c>
      <c r="AC588" s="1479">
        <v>999999</v>
      </c>
      <c r="AD588" s="1476">
        <v>0</v>
      </c>
      <c r="AE588" s="1539">
        <v>75</v>
      </c>
      <c r="AF588" s="144">
        <v>0</v>
      </c>
      <c r="AG588" s="145">
        <v>1</v>
      </c>
      <c r="AH588" s="145">
        <v>1</v>
      </c>
      <c r="AI588" s="145">
        <v>0</v>
      </c>
      <c r="AJ588" s="145">
        <v>0</v>
      </c>
      <c r="AK588" s="145">
        <v>1</v>
      </c>
      <c r="AL588" s="145">
        <v>1</v>
      </c>
      <c r="AM588" s="145">
        <v>1</v>
      </c>
      <c r="AN588" s="145">
        <v>1</v>
      </c>
      <c r="AO588" s="145">
        <v>1</v>
      </c>
      <c r="AP588" s="145">
        <v>1</v>
      </c>
      <c r="AQ588" s="145">
        <v>0</v>
      </c>
      <c r="AR588" s="145">
        <v>1</v>
      </c>
      <c r="AS588" s="145">
        <v>1</v>
      </c>
      <c r="AT588" s="145">
        <v>1</v>
      </c>
      <c r="AU588" s="145">
        <f t="shared" si="206"/>
        <v>1</v>
      </c>
      <c r="AV588" s="145">
        <f t="shared" si="207"/>
        <v>1</v>
      </c>
      <c r="AW588" s="145">
        <f t="shared" si="208"/>
        <v>1</v>
      </c>
      <c r="AX588" s="145">
        <f t="shared" si="212"/>
        <v>1</v>
      </c>
      <c r="AY588" s="145">
        <f t="shared" si="209"/>
        <v>0</v>
      </c>
      <c r="AZ588" s="145">
        <f t="shared" si="210"/>
        <v>1</v>
      </c>
      <c r="BA588" s="146">
        <f t="shared" si="211"/>
        <v>1</v>
      </c>
      <c r="BB588" s="149">
        <f t="shared" si="214"/>
        <v>17</v>
      </c>
      <c r="BC588" s="150">
        <f t="shared" si="215"/>
        <v>16</v>
      </c>
      <c r="BD588" s="150">
        <f t="shared" si="216"/>
        <v>17</v>
      </c>
      <c r="BE588" s="211" t="str">
        <f t="shared" si="217"/>
        <v/>
      </c>
      <c r="BF588" s="205"/>
      <c r="BG588" s="205"/>
      <c r="BH588" s="173">
        <f>IF(AND(Input_Product=Elig!$C588,Elig_MatchAll_Ct&lt;22,$BC588=(Elig_MatchAll_Ct-1),AF588=0),C588,0)</f>
        <v>0</v>
      </c>
      <c r="BI588" s="173">
        <f>IF(AND(Input_Product=Elig!$C588,Elig_MatchAll_Ct&lt;22,$BC588=(Elig_MatchAll_Ct-1),AG588=0),D588,0)</f>
        <v>0</v>
      </c>
      <c r="BJ588" s="173">
        <f>IF(AND(Input_Product=Elig!$C588,Elig_MatchAll_Ct&lt;22,$BC588=(Elig_MatchAll_Ct-1),AH588=0),E588,0)</f>
        <v>0</v>
      </c>
      <c r="BK588" s="173">
        <f>IF(AND(Input_Product=Elig!$C588,Elig_MatchAll_Ct&lt;22,$BC588=(Elig_MatchAll_Ct-1),AI588=0),F588,0)</f>
        <v>0</v>
      </c>
      <c r="BL588" s="173">
        <f>IF(AND(Input_Product=Elig!$C588,Elig_MatchAll_Ct&lt;22,$BC588=(Elig_MatchAll_Ct-1),AJ588=0),G588,0)</f>
        <v>0</v>
      </c>
      <c r="BM588" s="173">
        <f>IF(AND(Input_Product=Elig!$C588,Elig_MatchAll_Ct&lt;22,$BC588=(Elig_MatchAll_Ct-1),AK588=0),H588,0)</f>
        <v>0</v>
      </c>
      <c r="BN588" s="173">
        <f>IF(AND(Input_Product=Elig!$C588,Elig_MatchAll_Ct&lt;22,$BC588=(Elig_MatchAll_Ct-1),AL588=0),I588,0)</f>
        <v>0</v>
      </c>
      <c r="BO588" s="173">
        <f>IF(AND(Input_Product=Elig!$C588,Elig_MatchAll_Ct&lt;22,$BC588=(Elig_MatchAll_Ct-1),AM588=0),J588,0)</f>
        <v>0</v>
      </c>
      <c r="BP588" s="173">
        <f>IF(AND(Input_Product=Elig!$C588,Elig_MatchAll_Ct&lt;22,$BC588=(Elig_MatchAll_Ct-1),AN588=0),K588,0)</f>
        <v>0</v>
      </c>
      <c r="BQ588" s="173">
        <f>IF(AND(Input_Product=Elig!$C588,Elig_MatchAll_Ct&lt;22,$BC588=(Elig_MatchAll_Ct-1),AP588=0),L588,0)</f>
        <v>0</v>
      </c>
      <c r="BR588" s="173">
        <f>IF(AND(Input_Product=Elig!$C588,Elig_MatchAll_Ct&lt;22,$BC588=(Elig_MatchAll_Ct-1),AO588=0),M588,0)</f>
        <v>0</v>
      </c>
      <c r="BS588" s="173">
        <f>IF(AND(Input_Product=Elig!$C588,Elig_MatchAll_Ct&lt;22,$BC588=(Elig_MatchAll_Ct-1),AQ588=0),N588,0)</f>
        <v>0</v>
      </c>
      <c r="BT588" s="173">
        <f>IF(AND(Input_Product=Elig!$C588,Elig_MatchAll_Ct&lt;22,$BC588=(Elig_MatchAll_Ct-1),AR588=0),O588,0)</f>
        <v>0</v>
      </c>
      <c r="BU588" s="173">
        <f>IF(AND(Input_Product=Elig!$C588,Elig_MatchAll_Ct&lt;22,$BC588=(Elig_MatchAll_Ct-1),AS588=0),P588,0)</f>
        <v>0</v>
      </c>
      <c r="BV588" s="174">
        <f>IF(AND(Input_Product=Elig!$C588,Elig_MatchAll_Ct&lt;22,$BC588=(Elig_MatchAll_Ct-1),AT588=0),Q588,0)</f>
        <v>0</v>
      </c>
      <c r="BW588" s="175">
        <f>IF(AND(Input_Product=Elig!$C588,Elig_MatchAll_Ct&lt;22,$BC588=(Elig_MatchAll_Ct-1),AU588=0),R588,0)</f>
        <v>0</v>
      </c>
      <c r="BX588" s="176">
        <f>IF(AND(Input_Product=Elig!$C588,Elig_MatchAll_Ct&lt;22,$BC588=(Elig_MatchAll_Ct-1),AU588=0),S588,0)</f>
        <v>0</v>
      </c>
      <c r="BY588" s="175">
        <f>IF(AND(Input_Product=Elig!$C588,Elig_MatchAll_Ct&lt;22,$BC588=(Elig_MatchAll_Ct-1),AV588=0),T588,0)</f>
        <v>0</v>
      </c>
      <c r="BZ588" s="176">
        <f>IF(AND(Input_Product=Elig!$C588,Elig_MatchAll_Ct&lt;22,$BC588=(Elig_MatchAll_Ct-1),AV588=0),U588,0)</f>
        <v>0</v>
      </c>
      <c r="CA588" s="175">
        <f>IF(AND(Input_Product=Elig!$C588,Elig_MatchAll_Ct&lt;22,$BC588=(Elig_MatchAll_Ct-1),AW588=0),V588,0)</f>
        <v>0</v>
      </c>
      <c r="CB588" s="176">
        <f>IF(AND(Input_Product=Elig!$C588,Elig_MatchAll_Ct&lt;22,$BC588=(Elig_MatchAll_Ct-1),AW588=0),W588,0)</f>
        <v>0</v>
      </c>
      <c r="CC588" s="175">
        <f>IF(AND(Input_Product=Elig!$C588,Elig_MatchAll_Ct&lt;22,$BC588=(Elig_MatchAll_Ct-1),AX588=0),X588,0)</f>
        <v>0</v>
      </c>
      <c r="CD588" s="176">
        <f>IF(AND(Input_Product=Elig!$C588,Elig_MatchAll_Ct&lt;22,$BC588=(Elig_MatchAll_Ct-1),AX588=0),Y588,0)</f>
        <v>0</v>
      </c>
      <c r="CE588" s="175">
        <f>IF(AND(Input_LTV&lt;=AE588,Input_Product=Elig!$C588,Elig_MatchAll_Ct&lt;22,$BC588=(Elig_MatchAll_Ct-1),AY588=0),Z588,0)</f>
        <v>0</v>
      </c>
      <c r="CF588" s="176">
        <f>IF(AND(Input_LTV&lt;=AE588,Input_Product=Elig!$C588,Elig_MatchAll_Ct&lt;22,$BC588=(Elig_MatchAll_Ct-1),AY588=0),AA588,0)</f>
        <v>0</v>
      </c>
      <c r="CG588" s="175">
        <f>IF(AND(Input_Product=Elig!$C588,Elig_MatchAll_Ct&lt;22,$BC588=(Elig_MatchAll_Ct-1),AZ588=0),AB588,0)</f>
        <v>0</v>
      </c>
      <c r="CH588" s="176">
        <f>IF(AND(Input_Product=Elig!$C588,Elig_MatchAll_Ct&lt;22,$BC588=(Elig_MatchAll_Ct-1),AZ588=0),AC588,0)</f>
        <v>0</v>
      </c>
      <c r="CI588" s="175">
        <f>IF(AND(Input_Product=Elig!$C588,Elig_MatchAll_Ct&lt;22,$BC588=(Elig_MatchAll_Ct-1),BA588=0),AD588,0)</f>
        <v>0</v>
      </c>
      <c r="CJ588" s="176">
        <f>IF(AND(Input_Product=Elig!$C588,Elig_MatchAll_Ct&lt;22,$BC588=(Elig_MatchAll_Ct-1),BA588=0),AE588,0)</f>
        <v>0</v>
      </c>
    </row>
    <row r="589" spans="1:88" ht="10.15" customHeight="1" x14ac:dyDescent="0.25">
      <c r="A589" s="1476" t="s">
        <v>76</v>
      </c>
      <c r="B589" s="1476" t="s">
        <v>1366</v>
      </c>
      <c r="C589" s="1477" t="str">
        <f t="shared" si="204"/>
        <v>Second OO</v>
      </c>
      <c r="D589" s="1476" t="s">
        <v>1331</v>
      </c>
      <c r="E589" s="1476" t="s">
        <v>98</v>
      </c>
      <c r="F589" s="1476" t="s">
        <v>328</v>
      </c>
      <c r="G589" s="1544" t="s">
        <v>465</v>
      </c>
      <c r="H589" s="1478" t="s">
        <v>135</v>
      </c>
      <c r="I589" s="1476" t="s">
        <v>1141</v>
      </c>
      <c r="J589" s="1476" t="s">
        <v>1130</v>
      </c>
      <c r="K589" s="1478" t="s">
        <v>2464</v>
      </c>
      <c r="L589" s="1476" t="s">
        <v>428</v>
      </c>
      <c r="M589" s="1476" t="s">
        <v>1835</v>
      </c>
      <c r="N589" s="1478" t="s">
        <v>82</v>
      </c>
      <c r="O589" s="1476" t="s">
        <v>309</v>
      </c>
      <c r="P589" s="1476" t="s">
        <v>2433</v>
      </c>
      <c r="Q589" s="1476" t="s">
        <v>293</v>
      </c>
      <c r="R589" s="1476">
        <v>50000</v>
      </c>
      <c r="S589" s="1476">
        <v>350000</v>
      </c>
      <c r="T589" s="1476">
        <v>0</v>
      </c>
      <c r="U589" s="1476">
        <f t="shared" si="218"/>
        <v>350000</v>
      </c>
      <c r="V589" s="1476">
        <v>0</v>
      </c>
      <c r="W589" s="1476">
        <v>50</v>
      </c>
      <c r="X589" s="1476">
        <v>0</v>
      </c>
      <c r="Y589" s="1476">
        <v>999</v>
      </c>
      <c r="Z589" s="1479">
        <v>680</v>
      </c>
      <c r="AA589" s="1479">
        <v>699</v>
      </c>
      <c r="AB589" s="1479">
        <v>0</v>
      </c>
      <c r="AC589" s="1479">
        <v>999999</v>
      </c>
      <c r="AD589" s="1476">
        <v>0</v>
      </c>
      <c r="AE589" s="1539">
        <v>70</v>
      </c>
      <c r="AF589" s="144">
        <v>0</v>
      </c>
      <c r="AG589" s="145">
        <v>1</v>
      </c>
      <c r="AH589" s="145">
        <v>1</v>
      </c>
      <c r="AI589" s="145">
        <v>0</v>
      </c>
      <c r="AJ589" s="145">
        <v>0</v>
      </c>
      <c r="AK589" s="145">
        <v>1</v>
      </c>
      <c r="AL589" s="145">
        <v>1</v>
      </c>
      <c r="AM589" s="145">
        <v>1</v>
      </c>
      <c r="AN589" s="145">
        <v>1</v>
      </c>
      <c r="AO589" s="145">
        <v>1</v>
      </c>
      <c r="AP589" s="145">
        <v>1</v>
      </c>
      <c r="AQ589" s="145">
        <v>0</v>
      </c>
      <c r="AR589" s="145">
        <v>1</v>
      </c>
      <c r="AS589" s="145">
        <v>1</v>
      </c>
      <c r="AT589" s="145">
        <v>1</v>
      </c>
      <c r="AU589" s="145">
        <f t="shared" si="206"/>
        <v>1</v>
      </c>
      <c r="AV589" s="145">
        <f t="shared" si="207"/>
        <v>1</v>
      </c>
      <c r="AW589" s="145">
        <f t="shared" si="208"/>
        <v>1</v>
      </c>
      <c r="AX589" s="145">
        <f t="shared" si="212"/>
        <v>1</v>
      </c>
      <c r="AY589" s="145">
        <f t="shared" si="209"/>
        <v>0</v>
      </c>
      <c r="AZ589" s="145">
        <f t="shared" si="210"/>
        <v>1</v>
      </c>
      <c r="BA589" s="146">
        <f t="shared" si="211"/>
        <v>1</v>
      </c>
      <c r="BB589" s="149">
        <f t="shared" si="214"/>
        <v>17</v>
      </c>
      <c r="BC589" s="150">
        <f t="shared" si="215"/>
        <v>16</v>
      </c>
      <c r="BD589" s="150">
        <f t="shared" si="216"/>
        <v>17</v>
      </c>
      <c r="BE589" s="211" t="str">
        <f t="shared" si="217"/>
        <v/>
      </c>
      <c r="BF589" s="205"/>
      <c r="BG589" s="205"/>
      <c r="BH589" s="173">
        <f>IF(AND(Input_Product=Elig!$C589,Elig_MatchAll_Ct&lt;22,$BC589=(Elig_MatchAll_Ct-1),AF589=0),C589,0)</f>
        <v>0</v>
      </c>
      <c r="BI589" s="173">
        <f>IF(AND(Input_Product=Elig!$C589,Elig_MatchAll_Ct&lt;22,$BC589=(Elig_MatchAll_Ct-1),AG589=0),D589,0)</f>
        <v>0</v>
      </c>
      <c r="BJ589" s="173">
        <f>IF(AND(Input_Product=Elig!$C589,Elig_MatchAll_Ct&lt;22,$BC589=(Elig_MatchAll_Ct-1),AH589=0),E589,0)</f>
        <v>0</v>
      </c>
      <c r="BK589" s="173">
        <f>IF(AND(Input_Product=Elig!$C589,Elig_MatchAll_Ct&lt;22,$BC589=(Elig_MatchAll_Ct-1),AI589=0),F589,0)</f>
        <v>0</v>
      </c>
      <c r="BL589" s="173">
        <f>IF(AND(Input_Product=Elig!$C589,Elig_MatchAll_Ct&lt;22,$BC589=(Elig_MatchAll_Ct-1),AJ589=0),G589,0)</f>
        <v>0</v>
      </c>
      <c r="BM589" s="173">
        <f>IF(AND(Input_Product=Elig!$C589,Elig_MatchAll_Ct&lt;22,$BC589=(Elig_MatchAll_Ct-1),AK589=0),H589,0)</f>
        <v>0</v>
      </c>
      <c r="BN589" s="173">
        <f>IF(AND(Input_Product=Elig!$C589,Elig_MatchAll_Ct&lt;22,$BC589=(Elig_MatchAll_Ct-1),AL589=0),I589,0)</f>
        <v>0</v>
      </c>
      <c r="BO589" s="173">
        <f>IF(AND(Input_Product=Elig!$C589,Elig_MatchAll_Ct&lt;22,$BC589=(Elig_MatchAll_Ct-1),AM589=0),J589,0)</f>
        <v>0</v>
      </c>
      <c r="BP589" s="173">
        <f>IF(AND(Input_Product=Elig!$C589,Elig_MatchAll_Ct&lt;22,$BC589=(Elig_MatchAll_Ct-1),AN589=0),K589,0)</f>
        <v>0</v>
      </c>
      <c r="BQ589" s="173">
        <f>IF(AND(Input_Product=Elig!$C589,Elig_MatchAll_Ct&lt;22,$BC589=(Elig_MatchAll_Ct-1),AP589=0),L589,0)</f>
        <v>0</v>
      </c>
      <c r="BR589" s="173">
        <f>IF(AND(Input_Product=Elig!$C589,Elig_MatchAll_Ct&lt;22,$BC589=(Elig_MatchAll_Ct-1),AO589=0),M589,0)</f>
        <v>0</v>
      </c>
      <c r="BS589" s="173">
        <f>IF(AND(Input_Product=Elig!$C589,Elig_MatchAll_Ct&lt;22,$BC589=(Elig_MatchAll_Ct-1),AQ589=0),N589,0)</f>
        <v>0</v>
      </c>
      <c r="BT589" s="173">
        <f>IF(AND(Input_Product=Elig!$C589,Elig_MatchAll_Ct&lt;22,$BC589=(Elig_MatchAll_Ct-1),AR589=0),O589,0)</f>
        <v>0</v>
      </c>
      <c r="BU589" s="173">
        <f>IF(AND(Input_Product=Elig!$C589,Elig_MatchAll_Ct&lt;22,$BC589=(Elig_MatchAll_Ct-1),AS589=0),P589,0)</f>
        <v>0</v>
      </c>
      <c r="BV589" s="174">
        <f>IF(AND(Input_Product=Elig!$C589,Elig_MatchAll_Ct&lt;22,$BC589=(Elig_MatchAll_Ct-1),AT589=0),Q589,0)</f>
        <v>0</v>
      </c>
      <c r="BW589" s="175">
        <f>IF(AND(Input_Product=Elig!$C589,Elig_MatchAll_Ct&lt;22,$BC589=(Elig_MatchAll_Ct-1),AU589=0),R589,0)</f>
        <v>0</v>
      </c>
      <c r="BX589" s="176">
        <f>IF(AND(Input_Product=Elig!$C589,Elig_MatchAll_Ct&lt;22,$BC589=(Elig_MatchAll_Ct-1),AU589=0),S589,0)</f>
        <v>0</v>
      </c>
      <c r="BY589" s="175">
        <f>IF(AND(Input_Product=Elig!$C589,Elig_MatchAll_Ct&lt;22,$BC589=(Elig_MatchAll_Ct-1),AV589=0),T589,0)</f>
        <v>0</v>
      </c>
      <c r="BZ589" s="176">
        <f>IF(AND(Input_Product=Elig!$C589,Elig_MatchAll_Ct&lt;22,$BC589=(Elig_MatchAll_Ct-1),AV589=0),U589,0)</f>
        <v>0</v>
      </c>
      <c r="CA589" s="175">
        <f>IF(AND(Input_Product=Elig!$C589,Elig_MatchAll_Ct&lt;22,$BC589=(Elig_MatchAll_Ct-1),AW589=0),V589,0)</f>
        <v>0</v>
      </c>
      <c r="CB589" s="176">
        <f>IF(AND(Input_Product=Elig!$C589,Elig_MatchAll_Ct&lt;22,$BC589=(Elig_MatchAll_Ct-1),AW589=0),W589,0)</f>
        <v>0</v>
      </c>
      <c r="CC589" s="175">
        <f>IF(AND(Input_Product=Elig!$C589,Elig_MatchAll_Ct&lt;22,$BC589=(Elig_MatchAll_Ct-1),AX589=0),X589,0)</f>
        <v>0</v>
      </c>
      <c r="CD589" s="176">
        <f>IF(AND(Input_Product=Elig!$C589,Elig_MatchAll_Ct&lt;22,$BC589=(Elig_MatchAll_Ct-1),AX589=0),Y589,0)</f>
        <v>0</v>
      </c>
      <c r="CE589" s="175">
        <f>IF(AND(Input_LTV&lt;=AE589,Input_Product=Elig!$C589,Elig_MatchAll_Ct&lt;22,$BC589=(Elig_MatchAll_Ct-1),AY589=0),Z589,0)</f>
        <v>0</v>
      </c>
      <c r="CF589" s="176">
        <f>IF(AND(Input_LTV&lt;=AE589,Input_Product=Elig!$C589,Elig_MatchAll_Ct&lt;22,$BC589=(Elig_MatchAll_Ct-1),AY589=0),AA589,0)</f>
        <v>0</v>
      </c>
      <c r="CG589" s="175">
        <f>IF(AND(Input_Product=Elig!$C589,Elig_MatchAll_Ct&lt;22,$BC589=(Elig_MatchAll_Ct-1),AZ589=0),AB589,0)</f>
        <v>0</v>
      </c>
      <c r="CH589" s="176">
        <f>IF(AND(Input_Product=Elig!$C589,Elig_MatchAll_Ct&lt;22,$BC589=(Elig_MatchAll_Ct-1),AZ589=0),AC589,0)</f>
        <v>0</v>
      </c>
      <c r="CI589" s="175">
        <f>IF(AND(Input_Product=Elig!$C589,Elig_MatchAll_Ct&lt;22,$BC589=(Elig_MatchAll_Ct-1),BA589=0),AD589,0)</f>
        <v>0</v>
      </c>
      <c r="CJ589" s="176">
        <f>IF(AND(Input_Product=Elig!$C589,Elig_MatchAll_Ct&lt;22,$BC589=(Elig_MatchAll_Ct-1),BA589=0),AE589,0)</f>
        <v>0</v>
      </c>
    </row>
    <row r="590" spans="1:88" ht="10.15" customHeight="1" x14ac:dyDescent="0.25">
      <c r="A590" s="1476" t="s">
        <v>76</v>
      </c>
      <c r="B590" s="1476" t="s">
        <v>1367</v>
      </c>
      <c r="C590" s="1481" t="str">
        <f t="shared" si="204"/>
        <v>Second OO</v>
      </c>
      <c r="D590" s="1480" t="s">
        <v>1331</v>
      </c>
      <c r="E590" s="1480" t="s">
        <v>98</v>
      </c>
      <c r="F590" s="1480" t="s">
        <v>328</v>
      </c>
      <c r="G590" s="1545" t="s">
        <v>465</v>
      </c>
      <c r="H590" s="1482" t="s">
        <v>135</v>
      </c>
      <c r="I590" s="1480" t="s">
        <v>1141</v>
      </c>
      <c r="J590" s="1480" t="s">
        <v>1130</v>
      </c>
      <c r="K590" s="1482" t="s">
        <v>2464</v>
      </c>
      <c r="L590" s="1480" t="s">
        <v>428</v>
      </c>
      <c r="M590" s="1480" t="s">
        <v>1835</v>
      </c>
      <c r="N590" s="1482" t="s">
        <v>82</v>
      </c>
      <c r="O590" s="1480" t="s">
        <v>309</v>
      </c>
      <c r="P590" s="1480" t="s">
        <v>2433</v>
      </c>
      <c r="Q590" s="1480" t="s">
        <v>293</v>
      </c>
      <c r="R590" s="1480">
        <v>50000</v>
      </c>
      <c r="S590" s="1480">
        <v>350000</v>
      </c>
      <c r="T590" s="1480">
        <v>0</v>
      </c>
      <c r="U590" s="1480">
        <f t="shared" si="218"/>
        <v>350000</v>
      </c>
      <c r="V590" s="1480">
        <v>0</v>
      </c>
      <c r="W590" s="1480">
        <v>50</v>
      </c>
      <c r="X590" s="1480">
        <v>0</v>
      </c>
      <c r="Y590" s="1480">
        <v>999</v>
      </c>
      <c r="Z590" s="1483">
        <v>660</v>
      </c>
      <c r="AA590" s="1483">
        <v>679</v>
      </c>
      <c r="AB590" s="1483">
        <v>0</v>
      </c>
      <c r="AC590" s="1483">
        <v>999999</v>
      </c>
      <c r="AD590" s="1480">
        <v>0</v>
      </c>
      <c r="AE590" s="1220">
        <v>60</v>
      </c>
      <c r="AF590" s="144">
        <v>0</v>
      </c>
      <c r="AG590" s="145">
        <v>1</v>
      </c>
      <c r="AH590" s="145">
        <v>1</v>
      </c>
      <c r="AI590" s="145">
        <v>0</v>
      </c>
      <c r="AJ590" s="145">
        <v>0</v>
      </c>
      <c r="AK590" s="145">
        <v>1</v>
      </c>
      <c r="AL590" s="145">
        <v>1</v>
      </c>
      <c r="AM590" s="145">
        <v>1</v>
      </c>
      <c r="AN590" s="145">
        <v>1</v>
      </c>
      <c r="AO590" s="145">
        <v>1</v>
      </c>
      <c r="AP590" s="145">
        <v>1</v>
      </c>
      <c r="AQ590" s="145">
        <v>0</v>
      </c>
      <c r="AR590" s="145">
        <v>1</v>
      </c>
      <c r="AS590" s="145">
        <v>1</v>
      </c>
      <c r="AT590" s="145">
        <v>1</v>
      </c>
      <c r="AU590" s="145">
        <f t="shared" si="206"/>
        <v>1</v>
      </c>
      <c r="AV590" s="145">
        <f t="shared" si="207"/>
        <v>1</v>
      </c>
      <c r="AW590" s="145">
        <f t="shared" si="208"/>
        <v>1</v>
      </c>
      <c r="AX590" s="145">
        <f t="shared" si="212"/>
        <v>1</v>
      </c>
      <c r="AY590" s="145">
        <f t="shared" si="209"/>
        <v>0</v>
      </c>
      <c r="AZ590" s="145">
        <f t="shared" si="210"/>
        <v>1</v>
      </c>
      <c r="BA590" s="146">
        <f t="shared" si="211"/>
        <v>0</v>
      </c>
      <c r="BB590" s="149">
        <f t="shared" si="214"/>
        <v>16</v>
      </c>
      <c r="BC590" s="150">
        <f t="shared" si="215"/>
        <v>16</v>
      </c>
      <c r="BD590" s="150">
        <f t="shared" si="216"/>
        <v>16</v>
      </c>
      <c r="BE590" s="211" t="str">
        <f t="shared" si="217"/>
        <v/>
      </c>
      <c r="BF590" s="205"/>
      <c r="BG590" s="205"/>
      <c r="BH590" s="188">
        <f>IF(AND(Input_Product=Elig!$C590,Elig_MatchAll_Ct&lt;22,$BC590=(Elig_MatchAll_Ct-1),AF590=0),C590,0)</f>
        <v>0</v>
      </c>
      <c r="BI590" s="188">
        <f>IF(AND(Input_Product=Elig!$C590,Elig_MatchAll_Ct&lt;22,$BC590=(Elig_MatchAll_Ct-1),AG590=0),D590,0)</f>
        <v>0</v>
      </c>
      <c r="BJ590" s="188">
        <f>IF(AND(Input_Product=Elig!$C590,Elig_MatchAll_Ct&lt;22,$BC590=(Elig_MatchAll_Ct-1),AH590=0),E590,0)</f>
        <v>0</v>
      </c>
      <c r="BK590" s="188">
        <f>IF(AND(Input_Product=Elig!$C590,Elig_MatchAll_Ct&lt;22,$BC590=(Elig_MatchAll_Ct-1),AI590=0),F590,0)</f>
        <v>0</v>
      </c>
      <c r="BL590" s="188">
        <f>IF(AND(Input_Product=Elig!$C590,Elig_MatchAll_Ct&lt;22,$BC590=(Elig_MatchAll_Ct-1),AJ590=0),G590,0)</f>
        <v>0</v>
      </c>
      <c r="BM590" s="188">
        <f>IF(AND(Input_Product=Elig!$C590,Elig_MatchAll_Ct&lt;22,$BC590=(Elig_MatchAll_Ct-1),AK590=0),H590,0)</f>
        <v>0</v>
      </c>
      <c r="BN590" s="188">
        <f>IF(AND(Input_Product=Elig!$C590,Elig_MatchAll_Ct&lt;22,$BC590=(Elig_MatchAll_Ct-1),AL590=0),I590,0)</f>
        <v>0</v>
      </c>
      <c r="BO590" s="188">
        <f>IF(AND(Input_Product=Elig!$C590,Elig_MatchAll_Ct&lt;22,$BC590=(Elig_MatchAll_Ct-1),AM590=0),J590,0)</f>
        <v>0</v>
      </c>
      <c r="BP590" s="188">
        <f>IF(AND(Input_Product=Elig!$C590,Elig_MatchAll_Ct&lt;22,$BC590=(Elig_MatchAll_Ct-1),AN590=0),K590,0)</f>
        <v>0</v>
      </c>
      <c r="BQ590" s="188">
        <f>IF(AND(Input_Product=Elig!$C590,Elig_MatchAll_Ct&lt;22,$BC590=(Elig_MatchAll_Ct-1),AP590=0),L590,0)</f>
        <v>0</v>
      </c>
      <c r="BR590" s="188">
        <f>IF(AND(Input_Product=Elig!$C590,Elig_MatchAll_Ct&lt;22,$BC590=(Elig_MatchAll_Ct-1),AO590=0),M590,0)</f>
        <v>0</v>
      </c>
      <c r="BS590" s="188">
        <f>IF(AND(Input_Product=Elig!$C590,Elig_MatchAll_Ct&lt;22,$BC590=(Elig_MatchAll_Ct-1),AQ590=0),N590,0)</f>
        <v>0</v>
      </c>
      <c r="BT590" s="188">
        <f>IF(AND(Input_Product=Elig!$C590,Elig_MatchAll_Ct&lt;22,$BC590=(Elig_MatchAll_Ct-1),AR590=0),O590,0)</f>
        <v>0</v>
      </c>
      <c r="BU590" s="188">
        <f>IF(AND(Input_Product=Elig!$C590,Elig_MatchAll_Ct&lt;22,$BC590=(Elig_MatchAll_Ct-1),AS590=0),P590,0)</f>
        <v>0</v>
      </c>
      <c r="BV590" s="189">
        <f>IF(AND(Input_Product=Elig!$C590,Elig_MatchAll_Ct&lt;22,$BC590=(Elig_MatchAll_Ct-1),AT590=0),Q590,0)</f>
        <v>0</v>
      </c>
      <c r="BW590" s="271">
        <f>IF(AND(Input_Product=Elig!$C590,Elig_MatchAll_Ct&lt;22,$BC590=(Elig_MatchAll_Ct-1),AU590=0),R590,0)</f>
        <v>0</v>
      </c>
      <c r="BX590" s="272">
        <f>IF(AND(Input_Product=Elig!$C590,Elig_MatchAll_Ct&lt;22,$BC590=(Elig_MatchAll_Ct-1),AU590=0),S590,0)</f>
        <v>0</v>
      </c>
      <c r="BY590" s="271">
        <f>IF(AND(Input_Product=Elig!$C590,Elig_MatchAll_Ct&lt;22,$BC590=(Elig_MatchAll_Ct-1),AV590=0),T590,0)</f>
        <v>0</v>
      </c>
      <c r="BZ590" s="272">
        <f>IF(AND(Input_Product=Elig!$C590,Elig_MatchAll_Ct&lt;22,$BC590=(Elig_MatchAll_Ct-1),AV590=0),U590,0)</f>
        <v>0</v>
      </c>
      <c r="CA590" s="271">
        <f>IF(AND(Input_Product=Elig!$C590,Elig_MatchAll_Ct&lt;22,$BC590=(Elig_MatchAll_Ct-1),AW590=0),V590,0)</f>
        <v>0</v>
      </c>
      <c r="CB590" s="272">
        <f>IF(AND(Input_Product=Elig!$C590,Elig_MatchAll_Ct&lt;22,$BC590=(Elig_MatchAll_Ct-1),AW590=0),W590,0)</f>
        <v>0</v>
      </c>
      <c r="CC590" s="271">
        <f>IF(AND(Input_Product=Elig!$C590,Elig_MatchAll_Ct&lt;22,$BC590=(Elig_MatchAll_Ct-1),AX590=0),X590,0)</f>
        <v>0</v>
      </c>
      <c r="CD590" s="272">
        <f>IF(AND(Input_Product=Elig!$C590,Elig_MatchAll_Ct&lt;22,$BC590=(Elig_MatchAll_Ct-1),AX590=0),Y590,0)</f>
        <v>0</v>
      </c>
      <c r="CE590" s="271">
        <f>IF(AND(Input_LTV&lt;=AE590,Input_Product=Elig!$C590,Elig_MatchAll_Ct&lt;22,$BC590=(Elig_MatchAll_Ct-1),AY590=0),Z590,0)</f>
        <v>0</v>
      </c>
      <c r="CF590" s="272">
        <f>IF(AND(Input_LTV&lt;=AE590,Input_Product=Elig!$C590,Elig_MatchAll_Ct&lt;22,$BC590=(Elig_MatchAll_Ct-1),AY590=0),AA590,0)</f>
        <v>0</v>
      </c>
      <c r="CG590" s="271">
        <f>IF(AND(Input_Product=Elig!$C590,Elig_MatchAll_Ct&lt;22,$BC590=(Elig_MatchAll_Ct-1),AZ590=0),AB590,0)</f>
        <v>0</v>
      </c>
      <c r="CH590" s="272">
        <f>IF(AND(Input_Product=Elig!$C590,Elig_MatchAll_Ct&lt;22,$BC590=(Elig_MatchAll_Ct-1),AZ590=0),AC590,0)</f>
        <v>0</v>
      </c>
      <c r="CI590" s="271">
        <f>IF(AND(Input_Product=Elig!$C590,Elig_MatchAll_Ct&lt;22,$BC590=(Elig_MatchAll_Ct-1),BA590=0),AD590,0)</f>
        <v>0</v>
      </c>
      <c r="CJ590" s="272">
        <f>IF(AND(Input_Product=Elig!$C590,Elig_MatchAll_Ct&lt;22,$BC590=(Elig_MatchAll_Ct-1),BA590=0),AE590,0)</f>
        <v>0</v>
      </c>
    </row>
    <row r="591" spans="1:88" ht="10.15" customHeight="1" x14ac:dyDescent="0.25">
      <c r="A591" s="1476" t="s">
        <v>76</v>
      </c>
      <c r="B591" s="1476" t="s">
        <v>1368</v>
      </c>
      <c r="C591" s="1473" t="str">
        <f t="shared" si="204"/>
        <v>Second OO</v>
      </c>
      <c r="D591" s="1474" t="s">
        <v>1121</v>
      </c>
      <c r="E591" s="1474" t="s">
        <v>98</v>
      </c>
      <c r="F591" s="1474" t="s">
        <v>328</v>
      </c>
      <c r="G591" s="1537" t="s">
        <v>465</v>
      </c>
      <c r="H591" s="1474" t="s">
        <v>135</v>
      </c>
      <c r="I591" s="1472" t="s">
        <v>1141</v>
      </c>
      <c r="J591" s="1472" t="s">
        <v>1130</v>
      </c>
      <c r="K591" s="1474" t="s">
        <v>2464</v>
      </c>
      <c r="L591" s="1472" t="s">
        <v>428</v>
      </c>
      <c r="M591" s="1472" t="s">
        <v>1835</v>
      </c>
      <c r="N591" s="1474" t="s">
        <v>82</v>
      </c>
      <c r="O591" s="1472" t="s">
        <v>309</v>
      </c>
      <c r="P591" s="1472" t="s">
        <v>2433</v>
      </c>
      <c r="Q591" s="1472" t="s">
        <v>293</v>
      </c>
      <c r="R591" s="1472">
        <v>200000</v>
      </c>
      <c r="S591" s="1472">
        <v>350000</v>
      </c>
      <c r="T591" s="1472">
        <v>0</v>
      </c>
      <c r="U591" s="1472">
        <f t="shared" si="218"/>
        <v>350000</v>
      </c>
      <c r="V591" s="1472">
        <v>0</v>
      </c>
      <c r="W591" s="1472">
        <v>50</v>
      </c>
      <c r="X591" s="1472">
        <v>0</v>
      </c>
      <c r="Y591" s="1472">
        <v>999</v>
      </c>
      <c r="Z591" s="1475">
        <v>720</v>
      </c>
      <c r="AA591" s="1475">
        <v>999</v>
      </c>
      <c r="AB591" s="1475">
        <v>0</v>
      </c>
      <c r="AC591" s="1475">
        <v>999999</v>
      </c>
      <c r="AD591" s="1472">
        <v>0</v>
      </c>
      <c r="AE591" s="1538">
        <v>80</v>
      </c>
      <c r="AF591" s="144">
        <v>0</v>
      </c>
      <c r="AG591" s="145">
        <v>0</v>
      </c>
      <c r="AH591" s="145">
        <v>1</v>
      </c>
      <c r="AI591" s="145">
        <v>0</v>
      </c>
      <c r="AJ591" s="145">
        <v>0</v>
      </c>
      <c r="AK591" s="145">
        <v>1</v>
      </c>
      <c r="AL591" s="145">
        <v>1</v>
      </c>
      <c r="AM591" s="145">
        <v>1</v>
      </c>
      <c r="AN591" s="145">
        <v>1</v>
      </c>
      <c r="AO591" s="145">
        <v>1</v>
      </c>
      <c r="AP591" s="145">
        <v>1</v>
      </c>
      <c r="AQ591" s="145">
        <v>0</v>
      </c>
      <c r="AR591" s="145">
        <v>1</v>
      </c>
      <c r="AS591" s="145">
        <v>1</v>
      </c>
      <c r="AT591" s="145">
        <v>1</v>
      </c>
      <c r="AU591" s="145">
        <f t="shared" si="206"/>
        <v>0</v>
      </c>
      <c r="AV591" s="145">
        <f t="shared" si="207"/>
        <v>1</v>
      </c>
      <c r="AW591" s="145">
        <f t="shared" si="208"/>
        <v>1</v>
      </c>
      <c r="AX591" s="145">
        <f t="shared" si="212"/>
        <v>1</v>
      </c>
      <c r="AY591" s="145">
        <f t="shared" si="209"/>
        <v>1</v>
      </c>
      <c r="AZ591" s="145">
        <f t="shared" si="210"/>
        <v>1</v>
      </c>
      <c r="BA591" s="146">
        <f t="shared" si="211"/>
        <v>1</v>
      </c>
      <c r="BB591" s="149">
        <f t="shared" si="214"/>
        <v>16</v>
      </c>
      <c r="BC591" s="150">
        <f t="shared" si="215"/>
        <v>15</v>
      </c>
      <c r="BD591" s="150">
        <f t="shared" si="216"/>
        <v>16</v>
      </c>
      <c r="BE591" s="211" t="str">
        <f t="shared" si="217"/>
        <v/>
      </c>
      <c r="BF591" s="194"/>
      <c r="BG591" s="194"/>
      <c r="BH591" s="190">
        <f>IF(AND(Input_Product=Elig!$C591,Elig_MatchAll_Ct&lt;22,$BC591=(Elig_MatchAll_Ct-1),AF591=0),C591,0)</f>
        <v>0</v>
      </c>
      <c r="BI591" s="190">
        <f>IF(AND(Input_Product=Elig!$C591,Elig_MatchAll_Ct&lt;22,$BC591=(Elig_MatchAll_Ct-1),AG591=0),D591,0)</f>
        <v>0</v>
      </c>
      <c r="BJ591" s="190">
        <f>IF(AND(Input_Product=Elig!$C591,Elig_MatchAll_Ct&lt;22,$BC591=(Elig_MatchAll_Ct-1),AH591=0),E591,0)</f>
        <v>0</v>
      </c>
      <c r="BK591" s="190">
        <f>IF(AND(Input_Product=Elig!$C591,Elig_MatchAll_Ct&lt;22,$BC591=(Elig_MatchAll_Ct-1),AI591=0),F591,0)</f>
        <v>0</v>
      </c>
      <c r="BL591" s="190">
        <f>IF(AND(Input_Product=Elig!$C591,Elig_MatchAll_Ct&lt;22,$BC591=(Elig_MatchAll_Ct-1),AJ591=0),G591,0)</f>
        <v>0</v>
      </c>
      <c r="BM591" s="190">
        <f>IF(AND(Input_Product=Elig!$C591,Elig_MatchAll_Ct&lt;22,$BC591=(Elig_MatchAll_Ct-1),AK591=0),H591,0)</f>
        <v>0</v>
      </c>
      <c r="BN591" s="190">
        <f>IF(AND(Input_Product=Elig!$C591,Elig_MatchAll_Ct&lt;22,$BC591=(Elig_MatchAll_Ct-1),AL591=0),I591,0)</f>
        <v>0</v>
      </c>
      <c r="BO591" s="190">
        <f>IF(AND(Input_Product=Elig!$C591,Elig_MatchAll_Ct&lt;22,$BC591=(Elig_MatchAll_Ct-1),AM591=0),J591,0)</f>
        <v>0</v>
      </c>
      <c r="BP591" s="190">
        <f>IF(AND(Input_Product=Elig!$C591,Elig_MatchAll_Ct&lt;22,$BC591=(Elig_MatchAll_Ct-1),AN591=0),K591,0)</f>
        <v>0</v>
      </c>
      <c r="BQ591" s="190">
        <f>IF(AND(Input_Product=Elig!$C591,Elig_MatchAll_Ct&lt;22,$BC591=(Elig_MatchAll_Ct-1),AP591=0),L591,0)</f>
        <v>0</v>
      </c>
      <c r="BR591" s="190">
        <f>IF(AND(Input_Product=Elig!$C591,Elig_MatchAll_Ct&lt;22,$BC591=(Elig_MatchAll_Ct-1),AO591=0),M591,0)</f>
        <v>0</v>
      </c>
      <c r="BS591" s="190">
        <f>IF(AND(Input_Product=Elig!$C591,Elig_MatchAll_Ct&lt;22,$BC591=(Elig_MatchAll_Ct-1),AQ591=0),N591,0)</f>
        <v>0</v>
      </c>
      <c r="BT591" s="190">
        <f>IF(AND(Input_Product=Elig!$C591,Elig_MatchAll_Ct&lt;22,$BC591=(Elig_MatchAll_Ct-1),AR591=0),O591,0)</f>
        <v>0</v>
      </c>
      <c r="BU591" s="190">
        <f>IF(AND(Input_Product=Elig!$C591,Elig_MatchAll_Ct&lt;22,$BC591=(Elig_MatchAll_Ct-1),AS591=0),P591,0)</f>
        <v>0</v>
      </c>
      <c r="BV591" s="191">
        <f>IF(AND(Input_Product=Elig!$C591,Elig_MatchAll_Ct&lt;22,$BC591=(Elig_MatchAll_Ct-1),AT591=0),Q591,0)</f>
        <v>0</v>
      </c>
      <c r="BW591" s="273">
        <f>IF(AND(Input_Product=Elig!$C591,Elig_MatchAll_Ct&lt;22,$BC591=(Elig_MatchAll_Ct-1),AU591=0),R591,0)</f>
        <v>0</v>
      </c>
      <c r="BX591" s="274">
        <f>IF(AND(Input_Product=Elig!$C591,Elig_MatchAll_Ct&lt;22,$BC591=(Elig_MatchAll_Ct-1),AU591=0),S591,0)</f>
        <v>0</v>
      </c>
      <c r="BY591" s="273">
        <f>IF(AND(Input_Product=Elig!$C591,Elig_MatchAll_Ct&lt;22,$BC591=(Elig_MatchAll_Ct-1),AV591=0),T591,0)</f>
        <v>0</v>
      </c>
      <c r="BZ591" s="274">
        <f>IF(AND(Input_Product=Elig!$C591,Elig_MatchAll_Ct&lt;22,$BC591=(Elig_MatchAll_Ct-1),AV591=0),U591,0)</f>
        <v>0</v>
      </c>
      <c r="CA591" s="273">
        <f>IF(AND(Input_Product=Elig!$C591,Elig_MatchAll_Ct&lt;22,$BC591=(Elig_MatchAll_Ct-1),AW591=0),V591,0)</f>
        <v>0</v>
      </c>
      <c r="CB591" s="274">
        <f>IF(AND(Input_Product=Elig!$C591,Elig_MatchAll_Ct&lt;22,$BC591=(Elig_MatchAll_Ct-1),AW591=0),W591,0)</f>
        <v>0</v>
      </c>
      <c r="CC591" s="273">
        <f>IF(AND(Input_Product=Elig!$C591,Elig_MatchAll_Ct&lt;22,$BC591=(Elig_MatchAll_Ct-1),AX591=0),X591,0)</f>
        <v>0</v>
      </c>
      <c r="CD591" s="274">
        <f>IF(AND(Input_Product=Elig!$C591,Elig_MatchAll_Ct&lt;22,$BC591=(Elig_MatchAll_Ct-1),AX591=0),Y591,0)</f>
        <v>0</v>
      </c>
      <c r="CE591" s="273">
        <f>IF(AND(Input_LTV&lt;=AE591,Input_Product=Elig!$C591,Elig_MatchAll_Ct&lt;22,$BC591=(Elig_MatchAll_Ct-1),AY591=0),Z591,0)</f>
        <v>0</v>
      </c>
      <c r="CF591" s="274">
        <f>IF(AND(Input_LTV&lt;=AE591,Input_Product=Elig!$C591,Elig_MatchAll_Ct&lt;22,$BC591=(Elig_MatchAll_Ct-1),AY591=0),AA591,0)</f>
        <v>0</v>
      </c>
      <c r="CG591" s="273">
        <f>IF(AND(Input_Product=Elig!$C591,Elig_MatchAll_Ct&lt;22,$BC591=(Elig_MatchAll_Ct-1),AZ591=0),AB591,0)</f>
        <v>0</v>
      </c>
      <c r="CH591" s="274">
        <f>IF(AND(Input_Product=Elig!$C591,Elig_MatchAll_Ct&lt;22,$BC591=(Elig_MatchAll_Ct-1),AZ591=0),AC591,0)</f>
        <v>0</v>
      </c>
      <c r="CI591" s="273">
        <f>IF(AND(Input_Product=Elig!$C591,Elig_MatchAll_Ct&lt;22,$BC591=(Elig_MatchAll_Ct-1),BA591=0),AD591,0)</f>
        <v>0</v>
      </c>
      <c r="CJ591" s="274">
        <f>IF(AND(Input_Product=Elig!$C591,Elig_MatchAll_Ct&lt;22,$BC591=(Elig_MatchAll_Ct-1),BA591=0),AE591,0)</f>
        <v>0</v>
      </c>
    </row>
    <row r="592" spans="1:88" ht="10.15" customHeight="1" x14ac:dyDescent="0.25">
      <c r="A592" s="1476" t="s">
        <v>76</v>
      </c>
      <c r="B592" s="1476" t="s">
        <v>1369</v>
      </c>
      <c r="C592" s="1477" t="str">
        <f t="shared" si="204"/>
        <v>Second OO</v>
      </c>
      <c r="D592" s="1476" t="s">
        <v>1121</v>
      </c>
      <c r="E592" s="1476" t="s">
        <v>98</v>
      </c>
      <c r="F592" s="1476" t="s">
        <v>328</v>
      </c>
      <c r="G592" s="1544" t="s">
        <v>465</v>
      </c>
      <c r="H592" s="1478" t="s">
        <v>135</v>
      </c>
      <c r="I592" s="1476" t="s">
        <v>1141</v>
      </c>
      <c r="J592" s="1476" t="s">
        <v>1130</v>
      </c>
      <c r="K592" s="1478" t="s">
        <v>2464</v>
      </c>
      <c r="L592" s="1476" t="s">
        <v>428</v>
      </c>
      <c r="M592" s="1476" t="s">
        <v>1835</v>
      </c>
      <c r="N592" s="1478" t="s">
        <v>82</v>
      </c>
      <c r="O592" s="1476" t="s">
        <v>309</v>
      </c>
      <c r="P592" s="1476" t="s">
        <v>2433</v>
      </c>
      <c r="Q592" s="1476" t="s">
        <v>293</v>
      </c>
      <c r="R592" s="1476">
        <v>200000</v>
      </c>
      <c r="S592" s="1476">
        <v>350000</v>
      </c>
      <c r="T592" s="1476">
        <v>0</v>
      </c>
      <c r="U592" s="1476">
        <f t="shared" si="218"/>
        <v>350000</v>
      </c>
      <c r="V592" s="1476">
        <v>0</v>
      </c>
      <c r="W592" s="1476">
        <v>50</v>
      </c>
      <c r="X592" s="1476">
        <v>0</v>
      </c>
      <c r="Y592" s="1476">
        <v>999</v>
      </c>
      <c r="Z592" s="1479">
        <v>700</v>
      </c>
      <c r="AA592" s="1479">
        <v>719</v>
      </c>
      <c r="AB592" s="1479">
        <v>0</v>
      </c>
      <c r="AC592" s="1479">
        <v>999999</v>
      </c>
      <c r="AD592" s="1476">
        <v>0</v>
      </c>
      <c r="AE592" s="1539">
        <v>75</v>
      </c>
      <c r="AF592" s="144">
        <v>0</v>
      </c>
      <c r="AG592" s="145">
        <v>0</v>
      </c>
      <c r="AH592" s="145">
        <v>1</v>
      </c>
      <c r="AI592" s="145">
        <v>0</v>
      </c>
      <c r="AJ592" s="145">
        <v>0</v>
      </c>
      <c r="AK592" s="145">
        <v>1</v>
      </c>
      <c r="AL592" s="145">
        <v>1</v>
      </c>
      <c r="AM592" s="145">
        <v>1</v>
      </c>
      <c r="AN592" s="145">
        <v>1</v>
      </c>
      <c r="AO592" s="145">
        <v>1</v>
      </c>
      <c r="AP592" s="145">
        <v>1</v>
      </c>
      <c r="AQ592" s="145">
        <v>0</v>
      </c>
      <c r="AR592" s="145">
        <v>1</v>
      </c>
      <c r="AS592" s="145">
        <v>1</v>
      </c>
      <c r="AT592" s="145">
        <v>1</v>
      </c>
      <c r="AU592" s="145">
        <f t="shared" si="206"/>
        <v>0</v>
      </c>
      <c r="AV592" s="145">
        <f t="shared" si="207"/>
        <v>1</v>
      </c>
      <c r="AW592" s="145">
        <f t="shared" si="208"/>
        <v>1</v>
      </c>
      <c r="AX592" s="145">
        <f t="shared" si="212"/>
        <v>1</v>
      </c>
      <c r="AY592" s="145">
        <f t="shared" si="209"/>
        <v>0</v>
      </c>
      <c r="AZ592" s="145">
        <f t="shared" si="210"/>
        <v>1</v>
      </c>
      <c r="BA592" s="146">
        <f t="shared" si="211"/>
        <v>1</v>
      </c>
      <c r="BB592" s="149">
        <f t="shared" si="214"/>
        <v>15</v>
      </c>
      <c r="BC592" s="150">
        <f t="shared" si="215"/>
        <v>14</v>
      </c>
      <c r="BD592" s="150">
        <f t="shared" si="216"/>
        <v>15</v>
      </c>
      <c r="BE592" s="211" t="str">
        <f t="shared" si="217"/>
        <v/>
      </c>
      <c r="BF592" s="205"/>
      <c r="BG592" s="205"/>
      <c r="BH592" s="173">
        <f>IF(AND(Input_Product=Elig!$C592,Elig_MatchAll_Ct&lt;22,$BC592=(Elig_MatchAll_Ct-1),AF592=0),C592,0)</f>
        <v>0</v>
      </c>
      <c r="BI592" s="173">
        <f>IF(AND(Input_Product=Elig!$C592,Elig_MatchAll_Ct&lt;22,$BC592=(Elig_MatchAll_Ct-1),AG592=0),D592,0)</f>
        <v>0</v>
      </c>
      <c r="BJ592" s="173">
        <f>IF(AND(Input_Product=Elig!$C592,Elig_MatchAll_Ct&lt;22,$BC592=(Elig_MatchAll_Ct-1),AH592=0),E592,0)</f>
        <v>0</v>
      </c>
      <c r="BK592" s="173">
        <f>IF(AND(Input_Product=Elig!$C592,Elig_MatchAll_Ct&lt;22,$BC592=(Elig_MatchAll_Ct-1),AI592=0),F592,0)</f>
        <v>0</v>
      </c>
      <c r="BL592" s="173">
        <f>IF(AND(Input_Product=Elig!$C592,Elig_MatchAll_Ct&lt;22,$BC592=(Elig_MatchAll_Ct-1),AJ592=0),G592,0)</f>
        <v>0</v>
      </c>
      <c r="BM592" s="173">
        <f>IF(AND(Input_Product=Elig!$C592,Elig_MatchAll_Ct&lt;22,$BC592=(Elig_MatchAll_Ct-1),AK592=0),H592,0)</f>
        <v>0</v>
      </c>
      <c r="BN592" s="173">
        <f>IF(AND(Input_Product=Elig!$C592,Elig_MatchAll_Ct&lt;22,$BC592=(Elig_MatchAll_Ct-1),AL592=0),I592,0)</f>
        <v>0</v>
      </c>
      <c r="BO592" s="173">
        <f>IF(AND(Input_Product=Elig!$C592,Elig_MatchAll_Ct&lt;22,$BC592=(Elig_MatchAll_Ct-1),AM592=0),J592,0)</f>
        <v>0</v>
      </c>
      <c r="BP592" s="173">
        <f>IF(AND(Input_Product=Elig!$C592,Elig_MatchAll_Ct&lt;22,$BC592=(Elig_MatchAll_Ct-1),AN592=0),K592,0)</f>
        <v>0</v>
      </c>
      <c r="BQ592" s="173">
        <f>IF(AND(Input_Product=Elig!$C592,Elig_MatchAll_Ct&lt;22,$BC592=(Elig_MatchAll_Ct-1),AP592=0),L592,0)</f>
        <v>0</v>
      </c>
      <c r="BR592" s="173">
        <f>IF(AND(Input_Product=Elig!$C592,Elig_MatchAll_Ct&lt;22,$BC592=(Elig_MatchAll_Ct-1),AO592=0),M592,0)</f>
        <v>0</v>
      </c>
      <c r="BS592" s="173">
        <f>IF(AND(Input_Product=Elig!$C592,Elig_MatchAll_Ct&lt;22,$BC592=(Elig_MatchAll_Ct-1),AQ592=0),N592,0)</f>
        <v>0</v>
      </c>
      <c r="BT592" s="173">
        <f>IF(AND(Input_Product=Elig!$C592,Elig_MatchAll_Ct&lt;22,$BC592=(Elig_MatchAll_Ct-1),AR592=0),O592,0)</f>
        <v>0</v>
      </c>
      <c r="BU592" s="173">
        <f>IF(AND(Input_Product=Elig!$C592,Elig_MatchAll_Ct&lt;22,$BC592=(Elig_MatchAll_Ct-1),AS592=0),P592,0)</f>
        <v>0</v>
      </c>
      <c r="BV592" s="174">
        <f>IF(AND(Input_Product=Elig!$C592,Elig_MatchAll_Ct&lt;22,$BC592=(Elig_MatchAll_Ct-1),AT592=0),Q592,0)</f>
        <v>0</v>
      </c>
      <c r="BW592" s="175">
        <f>IF(AND(Input_Product=Elig!$C592,Elig_MatchAll_Ct&lt;22,$BC592=(Elig_MatchAll_Ct-1),AU592=0),R592,0)</f>
        <v>0</v>
      </c>
      <c r="BX592" s="176">
        <f>IF(AND(Input_Product=Elig!$C592,Elig_MatchAll_Ct&lt;22,$BC592=(Elig_MatchAll_Ct-1),AU592=0),S592,0)</f>
        <v>0</v>
      </c>
      <c r="BY592" s="175">
        <f>IF(AND(Input_Product=Elig!$C592,Elig_MatchAll_Ct&lt;22,$BC592=(Elig_MatchAll_Ct-1),AV592=0),T592,0)</f>
        <v>0</v>
      </c>
      <c r="BZ592" s="176">
        <f>IF(AND(Input_Product=Elig!$C592,Elig_MatchAll_Ct&lt;22,$BC592=(Elig_MatchAll_Ct-1),AV592=0),U592,0)</f>
        <v>0</v>
      </c>
      <c r="CA592" s="175">
        <f>IF(AND(Input_Product=Elig!$C592,Elig_MatchAll_Ct&lt;22,$BC592=(Elig_MatchAll_Ct-1),AW592=0),V592,0)</f>
        <v>0</v>
      </c>
      <c r="CB592" s="176">
        <f>IF(AND(Input_Product=Elig!$C592,Elig_MatchAll_Ct&lt;22,$BC592=(Elig_MatchAll_Ct-1),AW592=0),W592,0)</f>
        <v>0</v>
      </c>
      <c r="CC592" s="175">
        <f>IF(AND(Input_Product=Elig!$C592,Elig_MatchAll_Ct&lt;22,$BC592=(Elig_MatchAll_Ct-1),AX592=0),X592,0)</f>
        <v>0</v>
      </c>
      <c r="CD592" s="176">
        <f>IF(AND(Input_Product=Elig!$C592,Elig_MatchAll_Ct&lt;22,$BC592=(Elig_MatchAll_Ct-1),AX592=0),Y592,0)</f>
        <v>0</v>
      </c>
      <c r="CE592" s="175">
        <f>IF(AND(Input_LTV&lt;=AE592,Input_Product=Elig!$C592,Elig_MatchAll_Ct&lt;22,$BC592=(Elig_MatchAll_Ct-1),AY592=0),Z592,0)</f>
        <v>0</v>
      </c>
      <c r="CF592" s="176">
        <f>IF(AND(Input_LTV&lt;=AE592,Input_Product=Elig!$C592,Elig_MatchAll_Ct&lt;22,$BC592=(Elig_MatchAll_Ct-1),AY592=0),AA592,0)</f>
        <v>0</v>
      </c>
      <c r="CG592" s="175">
        <f>IF(AND(Input_Product=Elig!$C592,Elig_MatchAll_Ct&lt;22,$BC592=(Elig_MatchAll_Ct-1),AZ592=0),AB592,0)</f>
        <v>0</v>
      </c>
      <c r="CH592" s="176">
        <f>IF(AND(Input_Product=Elig!$C592,Elig_MatchAll_Ct&lt;22,$BC592=(Elig_MatchAll_Ct-1),AZ592=0),AC592,0)</f>
        <v>0</v>
      </c>
      <c r="CI592" s="175">
        <f>IF(AND(Input_Product=Elig!$C592,Elig_MatchAll_Ct&lt;22,$BC592=(Elig_MatchAll_Ct-1),BA592=0),AD592,0)</f>
        <v>0</v>
      </c>
      <c r="CJ592" s="176">
        <f>IF(AND(Input_Product=Elig!$C592,Elig_MatchAll_Ct&lt;22,$BC592=(Elig_MatchAll_Ct-1),BA592=0),AE592,0)</f>
        <v>0</v>
      </c>
    </row>
    <row r="593" spans="1:88" ht="10.15" customHeight="1" x14ac:dyDescent="0.25">
      <c r="A593" s="1476" t="s">
        <v>76</v>
      </c>
      <c r="B593" s="1476" t="s">
        <v>1370</v>
      </c>
      <c r="C593" s="1477" t="str">
        <f t="shared" si="204"/>
        <v>Second OO</v>
      </c>
      <c r="D593" s="1476" t="s">
        <v>1121</v>
      </c>
      <c r="E593" s="1476" t="s">
        <v>98</v>
      </c>
      <c r="F593" s="1476" t="s">
        <v>328</v>
      </c>
      <c r="G593" s="1544" t="s">
        <v>465</v>
      </c>
      <c r="H593" s="1478" t="s">
        <v>135</v>
      </c>
      <c r="I593" s="1476" t="s">
        <v>1141</v>
      </c>
      <c r="J593" s="1476" t="s">
        <v>1130</v>
      </c>
      <c r="K593" s="1478" t="s">
        <v>2464</v>
      </c>
      <c r="L593" s="1476" t="s">
        <v>428</v>
      </c>
      <c r="M593" s="1476" t="s">
        <v>1835</v>
      </c>
      <c r="N593" s="1478" t="s">
        <v>82</v>
      </c>
      <c r="O593" s="1476" t="s">
        <v>309</v>
      </c>
      <c r="P593" s="1476" t="s">
        <v>2433</v>
      </c>
      <c r="Q593" s="1476" t="s">
        <v>293</v>
      </c>
      <c r="R593" s="1476">
        <v>200000</v>
      </c>
      <c r="S593" s="1476">
        <v>350000</v>
      </c>
      <c r="T593" s="1476">
        <v>0</v>
      </c>
      <c r="U593" s="1476">
        <f t="shared" si="218"/>
        <v>350000</v>
      </c>
      <c r="V593" s="1476">
        <v>0</v>
      </c>
      <c r="W593" s="1476">
        <v>50</v>
      </c>
      <c r="X593" s="1476">
        <v>0</v>
      </c>
      <c r="Y593" s="1476">
        <v>999</v>
      </c>
      <c r="Z593" s="1479">
        <v>680</v>
      </c>
      <c r="AA593" s="1479">
        <v>699</v>
      </c>
      <c r="AB593" s="1479">
        <v>0</v>
      </c>
      <c r="AC593" s="1479">
        <v>999999</v>
      </c>
      <c r="AD593" s="1476">
        <v>0</v>
      </c>
      <c r="AE593" s="1539">
        <v>70</v>
      </c>
      <c r="AF593" s="144">
        <v>0</v>
      </c>
      <c r="AG593" s="145">
        <v>0</v>
      </c>
      <c r="AH593" s="145">
        <v>1</v>
      </c>
      <c r="AI593" s="145">
        <v>0</v>
      </c>
      <c r="AJ593" s="145">
        <v>0</v>
      </c>
      <c r="AK593" s="145">
        <v>1</v>
      </c>
      <c r="AL593" s="145">
        <v>1</v>
      </c>
      <c r="AM593" s="145">
        <v>1</v>
      </c>
      <c r="AN593" s="145">
        <v>1</v>
      </c>
      <c r="AO593" s="145">
        <v>1</v>
      </c>
      <c r="AP593" s="145">
        <v>1</v>
      </c>
      <c r="AQ593" s="145">
        <v>0</v>
      </c>
      <c r="AR593" s="145">
        <v>1</v>
      </c>
      <c r="AS593" s="145">
        <v>1</v>
      </c>
      <c r="AT593" s="145">
        <v>1</v>
      </c>
      <c r="AU593" s="145">
        <f t="shared" si="206"/>
        <v>0</v>
      </c>
      <c r="AV593" s="145">
        <f t="shared" si="207"/>
        <v>1</v>
      </c>
      <c r="AW593" s="145">
        <f t="shared" si="208"/>
        <v>1</v>
      </c>
      <c r="AX593" s="145">
        <f t="shared" si="212"/>
        <v>1</v>
      </c>
      <c r="AY593" s="145">
        <f t="shared" si="209"/>
        <v>0</v>
      </c>
      <c r="AZ593" s="145">
        <f t="shared" si="210"/>
        <v>1</v>
      </c>
      <c r="BA593" s="146">
        <f t="shared" si="211"/>
        <v>1</v>
      </c>
      <c r="BB593" s="149">
        <f t="shared" si="214"/>
        <v>15</v>
      </c>
      <c r="BC593" s="150">
        <f t="shared" si="215"/>
        <v>14</v>
      </c>
      <c r="BD593" s="150">
        <f t="shared" si="216"/>
        <v>15</v>
      </c>
      <c r="BE593" s="211" t="str">
        <f t="shared" si="217"/>
        <v/>
      </c>
      <c r="BF593" s="205"/>
      <c r="BG593" s="205"/>
      <c r="BH593" s="173">
        <f>IF(AND(Input_Product=Elig!$C593,Elig_MatchAll_Ct&lt;22,$BC593=(Elig_MatchAll_Ct-1),AF593=0),C593,0)</f>
        <v>0</v>
      </c>
      <c r="BI593" s="173">
        <f>IF(AND(Input_Product=Elig!$C593,Elig_MatchAll_Ct&lt;22,$BC593=(Elig_MatchAll_Ct-1),AG593=0),D593,0)</f>
        <v>0</v>
      </c>
      <c r="BJ593" s="173">
        <f>IF(AND(Input_Product=Elig!$C593,Elig_MatchAll_Ct&lt;22,$BC593=(Elig_MatchAll_Ct-1),AH593=0),E593,0)</f>
        <v>0</v>
      </c>
      <c r="BK593" s="173">
        <f>IF(AND(Input_Product=Elig!$C593,Elig_MatchAll_Ct&lt;22,$BC593=(Elig_MatchAll_Ct-1),AI593=0),F593,0)</f>
        <v>0</v>
      </c>
      <c r="BL593" s="173">
        <f>IF(AND(Input_Product=Elig!$C593,Elig_MatchAll_Ct&lt;22,$BC593=(Elig_MatchAll_Ct-1),AJ593=0),G593,0)</f>
        <v>0</v>
      </c>
      <c r="BM593" s="173">
        <f>IF(AND(Input_Product=Elig!$C593,Elig_MatchAll_Ct&lt;22,$BC593=(Elig_MatchAll_Ct-1),AK593=0),H593,0)</f>
        <v>0</v>
      </c>
      <c r="BN593" s="173">
        <f>IF(AND(Input_Product=Elig!$C593,Elig_MatchAll_Ct&lt;22,$BC593=(Elig_MatchAll_Ct-1),AL593=0),I593,0)</f>
        <v>0</v>
      </c>
      <c r="BO593" s="173">
        <f>IF(AND(Input_Product=Elig!$C593,Elig_MatchAll_Ct&lt;22,$BC593=(Elig_MatchAll_Ct-1),AM593=0),J593,0)</f>
        <v>0</v>
      </c>
      <c r="BP593" s="173">
        <f>IF(AND(Input_Product=Elig!$C593,Elig_MatchAll_Ct&lt;22,$BC593=(Elig_MatchAll_Ct-1),AN593=0),K593,0)</f>
        <v>0</v>
      </c>
      <c r="BQ593" s="173">
        <f>IF(AND(Input_Product=Elig!$C593,Elig_MatchAll_Ct&lt;22,$BC593=(Elig_MatchAll_Ct-1),AP593=0),L593,0)</f>
        <v>0</v>
      </c>
      <c r="BR593" s="173">
        <f>IF(AND(Input_Product=Elig!$C593,Elig_MatchAll_Ct&lt;22,$BC593=(Elig_MatchAll_Ct-1),AO593=0),M593,0)</f>
        <v>0</v>
      </c>
      <c r="BS593" s="173">
        <f>IF(AND(Input_Product=Elig!$C593,Elig_MatchAll_Ct&lt;22,$BC593=(Elig_MatchAll_Ct-1),AQ593=0),N593,0)</f>
        <v>0</v>
      </c>
      <c r="BT593" s="173">
        <f>IF(AND(Input_Product=Elig!$C593,Elig_MatchAll_Ct&lt;22,$BC593=(Elig_MatchAll_Ct-1),AR593=0),O593,0)</f>
        <v>0</v>
      </c>
      <c r="BU593" s="173">
        <f>IF(AND(Input_Product=Elig!$C593,Elig_MatchAll_Ct&lt;22,$BC593=(Elig_MatchAll_Ct-1),AS593=0),P593,0)</f>
        <v>0</v>
      </c>
      <c r="BV593" s="174">
        <f>IF(AND(Input_Product=Elig!$C593,Elig_MatchAll_Ct&lt;22,$BC593=(Elig_MatchAll_Ct-1),AT593=0),Q593,0)</f>
        <v>0</v>
      </c>
      <c r="BW593" s="175">
        <f>IF(AND(Input_Product=Elig!$C593,Elig_MatchAll_Ct&lt;22,$BC593=(Elig_MatchAll_Ct-1),AU593=0),R593,0)</f>
        <v>0</v>
      </c>
      <c r="BX593" s="176">
        <f>IF(AND(Input_Product=Elig!$C593,Elig_MatchAll_Ct&lt;22,$BC593=(Elig_MatchAll_Ct-1),AU593=0),S593,0)</f>
        <v>0</v>
      </c>
      <c r="BY593" s="175">
        <f>IF(AND(Input_Product=Elig!$C593,Elig_MatchAll_Ct&lt;22,$BC593=(Elig_MatchAll_Ct-1),AV593=0),T593,0)</f>
        <v>0</v>
      </c>
      <c r="BZ593" s="176">
        <f>IF(AND(Input_Product=Elig!$C593,Elig_MatchAll_Ct&lt;22,$BC593=(Elig_MatchAll_Ct-1),AV593=0),U593,0)</f>
        <v>0</v>
      </c>
      <c r="CA593" s="175">
        <f>IF(AND(Input_Product=Elig!$C593,Elig_MatchAll_Ct&lt;22,$BC593=(Elig_MatchAll_Ct-1),AW593=0),V593,0)</f>
        <v>0</v>
      </c>
      <c r="CB593" s="176">
        <f>IF(AND(Input_Product=Elig!$C593,Elig_MatchAll_Ct&lt;22,$BC593=(Elig_MatchAll_Ct-1),AW593=0),W593,0)</f>
        <v>0</v>
      </c>
      <c r="CC593" s="175">
        <f>IF(AND(Input_Product=Elig!$C593,Elig_MatchAll_Ct&lt;22,$BC593=(Elig_MatchAll_Ct-1),AX593=0),X593,0)</f>
        <v>0</v>
      </c>
      <c r="CD593" s="176">
        <f>IF(AND(Input_Product=Elig!$C593,Elig_MatchAll_Ct&lt;22,$BC593=(Elig_MatchAll_Ct-1),AX593=0),Y593,0)</f>
        <v>0</v>
      </c>
      <c r="CE593" s="175">
        <f>IF(AND(Input_LTV&lt;=AE593,Input_Product=Elig!$C593,Elig_MatchAll_Ct&lt;22,$BC593=(Elig_MatchAll_Ct-1),AY593=0),Z593,0)</f>
        <v>0</v>
      </c>
      <c r="CF593" s="176">
        <f>IF(AND(Input_LTV&lt;=AE593,Input_Product=Elig!$C593,Elig_MatchAll_Ct&lt;22,$BC593=(Elig_MatchAll_Ct-1),AY593=0),AA593,0)</f>
        <v>0</v>
      </c>
      <c r="CG593" s="175">
        <f>IF(AND(Input_Product=Elig!$C593,Elig_MatchAll_Ct&lt;22,$BC593=(Elig_MatchAll_Ct-1),AZ593=0),AB593,0)</f>
        <v>0</v>
      </c>
      <c r="CH593" s="176">
        <f>IF(AND(Input_Product=Elig!$C593,Elig_MatchAll_Ct&lt;22,$BC593=(Elig_MatchAll_Ct-1),AZ593=0),AC593,0)</f>
        <v>0</v>
      </c>
      <c r="CI593" s="175">
        <f>IF(AND(Input_Product=Elig!$C593,Elig_MatchAll_Ct&lt;22,$BC593=(Elig_MatchAll_Ct-1),BA593=0),AD593,0)</f>
        <v>0</v>
      </c>
      <c r="CJ593" s="176">
        <f>IF(AND(Input_Product=Elig!$C593,Elig_MatchAll_Ct&lt;22,$BC593=(Elig_MatchAll_Ct-1),BA593=0),AE593,0)</f>
        <v>0</v>
      </c>
    </row>
    <row r="594" spans="1:88" ht="10.15" customHeight="1" x14ac:dyDescent="0.25">
      <c r="A594" s="1476" t="s">
        <v>76</v>
      </c>
      <c r="B594" s="1476" t="s">
        <v>1371</v>
      </c>
      <c r="C594" s="1481" t="str">
        <f t="shared" si="204"/>
        <v>Second OO</v>
      </c>
      <c r="D594" s="1480" t="s">
        <v>1121</v>
      </c>
      <c r="E594" s="1480" t="s">
        <v>98</v>
      </c>
      <c r="F594" s="1480" t="s">
        <v>328</v>
      </c>
      <c r="G594" s="1545" t="s">
        <v>465</v>
      </c>
      <c r="H594" s="1482" t="s">
        <v>135</v>
      </c>
      <c r="I594" s="1480" t="s">
        <v>1141</v>
      </c>
      <c r="J594" s="1480" t="s">
        <v>1130</v>
      </c>
      <c r="K594" s="1482" t="s">
        <v>2464</v>
      </c>
      <c r="L594" s="1480" t="s">
        <v>428</v>
      </c>
      <c r="M594" s="1480" t="s">
        <v>1835</v>
      </c>
      <c r="N594" s="1482" t="s">
        <v>82</v>
      </c>
      <c r="O594" s="1480" t="s">
        <v>309</v>
      </c>
      <c r="P594" s="1480" t="s">
        <v>2433</v>
      </c>
      <c r="Q594" s="1480" t="s">
        <v>293</v>
      </c>
      <c r="R594" s="1480">
        <v>200000</v>
      </c>
      <c r="S594" s="1480">
        <v>350000</v>
      </c>
      <c r="T594" s="1480">
        <v>0</v>
      </c>
      <c r="U594" s="1480">
        <f t="shared" si="218"/>
        <v>350000</v>
      </c>
      <c r="V594" s="1480">
        <v>0</v>
      </c>
      <c r="W594" s="1480">
        <v>50</v>
      </c>
      <c r="X594" s="1480">
        <v>0</v>
      </c>
      <c r="Y594" s="1480">
        <v>999</v>
      </c>
      <c r="Z594" s="1483">
        <v>660</v>
      </c>
      <c r="AA594" s="1483">
        <v>679</v>
      </c>
      <c r="AB594" s="1483">
        <v>0</v>
      </c>
      <c r="AC594" s="1483">
        <v>999999</v>
      </c>
      <c r="AD594" s="1480">
        <v>0</v>
      </c>
      <c r="AE594" s="1220">
        <v>60</v>
      </c>
      <c r="AF594" s="144">
        <v>0</v>
      </c>
      <c r="AG594" s="145">
        <v>0</v>
      </c>
      <c r="AH594" s="145">
        <v>1</v>
      </c>
      <c r="AI594" s="145">
        <v>0</v>
      </c>
      <c r="AJ594" s="145">
        <v>0</v>
      </c>
      <c r="AK594" s="145">
        <v>1</v>
      </c>
      <c r="AL594" s="145">
        <v>1</v>
      </c>
      <c r="AM594" s="145">
        <v>1</v>
      </c>
      <c r="AN594" s="145">
        <v>1</v>
      </c>
      <c r="AO594" s="145">
        <v>1</v>
      </c>
      <c r="AP594" s="145">
        <v>1</v>
      </c>
      <c r="AQ594" s="145">
        <v>0</v>
      </c>
      <c r="AR594" s="145">
        <v>1</v>
      </c>
      <c r="AS594" s="145">
        <v>1</v>
      </c>
      <c r="AT594" s="145">
        <v>1</v>
      </c>
      <c r="AU594" s="145">
        <f t="shared" si="206"/>
        <v>0</v>
      </c>
      <c r="AV594" s="145">
        <f t="shared" si="207"/>
        <v>1</v>
      </c>
      <c r="AW594" s="145">
        <f t="shared" si="208"/>
        <v>1</v>
      </c>
      <c r="AX594" s="145">
        <f t="shared" si="212"/>
        <v>1</v>
      </c>
      <c r="AY594" s="145">
        <f t="shared" si="209"/>
        <v>0</v>
      </c>
      <c r="AZ594" s="145">
        <f t="shared" si="210"/>
        <v>1</v>
      </c>
      <c r="BA594" s="146">
        <f t="shared" si="211"/>
        <v>0</v>
      </c>
      <c r="BB594" s="149">
        <f t="shared" si="214"/>
        <v>14</v>
      </c>
      <c r="BC594" s="150">
        <f t="shared" si="215"/>
        <v>14</v>
      </c>
      <c r="BD594" s="150">
        <f t="shared" si="216"/>
        <v>14</v>
      </c>
      <c r="BE594" s="211" t="str">
        <f t="shared" si="217"/>
        <v/>
      </c>
      <c r="BF594" s="205"/>
      <c r="BG594" s="205"/>
      <c r="BH594" s="188">
        <f>IF(AND(Input_Product=Elig!$C594,Elig_MatchAll_Ct&lt;22,$BC594=(Elig_MatchAll_Ct-1),AF594=0),C594,0)</f>
        <v>0</v>
      </c>
      <c r="BI594" s="188">
        <f>IF(AND(Input_Product=Elig!$C594,Elig_MatchAll_Ct&lt;22,$BC594=(Elig_MatchAll_Ct-1),AG594=0),D594,0)</f>
        <v>0</v>
      </c>
      <c r="BJ594" s="188">
        <f>IF(AND(Input_Product=Elig!$C594,Elig_MatchAll_Ct&lt;22,$BC594=(Elig_MatchAll_Ct-1),AH594=0),E594,0)</f>
        <v>0</v>
      </c>
      <c r="BK594" s="188">
        <f>IF(AND(Input_Product=Elig!$C594,Elig_MatchAll_Ct&lt;22,$BC594=(Elig_MatchAll_Ct-1),AI594=0),F594,0)</f>
        <v>0</v>
      </c>
      <c r="BL594" s="188">
        <f>IF(AND(Input_Product=Elig!$C594,Elig_MatchAll_Ct&lt;22,$BC594=(Elig_MatchAll_Ct-1),AJ594=0),G594,0)</f>
        <v>0</v>
      </c>
      <c r="BM594" s="188">
        <f>IF(AND(Input_Product=Elig!$C594,Elig_MatchAll_Ct&lt;22,$BC594=(Elig_MatchAll_Ct-1),AK594=0),H594,0)</f>
        <v>0</v>
      </c>
      <c r="BN594" s="188">
        <f>IF(AND(Input_Product=Elig!$C594,Elig_MatchAll_Ct&lt;22,$BC594=(Elig_MatchAll_Ct-1),AL594=0),I594,0)</f>
        <v>0</v>
      </c>
      <c r="BO594" s="188">
        <f>IF(AND(Input_Product=Elig!$C594,Elig_MatchAll_Ct&lt;22,$BC594=(Elig_MatchAll_Ct-1),AM594=0),J594,0)</f>
        <v>0</v>
      </c>
      <c r="BP594" s="188">
        <f>IF(AND(Input_Product=Elig!$C594,Elig_MatchAll_Ct&lt;22,$BC594=(Elig_MatchAll_Ct-1),AN594=0),K594,0)</f>
        <v>0</v>
      </c>
      <c r="BQ594" s="188">
        <f>IF(AND(Input_Product=Elig!$C594,Elig_MatchAll_Ct&lt;22,$BC594=(Elig_MatchAll_Ct-1),AP594=0),L594,0)</f>
        <v>0</v>
      </c>
      <c r="BR594" s="188">
        <f>IF(AND(Input_Product=Elig!$C594,Elig_MatchAll_Ct&lt;22,$BC594=(Elig_MatchAll_Ct-1),AO594=0),M594,0)</f>
        <v>0</v>
      </c>
      <c r="BS594" s="188">
        <f>IF(AND(Input_Product=Elig!$C594,Elig_MatchAll_Ct&lt;22,$BC594=(Elig_MatchAll_Ct-1),AQ594=0),N594,0)</f>
        <v>0</v>
      </c>
      <c r="BT594" s="188">
        <f>IF(AND(Input_Product=Elig!$C594,Elig_MatchAll_Ct&lt;22,$BC594=(Elig_MatchAll_Ct-1),AR594=0),O594,0)</f>
        <v>0</v>
      </c>
      <c r="BU594" s="188">
        <f>IF(AND(Input_Product=Elig!$C594,Elig_MatchAll_Ct&lt;22,$BC594=(Elig_MatchAll_Ct-1),AS594=0),P594,0)</f>
        <v>0</v>
      </c>
      <c r="BV594" s="189">
        <f>IF(AND(Input_Product=Elig!$C594,Elig_MatchAll_Ct&lt;22,$BC594=(Elig_MatchAll_Ct-1),AT594=0),Q594,0)</f>
        <v>0</v>
      </c>
      <c r="BW594" s="271">
        <f>IF(AND(Input_Product=Elig!$C594,Elig_MatchAll_Ct&lt;22,$BC594=(Elig_MatchAll_Ct-1),AU594=0),R594,0)</f>
        <v>0</v>
      </c>
      <c r="BX594" s="272">
        <f>IF(AND(Input_Product=Elig!$C594,Elig_MatchAll_Ct&lt;22,$BC594=(Elig_MatchAll_Ct-1),AU594=0),S594,0)</f>
        <v>0</v>
      </c>
      <c r="BY594" s="271">
        <f>IF(AND(Input_Product=Elig!$C594,Elig_MatchAll_Ct&lt;22,$BC594=(Elig_MatchAll_Ct-1),AV594=0),T594,0)</f>
        <v>0</v>
      </c>
      <c r="BZ594" s="272">
        <f>IF(AND(Input_Product=Elig!$C594,Elig_MatchAll_Ct&lt;22,$BC594=(Elig_MatchAll_Ct-1),AV594=0),U594,0)</f>
        <v>0</v>
      </c>
      <c r="CA594" s="271">
        <f>IF(AND(Input_Product=Elig!$C594,Elig_MatchAll_Ct&lt;22,$BC594=(Elig_MatchAll_Ct-1),AW594=0),V594,0)</f>
        <v>0</v>
      </c>
      <c r="CB594" s="272">
        <f>IF(AND(Input_Product=Elig!$C594,Elig_MatchAll_Ct&lt;22,$BC594=(Elig_MatchAll_Ct-1),AW594=0),W594,0)</f>
        <v>0</v>
      </c>
      <c r="CC594" s="271">
        <f>IF(AND(Input_Product=Elig!$C594,Elig_MatchAll_Ct&lt;22,$BC594=(Elig_MatchAll_Ct-1),AX594=0),X594,0)</f>
        <v>0</v>
      </c>
      <c r="CD594" s="272">
        <f>IF(AND(Input_Product=Elig!$C594,Elig_MatchAll_Ct&lt;22,$BC594=(Elig_MatchAll_Ct-1),AX594=0),Y594,0)</f>
        <v>0</v>
      </c>
      <c r="CE594" s="271">
        <f>IF(AND(Input_LTV&lt;=AE594,Input_Product=Elig!$C594,Elig_MatchAll_Ct&lt;22,$BC594=(Elig_MatchAll_Ct-1),AY594=0),Z594,0)</f>
        <v>0</v>
      </c>
      <c r="CF594" s="272">
        <f>IF(AND(Input_LTV&lt;=AE594,Input_Product=Elig!$C594,Elig_MatchAll_Ct&lt;22,$BC594=(Elig_MatchAll_Ct-1),AY594=0),AA594,0)</f>
        <v>0</v>
      </c>
      <c r="CG594" s="271">
        <f>IF(AND(Input_Product=Elig!$C594,Elig_MatchAll_Ct&lt;22,$BC594=(Elig_MatchAll_Ct-1),AZ594=0),AB594,0)</f>
        <v>0</v>
      </c>
      <c r="CH594" s="272">
        <f>IF(AND(Input_Product=Elig!$C594,Elig_MatchAll_Ct&lt;22,$BC594=(Elig_MatchAll_Ct-1),AZ594=0),AC594,0)</f>
        <v>0</v>
      </c>
      <c r="CI594" s="271">
        <f>IF(AND(Input_Product=Elig!$C594,Elig_MatchAll_Ct&lt;22,$BC594=(Elig_MatchAll_Ct-1),BA594=0),AD594,0)</f>
        <v>0</v>
      </c>
      <c r="CJ594" s="272">
        <f>IF(AND(Input_Product=Elig!$C594,Elig_MatchAll_Ct&lt;22,$BC594=(Elig_MatchAll_Ct-1),BA594=0),AE594,0)</f>
        <v>0</v>
      </c>
    </row>
    <row r="595" spans="1:88" ht="10.15" customHeight="1" x14ac:dyDescent="0.25">
      <c r="A595" s="1476" t="s">
        <v>76</v>
      </c>
      <c r="B595" s="1476" t="s">
        <v>1372</v>
      </c>
      <c r="C595" s="1473" t="str">
        <f t="shared" si="204"/>
        <v>Second OO</v>
      </c>
      <c r="D595" s="1474" t="s">
        <v>1331</v>
      </c>
      <c r="E595" s="1474" t="s">
        <v>98</v>
      </c>
      <c r="F595" s="1474" t="s">
        <v>328</v>
      </c>
      <c r="G595" s="1537" t="s">
        <v>469</v>
      </c>
      <c r="H595" s="1474" t="s">
        <v>135</v>
      </c>
      <c r="I595" s="1472" t="s">
        <v>1141</v>
      </c>
      <c r="J595" s="1472" t="s">
        <v>1130</v>
      </c>
      <c r="K595" s="1474" t="s">
        <v>2464</v>
      </c>
      <c r="L595" s="1472" t="s">
        <v>428</v>
      </c>
      <c r="M595" s="1472" t="s">
        <v>1835</v>
      </c>
      <c r="N595" s="1474" t="s">
        <v>82</v>
      </c>
      <c r="O595" s="1472" t="s">
        <v>309</v>
      </c>
      <c r="P595" s="1472" t="s">
        <v>2433</v>
      </c>
      <c r="Q595" s="1472" t="s">
        <v>293</v>
      </c>
      <c r="R595" s="1472">
        <v>50000</v>
      </c>
      <c r="S595" s="1472">
        <v>350000</v>
      </c>
      <c r="T595" s="1472">
        <v>0</v>
      </c>
      <c r="U595" s="1472">
        <f t="shared" si="205"/>
        <v>350000</v>
      </c>
      <c r="V595" s="1472">
        <v>0</v>
      </c>
      <c r="W595" s="1472">
        <v>50</v>
      </c>
      <c r="X595" s="1472">
        <v>0</v>
      </c>
      <c r="Y595" s="1472">
        <v>999</v>
      </c>
      <c r="Z595" s="1475">
        <v>720</v>
      </c>
      <c r="AA595" s="1475">
        <v>999</v>
      </c>
      <c r="AB595" s="1475">
        <v>0</v>
      </c>
      <c r="AC595" s="1475">
        <v>999999</v>
      </c>
      <c r="AD595" s="1472">
        <v>0</v>
      </c>
      <c r="AE595" s="1218">
        <v>75</v>
      </c>
      <c r="AF595" s="144">
        <v>0</v>
      </c>
      <c r="AG595" s="145">
        <v>1</v>
      </c>
      <c r="AH595" s="145">
        <v>1</v>
      </c>
      <c r="AI595" s="145">
        <v>0</v>
      </c>
      <c r="AJ595" s="145">
        <v>0</v>
      </c>
      <c r="AK595" s="145">
        <v>1</v>
      </c>
      <c r="AL595" s="145">
        <v>1</v>
      </c>
      <c r="AM595" s="145">
        <v>1</v>
      </c>
      <c r="AN595" s="145">
        <v>1</v>
      </c>
      <c r="AO595" s="145">
        <v>1</v>
      </c>
      <c r="AP595" s="145">
        <v>1</v>
      </c>
      <c r="AQ595" s="145">
        <v>0</v>
      </c>
      <c r="AR595" s="145">
        <v>1</v>
      </c>
      <c r="AS595" s="145">
        <v>1</v>
      </c>
      <c r="AT595" s="145">
        <v>1</v>
      </c>
      <c r="AU595" s="145">
        <f t="shared" si="206"/>
        <v>1</v>
      </c>
      <c r="AV595" s="145">
        <f t="shared" si="207"/>
        <v>1</v>
      </c>
      <c r="AW595" s="145">
        <f t="shared" si="208"/>
        <v>1</v>
      </c>
      <c r="AX595" s="145">
        <f t="shared" si="212"/>
        <v>1</v>
      </c>
      <c r="AY595" s="145">
        <f t="shared" si="209"/>
        <v>1</v>
      </c>
      <c r="AZ595" s="145">
        <f t="shared" si="210"/>
        <v>1</v>
      </c>
      <c r="BA595" s="146">
        <f t="shared" si="211"/>
        <v>1</v>
      </c>
      <c r="BB595" s="149">
        <f t="shared" si="214"/>
        <v>18</v>
      </c>
      <c r="BC595" s="150">
        <f t="shared" si="215"/>
        <v>17</v>
      </c>
      <c r="BD595" s="150">
        <f t="shared" si="216"/>
        <v>18</v>
      </c>
      <c r="BE595" s="211" t="str">
        <f t="shared" si="217"/>
        <v/>
      </c>
      <c r="BF595" s="194"/>
      <c r="BG595" s="194"/>
      <c r="BH595" s="190">
        <f>IF(AND(Input_Product=Elig!$C595,Elig_MatchAll_Ct&lt;22,$BC595=(Elig_MatchAll_Ct-1),AF595=0),C595,0)</f>
        <v>0</v>
      </c>
      <c r="BI595" s="190">
        <f>IF(AND(Input_Product=Elig!$C595,Elig_MatchAll_Ct&lt;22,$BC595=(Elig_MatchAll_Ct-1),AG595=0),D595,0)</f>
        <v>0</v>
      </c>
      <c r="BJ595" s="190">
        <f>IF(AND(Input_Product=Elig!$C595,Elig_MatchAll_Ct&lt;22,$BC595=(Elig_MatchAll_Ct-1),AH595=0),E595,0)</f>
        <v>0</v>
      </c>
      <c r="BK595" s="190">
        <f>IF(AND(Input_Product=Elig!$C595,Elig_MatchAll_Ct&lt;22,$BC595=(Elig_MatchAll_Ct-1),AI595=0),F595,0)</f>
        <v>0</v>
      </c>
      <c r="BL595" s="190">
        <f>IF(AND(Input_Product=Elig!$C595,Elig_MatchAll_Ct&lt;22,$BC595=(Elig_MatchAll_Ct-1),AJ595=0),G595,0)</f>
        <v>0</v>
      </c>
      <c r="BM595" s="190">
        <f>IF(AND(Input_Product=Elig!$C595,Elig_MatchAll_Ct&lt;22,$BC595=(Elig_MatchAll_Ct-1),AK595=0),H595,0)</f>
        <v>0</v>
      </c>
      <c r="BN595" s="190">
        <f>IF(AND(Input_Product=Elig!$C595,Elig_MatchAll_Ct&lt;22,$BC595=(Elig_MatchAll_Ct-1),AL595=0),I595,0)</f>
        <v>0</v>
      </c>
      <c r="BO595" s="190">
        <f>IF(AND(Input_Product=Elig!$C595,Elig_MatchAll_Ct&lt;22,$BC595=(Elig_MatchAll_Ct-1),AM595=0),J595,0)</f>
        <v>0</v>
      </c>
      <c r="BP595" s="190">
        <f>IF(AND(Input_Product=Elig!$C595,Elig_MatchAll_Ct&lt;22,$BC595=(Elig_MatchAll_Ct-1),AN595=0),K595,0)</f>
        <v>0</v>
      </c>
      <c r="BQ595" s="190">
        <f>IF(AND(Input_Product=Elig!$C595,Elig_MatchAll_Ct&lt;22,$BC595=(Elig_MatchAll_Ct-1),AP595=0),L595,0)</f>
        <v>0</v>
      </c>
      <c r="BR595" s="190">
        <f>IF(AND(Input_Product=Elig!$C595,Elig_MatchAll_Ct&lt;22,$BC595=(Elig_MatchAll_Ct-1),AO595=0),M595,0)</f>
        <v>0</v>
      </c>
      <c r="BS595" s="190">
        <f>IF(AND(Input_Product=Elig!$C595,Elig_MatchAll_Ct&lt;22,$BC595=(Elig_MatchAll_Ct-1),AQ595=0),N595,0)</f>
        <v>0</v>
      </c>
      <c r="BT595" s="190">
        <f>IF(AND(Input_Product=Elig!$C595,Elig_MatchAll_Ct&lt;22,$BC595=(Elig_MatchAll_Ct-1),AR595=0),O595,0)</f>
        <v>0</v>
      </c>
      <c r="BU595" s="190">
        <f>IF(AND(Input_Product=Elig!$C595,Elig_MatchAll_Ct&lt;22,$BC595=(Elig_MatchAll_Ct-1),AS595=0),P595,0)</f>
        <v>0</v>
      </c>
      <c r="BV595" s="191">
        <f>IF(AND(Input_Product=Elig!$C595,Elig_MatchAll_Ct&lt;22,$BC595=(Elig_MatchAll_Ct-1),AT595=0),Q595,0)</f>
        <v>0</v>
      </c>
      <c r="BW595" s="273">
        <f>IF(AND(Input_Product=Elig!$C595,Elig_MatchAll_Ct&lt;22,$BC595=(Elig_MatchAll_Ct-1),AU595=0),R595,0)</f>
        <v>0</v>
      </c>
      <c r="BX595" s="274">
        <f>IF(AND(Input_Product=Elig!$C595,Elig_MatchAll_Ct&lt;22,$BC595=(Elig_MatchAll_Ct-1),AU595=0),S595,0)</f>
        <v>0</v>
      </c>
      <c r="BY595" s="273">
        <f>IF(AND(Input_Product=Elig!$C595,Elig_MatchAll_Ct&lt;22,$BC595=(Elig_MatchAll_Ct-1),AV595=0),T595,0)</f>
        <v>0</v>
      </c>
      <c r="BZ595" s="274">
        <f>IF(AND(Input_Product=Elig!$C595,Elig_MatchAll_Ct&lt;22,$BC595=(Elig_MatchAll_Ct-1),AV595=0),U595,0)</f>
        <v>0</v>
      </c>
      <c r="CA595" s="273">
        <f>IF(AND(Input_Product=Elig!$C595,Elig_MatchAll_Ct&lt;22,$BC595=(Elig_MatchAll_Ct-1),AW595=0),V595,0)</f>
        <v>0</v>
      </c>
      <c r="CB595" s="274">
        <f>IF(AND(Input_Product=Elig!$C595,Elig_MatchAll_Ct&lt;22,$BC595=(Elig_MatchAll_Ct-1),AW595=0),W595,0)</f>
        <v>0</v>
      </c>
      <c r="CC595" s="273">
        <f>IF(AND(Input_Product=Elig!$C595,Elig_MatchAll_Ct&lt;22,$BC595=(Elig_MatchAll_Ct-1),AX595=0),X595,0)</f>
        <v>0</v>
      </c>
      <c r="CD595" s="274">
        <f>IF(AND(Input_Product=Elig!$C595,Elig_MatchAll_Ct&lt;22,$BC595=(Elig_MatchAll_Ct-1),AX595=0),Y595,0)</f>
        <v>0</v>
      </c>
      <c r="CE595" s="273">
        <f>IF(AND(Input_LTV&lt;=AE595,Input_Product=Elig!$C595,Elig_MatchAll_Ct&lt;22,$BC595=(Elig_MatchAll_Ct-1),AY595=0),Z595,0)</f>
        <v>0</v>
      </c>
      <c r="CF595" s="274">
        <f>IF(AND(Input_LTV&lt;=AE595,Input_Product=Elig!$C595,Elig_MatchAll_Ct&lt;22,$BC595=(Elig_MatchAll_Ct-1),AY595=0),AA595,0)</f>
        <v>0</v>
      </c>
      <c r="CG595" s="273">
        <f>IF(AND(Input_Product=Elig!$C595,Elig_MatchAll_Ct&lt;22,$BC595=(Elig_MatchAll_Ct-1),AZ595=0),AB595,0)</f>
        <v>0</v>
      </c>
      <c r="CH595" s="274">
        <f>IF(AND(Input_Product=Elig!$C595,Elig_MatchAll_Ct&lt;22,$BC595=(Elig_MatchAll_Ct-1),AZ595=0),AC595,0)</f>
        <v>0</v>
      </c>
      <c r="CI595" s="273">
        <f>IF(AND(Input_Product=Elig!$C595,Elig_MatchAll_Ct&lt;22,$BC595=(Elig_MatchAll_Ct-1),BA595=0),AD595,0)</f>
        <v>0</v>
      </c>
      <c r="CJ595" s="274">
        <f>IF(AND(Input_Product=Elig!$C595,Elig_MatchAll_Ct&lt;22,$BC595=(Elig_MatchAll_Ct-1),BA595=0),AE595,0)</f>
        <v>0</v>
      </c>
    </row>
    <row r="596" spans="1:88" ht="10.15" customHeight="1" x14ac:dyDescent="0.25">
      <c r="A596" s="1476" t="s">
        <v>76</v>
      </c>
      <c r="B596" s="1476" t="s">
        <v>1373</v>
      </c>
      <c r="C596" s="1477" t="str">
        <f t="shared" si="204"/>
        <v>Second OO</v>
      </c>
      <c r="D596" s="1476" t="s">
        <v>1331</v>
      </c>
      <c r="E596" s="1476" t="s">
        <v>98</v>
      </c>
      <c r="F596" s="1476" t="s">
        <v>328</v>
      </c>
      <c r="G596" s="1544" t="s">
        <v>469</v>
      </c>
      <c r="H596" s="1478" t="s">
        <v>135</v>
      </c>
      <c r="I596" s="1476" t="s">
        <v>1141</v>
      </c>
      <c r="J596" s="1476" t="s">
        <v>1130</v>
      </c>
      <c r="K596" s="1478" t="s">
        <v>2464</v>
      </c>
      <c r="L596" s="1476" t="s">
        <v>428</v>
      </c>
      <c r="M596" s="1476" t="s">
        <v>1835</v>
      </c>
      <c r="N596" s="1478" t="s">
        <v>82</v>
      </c>
      <c r="O596" s="1476" t="s">
        <v>309</v>
      </c>
      <c r="P596" s="1476" t="s">
        <v>2433</v>
      </c>
      <c r="Q596" s="1476" t="s">
        <v>293</v>
      </c>
      <c r="R596" s="1476">
        <v>50000</v>
      </c>
      <c r="S596" s="1476">
        <v>350000</v>
      </c>
      <c r="T596" s="1476">
        <v>0</v>
      </c>
      <c r="U596" s="1476">
        <f t="shared" si="205"/>
        <v>350000</v>
      </c>
      <c r="V596" s="1476">
        <v>0</v>
      </c>
      <c r="W596" s="1476">
        <v>50</v>
      </c>
      <c r="X596" s="1476">
        <v>0</v>
      </c>
      <c r="Y596" s="1476">
        <v>999</v>
      </c>
      <c r="Z596" s="1479">
        <v>700</v>
      </c>
      <c r="AA596" s="1479">
        <v>719</v>
      </c>
      <c r="AB596" s="1479">
        <v>0</v>
      </c>
      <c r="AC596" s="1479">
        <v>999999</v>
      </c>
      <c r="AD596" s="1476">
        <v>0</v>
      </c>
      <c r="AE596" s="1219">
        <v>70</v>
      </c>
      <c r="AF596" s="144">
        <v>0</v>
      </c>
      <c r="AG596" s="145">
        <v>1</v>
      </c>
      <c r="AH596" s="145">
        <v>1</v>
      </c>
      <c r="AI596" s="145">
        <v>0</v>
      </c>
      <c r="AJ596" s="145">
        <v>0</v>
      </c>
      <c r="AK596" s="145">
        <v>1</v>
      </c>
      <c r="AL596" s="145">
        <v>1</v>
      </c>
      <c r="AM596" s="145">
        <v>1</v>
      </c>
      <c r="AN596" s="145">
        <v>1</v>
      </c>
      <c r="AO596" s="145">
        <v>1</v>
      </c>
      <c r="AP596" s="145">
        <v>1</v>
      </c>
      <c r="AQ596" s="145">
        <v>0</v>
      </c>
      <c r="AR596" s="145">
        <v>1</v>
      </c>
      <c r="AS596" s="145">
        <v>1</v>
      </c>
      <c r="AT596" s="145">
        <v>1</v>
      </c>
      <c r="AU596" s="145">
        <f t="shared" si="206"/>
        <v>1</v>
      </c>
      <c r="AV596" s="145">
        <f t="shared" si="207"/>
        <v>1</v>
      </c>
      <c r="AW596" s="145">
        <f t="shared" si="208"/>
        <v>1</v>
      </c>
      <c r="AX596" s="145">
        <f t="shared" si="212"/>
        <v>1</v>
      </c>
      <c r="AY596" s="145">
        <f t="shared" si="209"/>
        <v>0</v>
      </c>
      <c r="AZ596" s="145">
        <f t="shared" si="210"/>
        <v>1</v>
      </c>
      <c r="BA596" s="146">
        <f t="shared" si="211"/>
        <v>1</v>
      </c>
      <c r="BB596" s="149">
        <f t="shared" si="214"/>
        <v>17</v>
      </c>
      <c r="BC596" s="150">
        <f t="shared" si="215"/>
        <v>16</v>
      </c>
      <c r="BD596" s="150">
        <f t="shared" si="216"/>
        <v>17</v>
      </c>
      <c r="BE596" s="211" t="str">
        <f t="shared" si="217"/>
        <v/>
      </c>
      <c r="BF596" s="205"/>
      <c r="BG596" s="205"/>
      <c r="BH596" s="173">
        <f>IF(AND(Input_Product=Elig!$C596,Elig_MatchAll_Ct&lt;22,$BC596=(Elig_MatchAll_Ct-1),AF596=0),C596,0)</f>
        <v>0</v>
      </c>
      <c r="BI596" s="173">
        <f>IF(AND(Input_Product=Elig!$C596,Elig_MatchAll_Ct&lt;22,$BC596=(Elig_MatchAll_Ct-1),AG596=0),D596,0)</f>
        <v>0</v>
      </c>
      <c r="BJ596" s="173">
        <f>IF(AND(Input_Product=Elig!$C596,Elig_MatchAll_Ct&lt;22,$BC596=(Elig_MatchAll_Ct-1),AH596=0),E596,0)</f>
        <v>0</v>
      </c>
      <c r="BK596" s="173">
        <f>IF(AND(Input_Product=Elig!$C596,Elig_MatchAll_Ct&lt;22,$BC596=(Elig_MatchAll_Ct-1),AI596=0),F596,0)</f>
        <v>0</v>
      </c>
      <c r="BL596" s="173">
        <f>IF(AND(Input_Product=Elig!$C596,Elig_MatchAll_Ct&lt;22,$BC596=(Elig_MatchAll_Ct-1),AJ596=0),G596,0)</f>
        <v>0</v>
      </c>
      <c r="BM596" s="173">
        <f>IF(AND(Input_Product=Elig!$C596,Elig_MatchAll_Ct&lt;22,$BC596=(Elig_MatchAll_Ct-1),AK596=0),H596,0)</f>
        <v>0</v>
      </c>
      <c r="BN596" s="173">
        <f>IF(AND(Input_Product=Elig!$C596,Elig_MatchAll_Ct&lt;22,$BC596=(Elig_MatchAll_Ct-1),AL596=0),I596,0)</f>
        <v>0</v>
      </c>
      <c r="BO596" s="173">
        <f>IF(AND(Input_Product=Elig!$C596,Elig_MatchAll_Ct&lt;22,$BC596=(Elig_MatchAll_Ct-1),AM596=0),J596,0)</f>
        <v>0</v>
      </c>
      <c r="BP596" s="173">
        <f>IF(AND(Input_Product=Elig!$C596,Elig_MatchAll_Ct&lt;22,$BC596=(Elig_MatchAll_Ct-1),AN596=0),K596,0)</f>
        <v>0</v>
      </c>
      <c r="BQ596" s="173">
        <f>IF(AND(Input_Product=Elig!$C596,Elig_MatchAll_Ct&lt;22,$BC596=(Elig_MatchAll_Ct-1),AP596=0),L596,0)</f>
        <v>0</v>
      </c>
      <c r="BR596" s="173">
        <f>IF(AND(Input_Product=Elig!$C596,Elig_MatchAll_Ct&lt;22,$BC596=(Elig_MatchAll_Ct-1),AO596=0),M596,0)</f>
        <v>0</v>
      </c>
      <c r="BS596" s="173">
        <f>IF(AND(Input_Product=Elig!$C596,Elig_MatchAll_Ct&lt;22,$BC596=(Elig_MatchAll_Ct-1),AQ596=0),N596,0)</f>
        <v>0</v>
      </c>
      <c r="BT596" s="173">
        <f>IF(AND(Input_Product=Elig!$C596,Elig_MatchAll_Ct&lt;22,$BC596=(Elig_MatchAll_Ct-1),AR596=0),O596,0)</f>
        <v>0</v>
      </c>
      <c r="BU596" s="173">
        <f>IF(AND(Input_Product=Elig!$C596,Elig_MatchAll_Ct&lt;22,$BC596=(Elig_MatchAll_Ct-1),AS596=0),P596,0)</f>
        <v>0</v>
      </c>
      <c r="BV596" s="174">
        <f>IF(AND(Input_Product=Elig!$C596,Elig_MatchAll_Ct&lt;22,$BC596=(Elig_MatchAll_Ct-1),AT596=0),Q596,0)</f>
        <v>0</v>
      </c>
      <c r="BW596" s="175">
        <f>IF(AND(Input_Product=Elig!$C596,Elig_MatchAll_Ct&lt;22,$BC596=(Elig_MatchAll_Ct-1),AU596=0),R596,0)</f>
        <v>0</v>
      </c>
      <c r="BX596" s="176">
        <f>IF(AND(Input_Product=Elig!$C596,Elig_MatchAll_Ct&lt;22,$BC596=(Elig_MatchAll_Ct-1),AU596=0),S596,0)</f>
        <v>0</v>
      </c>
      <c r="BY596" s="175">
        <f>IF(AND(Input_Product=Elig!$C596,Elig_MatchAll_Ct&lt;22,$BC596=(Elig_MatchAll_Ct-1),AV596=0),T596,0)</f>
        <v>0</v>
      </c>
      <c r="BZ596" s="176">
        <f>IF(AND(Input_Product=Elig!$C596,Elig_MatchAll_Ct&lt;22,$BC596=(Elig_MatchAll_Ct-1),AV596=0),U596,0)</f>
        <v>0</v>
      </c>
      <c r="CA596" s="175">
        <f>IF(AND(Input_Product=Elig!$C596,Elig_MatchAll_Ct&lt;22,$BC596=(Elig_MatchAll_Ct-1),AW596=0),V596,0)</f>
        <v>0</v>
      </c>
      <c r="CB596" s="176">
        <f>IF(AND(Input_Product=Elig!$C596,Elig_MatchAll_Ct&lt;22,$BC596=(Elig_MatchAll_Ct-1),AW596=0),W596,0)</f>
        <v>0</v>
      </c>
      <c r="CC596" s="175">
        <f>IF(AND(Input_Product=Elig!$C596,Elig_MatchAll_Ct&lt;22,$BC596=(Elig_MatchAll_Ct-1),AX596=0),X596,0)</f>
        <v>0</v>
      </c>
      <c r="CD596" s="176">
        <f>IF(AND(Input_Product=Elig!$C596,Elig_MatchAll_Ct&lt;22,$BC596=(Elig_MatchAll_Ct-1),AX596=0),Y596,0)</f>
        <v>0</v>
      </c>
      <c r="CE596" s="175">
        <f>IF(AND(Input_LTV&lt;=AE596,Input_Product=Elig!$C596,Elig_MatchAll_Ct&lt;22,$BC596=(Elig_MatchAll_Ct-1),AY596=0),Z596,0)</f>
        <v>0</v>
      </c>
      <c r="CF596" s="176">
        <f>IF(AND(Input_LTV&lt;=AE596,Input_Product=Elig!$C596,Elig_MatchAll_Ct&lt;22,$BC596=(Elig_MatchAll_Ct-1),AY596=0),AA596,0)</f>
        <v>0</v>
      </c>
      <c r="CG596" s="175">
        <f>IF(AND(Input_Product=Elig!$C596,Elig_MatchAll_Ct&lt;22,$BC596=(Elig_MatchAll_Ct-1),AZ596=0),AB596,0)</f>
        <v>0</v>
      </c>
      <c r="CH596" s="176">
        <f>IF(AND(Input_Product=Elig!$C596,Elig_MatchAll_Ct&lt;22,$BC596=(Elig_MatchAll_Ct-1),AZ596=0),AC596,0)</f>
        <v>0</v>
      </c>
      <c r="CI596" s="175">
        <f>IF(AND(Input_Product=Elig!$C596,Elig_MatchAll_Ct&lt;22,$BC596=(Elig_MatchAll_Ct-1),BA596=0),AD596,0)</f>
        <v>0</v>
      </c>
      <c r="CJ596" s="176">
        <f>IF(AND(Input_Product=Elig!$C596,Elig_MatchAll_Ct&lt;22,$BC596=(Elig_MatchAll_Ct-1),BA596=0),AE596,0)</f>
        <v>0</v>
      </c>
    </row>
    <row r="597" spans="1:88" ht="10.15" customHeight="1" x14ac:dyDescent="0.25">
      <c r="A597" s="1476" t="s">
        <v>76</v>
      </c>
      <c r="B597" s="1476" t="s">
        <v>1374</v>
      </c>
      <c r="C597" s="1477" t="str">
        <f t="shared" si="204"/>
        <v>Second OO</v>
      </c>
      <c r="D597" s="1476" t="s">
        <v>1331</v>
      </c>
      <c r="E597" s="1476" t="s">
        <v>98</v>
      </c>
      <c r="F597" s="1476" t="s">
        <v>328</v>
      </c>
      <c r="G597" s="1544" t="s">
        <v>469</v>
      </c>
      <c r="H597" s="1478" t="s">
        <v>135</v>
      </c>
      <c r="I597" s="1476" t="s">
        <v>1141</v>
      </c>
      <c r="J597" s="1476" t="s">
        <v>1130</v>
      </c>
      <c r="K597" s="1478" t="s">
        <v>2464</v>
      </c>
      <c r="L597" s="1476" t="s">
        <v>428</v>
      </c>
      <c r="M597" s="1476" t="s">
        <v>1835</v>
      </c>
      <c r="N597" s="1478" t="s">
        <v>82</v>
      </c>
      <c r="O597" s="1476" t="s">
        <v>309</v>
      </c>
      <c r="P597" s="1476" t="s">
        <v>2433</v>
      </c>
      <c r="Q597" s="1476" t="s">
        <v>293</v>
      </c>
      <c r="R597" s="1476">
        <v>50000</v>
      </c>
      <c r="S597" s="1476">
        <v>350000</v>
      </c>
      <c r="T597" s="1476">
        <v>0</v>
      </c>
      <c r="U597" s="1476">
        <f t="shared" si="205"/>
        <v>350000</v>
      </c>
      <c r="V597" s="1476">
        <v>0</v>
      </c>
      <c r="W597" s="1476">
        <v>50</v>
      </c>
      <c r="X597" s="1476">
        <v>0</v>
      </c>
      <c r="Y597" s="1476">
        <v>999</v>
      </c>
      <c r="Z597" s="1479">
        <v>680</v>
      </c>
      <c r="AA597" s="1479">
        <v>699</v>
      </c>
      <c r="AB597" s="1479">
        <v>0</v>
      </c>
      <c r="AC597" s="1479">
        <v>999999</v>
      </c>
      <c r="AD597" s="1476">
        <v>0</v>
      </c>
      <c r="AE597" s="1219">
        <v>65</v>
      </c>
      <c r="AF597" s="144">
        <v>0</v>
      </c>
      <c r="AG597" s="145">
        <v>1</v>
      </c>
      <c r="AH597" s="145">
        <v>1</v>
      </c>
      <c r="AI597" s="145">
        <v>0</v>
      </c>
      <c r="AJ597" s="145">
        <v>0</v>
      </c>
      <c r="AK597" s="145">
        <v>1</v>
      </c>
      <c r="AL597" s="145">
        <v>1</v>
      </c>
      <c r="AM597" s="145">
        <v>1</v>
      </c>
      <c r="AN597" s="145">
        <v>1</v>
      </c>
      <c r="AO597" s="145">
        <v>1</v>
      </c>
      <c r="AP597" s="145">
        <v>1</v>
      </c>
      <c r="AQ597" s="145">
        <v>0</v>
      </c>
      <c r="AR597" s="145">
        <v>1</v>
      </c>
      <c r="AS597" s="145">
        <v>1</v>
      </c>
      <c r="AT597" s="145">
        <v>1</v>
      </c>
      <c r="AU597" s="145">
        <f t="shared" si="206"/>
        <v>1</v>
      </c>
      <c r="AV597" s="145">
        <f t="shared" si="207"/>
        <v>1</v>
      </c>
      <c r="AW597" s="145">
        <f t="shared" si="208"/>
        <v>1</v>
      </c>
      <c r="AX597" s="145">
        <f t="shared" si="212"/>
        <v>1</v>
      </c>
      <c r="AY597" s="145">
        <f t="shared" si="209"/>
        <v>0</v>
      </c>
      <c r="AZ597" s="145">
        <f t="shared" si="210"/>
        <v>1</v>
      </c>
      <c r="BA597" s="146">
        <f t="shared" si="211"/>
        <v>0</v>
      </c>
      <c r="BB597" s="149">
        <f t="shared" si="214"/>
        <v>16</v>
      </c>
      <c r="BC597" s="150">
        <f t="shared" si="215"/>
        <v>16</v>
      </c>
      <c r="BD597" s="150">
        <f t="shared" si="216"/>
        <v>16</v>
      </c>
      <c r="BE597" s="211" t="str">
        <f t="shared" si="217"/>
        <v/>
      </c>
      <c r="BF597" s="205"/>
      <c r="BG597" s="205"/>
      <c r="BH597" s="173">
        <f>IF(AND(Input_Product=Elig!$C597,Elig_MatchAll_Ct&lt;22,$BC597=(Elig_MatchAll_Ct-1),AF597=0),C597,0)</f>
        <v>0</v>
      </c>
      <c r="BI597" s="173">
        <f>IF(AND(Input_Product=Elig!$C597,Elig_MatchAll_Ct&lt;22,$BC597=(Elig_MatchAll_Ct-1),AG597=0),D597,0)</f>
        <v>0</v>
      </c>
      <c r="BJ597" s="173">
        <f>IF(AND(Input_Product=Elig!$C597,Elig_MatchAll_Ct&lt;22,$BC597=(Elig_MatchAll_Ct-1),AH597=0),E597,0)</f>
        <v>0</v>
      </c>
      <c r="BK597" s="173">
        <f>IF(AND(Input_Product=Elig!$C597,Elig_MatchAll_Ct&lt;22,$BC597=(Elig_MatchAll_Ct-1),AI597=0),F597,0)</f>
        <v>0</v>
      </c>
      <c r="BL597" s="173">
        <f>IF(AND(Input_Product=Elig!$C597,Elig_MatchAll_Ct&lt;22,$BC597=(Elig_MatchAll_Ct-1),AJ597=0),G597,0)</f>
        <v>0</v>
      </c>
      <c r="BM597" s="173">
        <f>IF(AND(Input_Product=Elig!$C597,Elig_MatchAll_Ct&lt;22,$BC597=(Elig_MatchAll_Ct-1),AK597=0),H597,0)</f>
        <v>0</v>
      </c>
      <c r="BN597" s="173">
        <f>IF(AND(Input_Product=Elig!$C597,Elig_MatchAll_Ct&lt;22,$BC597=(Elig_MatchAll_Ct-1),AL597=0),I597,0)</f>
        <v>0</v>
      </c>
      <c r="BO597" s="173">
        <f>IF(AND(Input_Product=Elig!$C597,Elig_MatchAll_Ct&lt;22,$BC597=(Elig_MatchAll_Ct-1),AM597=0),J597,0)</f>
        <v>0</v>
      </c>
      <c r="BP597" s="173">
        <f>IF(AND(Input_Product=Elig!$C597,Elig_MatchAll_Ct&lt;22,$BC597=(Elig_MatchAll_Ct-1),AN597=0),K597,0)</f>
        <v>0</v>
      </c>
      <c r="BQ597" s="173">
        <f>IF(AND(Input_Product=Elig!$C597,Elig_MatchAll_Ct&lt;22,$BC597=(Elig_MatchAll_Ct-1),AP597=0),L597,0)</f>
        <v>0</v>
      </c>
      <c r="BR597" s="173">
        <f>IF(AND(Input_Product=Elig!$C597,Elig_MatchAll_Ct&lt;22,$BC597=(Elig_MatchAll_Ct-1),AO597=0),M597,0)</f>
        <v>0</v>
      </c>
      <c r="BS597" s="173">
        <f>IF(AND(Input_Product=Elig!$C597,Elig_MatchAll_Ct&lt;22,$BC597=(Elig_MatchAll_Ct-1),AQ597=0),N597,0)</f>
        <v>0</v>
      </c>
      <c r="BT597" s="173">
        <f>IF(AND(Input_Product=Elig!$C597,Elig_MatchAll_Ct&lt;22,$BC597=(Elig_MatchAll_Ct-1),AR597=0),O597,0)</f>
        <v>0</v>
      </c>
      <c r="BU597" s="173">
        <f>IF(AND(Input_Product=Elig!$C597,Elig_MatchAll_Ct&lt;22,$BC597=(Elig_MatchAll_Ct-1),AS597=0),P597,0)</f>
        <v>0</v>
      </c>
      <c r="BV597" s="174">
        <f>IF(AND(Input_Product=Elig!$C597,Elig_MatchAll_Ct&lt;22,$BC597=(Elig_MatchAll_Ct-1),AT597=0),Q597,0)</f>
        <v>0</v>
      </c>
      <c r="BW597" s="175">
        <f>IF(AND(Input_Product=Elig!$C597,Elig_MatchAll_Ct&lt;22,$BC597=(Elig_MatchAll_Ct-1),AU597=0),R597,0)</f>
        <v>0</v>
      </c>
      <c r="BX597" s="176">
        <f>IF(AND(Input_Product=Elig!$C597,Elig_MatchAll_Ct&lt;22,$BC597=(Elig_MatchAll_Ct-1),AU597=0),S597,0)</f>
        <v>0</v>
      </c>
      <c r="BY597" s="175">
        <f>IF(AND(Input_Product=Elig!$C597,Elig_MatchAll_Ct&lt;22,$BC597=(Elig_MatchAll_Ct-1),AV597=0),T597,0)</f>
        <v>0</v>
      </c>
      <c r="BZ597" s="176">
        <f>IF(AND(Input_Product=Elig!$C597,Elig_MatchAll_Ct&lt;22,$BC597=(Elig_MatchAll_Ct-1),AV597=0),U597,0)</f>
        <v>0</v>
      </c>
      <c r="CA597" s="175">
        <f>IF(AND(Input_Product=Elig!$C597,Elig_MatchAll_Ct&lt;22,$BC597=(Elig_MatchAll_Ct-1),AW597=0),V597,0)</f>
        <v>0</v>
      </c>
      <c r="CB597" s="176">
        <f>IF(AND(Input_Product=Elig!$C597,Elig_MatchAll_Ct&lt;22,$BC597=(Elig_MatchAll_Ct-1),AW597=0),W597,0)</f>
        <v>0</v>
      </c>
      <c r="CC597" s="175">
        <f>IF(AND(Input_Product=Elig!$C597,Elig_MatchAll_Ct&lt;22,$BC597=(Elig_MatchAll_Ct-1),AX597=0),X597,0)</f>
        <v>0</v>
      </c>
      <c r="CD597" s="176">
        <f>IF(AND(Input_Product=Elig!$C597,Elig_MatchAll_Ct&lt;22,$BC597=(Elig_MatchAll_Ct-1),AX597=0),Y597,0)</f>
        <v>0</v>
      </c>
      <c r="CE597" s="175">
        <f>IF(AND(Input_LTV&lt;=AE597,Input_Product=Elig!$C597,Elig_MatchAll_Ct&lt;22,$BC597=(Elig_MatchAll_Ct-1),AY597=0),Z597,0)</f>
        <v>0</v>
      </c>
      <c r="CF597" s="176">
        <f>IF(AND(Input_LTV&lt;=AE597,Input_Product=Elig!$C597,Elig_MatchAll_Ct&lt;22,$BC597=(Elig_MatchAll_Ct-1),AY597=0),AA597,0)</f>
        <v>0</v>
      </c>
      <c r="CG597" s="175">
        <f>IF(AND(Input_Product=Elig!$C597,Elig_MatchAll_Ct&lt;22,$BC597=(Elig_MatchAll_Ct-1),AZ597=0),AB597,0)</f>
        <v>0</v>
      </c>
      <c r="CH597" s="176">
        <f>IF(AND(Input_Product=Elig!$C597,Elig_MatchAll_Ct&lt;22,$BC597=(Elig_MatchAll_Ct-1),AZ597=0),AC597,0)</f>
        <v>0</v>
      </c>
      <c r="CI597" s="175">
        <f>IF(AND(Input_Product=Elig!$C597,Elig_MatchAll_Ct&lt;22,$BC597=(Elig_MatchAll_Ct-1),BA597=0),AD597,0)</f>
        <v>0</v>
      </c>
      <c r="CJ597" s="176">
        <f>IF(AND(Input_Product=Elig!$C597,Elig_MatchAll_Ct&lt;22,$BC597=(Elig_MatchAll_Ct-1),BA597=0),AE597,0)</f>
        <v>0</v>
      </c>
    </row>
    <row r="598" spans="1:88" ht="10.15" customHeight="1" x14ac:dyDescent="0.25">
      <c r="A598" s="1476" t="s">
        <v>76</v>
      </c>
      <c r="B598" s="1476" t="s">
        <v>1375</v>
      </c>
      <c r="C598" s="1481" t="str">
        <f t="shared" si="204"/>
        <v>Second OO</v>
      </c>
      <c r="D598" s="1480" t="s">
        <v>1331</v>
      </c>
      <c r="E598" s="1480" t="s">
        <v>98</v>
      </c>
      <c r="F598" s="1480" t="s">
        <v>328</v>
      </c>
      <c r="G598" s="1545" t="s">
        <v>469</v>
      </c>
      <c r="H598" s="1482" t="s">
        <v>135</v>
      </c>
      <c r="I598" s="1480" t="s">
        <v>1141</v>
      </c>
      <c r="J598" s="1480" t="s">
        <v>1130</v>
      </c>
      <c r="K598" s="1482" t="s">
        <v>2464</v>
      </c>
      <c r="L598" s="1480" t="s">
        <v>428</v>
      </c>
      <c r="M598" s="1480" t="s">
        <v>1835</v>
      </c>
      <c r="N598" s="1482" t="s">
        <v>82</v>
      </c>
      <c r="O598" s="1480" t="s">
        <v>309</v>
      </c>
      <c r="P598" s="1480" t="s">
        <v>2433</v>
      </c>
      <c r="Q598" s="1480" t="s">
        <v>293</v>
      </c>
      <c r="R598" s="1480">
        <v>50000</v>
      </c>
      <c r="S598" s="1480">
        <v>350000</v>
      </c>
      <c r="T598" s="1480">
        <v>0</v>
      </c>
      <c r="U598" s="1480">
        <f t="shared" si="205"/>
        <v>350000</v>
      </c>
      <c r="V598" s="1480">
        <v>0</v>
      </c>
      <c r="W598" s="1480">
        <v>50</v>
      </c>
      <c r="X598" s="1480">
        <v>0</v>
      </c>
      <c r="Y598" s="1480">
        <v>999</v>
      </c>
      <c r="Z598" s="1483">
        <v>660</v>
      </c>
      <c r="AA598" s="1483">
        <v>679</v>
      </c>
      <c r="AB598" s="1483">
        <v>0</v>
      </c>
      <c r="AC598" s="1483">
        <v>999999</v>
      </c>
      <c r="AD598" s="1480">
        <v>0</v>
      </c>
      <c r="AE598" s="1220">
        <v>60</v>
      </c>
      <c r="AF598" s="144">
        <v>0</v>
      </c>
      <c r="AG598" s="145">
        <v>1</v>
      </c>
      <c r="AH598" s="145">
        <v>1</v>
      </c>
      <c r="AI598" s="145">
        <v>0</v>
      </c>
      <c r="AJ598" s="145">
        <v>0</v>
      </c>
      <c r="AK598" s="145">
        <v>1</v>
      </c>
      <c r="AL598" s="145">
        <v>1</v>
      </c>
      <c r="AM598" s="145">
        <v>1</v>
      </c>
      <c r="AN598" s="145">
        <v>1</v>
      </c>
      <c r="AO598" s="145">
        <v>1</v>
      </c>
      <c r="AP598" s="145">
        <v>1</v>
      </c>
      <c r="AQ598" s="145">
        <v>0</v>
      </c>
      <c r="AR598" s="145">
        <v>1</v>
      </c>
      <c r="AS598" s="145">
        <v>1</v>
      </c>
      <c r="AT598" s="145">
        <v>1</v>
      </c>
      <c r="AU598" s="145">
        <f t="shared" si="206"/>
        <v>1</v>
      </c>
      <c r="AV598" s="145">
        <f t="shared" si="207"/>
        <v>1</v>
      </c>
      <c r="AW598" s="145">
        <f t="shared" si="208"/>
        <v>1</v>
      </c>
      <c r="AX598" s="145">
        <f t="shared" si="212"/>
        <v>1</v>
      </c>
      <c r="AY598" s="145">
        <f t="shared" si="209"/>
        <v>0</v>
      </c>
      <c r="AZ598" s="145">
        <f t="shared" si="210"/>
        <v>1</v>
      </c>
      <c r="BA598" s="146">
        <f t="shared" si="211"/>
        <v>0</v>
      </c>
      <c r="BB598" s="149">
        <f t="shared" si="214"/>
        <v>16</v>
      </c>
      <c r="BC598" s="150">
        <f t="shared" si="215"/>
        <v>16</v>
      </c>
      <c r="BD598" s="150">
        <f t="shared" si="216"/>
        <v>16</v>
      </c>
      <c r="BE598" s="211" t="str">
        <f t="shared" si="217"/>
        <v/>
      </c>
      <c r="BF598" s="205"/>
      <c r="BG598" s="205"/>
      <c r="BH598" s="188">
        <f>IF(AND(Input_Product=Elig!$C598,Elig_MatchAll_Ct&lt;22,$BC598=(Elig_MatchAll_Ct-1),AF598=0),C598,0)</f>
        <v>0</v>
      </c>
      <c r="BI598" s="188">
        <f>IF(AND(Input_Product=Elig!$C598,Elig_MatchAll_Ct&lt;22,$BC598=(Elig_MatchAll_Ct-1),AG598=0),D598,0)</f>
        <v>0</v>
      </c>
      <c r="BJ598" s="188">
        <f>IF(AND(Input_Product=Elig!$C598,Elig_MatchAll_Ct&lt;22,$BC598=(Elig_MatchAll_Ct-1),AH598=0),E598,0)</f>
        <v>0</v>
      </c>
      <c r="BK598" s="188">
        <f>IF(AND(Input_Product=Elig!$C598,Elig_MatchAll_Ct&lt;22,$BC598=(Elig_MatchAll_Ct-1),AI598=0),F598,0)</f>
        <v>0</v>
      </c>
      <c r="BL598" s="188">
        <f>IF(AND(Input_Product=Elig!$C598,Elig_MatchAll_Ct&lt;22,$BC598=(Elig_MatchAll_Ct-1),AJ598=0),G598,0)</f>
        <v>0</v>
      </c>
      <c r="BM598" s="188">
        <f>IF(AND(Input_Product=Elig!$C598,Elig_MatchAll_Ct&lt;22,$BC598=(Elig_MatchAll_Ct-1),AK598=0),H598,0)</f>
        <v>0</v>
      </c>
      <c r="BN598" s="188">
        <f>IF(AND(Input_Product=Elig!$C598,Elig_MatchAll_Ct&lt;22,$BC598=(Elig_MatchAll_Ct-1),AL598=0),I598,0)</f>
        <v>0</v>
      </c>
      <c r="BO598" s="188">
        <f>IF(AND(Input_Product=Elig!$C598,Elig_MatchAll_Ct&lt;22,$BC598=(Elig_MatchAll_Ct-1),AM598=0),J598,0)</f>
        <v>0</v>
      </c>
      <c r="BP598" s="188">
        <f>IF(AND(Input_Product=Elig!$C598,Elig_MatchAll_Ct&lt;22,$BC598=(Elig_MatchAll_Ct-1),AN598=0),K598,0)</f>
        <v>0</v>
      </c>
      <c r="BQ598" s="188">
        <f>IF(AND(Input_Product=Elig!$C598,Elig_MatchAll_Ct&lt;22,$BC598=(Elig_MatchAll_Ct-1),AP598=0),L598,0)</f>
        <v>0</v>
      </c>
      <c r="BR598" s="188">
        <f>IF(AND(Input_Product=Elig!$C598,Elig_MatchAll_Ct&lt;22,$BC598=(Elig_MatchAll_Ct-1),AO598=0),M598,0)</f>
        <v>0</v>
      </c>
      <c r="BS598" s="188">
        <f>IF(AND(Input_Product=Elig!$C598,Elig_MatchAll_Ct&lt;22,$BC598=(Elig_MatchAll_Ct-1),AQ598=0),N598,0)</f>
        <v>0</v>
      </c>
      <c r="BT598" s="188">
        <f>IF(AND(Input_Product=Elig!$C598,Elig_MatchAll_Ct&lt;22,$BC598=(Elig_MatchAll_Ct-1),AR598=0),O598,0)</f>
        <v>0</v>
      </c>
      <c r="BU598" s="188">
        <f>IF(AND(Input_Product=Elig!$C598,Elig_MatchAll_Ct&lt;22,$BC598=(Elig_MatchAll_Ct-1),AS598=0),P598,0)</f>
        <v>0</v>
      </c>
      <c r="BV598" s="189">
        <f>IF(AND(Input_Product=Elig!$C598,Elig_MatchAll_Ct&lt;22,$BC598=(Elig_MatchAll_Ct-1),AT598=0),Q598,0)</f>
        <v>0</v>
      </c>
      <c r="BW598" s="271">
        <f>IF(AND(Input_Product=Elig!$C598,Elig_MatchAll_Ct&lt;22,$BC598=(Elig_MatchAll_Ct-1),AU598=0),R598,0)</f>
        <v>0</v>
      </c>
      <c r="BX598" s="272">
        <f>IF(AND(Input_Product=Elig!$C598,Elig_MatchAll_Ct&lt;22,$BC598=(Elig_MatchAll_Ct-1),AU598=0),S598,0)</f>
        <v>0</v>
      </c>
      <c r="BY598" s="271">
        <f>IF(AND(Input_Product=Elig!$C598,Elig_MatchAll_Ct&lt;22,$BC598=(Elig_MatchAll_Ct-1),AV598=0),T598,0)</f>
        <v>0</v>
      </c>
      <c r="BZ598" s="272">
        <f>IF(AND(Input_Product=Elig!$C598,Elig_MatchAll_Ct&lt;22,$BC598=(Elig_MatchAll_Ct-1),AV598=0),U598,0)</f>
        <v>0</v>
      </c>
      <c r="CA598" s="271">
        <f>IF(AND(Input_Product=Elig!$C598,Elig_MatchAll_Ct&lt;22,$BC598=(Elig_MatchAll_Ct-1),AW598=0),V598,0)</f>
        <v>0</v>
      </c>
      <c r="CB598" s="272">
        <f>IF(AND(Input_Product=Elig!$C598,Elig_MatchAll_Ct&lt;22,$BC598=(Elig_MatchAll_Ct-1),AW598=0),W598,0)</f>
        <v>0</v>
      </c>
      <c r="CC598" s="271">
        <f>IF(AND(Input_Product=Elig!$C598,Elig_MatchAll_Ct&lt;22,$BC598=(Elig_MatchAll_Ct-1),AX598=0),X598,0)</f>
        <v>0</v>
      </c>
      <c r="CD598" s="272">
        <f>IF(AND(Input_Product=Elig!$C598,Elig_MatchAll_Ct&lt;22,$BC598=(Elig_MatchAll_Ct-1),AX598=0),Y598,0)</f>
        <v>0</v>
      </c>
      <c r="CE598" s="271">
        <f>IF(AND(Input_LTV&lt;=AE598,Input_Product=Elig!$C598,Elig_MatchAll_Ct&lt;22,$BC598=(Elig_MatchAll_Ct-1),AY598=0),Z598,0)</f>
        <v>0</v>
      </c>
      <c r="CF598" s="272">
        <f>IF(AND(Input_LTV&lt;=AE598,Input_Product=Elig!$C598,Elig_MatchAll_Ct&lt;22,$BC598=(Elig_MatchAll_Ct-1),AY598=0),AA598,0)</f>
        <v>0</v>
      </c>
      <c r="CG598" s="271">
        <f>IF(AND(Input_Product=Elig!$C598,Elig_MatchAll_Ct&lt;22,$BC598=(Elig_MatchAll_Ct-1),AZ598=0),AB598,0)</f>
        <v>0</v>
      </c>
      <c r="CH598" s="272">
        <f>IF(AND(Input_Product=Elig!$C598,Elig_MatchAll_Ct&lt;22,$BC598=(Elig_MatchAll_Ct-1),AZ598=0),AC598,0)</f>
        <v>0</v>
      </c>
      <c r="CI598" s="271">
        <f>IF(AND(Input_Product=Elig!$C598,Elig_MatchAll_Ct&lt;22,$BC598=(Elig_MatchAll_Ct-1),BA598=0),AD598,0)</f>
        <v>0</v>
      </c>
      <c r="CJ598" s="272">
        <f>IF(AND(Input_Product=Elig!$C598,Elig_MatchAll_Ct&lt;22,$BC598=(Elig_MatchAll_Ct-1),BA598=0),AE598,0)</f>
        <v>0</v>
      </c>
    </row>
    <row r="599" spans="1:88" ht="10.15" customHeight="1" x14ac:dyDescent="0.25">
      <c r="A599" s="1476" t="s">
        <v>76</v>
      </c>
      <c r="B599" s="1476" t="s">
        <v>1376</v>
      </c>
      <c r="C599" s="1473" t="str">
        <f t="shared" si="204"/>
        <v>Second OO</v>
      </c>
      <c r="D599" s="1474" t="s">
        <v>1121</v>
      </c>
      <c r="E599" s="1474" t="s">
        <v>98</v>
      </c>
      <c r="F599" s="1474" t="s">
        <v>328</v>
      </c>
      <c r="G599" s="1537" t="s">
        <v>469</v>
      </c>
      <c r="H599" s="1474" t="s">
        <v>135</v>
      </c>
      <c r="I599" s="1472" t="s">
        <v>1141</v>
      </c>
      <c r="J599" s="1472" t="s">
        <v>1130</v>
      </c>
      <c r="K599" s="1474" t="s">
        <v>2464</v>
      </c>
      <c r="L599" s="1472" t="s">
        <v>428</v>
      </c>
      <c r="M599" s="1472" t="s">
        <v>1835</v>
      </c>
      <c r="N599" s="1474" t="s">
        <v>82</v>
      </c>
      <c r="O599" s="1472" t="s">
        <v>309</v>
      </c>
      <c r="P599" s="1472" t="s">
        <v>2433</v>
      </c>
      <c r="Q599" s="1472" t="s">
        <v>293</v>
      </c>
      <c r="R599" s="1472">
        <v>200000</v>
      </c>
      <c r="S599" s="1472">
        <v>350000</v>
      </c>
      <c r="T599" s="1472">
        <v>0</v>
      </c>
      <c r="U599" s="1472">
        <f t="shared" si="205"/>
        <v>350000</v>
      </c>
      <c r="V599" s="1472">
        <v>0</v>
      </c>
      <c r="W599" s="1472">
        <v>50</v>
      </c>
      <c r="X599" s="1472">
        <v>0</v>
      </c>
      <c r="Y599" s="1472">
        <v>999</v>
      </c>
      <c r="Z599" s="1475">
        <v>720</v>
      </c>
      <c r="AA599" s="1475">
        <v>999</v>
      </c>
      <c r="AB599" s="1475">
        <v>0</v>
      </c>
      <c r="AC599" s="1475">
        <v>999999</v>
      </c>
      <c r="AD599" s="1472">
        <v>0</v>
      </c>
      <c r="AE599" s="1218">
        <v>75</v>
      </c>
      <c r="AF599" s="144">
        <v>0</v>
      </c>
      <c r="AG599" s="145">
        <v>0</v>
      </c>
      <c r="AH599" s="145">
        <v>1</v>
      </c>
      <c r="AI599" s="145">
        <v>0</v>
      </c>
      <c r="AJ599" s="145">
        <v>0</v>
      </c>
      <c r="AK599" s="145">
        <v>1</v>
      </c>
      <c r="AL599" s="145">
        <v>1</v>
      </c>
      <c r="AM599" s="145">
        <v>1</v>
      </c>
      <c r="AN599" s="145">
        <v>1</v>
      </c>
      <c r="AO599" s="145">
        <v>1</v>
      </c>
      <c r="AP599" s="145">
        <v>1</v>
      </c>
      <c r="AQ599" s="145">
        <v>0</v>
      </c>
      <c r="AR599" s="145">
        <v>1</v>
      </c>
      <c r="AS599" s="145">
        <v>1</v>
      </c>
      <c r="AT599" s="145">
        <v>1</v>
      </c>
      <c r="AU599" s="145">
        <f t="shared" si="206"/>
        <v>0</v>
      </c>
      <c r="AV599" s="145">
        <f t="shared" si="207"/>
        <v>1</v>
      </c>
      <c r="AW599" s="145">
        <f t="shared" si="208"/>
        <v>1</v>
      </c>
      <c r="AX599" s="145">
        <f t="shared" si="212"/>
        <v>1</v>
      </c>
      <c r="AY599" s="145">
        <f t="shared" si="209"/>
        <v>1</v>
      </c>
      <c r="AZ599" s="145">
        <f t="shared" si="210"/>
        <v>1</v>
      </c>
      <c r="BA599" s="146">
        <f t="shared" si="211"/>
        <v>1</v>
      </c>
      <c r="BB599" s="149">
        <f t="shared" si="214"/>
        <v>16</v>
      </c>
      <c r="BC599" s="150">
        <f t="shared" si="215"/>
        <v>15</v>
      </c>
      <c r="BD599" s="150">
        <f t="shared" si="216"/>
        <v>16</v>
      </c>
      <c r="BE599" s="211" t="str">
        <f t="shared" si="217"/>
        <v/>
      </c>
      <c r="BF599" s="194"/>
      <c r="BG599" s="194"/>
      <c r="BH599" s="190">
        <f>IF(AND(Input_Product=Elig!$C599,Elig_MatchAll_Ct&lt;22,$BC599=(Elig_MatchAll_Ct-1),AF599=0),C599,0)</f>
        <v>0</v>
      </c>
      <c r="BI599" s="190">
        <f>IF(AND(Input_Product=Elig!$C599,Elig_MatchAll_Ct&lt;22,$BC599=(Elig_MatchAll_Ct-1),AG599=0),D599,0)</f>
        <v>0</v>
      </c>
      <c r="BJ599" s="190">
        <f>IF(AND(Input_Product=Elig!$C599,Elig_MatchAll_Ct&lt;22,$BC599=(Elig_MatchAll_Ct-1),AH599=0),E599,0)</f>
        <v>0</v>
      </c>
      <c r="BK599" s="190">
        <f>IF(AND(Input_Product=Elig!$C599,Elig_MatchAll_Ct&lt;22,$BC599=(Elig_MatchAll_Ct-1),AI599=0),F599,0)</f>
        <v>0</v>
      </c>
      <c r="BL599" s="190">
        <f>IF(AND(Input_Product=Elig!$C599,Elig_MatchAll_Ct&lt;22,$BC599=(Elig_MatchAll_Ct-1),AJ599=0),G599,0)</f>
        <v>0</v>
      </c>
      <c r="BM599" s="190">
        <f>IF(AND(Input_Product=Elig!$C599,Elig_MatchAll_Ct&lt;22,$BC599=(Elig_MatchAll_Ct-1),AK599=0),H599,0)</f>
        <v>0</v>
      </c>
      <c r="BN599" s="190">
        <f>IF(AND(Input_Product=Elig!$C599,Elig_MatchAll_Ct&lt;22,$BC599=(Elig_MatchAll_Ct-1),AL599=0),I599,0)</f>
        <v>0</v>
      </c>
      <c r="BO599" s="190">
        <f>IF(AND(Input_Product=Elig!$C599,Elig_MatchAll_Ct&lt;22,$BC599=(Elig_MatchAll_Ct-1),AM599=0),J599,0)</f>
        <v>0</v>
      </c>
      <c r="BP599" s="190">
        <f>IF(AND(Input_Product=Elig!$C599,Elig_MatchAll_Ct&lt;22,$BC599=(Elig_MatchAll_Ct-1),AN599=0),K599,0)</f>
        <v>0</v>
      </c>
      <c r="BQ599" s="190">
        <f>IF(AND(Input_Product=Elig!$C599,Elig_MatchAll_Ct&lt;22,$BC599=(Elig_MatchAll_Ct-1),AP599=0),L599,0)</f>
        <v>0</v>
      </c>
      <c r="BR599" s="190">
        <f>IF(AND(Input_Product=Elig!$C599,Elig_MatchAll_Ct&lt;22,$BC599=(Elig_MatchAll_Ct-1),AO599=0),M599,0)</f>
        <v>0</v>
      </c>
      <c r="BS599" s="190">
        <f>IF(AND(Input_Product=Elig!$C599,Elig_MatchAll_Ct&lt;22,$BC599=(Elig_MatchAll_Ct-1),AQ599=0),N599,0)</f>
        <v>0</v>
      </c>
      <c r="BT599" s="190">
        <f>IF(AND(Input_Product=Elig!$C599,Elig_MatchAll_Ct&lt;22,$BC599=(Elig_MatchAll_Ct-1),AR599=0),O599,0)</f>
        <v>0</v>
      </c>
      <c r="BU599" s="190">
        <f>IF(AND(Input_Product=Elig!$C599,Elig_MatchAll_Ct&lt;22,$BC599=(Elig_MatchAll_Ct-1),AS599=0),P599,0)</f>
        <v>0</v>
      </c>
      <c r="BV599" s="191">
        <f>IF(AND(Input_Product=Elig!$C599,Elig_MatchAll_Ct&lt;22,$BC599=(Elig_MatchAll_Ct-1),AT599=0),Q599,0)</f>
        <v>0</v>
      </c>
      <c r="BW599" s="273">
        <f>IF(AND(Input_Product=Elig!$C599,Elig_MatchAll_Ct&lt;22,$BC599=(Elig_MatchAll_Ct-1),AU599=0),R599,0)</f>
        <v>0</v>
      </c>
      <c r="BX599" s="274">
        <f>IF(AND(Input_Product=Elig!$C599,Elig_MatchAll_Ct&lt;22,$BC599=(Elig_MatchAll_Ct-1),AU599=0),S599,0)</f>
        <v>0</v>
      </c>
      <c r="BY599" s="273">
        <f>IF(AND(Input_Product=Elig!$C599,Elig_MatchAll_Ct&lt;22,$BC599=(Elig_MatchAll_Ct-1),AV599=0),T599,0)</f>
        <v>0</v>
      </c>
      <c r="BZ599" s="274">
        <f>IF(AND(Input_Product=Elig!$C599,Elig_MatchAll_Ct&lt;22,$BC599=(Elig_MatchAll_Ct-1),AV599=0),U599,0)</f>
        <v>0</v>
      </c>
      <c r="CA599" s="273">
        <f>IF(AND(Input_Product=Elig!$C599,Elig_MatchAll_Ct&lt;22,$BC599=(Elig_MatchAll_Ct-1),AW599=0),V599,0)</f>
        <v>0</v>
      </c>
      <c r="CB599" s="274">
        <f>IF(AND(Input_Product=Elig!$C599,Elig_MatchAll_Ct&lt;22,$BC599=(Elig_MatchAll_Ct-1),AW599=0),W599,0)</f>
        <v>0</v>
      </c>
      <c r="CC599" s="273">
        <f>IF(AND(Input_Product=Elig!$C599,Elig_MatchAll_Ct&lt;22,$BC599=(Elig_MatchAll_Ct-1),AX599=0),X599,0)</f>
        <v>0</v>
      </c>
      <c r="CD599" s="274">
        <f>IF(AND(Input_Product=Elig!$C599,Elig_MatchAll_Ct&lt;22,$BC599=(Elig_MatchAll_Ct-1),AX599=0),Y599,0)</f>
        <v>0</v>
      </c>
      <c r="CE599" s="273">
        <f>IF(AND(Input_LTV&lt;=AE599,Input_Product=Elig!$C599,Elig_MatchAll_Ct&lt;22,$BC599=(Elig_MatchAll_Ct-1),AY599=0),Z599,0)</f>
        <v>0</v>
      </c>
      <c r="CF599" s="274">
        <f>IF(AND(Input_LTV&lt;=AE599,Input_Product=Elig!$C599,Elig_MatchAll_Ct&lt;22,$BC599=(Elig_MatchAll_Ct-1),AY599=0),AA599,0)</f>
        <v>0</v>
      </c>
      <c r="CG599" s="273">
        <f>IF(AND(Input_Product=Elig!$C599,Elig_MatchAll_Ct&lt;22,$BC599=(Elig_MatchAll_Ct-1),AZ599=0),AB599,0)</f>
        <v>0</v>
      </c>
      <c r="CH599" s="274">
        <f>IF(AND(Input_Product=Elig!$C599,Elig_MatchAll_Ct&lt;22,$BC599=(Elig_MatchAll_Ct-1),AZ599=0),AC599,0)</f>
        <v>0</v>
      </c>
      <c r="CI599" s="273">
        <f>IF(AND(Input_Product=Elig!$C599,Elig_MatchAll_Ct&lt;22,$BC599=(Elig_MatchAll_Ct-1),BA599=0),AD599,0)</f>
        <v>0</v>
      </c>
      <c r="CJ599" s="274">
        <f>IF(AND(Input_Product=Elig!$C599,Elig_MatchAll_Ct&lt;22,$BC599=(Elig_MatchAll_Ct-1),BA599=0),AE599,0)</f>
        <v>0</v>
      </c>
    </row>
    <row r="600" spans="1:88" ht="10.15" customHeight="1" x14ac:dyDescent="0.25">
      <c r="A600" s="1476" t="s">
        <v>76</v>
      </c>
      <c r="B600" s="1476" t="s">
        <v>1377</v>
      </c>
      <c r="C600" s="1477" t="str">
        <f t="shared" si="204"/>
        <v>Second OO</v>
      </c>
      <c r="D600" s="1476" t="s">
        <v>1121</v>
      </c>
      <c r="E600" s="1476" t="s">
        <v>98</v>
      </c>
      <c r="F600" s="1476" t="s">
        <v>328</v>
      </c>
      <c r="G600" s="1544" t="s">
        <v>469</v>
      </c>
      <c r="H600" s="1478" t="s">
        <v>135</v>
      </c>
      <c r="I600" s="1476" t="s">
        <v>1141</v>
      </c>
      <c r="J600" s="1476" t="s">
        <v>1130</v>
      </c>
      <c r="K600" s="1478" t="s">
        <v>2464</v>
      </c>
      <c r="L600" s="1476" t="s">
        <v>428</v>
      </c>
      <c r="M600" s="1476" t="s">
        <v>1835</v>
      </c>
      <c r="N600" s="1478" t="s">
        <v>82</v>
      </c>
      <c r="O600" s="1476" t="s">
        <v>309</v>
      </c>
      <c r="P600" s="1476" t="s">
        <v>2433</v>
      </c>
      <c r="Q600" s="1476" t="s">
        <v>293</v>
      </c>
      <c r="R600" s="1476">
        <v>200000</v>
      </c>
      <c r="S600" s="1476">
        <v>350000</v>
      </c>
      <c r="T600" s="1476">
        <v>0</v>
      </c>
      <c r="U600" s="1476">
        <f t="shared" si="205"/>
        <v>350000</v>
      </c>
      <c r="V600" s="1476">
        <v>0</v>
      </c>
      <c r="W600" s="1476">
        <v>50</v>
      </c>
      <c r="X600" s="1476">
        <v>0</v>
      </c>
      <c r="Y600" s="1476">
        <v>999</v>
      </c>
      <c r="Z600" s="1479">
        <v>700</v>
      </c>
      <c r="AA600" s="1479">
        <v>719</v>
      </c>
      <c r="AB600" s="1479">
        <v>0</v>
      </c>
      <c r="AC600" s="1479">
        <v>999999</v>
      </c>
      <c r="AD600" s="1476">
        <v>0</v>
      </c>
      <c r="AE600" s="1219">
        <v>70</v>
      </c>
      <c r="AF600" s="144">
        <v>0</v>
      </c>
      <c r="AG600" s="145">
        <v>0</v>
      </c>
      <c r="AH600" s="145">
        <v>1</v>
      </c>
      <c r="AI600" s="145">
        <v>0</v>
      </c>
      <c r="AJ600" s="145">
        <v>0</v>
      </c>
      <c r="AK600" s="145">
        <v>1</v>
      </c>
      <c r="AL600" s="145">
        <v>1</v>
      </c>
      <c r="AM600" s="145">
        <v>1</v>
      </c>
      <c r="AN600" s="145">
        <v>1</v>
      </c>
      <c r="AO600" s="145">
        <v>1</v>
      </c>
      <c r="AP600" s="145">
        <v>1</v>
      </c>
      <c r="AQ600" s="145">
        <v>0</v>
      </c>
      <c r="AR600" s="145">
        <v>1</v>
      </c>
      <c r="AS600" s="145">
        <v>1</v>
      </c>
      <c r="AT600" s="145">
        <v>1</v>
      </c>
      <c r="AU600" s="145">
        <f t="shared" si="206"/>
        <v>0</v>
      </c>
      <c r="AV600" s="145">
        <f t="shared" si="207"/>
        <v>1</v>
      </c>
      <c r="AW600" s="145">
        <f t="shared" si="208"/>
        <v>1</v>
      </c>
      <c r="AX600" s="145">
        <f t="shared" si="212"/>
        <v>1</v>
      </c>
      <c r="AY600" s="145">
        <f t="shared" si="209"/>
        <v>0</v>
      </c>
      <c r="AZ600" s="145">
        <f t="shared" si="210"/>
        <v>1</v>
      </c>
      <c r="BA600" s="146">
        <f t="shared" si="211"/>
        <v>1</v>
      </c>
      <c r="BB600" s="149">
        <f t="shared" si="214"/>
        <v>15</v>
      </c>
      <c r="BC600" s="150">
        <f t="shared" si="215"/>
        <v>14</v>
      </c>
      <c r="BD600" s="150">
        <f t="shared" si="216"/>
        <v>15</v>
      </c>
      <c r="BE600" s="211" t="str">
        <f t="shared" si="217"/>
        <v/>
      </c>
      <c r="BF600" s="205"/>
      <c r="BG600" s="205"/>
      <c r="BH600" s="173">
        <f>IF(AND(Input_Product=Elig!$C600,Elig_MatchAll_Ct&lt;22,$BC600=(Elig_MatchAll_Ct-1),AF600=0),C600,0)</f>
        <v>0</v>
      </c>
      <c r="BI600" s="173">
        <f>IF(AND(Input_Product=Elig!$C600,Elig_MatchAll_Ct&lt;22,$BC600=(Elig_MatchAll_Ct-1),AG600=0),D600,0)</f>
        <v>0</v>
      </c>
      <c r="BJ600" s="173">
        <f>IF(AND(Input_Product=Elig!$C600,Elig_MatchAll_Ct&lt;22,$BC600=(Elig_MatchAll_Ct-1),AH600=0),E600,0)</f>
        <v>0</v>
      </c>
      <c r="BK600" s="173">
        <f>IF(AND(Input_Product=Elig!$C600,Elig_MatchAll_Ct&lt;22,$BC600=(Elig_MatchAll_Ct-1),AI600=0),F600,0)</f>
        <v>0</v>
      </c>
      <c r="BL600" s="173">
        <f>IF(AND(Input_Product=Elig!$C600,Elig_MatchAll_Ct&lt;22,$BC600=(Elig_MatchAll_Ct-1),AJ600=0),G600,0)</f>
        <v>0</v>
      </c>
      <c r="BM600" s="173">
        <f>IF(AND(Input_Product=Elig!$C600,Elig_MatchAll_Ct&lt;22,$BC600=(Elig_MatchAll_Ct-1),AK600=0),H600,0)</f>
        <v>0</v>
      </c>
      <c r="BN600" s="173">
        <f>IF(AND(Input_Product=Elig!$C600,Elig_MatchAll_Ct&lt;22,$BC600=(Elig_MatchAll_Ct-1),AL600=0),I600,0)</f>
        <v>0</v>
      </c>
      <c r="BO600" s="173">
        <f>IF(AND(Input_Product=Elig!$C600,Elig_MatchAll_Ct&lt;22,$BC600=(Elig_MatchAll_Ct-1),AM600=0),J600,0)</f>
        <v>0</v>
      </c>
      <c r="BP600" s="173">
        <f>IF(AND(Input_Product=Elig!$C600,Elig_MatchAll_Ct&lt;22,$BC600=(Elig_MatchAll_Ct-1),AN600=0),K600,0)</f>
        <v>0</v>
      </c>
      <c r="BQ600" s="173">
        <f>IF(AND(Input_Product=Elig!$C600,Elig_MatchAll_Ct&lt;22,$BC600=(Elig_MatchAll_Ct-1),AP600=0),L600,0)</f>
        <v>0</v>
      </c>
      <c r="BR600" s="173">
        <f>IF(AND(Input_Product=Elig!$C600,Elig_MatchAll_Ct&lt;22,$BC600=(Elig_MatchAll_Ct-1),AO600=0),M600,0)</f>
        <v>0</v>
      </c>
      <c r="BS600" s="173">
        <f>IF(AND(Input_Product=Elig!$C600,Elig_MatchAll_Ct&lt;22,$BC600=(Elig_MatchAll_Ct-1),AQ600=0),N600,0)</f>
        <v>0</v>
      </c>
      <c r="BT600" s="173">
        <f>IF(AND(Input_Product=Elig!$C600,Elig_MatchAll_Ct&lt;22,$BC600=(Elig_MatchAll_Ct-1),AR600=0),O600,0)</f>
        <v>0</v>
      </c>
      <c r="BU600" s="173">
        <f>IF(AND(Input_Product=Elig!$C600,Elig_MatchAll_Ct&lt;22,$BC600=(Elig_MatchAll_Ct-1),AS600=0),P600,0)</f>
        <v>0</v>
      </c>
      <c r="BV600" s="174">
        <f>IF(AND(Input_Product=Elig!$C600,Elig_MatchAll_Ct&lt;22,$BC600=(Elig_MatchAll_Ct-1),AT600=0),Q600,0)</f>
        <v>0</v>
      </c>
      <c r="BW600" s="175">
        <f>IF(AND(Input_Product=Elig!$C600,Elig_MatchAll_Ct&lt;22,$BC600=(Elig_MatchAll_Ct-1),AU600=0),R600,0)</f>
        <v>0</v>
      </c>
      <c r="BX600" s="176">
        <f>IF(AND(Input_Product=Elig!$C600,Elig_MatchAll_Ct&lt;22,$BC600=(Elig_MatchAll_Ct-1),AU600=0),S600,0)</f>
        <v>0</v>
      </c>
      <c r="BY600" s="175">
        <f>IF(AND(Input_Product=Elig!$C600,Elig_MatchAll_Ct&lt;22,$BC600=(Elig_MatchAll_Ct-1),AV600=0),T600,0)</f>
        <v>0</v>
      </c>
      <c r="BZ600" s="176">
        <f>IF(AND(Input_Product=Elig!$C600,Elig_MatchAll_Ct&lt;22,$BC600=(Elig_MatchAll_Ct-1),AV600=0),U600,0)</f>
        <v>0</v>
      </c>
      <c r="CA600" s="175">
        <f>IF(AND(Input_Product=Elig!$C600,Elig_MatchAll_Ct&lt;22,$BC600=(Elig_MatchAll_Ct-1),AW600=0),V600,0)</f>
        <v>0</v>
      </c>
      <c r="CB600" s="176">
        <f>IF(AND(Input_Product=Elig!$C600,Elig_MatchAll_Ct&lt;22,$BC600=(Elig_MatchAll_Ct-1),AW600=0),W600,0)</f>
        <v>0</v>
      </c>
      <c r="CC600" s="175">
        <f>IF(AND(Input_Product=Elig!$C600,Elig_MatchAll_Ct&lt;22,$BC600=(Elig_MatchAll_Ct-1),AX600=0),X600,0)</f>
        <v>0</v>
      </c>
      <c r="CD600" s="176">
        <f>IF(AND(Input_Product=Elig!$C600,Elig_MatchAll_Ct&lt;22,$BC600=(Elig_MatchAll_Ct-1),AX600=0),Y600,0)</f>
        <v>0</v>
      </c>
      <c r="CE600" s="175">
        <f>IF(AND(Input_LTV&lt;=AE600,Input_Product=Elig!$C600,Elig_MatchAll_Ct&lt;22,$BC600=(Elig_MatchAll_Ct-1),AY600=0),Z600,0)</f>
        <v>0</v>
      </c>
      <c r="CF600" s="176">
        <f>IF(AND(Input_LTV&lt;=AE600,Input_Product=Elig!$C600,Elig_MatchAll_Ct&lt;22,$BC600=(Elig_MatchAll_Ct-1),AY600=0),AA600,0)</f>
        <v>0</v>
      </c>
      <c r="CG600" s="175">
        <f>IF(AND(Input_Product=Elig!$C600,Elig_MatchAll_Ct&lt;22,$BC600=(Elig_MatchAll_Ct-1),AZ600=0),AB600,0)</f>
        <v>0</v>
      </c>
      <c r="CH600" s="176">
        <f>IF(AND(Input_Product=Elig!$C600,Elig_MatchAll_Ct&lt;22,$BC600=(Elig_MatchAll_Ct-1),AZ600=0),AC600,0)</f>
        <v>0</v>
      </c>
      <c r="CI600" s="175">
        <f>IF(AND(Input_Product=Elig!$C600,Elig_MatchAll_Ct&lt;22,$BC600=(Elig_MatchAll_Ct-1),BA600=0),AD600,0)</f>
        <v>0</v>
      </c>
      <c r="CJ600" s="176">
        <f>IF(AND(Input_Product=Elig!$C600,Elig_MatchAll_Ct&lt;22,$BC600=(Elig_MatchAll_Ct-1),BA600=0),AE600,0)</f>
        <v>0</v>
      </c>
    </row>
    <row r="601" spans="1:88" ht="10.15" customHeight="1" x14ac:dyDescent="0.25">
      <c r="A601" s="1476" t="s">
        <v>76</v>
      </c>
      <c r="B601" s="1476" t="s">
        <v>1378</v>
      </c>
      <c r="C601" s="1477" t="str">
        <f t="shared" si="204"/>
        <v>Second OO</v>
      </c>
      <c r="D601" s="1476" t="s">
        <v>1121</v>
      </c>
      <c r="E601" s="1476" t="s">
        <v>98</v>
      </c>
      <c r="F601" s="1476" t="s">
        <v>328</v>
      </c>
      <c r="G601" s="1544" t="s">
        <v>469</v>
      </c>
      <c r="H601" s="1478" t="s">
        <v>135</v>
      </c>
      <c r="I601" s="1476" t="s">
        <v>1141</v>
      </c>
      <c r="J601" s="1476" t="s">
        <v>1130</v>
      </c>
      <c r="K601" s="1478" t="s">
        <v>2464</v>
      </c>
      <c r="L601" s="1476" t="s">
        <v>428</v>
      </c>
      <c r="M601" s="1476" t="s">
        <v>1835</v>
      </c>
      <c r="N601" s="1478" t="s">
        <v>82</v>
      </c>
      <c r="O601" s="1476" t="s">
        <v>309</v>
      </c>
      <c r="P601" s="1476" t="s">
        <v>2433</v>
      </c>
      <c r="Q601" s="1476" t="s">
        <v>293</v>
      </c>
      <c r="R601" s="1476">
        <v>200000</v>
      </c>
      <c r="S601" s="1476">
        <v>350000</v>
      </c>
      <c r="T601" s="1476">
        <v>0</v>
      </c>
      <c r="U601" s="1476">
        <f t="shared" si="205"/>
        <v>350000</v>
      </c>
      <c r="V601" s="1476">
        <v>0</v>
      </c>
      <c r="W601" s="1476">
        <v>50</v>
      </c>
      <c r="X601" s="1476">
        <v>0</v>
      </c>
      <c r="Y601" s="1476">
        <v>999</v>
      </c>
      <c r="Z601" s="1479">
        <v>680</v>
      </c>
      <c r="AA601" s="1479">
        <v>699</v>
      </c>
      <c r="AB601" s="1479">
        <v>0</v>
      </c>
      <c r="AC601" s="1479">
        <v>999999</v>
      </c>
      <c r="AD601" s="1476">
        <v>0</v>
      </c>
      <c r="AE601" s="1219">
        <v>65</v>
      </c>
      <c r="AF601" s="144">
        <v>0</v>
      </c>
      <c r="AG601" s="145">
        <v>0</v>
      </c>
      <c r="AH601" s="145">
        <v>1</v>
      </c>
      <c r="AI601" s="145">
        <v>0</v>
      </c>
      <c r="AJ601" s="145">
        <v>0</v>
      </c>
      <c r="AK601" s="145">
        <v>1</v>
      </c>
      <c r="AL601" s="145">
        <v>1</v>
      </c>
      <c r="AM601" s="145">
        <v>1</v>
      </c>
      <c r="AN601" s="145">
        <v>1</v>
      </c>
      <c r="AO601" s="145">
        <v>1</v>
      </c>
      <c r="AP601" s="145">
        <v>1</v>
      </c>
      <c r="AQ601" s="145">
        <v>0</v>
      </c>
      <c r="AR601" s="145">
        <v>1</v>
      </c>
      <c r="AS601" s="145">
        <v>1</v>
      </c>
      <c r="AT601" s="145">
        <v>1</v>
      </c>
      <c r="AU601" s="145">
        <f t="shared" si="206"/>
        <v>0</v>
      </c>
      <c r="AV601" s="145">
        <f t="shared" si="207"/>
        <v>1</v>
      </c>
      <c r="AW601" s="145">
        <f t="shared" si="208"/>
        <v>1</v>
      </c>
      <c r="AX601" s="145">
        <f t="shared" si="212"/>
        <v>1</v>
      </c>
      <c r="AY601" s="145">
        <f t="shared" si="209"/>
        <v>0</v>
      </c>
      <c r="AZ601" s="145">
        <f t="shared" si="210"/>
        <v>1</v>
      </c>
      <c r="BA601" s="146">
        <f t="shared" si="211"/>
        <v>0</v>
      </c>
      <c r="BB601" s="149">
        <f t="shared" si="214"/>
        <v>14</v>
      </c>
      <c r="BC601" s="150">
        <f t="shared" si="215"/>
        <v>14</v>
      </c>
      <c r="BD601" s="150">
        <f t="shared" si="216"/>
        <v>14</v>
      </c>
      <c r="BE601" s="211" t="str">
        <f t="shared" si="217"/>
        <v/>
      </c>
      <c r="BF601" s="205"/>
      <c r="BG601" s="205"/>
      <c r="BH601" s="173">
        <f>IF(AND(Input_Product=Elig!$C601,Elig_MatchAll_Ct&lt;22,$BC601=(Elig_MatchAll_Ct-1),AF601=0),C601,0)</f>
        <v>0</v>
      </c>
      <c r="BI601" s="173">
        <f>IF(AND(Input_Product=Elig!$C601,Elig_MatchAll_Ct&lt;22,$BC601=(Elig_MatchAll_Ct-1),AG601=0),D601,0)</f>
        <v>0</v>
      </c>
      <c r="BJ601" s="173">
        <f>IF(AND(Input_Product=Elig!$C601,Elig_MatchAll_Ct&lt;22,$BC601=(Elig_MatchAll_Ct-1),AH601=0),E601,0)</f>
        <v>0</v>
      </c>
      <c r="BK601" s="173">
        <f>IF(AND(Input_Product=Elig!$C601,Elig_MatchAll_Ct&lt;22,$BC601=(Elig_MatchAll_Ct-1),AI601=0),F601,0)</f>
        <v>0</v>
      </c>
      <c r="BL601" s="173">
        <f>IF(AND(Input_Product=Elig!$C601,Elig_MatchAll_Ct&lt;22,$BC601=(Elig_MatchAll_Ct-1),AJ601=0),G601,0)</f>
        <v>0</v>
      </c>
      <c r="BM601" s="173">
        <f>IF(AND(Input_Product=Elig!$C601,Elig_MatchAll_Ct&lt;22,$BC601=(Elig_MatchAll_Ct-1),AK601=0),H601,0)</f>
        <v>0</v>
      </c>
      <c r="BN601" s="173">
        <f>IF(AND(Input_Product=Elig!$C601,Elig_MatchAll_Ct&lt;22,$BC601=(Elig_MatchAll_Ct-1),AL601=0),I601,0)</f>
        <v>0</v>
      </c>
      <c r="BO601" s="173">
        <f>IF(AND(Input_Product=Elig!$C601,Elig_MatchAll_Ct&lt;22,$BC601=(Elig_MatchAll_Ct-1),AM601=0),J601,0)</f>
        <v>0</v>
      </c>
      <c r="BP601" s="173">
        <f>IF(AND(Input_Product=Elig!$C601,Elig_MatchAll_Ct&lt;22,$BC601=(Elig_MatchAll_Ct-1),AN601=0),K601,0)</f>
        <v>0</v>
      </c>
      <c r="BQ601" s="173">
        <f>IF(AND(Input_Product=Elig!$C601,Elig_MatchAll_Ct&lt;22,$BC601=(Elig_MatchAll_Ct-1),AP601=0),L601,0)</f>
        <v>0</v>
      </c>
      <c r="BR601" s="173">
        <f>IF(AND(Input_Product=Elig!$C601,Elig_MatchAll_Ct&lt;22,$BC601=(Elig_MatchAll_Ct-1),AO601=0),M601,0)</f>
        <v>0</v>
      </c>
      <c r="BS601" s="173">
        <f>IF(AND(Input_Product=Elig!$C601,Elig_MatchAll_Ct&lt;22,$BC601=(Elig_MatchAll_Ct-1),AQ601=0),N601,0)</f>
        <v>0</v>
      </c>
      <c r="BT601" s="173">
        <f>IF(AND(Input_Product=Elig!$C601,Elig_MatchAll_Ct&lt;22,$BC601=(Elig_MatchAll_Ct-1),AR601=0),O601,0)</f>
        <v>0</v>
      </c>
      <c r="BU601" s="173">
        <f>IF(AND(Input_Product=Elig!$C601,Elig_MatchAll_Ct&lt;22,$BC601=(Elig_MatchAll_Ct-1),AS601=0),P601,0)</f>
        <v>0</v>
      </c>
      <c r="BV601" s="174">
        <f>IF(AND(Input_Product=Elig!$C601,Elig_MatchAll_Ct&lt;22,$BC601=(Elig_MatchAll_Ct-1),AT601=0),Q601,0)</f>
        <v>0</v>
      </c>
      <c r="BW601" s="175">
        <f>IF(AND(Input_Product=Elig!$C601,Elig_MatchAll_Ct&lt;22,$BC601=(Elig_MatchAll_Ct-1),AU601=0),R601,0)</f>
        <v>0</v>
      </c>
      <c r="BX601" s="176">
        <f>IF(AND(Input_Product=Elig!$C601,Elig_MatchAll_Ct&lt;22,$BC601=(Elig_MatchAll_Ct-1),AU601=0),S601,0)</f>
        <v>0</v>
      </c>
      <c r="BY601" s="175">
        <f>IF(AND(Input_Product=Elig!$C601,Elig_MatchAll_Ct&lt;22,$BC601=(Elig_MatchAll_Ct-1),AV601=0),T601,0)</f>
        <v>0</v>
      </c>
      <c r="BZ601" s="176">
        <f>IF(AND(Input_Product=Elig!$C601,Elig_MatchAll_Ct&lt;22,$BC601=(Elig_MatchAll_Ct-1),AV601=0),U601,0)</f>
        <v>0</v>
      </c>
      <c r="CA601" s="175">
        <f>IF(AND(Input_Product=Elig!$C601,Elig_MatchAll_Ct&lt;22,$BC601=(Elig_MatchAll_Ct-1),AW601=0),V601,0)</f>
        <v>0</v>
      </c>
      <c r="CB601" s="176">
        <f>IF(AND(Input_Product=Elig!$C601,Elig_MatchAll_Ct&lt;22,$BC601=(Elig_MatchAll_Ct-1),AW601=0),W601,0)</f>
        <v>0</v>
      </c>
      <c r="CC601" s="175">
        <f>IF(AND(Input_Product=Elig!$C601,Elig_MatchAll_Ct&lt;22,$BC601=(Elig_MatchAll_Ct-1),AX601=0),X601,0)</f>
        <v>0</v>
      </c>
      <c r="CD601" s="176">
        <f>IF(AND(Input_Product=Elig!$C601,Elig_MatchAll_Ct&lt;22,$BC601=(Elig_MatchAll_Ct-1),AX601=0),Y601,0)</f>
        <v>0</v>
      </c>
      <c r="CE601" s="175">
        <f>IF(AND(Input_LTV&lt;=AE601,Input_Product=Elig!$C601,Elig_MatchAll_Ct&lt;22,$BC601=(Elig_MatchAll_Ct-1),AY601=0),Z601,0)</f>
        <v>0</v>
      </c>
      <c r="CF601" s="176">
        <f>IF(AND(Input_LTV&lt;=AE601,Input_Product=Elig!$C601,Elig_MatchAll_Ct&lt;22,$BC601=(Elig_MatchAll_Ct-1),AY601=0),AA601,0)</f>
        <v>0</v>
      </c>
      <c r="CG601" s="175">
        <f>IF(AND(Input_Product=Elig!$C601,Elig_MatchAll_Ct&lt;22,$BC601=(Elig_MatchAll_Ct-1),AZ601=0),AB601,0)</f>
        <v>0</v>
      </c>
      <c r="CH601" s="176">
        <f>IF(AND(Input_Product=Elig!$C601,Elig_MatchAll_Ct&lt;22,$BC601=(Elig_MatchAll_Ct-1),AZ601=0),AC601,0)</f>
        <v>0</v>
      </c>
      <c r="CI601" s="175">
        <f>IF(AND(Input_Product=Elig!$C601,Elig_MatchAll_Ct&lt;22,$BC601=(Elig_MatchAll_Ct-1),BA601=0),AD601,0)</f>
        <v>0</v>
      </c>
      <c r="CJ601" s="176">
        <f>IF(AND(Input_Product=Elig!$C601,Elig_MatchAll_Ct&lt;22,$BC601=(Elig_MatchAll_Ct-1),BA601=0),AE601,0)</f>
        <v>0</v>
      </c>
    </row>
    <row r="602" spans="1:88" ht="10.15" customHeight="1" x14ac:dyDescent="0.25">
      <c r="A602" s="1476" t="s">
        <v>76</v>
      </c>
      <c r="B602" s="1476" t="s">
        <v>1379</v>
      </c>
      <c r="C602" s="1481" t="str">
        <f t="shared" si="204"/>
        <v>Second OO</v>
      </c>
      <c r="D602" s="1480" t="s">
        <v>1121</v>
      </c>
      <c r="E602" s="1480" t="s">
        <v>98</v>
      </c>
      <c r="F602" s="1480" t="s">
        <v>328</v>
      </c>
      <c r="G602" s="1545" t="s">
        <v>469</v>
      </c>
      <c r="H602" s="1482" t="s">
        <v>135</v>
      </c>
      <c r="I602" s="1480" t="s">
        <v>1141</v>
      </c>
      <c r="J602" s="1480" t="s">
        <v>1130</v>
      </c>
      <c r="K602" s="1482" t="s">
        <v>2464</v>
      </c>
      <c r="L602" s="1480" t="s">
        <v>428</v>
      </c>
      <c r="M602" s="1480" t="s">
        <v>1835</v>
      </c>
      <c r="N602" s="1482" t="s">
        <v>82</v>
      </c>
      <c r="O602" s="1480" t="s">
        <v>309</v>
      </c>
      <c r="P602" s="1480" t="s">
        <v>2433</v>
      </c>
      <c r="Q602" s="1480" t="s">
        <v>293</v>
      </c>
      <c r="R602" s="1480">
        <v>200000</v>
      </c>
      <c r="S602" s="1480">
        <v>350000</v>
      </c>
      <c r="T602" s="1480">
        <v>0</v>
      </c>
      <c r="U602" s="1480">
        <f t="shared" si="205"/>
        <v>350000</v>
      </c>
      <c r="V602" s="1480">
        <v>0</v>
      </c>
      <c r="W602" s="1480">
        <v>50</v>
      </c>
      <c r="X602" s="1480">
        <v>0</v>
      </c>
      <c r="Y602" s="1480">
        <v>999</v>
      </c>
      <c r="Z602" s="1483">
        <v>660</v>
      </c>
      <c r="AA602" s="1483">
        <v>679</v>
      </c>
      <c r="AB602" s="1483">
        <v>0</v>
      </c>
      <c r="AC602" s="1483">
        <v>999999</v>
      </c>
      <c r="AD602" s="1480">
        <v>0</v>
      </c>
      <c r="AE602" s="1220">
        <v>60</v>
      </c>
      <c r="AF602" s="144">
        <v>0</v>
      </c>
      <c r="AG602" s="145">
        <v>0</v>
      </c>
      <c r="AH602" s="145">
        <v>1</v>
      </c>
      <c r="AI602" s="145">
        <v>0</v>
      </c>
      <c r="AJ602" s="145">
        <v>0</v>
      </c>
      <c r="AK602" s="145">
        <v>1</v>
      </c>
      <c r="AL602" s="145">
        <v>1</v>
      </c>
      <c r="AM602" s="145">
        <v>1</v>
      </c>
      <c r="AN602" s="145">
        <v>1</v>
      </c>
      <c r="AO602" s="145">
        <v>1</v>
      </c>
      <c r="AP602" s="145">
        <v>1</v>
      </c>
      <c r="AQ602" s="145">
        <v>0</v>
      </c>
      <c r="AR602" s="145">
        <v>1</v>
      </c>
      <c r="AS602" s="145">
        <v>1</v>
      </c>
      <c r="AT602" s="145">
        <v>1</v>
      </c>
      <c r="AU602" s="145">
        <f t="shared" si="206"/>
        <v>0</v>
      </c>
      <c r="AV602" s="145">
        <f t="shared" si="207"/>
        <v>1</v>
      </c>
      <c r="AW602" s="145">
        <f t="shared" si="208"/>
        <v>1</v>
      </c>
      <c r="AX602" s="145">
        <f t="shared" si="212"/>
        <v>1</v>
      </c>
      <c r="AY602" s="145">
        <f t="shared" si="209"/>
        <v>0</v>
      </c>
      <c r="AZ602" s="145">
        <f t="shared" si="210"/>
        <v>1</v>
      </c>
      <c r="BA602" s="146">
        <f t="shared" si="211"/>
        <v>0</v>
      </c>
      <c r="BB602" s="149">
        <f t="shared" si="214"/>
        <v>14</v>
      </c>
      <c r="BC602" s="150">
        <f t="shared" si="215"/>
        <v>14</v>
      </c>
      <c r="BD602" s="150">
        <f t="shared" si="216"/>
        <v>14</v>
      </c>
      <c r="BE602" s="211" t="str">
        <f t="shared" si="217"/>
        <v/>
      </c>
      <c r="BF602" s="205"/>
      <c r="BG602" s="205"/>
      <c r="BH602" s="188">
        <f>IF(AND(Input_Product=Elig!$C602,Elig_MatchAll_Ct&lt;22,$BC602=(Elig_MatchAll_Ct-1),AF602=0),C602,0)</f>
        <v>0</v>
      </c>
      <c r="BI602" s="188">
        <f>IF(AND(Input_Product=Elig!$C602,Elig_MatchAll_Ct&lt;22,$BC602=(Elig_MatchAll_Ct-1),AG602=0),D602,0)</f>
        <v>0</v>
      </c>
      <c r="BJ602" s="188">
        <f>IF(AND(Input_Product=Elig!$C602,Elig_MatchAll_Ct&lt;22,$BC602=(Elig_MatchAll_Ct-1),AH602=0),E602,0)</f>
        <v>0</v>
      </c>
      <c r="BK602" s="188">
        <f>IF(AND(Input_Product=Elig!$C602,Elig_MatchAll_Ct&lt;22,$BC602=(Elig_MatchAll_Ct-1),AI602=0),F602,0)</f>
        <v>0</v>
      </c>
      <c r="BL602" s="188">
        <f>IF(AND(Input_Product=Elig!$C602,Elig_MatchAll_Ct&lt;22,$BC602=(Elig_MatchAll_Ct-1),AJ602=0),G602,0)</f>
        <v>0</v>
      </c>
      <c r="BM602" s="188">
        <f>IF(AND(Input_Product=Elig!$C602,Elig_MatchAll_Ct&lt;22,$BC602=(Elig_MatchAll_Ct-1),AK602=0),H602,0)</f>
        <v>0</v>
      </c>
      <c r="BN602" s="188">
        <f>IF(AND(Input_Product=Elig!$C602,Elig_MatchAll_Ct&lt;22,$BC602=(Elig_MatchAll_Ct-1),AL602=0),I602,0)</f>
        <v>0</v>
      </c>
      <c r="BO602" s="188">
        <f>IF(AND(Input_Product=Elig!$C602,Elig_MatchAll_Ct&lt;22,$BC602=(Elig_MatchAll_Ct-1),AM602=0),J602,0)</f>
        <v>0</v>
      </c>
      <c r="BP602" s="188">
        <f>IF(AND(Input_Product=Elig!$C602,Elig_MatchAll_Ct&lt;22,$BC602=(Elig_MatchAll_Ct-1),AN602=0),K602,0)</f>
        <v>0</v>
      </c>
      <c r="BQ602" s="188">
        <f>IF(AND(Input_Product=Elig!$C602,Elig_MatchAll_Ct&lt;22,$BC602=(Elig_MatchAll_Ct-1),AP602=0),L602,0)</f>
        <v>0</v>
      </c>
      <c r="BR602" s="188">
        <f>IF(AND(Input_Product=Elig!$C602,Elig_MatchAll_Ct&lt;22,$BC602=(Elig_MatchAll_Ct-1),AO602=0),M602,0)</f>
        <v>0</v>
      </c>
      <c r="BS602" s="188">
        <f>IF(AND(Input_Product=Elig!$C602,Elig_MatchAll_Ct&lt;22,$BC602=(Elig_MatchAll_Ct-1),AQ602=0),N602,0)</f>
        <v>0</v>
      </c>
      <c r="BT602" s="188">
        <f>IF(AND(Input_Product=Elig!$C602,Elig_MatchAll_Ct&lt;22,$BC602=(Elig_MatchAll_Ct-1),AR602=0),O602,0)</f>
        <v>0</v>
      </c>
      <c r="BU602" s="188">
        <f>IF(AND(Input_Product=Elig!$C602,Elig_MatchAll_Ct&lt;22,$BC602=(Elig_MatchAll_Ct-1),AS602=0),P602,0)</f>
        <v>0</v>
      </c>
      <c r="BV602" s="189">
        <f>IF(AND(Input_Product=Elig!$C602,Elig_MatchAll_Ct&lt;22,$BC602=(Elig_MatchAll_Ct-1),AT602=0),Q602,0)</f>
        <v>0</v>
      </c>
      <c r="BW602" s="271">
        <f>IF(AND(Input_Product=Elig!$C602,Elig_MatchAll_Ct&lt;22,$BC602=(Elig_MatchAll_Ct-1),AU602=0),R602,0)</f>
        <v>0</v>
      </c>
      <c r="BX602" s="272">
        <f>IF(AND(Input_Product=Elig!$C602,Elig_MatchAll_Ct&lt;22,$BC602=(Elig_MatchAll_Ct-1),AU602=0),S602,0)</f>
        <v>0</v>
      </c>
      <c r="BY602" s="271">
        <f>IF(AND(Input_Product=Elig!$C602,Elig_MatchAll_Ct&lt;22,$BC602=(Elig_MatchAll_Ct-1),AV602=0),T602,0)</f>
        <v>0</v>
      </c>
      <c r="BZ602" s="272">
        <f>IF(AND(Input_Product=Elig!$C602,Elig_MatchAll_Ct&lt;22,$BC602=(Elig_MatchAll_Ct-1),AV602=0),U602,0)</f>
        <v>0</v>
      </c>
      <c r="CA602" s="271">
        <f>IF(AND(Input_Product=Elig!$C602,Elig_MatchAll_Ct&lt;22,$BC602=(Elig_MatchAll_Ct-1),AW602=0),V602,0)</f>
        <v>0</v>
      </c>
      <c r="CB602" s="272">
        <f>IF(AND(Input_Product=Elig!$C602,Elig_MatchAll_Ct&lt;22,$BC602=(Elig_MatchAll_Ct-1),AW602=0),W602,0)</f>
        <v>0</v>
      </c>
      <c r="CC602" s="271">
        <f>IF(AND(Input_Product=Elig!$C602,Elig_MatchAll_Ct&lt;22,$BC602=(Elig_MatchAll_Ct-1),AX602=0),X602,0)</f>
        <v>0</v>
      </c>
      <c r="CD602" s="272">
        <f>IF(AND(Input_Product=Elig!$C602,Elig_MatchAll_Ct&lt;22,$BC602=(Elig_MatchAll_Ct-1),AX602=0),Y602,0)</f>
        <v>0</v>
      </c>
      <c r="CE602" s="271">
        <f>IF(AND(Input_LTV&lt;=AE602,Input_Product=Elig!$C602,Elig_MatchAll_Ct&lt;22,$BC602=(Elig_MatchAll_Ct-1),AY602=0),Z602,0)</f>
        <v>0</v>
      </c>
      <c r="CF602" s="272">
        <f>IF(AND(Input_LTV&lt;=AE602,Input_Product=Elig!$C602,Elig_MatchAll_Ct&lt;22,$BC602=(Elig_MatchAll_Ct-1),AY602=0),AA602,0)</f>
        <v>0</v>
      </c>
      <c r="CG602" s="271">
        <f>IF(AND(Input_Product=Elig!$C602,Elig_MatchAll_Ct&lt;22,$BC602=(Elig_MatchAll_Ct-1),AZ602=0),AB602,0)</f>
        <v>0</v>
      </c>
      <c r="CH602" s="272">
        <f>IF(AND(Input_Product=Elig!$C602,Elig_MatchAll_Ct&lt;22,$BC602=(Elig_MatchAll_Ct-1),AZ602=0),AC602,0)</f>
        <v>0</v>
      </c>
      <c r="CI602" s="271">
        <f>IF(AND(Input_Product=Elig!$C602,Elig_MatchAll_Ct&lt;22,$BC602=(Elig_MatchAll_Ct-1),BA602=0),AD602,0)</f>
        <v>0</v>
      </c>
      <c r="CJ602" s="272">
        <f>IF(AND(Input_Product=Elig!$C602,Elig_MatchAll_Ct&lt;22,$BC602=(Elig_MatchAll_Ct-1),BA602=0),AE602,0)</f>
        <v>0</v>
      </c>
    </row>
    <row r="603" spans="1:88" ht="10.15" customHeight="1" x14ac:dyDescent="0.25">
      <c r="A603" s="1476" t="s">
        <v>76</v>
      </c>
      <c r="B603" s="1476" t="s">
        <v>1416</v>
      </c>
      <c r="C603" s="1473" t="str">
        <f t="shared" si="204"/>
        <v>Second OO</v>
      </c>
      <c r="D603" s="1474" t="s">
        <v>1331</v>
      </c>
      <c r="E603" s="1474" t="s">
        <v>98</v>
      </c>
      <c r="F603" s="1474" t="s">
        <v>328</v>
      </c>
      <c r="G603" s="1474" t="s">
        <v>178</v>
      </c>
      <c r="H603" s="1474" t="s">
        <v>135</v>
      </c>
      <c r="I603" s="1472" t="s">
        <v>1141</v>
      </c>
      <c r="J603" s="1472" t="s">
        <v>1130</v>
      </c>
      <c r="K603" s="1474" t="s">
        <v>2464</v>
      </c>
      <c r="L603" s="1472" t="s">
        <v>428</v>
      </c>
      <c r="M603" s="1472" t="s">
        <v>1835</v>
      </c>
      <c r="N603" s="1474" t="s">
        <v>82</v>
      </c>
      <c r="O603" s="1472" t="s">
        <v>309</v>
      </c>
      <c r="P603" s="1472" t="s">
        <v>2433</v>
      </c>
      <c r="Q603" s="1472" t="s">
        <v>293</v>
      </c>
      <c r="R603" s="1472">
        <v>50000</v>
      </c>
      <c r="S603" s="1472">
        <v>350000</v>
      </c>
      <c r="T603" s="1472">
        <v>0</v>
      </c>
      <c r="U603" s="1472">
        <f t="shared" si="205"/>
        <v>350000</v>
      </c>
      <c r="V603" s="1472">
        <v>0</v>
      </c>
      <c r="W603" s="1472">
        <v>50</v>
      </c>
      <c r="X603" s="1472">
        <v>0</v>
      </c>
      <c r="Y603" s="1472">
        <v>999</v>
      </c>
      <c r="Z603" s="1475">
        <v>720</v>
      </c>
      <c r="AA603" s="1475">
        <v>999</v>
      </c>
      <c r="AB603" s="1475">
        <v>0</v>
      </c>
      <c r="AC603" s="1475">
        <v>999999</v>
      </c>
      <c r="AD603" s="1472">
        <v>0</v>
      </c>
      <c r="AE603" s="1218">
        <v>70</v>
      </c>
      <c r="AF603" s="144">
        <v>0</v>
      </c>
      <c r="AG603" s="145">
        <v>1</v>
      </c>
      <c r="AH603" s="145">
        <v>1</v>
      </c>
      <c r="AI603" s="145">
        <v>0</v>
      </c>
      <c r="AJ603" s="145">
        <v>0</v>
      </c>
      <c r="AK603" s="145">
        <v>1</v>
      </c>
      <c r="AL603" s="145">
        <v>1</v>
      </c>
      <c r="AM603" s="145">
        <v>1</v>
      </c>
      <c r="AN603" s="145">
        <v>1</v>
      </c>
      <c r="AO603" s="145">
        <v>1</v>
      </c>
      <c r="AP603" s="145">
        <v>1</v>
      </c>
      <c r="AQ603" s="145">
        <v>0</v>
      </c>
      <c r="AR603" s="145">
        <v>1</v>
      </c>
      <c r="AS603" s="145">
        <v>1</v>
      </c>
      <c r="AT603" s="145">
        <v>1</v>
      </c>
      <c r="AU603" s="145">
        <f t="shared" si="206"/>
        <v>1</v>
      </c>
      <c r="AV603" s="145">
        <f t="shared" si="207"/>
        <v>1</v>
      </c>
      <c r="AW603" s="145">
        <f t="shared" si="208"/>
        <v>1</v>
      </c>
      <c r="AX603" s="145">
        <f t="shared" si="212"/>
        <v>1</v>
      </c>
      <c r="AY603" s="145">
        <f t="shared" si="209"/>
        <v>1</v>
      </c>
      <c r="AZ603" s="145">
        <f t="shared" si="210"/>
        <v>1</v>
      </c>
      <c r="BA603" s="146">
        <f t="shared" si="211"/>
        <v>1</v>
      </c>
      <c r="BB603" s="149">
        <f t="shared" si="214"/>
        <v>18</v>
      </c>
      <c r="BC603" s="150">
        <f t="shared" si="215"/>
        <v>17</v>
      </c>
      <c r="BD603" s="150">
        <f t="shared" si="216"/>
        <v>18</v>
      </c>
      <c r="BE603" s="211" t="str">
        <f t="shared" si="217"/>
        <v/>
      </c>
      <c r="BF603" s="194"/>
      <c r="BG603" s="194"/>
      <c r="BH603" s="190">
        <f>IF(AND(Input_Product=Elig!$C603,Elig_MatchAll_Ct&lt;22,$BC603=(Elig_MatchAll_Ct-1),AF603=0),C603,0)</f>
        <v>0</v>
      </c>
      <c r="BI603" s="190">
        <f>IF(AND(Input_Product=Elig!$C603,Elig_MatchAll_Ct&lt;22,$BC603=(Elig_MatchAll_Ct-1),AG603=0),D603,0)</f>
        <v>0</v>
      </c>
      <c r="BJ603" s="190">
        <f>IF(AND(Input_Product=Elig!$C603,Elig_MatchAll_Ct&lt;22,$BC603=(Elig_MatchAll_Ct-1),AH603=0),E603,0)</f>
        <v>0</v>
      </c>
      <c r="BK603" s="190">
        <f>IF(AND(Input_Product=Elig!$C603,Elig_MatchAll_Ct&lt;22,$BC603=(Elig_MatchAll_Ct-1),AI603=0),F603,0)</f>
        <v>0</v>
      </c>
      <c r="BL603" s="190">
        <f>IF(AND(Input_Product=Elig!$C603,Elig_MatchAll_Ct&lt;22,$BC603=(Elig_MatchAll_Ct-1),AJ603=0),G603,0)</f>
        <v>0</v>
      </c>
      <c r="BM603" s="190">
        <f>IF(AND(Input_Product=Elig!$C603,Elig_MatchAll_Ct&lt;22,$BC603=(Elig_MatchAll_Ct-1),AK603=0),H603,0)</f>
        <v>0</v>
      </c>
      <c r="BN603" s="190">
        <f>IF(AND(Input_Product=Elig!$C603,Elig_MatchAll_Ct&lt;22,$BC603=(Elig_MatchAll_Ct-1),AL603=0),I603,0)</f>
        <v>0</v>
      </c>
      <c r="BO603" s="190">
        <f>IF(AND(Input_Product=Elig!$C603,Elig_MatchAll_Ct&lt;22,$BC603=(Elig_MatchAll_Ct-1),AM603=0),J603,0)</f>
        <v>0</v>
      </c>
      <c r="BP603" s="190">
        <f>IF(AND(Input_Product=Elig!$C603,Elig_MatchAll_Ct&lt;22,$BC603=(Elig_MatchAll_Ct-1),AN603=0),K603,0)</f>
        <v>0</v>
      </c>
      <c r="BQ603" s="190">
        <f>IF(AND(Input_Product=Elig!$C603,Elig_MatchAll_Ct&lt;22,$BC603=(Elig_MatchAll_Ct-1),AP603=0),L603,0)</f>
        <v>0</v>
      </c>
      <c r="BR603" s="190">
        <f>IF(AND(Input_Product=Elig!$C603,Elig_MatchAll_Ct&lt;22,$BC603=(Elig_MatchAll_Ct-1),AO603=0),M603,0)</f>
        <v>0</v>
      </c>
      <c r="BS603" s="190">
        <f>IF(AND(Input_Product=Elig!$C603,Elig_MatchAll_Ct&lt;22,$BC603=(Elig_MatchAll_Ct-1),AQ603=0),N603,0)</f>
        <v>0</v>
      </c>
      <c r="BT603" s="190">
        <f>IF(AND(Input_Product=Elig!$C603,Elig_MatchAll_Ct&lt;22,$BC603=(Elig_MatchAll_Ct-1),AR603=0),O603,0)</f>
        <v>0</v>
      </c>
      <c r="BU603" s="190">
        <f>IF(AND(Input_Product=Elig!$C603,Elig_MatchAll_Ct&lt;22,$BC603=(Elig_MatchAll_Ct-1),AS603=0),P603,0)</f>
        <v>0</v>
      </c>
      <c r="BV603" s="191">
        <f>IF(AND(Input_Product=Elig!$C603,Elig_MatchAll_Ct&lt;22,$BC603=(Elig_MatchAll_Ct-1),AT603=0),Q603,0)</f>
        <v>0</v>
      </c>
      <c r="BW603" s="273">
        <f>IF(AND(Input_Product=Elig!$C603,Elig_MatchAll_Ct&lt;22,$BC603=(Elig_MatchAll_Ct-1),AU603=0),R603,0)</f>
        <v>0</v>
      </c>
      <c r="BX603" s="274">
        <f>IF(AND(Input_Product=Elig!$C603,Elig_MatchAll_Ct&lt;22,$BC603=(Elig_MatchAll_Ct-1),AU603=0),S603,0)</f>
        <v>0</v>
      </c>
      <c r="BY603" s="273">
        <f>IF(AND(Input_Product=Elig!$C603,Elig_MatchAll_Ct&lt;22,$BC603=(Elig_MatchAll_Ct-1),AV603=0),T603,0)</f>
        <v>0</v>
      </c>
      <c r="BZ603" s="274">
        <f>IF(AND(Input_Product=Elig!$C603,Elig_MatchAll_Ct&lt;22,$BC603=(Elig_MatchAll_Ct-1),AV603=0),U603,0)</f>
        <v>0</v>
      </c>
      <c r="CA603" s="273">
        <f>IF(AND(Input_Product=Elig!$C603,Elig_MatchAll_Ct&lt;22,$BC603=(Elig_MatchAll_Ct-1),AW603=0),V603,0)</f>
        <v>0</v>
      </c>
      <c r="CB603" s="274">
        <f>IF(AND(Input_Product=Elig!$C603,Elig_MatchAll_Ct&lt;22,$BC603=(Elig_MatchAll_Ct-1),AW603=0),W603,0)</f>
        <v>0</v>
      </c>
      <c r="CC603" s="273">
        <f>IF(AND(Input_Product=Elig!$C603,Elig_MatchAll_Ct&lt;22,$BC603=(Elig_MatchAll_Ct-1),AX603=0),X603,0)</f>
        <v>0</v>
      </c>
      <c r="CD603" s="274">
        <f>IF(AND(Input_Product=Elig!$C603,Elig_MatchAll_Ct&lt;22,$BC603=(Elig_MatchAll_Ct-1),AX603=0),Y603,0)</f>
        <v>0</v>
      </c>
      <c r="CE603" s="273">
        <f>IF(AND(Input_LTV&lt;=AE603,Input_Product=Elig!$C603,Elig_MatchAll_Ct&lt;22,$BC603=(Elig_MatchAll_Ct-1),AY603=0),Z603,0)</f>
        <v>0</v>
      </c>
      <c r="CF603" s="274">
        <f>IF(AND(Input_LTV&lt;=AE603,Input_Product=Elig!$C603,Elig_MatchAll_Ct&lt;22,$BC603=(Elig_MatchAll_Ct-1),AY603=0),AA603,0)</f>
        <v>0</v>
      </c>
      <c r="CG603" s="273">
        <f>IF(AND(Input_Product=Elig!$C603,Elig_MatchAll_Ct&lt;22,$BC603=(Elig_MatchAll_Ct-1),AZ603=0),AB603,0)</f>
        <v>0</v>
      </c>
      <c r="CH603" s="274">
        <f>IF(AND(Input_Product=Elig!$C603,Elig_MatchAll_Ct&lt;22,$BC603=(Elig_MatchAll_Ct-1),AZ603=0),AC603,0)</f>
        <v>0</v>
      </c>
      <c r="CI603" s="273">
        <f>IF(AND(Input_Product=Elig!$C603,Elig_MatchAll_Ct&lt;22,$BC603=(Elig_MatchAll_Ct-1),BA603=0),AD603,0)</f>
        <v>0</v>
      </c>
      <c r="CJ603" s="274">
        <f>IF(AND(Input_Product=Elig!$C603,Elig_MatchAll_Ct&lt;22,$BC603=(Elig_MatchAll_Ct-1),BA603=0),AE603,0)</f>
        <v>0</v>
      </c>
    </row>
    <row r="604" spans="1:88" ht="10.15" customHeight="1" x14ac:dyDescent="0.25">
      <c r="A604" s="1476" t="s">
        <v>76</v>
      </c>
      <c r="B604" s="1476" t="s">
        <v>1417</v>
      </c>
      <c r="C604" s="1477" t="str">
        <f t="shared" si="204"/>
        <v>Second OO</v>
      </c>
      <c r="D604" s="1476" t="s">
        <v>1331</v>
      </c>
      <c r="E604" s="1476" t="s">
        <v>98</v>
      </c>
      <c r="F604" s="1476" t="s">
        <v>328</v>
      </c>
      <c r="G604" s="1478" t="s">
        <v>178</v>
      </c>
      <c r="H604" s="1478" t="s">
        <v>135</v>
      </c>
      <c r="I604" s="1476" t="s">
        <v>1141</v>
      </c>
      <c r="J604" s="1476" t="s">
        <v>1130</v>
      </c>
      <c r="K604" s="1478" t="s">
        <v>2464</v>
      </c>
      <c r="L604" s="1476" t="s">
        <v>428</v>
      </c>
      <c r="M604" s="1476" t="s">
        <v>1835</v>
      </c>
      <c r="N604" s="1478" t="s">
        <v>82</v>
      </c>
      <c r="O604" s="1476" t="s">
        <v>309</v>
      </c>
      <c r="P604" s="1476" t="s">
        <v>2433</v>
      </c>
      <c r="Q604" s="1476" t="s">
        <v>293</v>
      </c>
      <c r="R604" s="1476">
        <v>50000</v>
      </c>
      <c r="S604" s="1476">
        <v>350000</v>
      </c>
      <c r="T604" s="1476">
        <v>0</v>
      </c>
      <c r="U604" s="1476">
        <f t="shared" si="205"/>
        <v>350000</v>
      </c>
      <c r="V604" s="1476">
        <v>0</v>
      </c>
      <c r="W604" s="1476">
        <v>50</v>
      </c>
      <c r="X604" s="1476">
        <v>0</v>
      </c>
      <c r="Y604" s="1476">
        <v>999</v>
      </c>
      <c r="Z604" s="1479">
        <v>700</v>
      </c>
      <c r="AA604" s="1479">
        <v>719</v>
      </c>
      <c r="AB604" s="1479">
        <v>0</v>
      </c>
      <c r="AC604" s="1479">
        <v>999999</v>
      </c>
      <c r="AD604" s="1476">
        <v>0</v>
      </c>
      <c r="AE604" s="1219">
        <v>65</v>
      </c>
      <c r="AF604" s="144">
        <v>0</v>
      </c>
      <c r="AG604" s="145">
        <v>1</v>
      </c>
      <c r="AH604" s="145">
        <v>1</v>
      </c>
      <c r="AI604" s="145">
        <v>0</v>
      </c>
      <c r="AJ604" s="145">
        <v>0</v>
      </c>
      <c r="AK604" s="145">
        <v>1</v>
      </c>
      <c r="AL604" s="145">
        <v>1</v>
      </c>
      <c r="AM604" s="145">
        <v>1</v>
      </c>
      <c r="AN604" s="145">
        <v>1</v>
      </c>
      <c r="AO604" s="145">
        <v>1</v>
      </c>
      <c r="AP604" s="145">
        <v>1</v>
      </c>
      <c r="AQ604" s="145">
        <v>0</v>
      </c>
      <c r="AR604" s="145">
        <v>1</v>
      </c>
      <c r="AS604" s="145">
        <v>1</v>
      </c>
      <c r="AT604" s="145">
        <v>1</v>
      </c>
      <c r="AU604" s="145">
        <f t="shared" si="206"/>
        <v>1</v>
      </c>
      <c r="AV604" s="145">
        <f t="shared" si="207"/>
        <v>1</v>
      </c>
      <c r="AW604" s="145">
        <f t="shared" si="208"/>
        <v>1</v>
      </c>
      <c r="AX604" s="145">
        <f t="shared" si="212"/>
        <v>1</v>
      </c>
      <c r="AY604" s="145">
        <f t="shared" si="209"/>
        <v>0</v>
      </c>
      <c r="AZ604" s="145">
        <f t="shared" si="210"/>
        <v>1</v>
      </c>
      <c r="BA604" s="146">
        <f t="shared" si="211"/>
        <v>0</v>
      </c>
      <c r="BB604" s="149">
        <f t="shared" si="214"/>
        <v>16</v>
      </c>
      <c r="BC604" s="150">
        <f t="shared" si="215"/>
        <v>16</v>
      </c>
      <c r="BD604" s="150">
        <f t="shared" si="216"/>
        <v>16</v>
      </c>
      <c r="BE604" s="211" t="str">
        <f t="shared" si="217"/>
        <v/>
      </c>
      <c r="BF604" s="205"/>
      <c r="BG604" s="205"/>
      <c r="BH604" s="173">
        <f>IF(AND(Input_Product=Elig!$C604,Elig_MatchAll_Ct&lt;22,$BC604=(Elig_MatchAll_Ct-1),AF604=0),C604,0)</f>
        <v>0</v>
      </c>
      <c r="BI604" s="173">
        <f>IF(AND(Input_Product=Elig!$C604,Elig_MatchAll_Ct&lt;22,$BC604=(Elig_MatchAll_Ct-1),AG604=0),D604,0)</f>
        <v>0</v>
      </c>
      <c r="BJ604" s="173">
        <f>IF(AND(Input_Product=Elig!$C604,Elig_MatchAll_Ct&lt;22,$BC604=(Elig_MatchAll_Ct-1),AH604=0),E604,0)</f>
        <v>0</v>
      </c>
      <c r="BK604" s="173">
        <f>IF(AND(Input_Product=Elig!$C604,Elig_MatchAll_Ct&lt;22,$BC604=(Elig_MatchAll_Ct-1),AI604=0),F604,0)</f>
        <v>0</v>
      </c>
      <c r="BL604" s="173">
        <f>IF(AND(Input_Product=Elig!$C604,Elig_MatchAll_Ct&lt;22,$BC604=(Elig_MatchAll_Ct-1),AJ604=0),G604,0)</f>
        <v>0</v>
      </c>
      <c r="BM604" s="173">
        <f>IF(AND(Input_Product=Elig!$C604,Elig_MatchAll_Ct&lt;22,$BC604=(Elig_MatchAll_Ct-1),AK604=0),H604,0)</f>
        <v>0</v>
      </c>
      <c r="BN604" s="173">
        <f>IF(AND(Input_Product=Elig!$C604,Elig_MatchAll_Ct&lt;22,$BC604=(Elig_MatchAll_Ct-1),AL604=0),I604,0)</f>
        <v>0</v>
      </c>
      <c r="BO604" s="173">
        <f>IF(AND(Input_Product=Elig!$C604,Elig_MatchAll_Ct&lt;22,$BC604=(Elig_MatchAll_Ct-1),AM604=0),J604,0)</f>
        <v>0</v>
      </c>
      <c r="BP604" s="173">
        <f>IF(AND(Input_Product=Elig!$C604,Elig_MatchAll_Ct&lt;22,$BC604=(Elig_MatchAll_Ct-1),AN604=0),K604,0)</f>
        <v>0</v>
      </c>
      <c r="BQ604" s="173">
        <f>IF(AND(Input_Product=Elig!$C604,Elig_MatchAll_Ct&lt;22,$BC604=(Elig_MatchAll_Ct-1),AP604=0),L604,0)</f>
        <v>0</v>
      </c>
      <c r="BR604" s="173">
        <f>IF(AND(Input_Product=Elig!$C604,Elig_MatchAll_Ct&lt;22,$BC604=(Elig_MatchAll_Ct-1),AO604=0),M604,0)</f>
        <v>0</v>
      </c>
      <c r="BS604" s="173">
        <f>IF(AND(Input_Product=Elig!$C604,Elig_MatchAll_Ct&lt;22,$BC604=(Elig_MatchAll_Ct-1),AQ604=0),N604,0)</f>
        <v>0</v>
      </c>
      <c r="BT604" s="173">
        <f>IF(AND(Input_Product=Elig!$C604,Elig_MatchAll_Ct&lt;22,$BC604=(Elig_MatchAll_Ct-1),AR604=0),O604,0)</f>
        <v>0</v>
      </c>
      <c r="BU604" s="173">
        <f>IF(AND(Input_Product=Elig!$C604,Elig_MatchAll_Ct&lt;22,$BC604=(Elig_MatchAll_Ct-1),AS604=0),P604,0)</f>
        <v>0</v>
      </c>
      <c r="BV604" s="174">
        <f>IF(AND(Input_Product=Elig!$C604,Elig_MatchAll_Ct&lt;22,$BC604=(Elig_MatchAll_Ct-1),AT604=0),Q604,0)</f>
        <v>0</v>
      </c>
      <c r="BW604" s="175">
        <f>IF(AND(Input_Product=Elig!$C604,Elig_MatchAll_Ct&lt;22,$BC604=(Elig_MatchAll_Ct-1),AU604=0),R604,0)</f>
        <v>0</v>
      </c>
      <c r="BX604" s="176">
        <f>IF(AND(Input_Product=Elig!$C604,Elig_MatchAll_Ct&lt;22,$BC604=(Elig_MatchAll_Ct-1),AU604=0),S604,0)</f>
        <v>0</v>
      </c>
      <c r="BY604" s="175">
        <f>IF(AND(Input_Product=Elig!$C604,Elig_MatchAll_Ct&lt;22,$BC604=(Elig_MatchAll_Ct-1),AV604=0),T604,0)</f>
        <v>0</v>
      </c>
      <c r="BZ604" s="176">
        <f>IF(AND(Input_Product=Elig!$C604,Elig_MatchAll_Ct&lt;22,$BC604=(Elig_MatchAll_Ct-1),AV604=0),U604,0)</f>
        <v>0</v>
      </c>
      <c r="CA604" s="175">
        <f>IF(AND(Input_Product=Elig!$C604,Elig_MatchAll_Ct&lt;22,$BC604=(Elig_MatchAll_Ct-1),AW604=0),V604,0)</f>
        <v>0</v>
      </c>
      <c r="CB604" s="176">
        <f>IF(AND(Input_Product=Elig!$C604,Elig_MatchAll_Ct&lt;22,$BC604=(Elig_MatchAll_Ct-1),AW604=0),W604,0)</f>
        <v>0</v>
      </c>
      <c r="CC604" s="175">
        <f>IF(AND(Input_Product=Elig!$C604,Elig_MatchAll_Ct&lt;22,$BC604=(Elig_MatchAll_Ct-1),AX604=0),X604,0)</f>
        <v>0</v>
      </c>
      <c r="CD604" s="176">
        <f>IF(AND(Input_Product=Elig!$C604,Elig_MatchAll_Ct&lt;22,$BC604=(Elig_MatchAll_Ct-1),AX604=0),Y604,0)</f>
        <v>0</v>
      </c>
      <c r="CE604" s="175">
        <f>IF(AND(Input_LTV&lt;=AE604,Input_Product=Elig!$C604,Elig_MatchAll_Ct&lt;22,$BC604=(Elig_MatchAll_Ct-1),AY604=0),Z604,0)</f>
        <v>0</v>
      </c>
      <c r="CF604" s="176">
        <f>IF(AND(Input_LTV&lt;=AE604,Input_Product=Elig!$C604,Elig_MatchAll_Ct&lt;22,$BC604=(Elig_MatchAll_Ct-1),AY604=0),AA604,0)</f>
        <v>0</v>
      </c>
      <c r="CG604" s="175">
        <f>IF(AND(Input_Product=Elig!$C604,Elig_MatchAll_Ct&lt;22,$BC604=(Elig_MatchAll_Ct-1),AZ604=0),AB604,0)</f>
        <v>0</v>
      </c>
      <c r="CH604" s="176">
        <f>IF(AND(Input_Product=Elig!$C604,Elig_MatchAll_Ct&lt;22,$BC604=(Elig_MatchAll_Ct-1),AZ604=0),AC604,0)</f>
        <v>0</v>
      </c>
      <c r="CI604" s="175">
        <f>IF(AND(Input_Product=Elig!$C604,Elig_MatchAll_Ct&lt;22,$BC604=(Elig_MatchAll_Ct-1),BA604=0),AD604,0)</f>
        <v>0</v>
      </c>
      <c r="CJ604" s="176">
        <f>IF(AND(Input_Product=Elig!$C604,Elig_MatchAll_Ct&lt;22,$BC604=(Elig_MatchAll_Ct-1),BA604=0),AE604,0)</f>
        <v>0</v>
      </c>
    </row>
    <row r="605" spans="1:88" ht="10.15" customHeight="1" x14ac:dyDescent="0.25">
      <c r="A605" s="1476" t="s">
        <v>76</v>
      </c>
      <c r="B605" s="1476" t="s">
        <v>1418</v>
      </c>
      <c r="C605" s="1477" t="str">
        <f t="shared" si="204"/>
        <v>Second OO</v>
      </c>
      <c r="D605" s="1476" t="s">
        <v>1331</v>
      </c>
      <c r="E605" s="1476" t="s">
        <v>98</v>
      </c>
      <c r="F605" s="1476" t="s">
        <v>328</v>
      </c>
      <c r="G605" s="1478" t="s">
        <v>178</v>
      </c>
      <c r="H605" s="1478" t="s">
        <v>135</v>
      </c>
      <c r="I605" s="1476" t="s">
        <v>1141</v>
      </c>
      <c r="J605" s="1476" t="s">
        <v>1130</v>
      </c>
      <c r="K605" s="1478" t="s">
        <v>2464</v>
      </c>
      <c r="L605" s="1476" t="s">
        <v>428</v>
      </c>
      <c r="M605" s="1476" t="s">
        <v>1835</v>
      </c>
      <c r="N605" s="1478" t="s">
        <v>82</v>
      </c>
      <c r="O605" s="1476" t="s">
        <v>309</v>
      </c>
      <c r="P605" s="1476" t="s">
        <v>2433</v>
      </c>
      <c r="Q605" s="1476" t="s">
        <v>293</v>
      </c>
      <c r="R605" s="1476">
        <v>50000</v>
      </c>
      <c r="S605" s="1476">
        <v>350000</v>
      </c>
      <c r="T605" s="1476">
        <v>0</v>
      </c>
      <c r="U605" s="1476">
        <f t="shared" si="205"/>
        <v>350000</v>
      </c>
      <c r="V605" s="1476">
        <v>0</v>
      </c>
      <c r="W605" s="1476">
        <v>50</v>
      </c>
      <c r="X605" s="1476">
        <v>0</v>
      </c>
      <c r="Y605" s="1476">
        <v>999</v>
      </c>
      <c r="Z605" s="1479">
        <v>680</v>
      </c>
      <c r="AA605" s="1479">
        <v>699</v>
      </c>
      <c r="AB605" s="1479">
        <v>0</v>
      </c>
      <c r="AC605" s="1479">
        <v>999999</v>
      </c>
      <c r="AD605" s="1476">
        <v>0</v>
      </c>
      <c r="AE605" s="1219">
        <v>60</v>
      </c>
      <c r="AF605" s="144">
        <v>0</v>
      </c>
      <c r="AG605" s="145">
        <v>1</v>
      </c>
      <c r="AH605" s="145">
        <v>1</v>
      </c>
      <c r="AI605" s="145">
        <v>0</v>
      </c>
      <c r="AJ605" s="145">
        <v>0</v>
      </c>
      <c r="AK605" s="145">
        <v>1</v>
      </c>
      <c r="AL605" s="145">
        <v>1</v>
      </c>
      <c r="AM605" s="145">
        <v>1</v>
      </c>
      <c r="AN605" s="145">
        <v>1</v>
      </c>
      <c r="AO605" s="145">
        <v>1</v>
      </c>
      <c r="AP605" s="145">
        <v>1</v>
      </c>
      <c r="AQ605" s="145">
        <v>0</v>
      </c>
      <c r="AR605" s="145">
        <v>1</v>
      </c>
      <c r="AS605" s="145">
        <v>1</v>
      </c>
      <c r="AT605" s="145">
        <v>1</v>
      </c>
      <c r="AU605" s="145">
        <f t="shared" si="206"/>
        <v>1</v>
      </c>
      <c r="AV605" s="145">
        <f t="shared" si="207"/>
        <v>1</v>
      </c>
      <c r="AW605" s="145">
        <f t="shared" si="208"/>
        <v>1</v>
      </c>
      <c r="AX605" s="145">
        <f t="shared" si="212"/>
        <v>1</v>
      </c>
      <c r="AY605" s="145">
        <f t="shared" si="209"/>
        <v>0</v>
      </c>
      <c r="AZ605" s="145">
        <f t="shared" si="210"/>
        <v>1</v>
      </c>
      <c r="BA605" s="146">
        <f t="shared" si="211"/>
        <v>0</v>
      </c>
      <c r="BB605" s="149">
        <f t="shared" si="214"/>
        <v>16</v>
      </c>
      <c r="BC605" s="150">
        <f t="shared" si="215"/>
        <v>16</v>
      </c>
      <c r="BD605" s="150">
        <f t="shared" si="216"/>
        <v>16</v>
      </c>
      <c r="BE605" s="211" t="str">
        <f t="shared" si="217"/>
        <v/>
      </c>
      <c r="BF605" s="205"/>
      <c r="BG605" s="205"/>
      <c r="BH605" s="173">
        <f>IF(AND(Input_Product=Elig!$C605,Elig_MatchAll_Ct&lt;22,$BC605=(Elig_MatchAll_Ct-1),AF605=0),C605,0)</f>
        <v>0</v>
      </c>
      <c r="BI605" s="173">
        <f>IF(AND(Input_Product=Elig!$C605,Elig_MatchAll_Ct&lt;22,$BC605=(Elig_MatchAll_Ct-1),AG605=0),D605,0)</f>
        <v>0</v>
      </c>
      <c r="BJ605" s="173">
        <f>IF(AND(Input_Product=Elig!$C605,Elig_MatchAll_Ct&lt;22,$BC605=(Elig_MatchAll_Ct-1),AH605=0),E605,0)</f>
        <v>0</v>
      </c>
      <c r="BK605" s="173">
        <f>IF(AND(Input_Product=Elig!$C605,Elig_MatchAll_Ct&lt;22,$BC605=(Elig_MatchAll_Ct-1),AI605=0),F605,0)</f>
        <v>0</v>
      </c>
      <c r="BL605" s="173">
        <f>IF(AND(Input_Product=Elig!$C605,Elig_MatchAll_Ct&lt;22,$BC605=(Elig_MatchAll_Ct-1),AJ605=0),G605,0)</f>
        <v>0</v>
      </c>
      <c r="BM605" s="173">
        <f>IF(AND(Input_Product=Elig!$C605,Elig_MatchAll_Ct&lt;22,$BC605=(Elig_MatchAll_Ct-1),AK605=0),H605,0)</f>
        <v>0</v>
      </c>
      <c r="BN605" s="173">
        <f>IF(AND(Input_Product=Elig!$C605,Elig_MatchAll_Ct&lt;22,$BC605=(Elig_MatchAll_Ct-1),AL605=0),I605,0)</f>
        <v>0</v>
      </c>
      <c r="BO605" s="173">
        <f>IF(AND(Input_Product=Elig!$C605,Elig_MatchAll_Ct&lt;22,$BC605=(Elig_MatchAll_Ct-1),AM605=0),J605,0)</f>
        <v>0</v>
      </c>
      <c r="BP605" s="173">
        <f>IF(AND(Input_Product=Elig!$C605,Elig_MatchAll_Ct&lt;22,$BC605=(Elig_MatchAll_Ct-1),AN605=0),K605,0)</f>
        <v>0</v>
      </c>
      <c r="BQ605" s="173">
        <f>IF(AND(Input_Product=Elig!$C605,Elig_MatchAll_Ct&lt;22,$BC605=(Elig_MatchAll_Ct-1),AP605=0),L605,0)</f>
        <v>0</v>
      </c>
      <c r="BR605" s="173">
        <f>IF(AND(Input_Product=Elig!$C605,Elig_MatchAll_Ct&lt;22,$BC605=(Elig_MatchAll_Ct-1),AO605=0),M605,0)</f>
        <v>0</v>
      </c>
      <c r="BS605" s="173">
        <f>IF(AND(Input_Product=Elig!$C605,Elig_MatchAll_Ct&lt;22,$BC605=(Elig_MatchAll_Ct-1),AQ605=0),N605,0)</f>
        <v>0</v>
      </c>
      <c r="BT605" s="173">
        <f>IF(AND(Input_Product=Elig!$C605,Elig_MatchAll_Ct&lt;22,$BC605=(Elig_MatchAll_Ct-1),AR605=0),O605,0)</f>
        <v>0</v>
      </c>
      <c r="BU605" s="173">
        <f>IF(AND(Input_Product=Elig!$C605,Elig_MatchAll_Ct&lt;22,$BC605=(Elig_MatchAll_Ct-1),AS605=0),P605,0)</f>
        <v>0</v>
      </c>
      <c r="BV605" s="174">
        <f>IF(AND(Input_Product=Elig!$C605,Elig_MatchAll_Ct&lt;22,$BC605=(Elig_MatchAll_Ct-1),AT605=0),Q605,0)</f>
        <v>0</v>
      </c>
      <c r="BW605" s="175">
        <f>IF(AND(Input_Product=Elig!$C605,Elig_MatchAll_Ct&lt;22,$BC605=(Elig_MatchAll_Ct-1),AU605=0),R605,0)</f>
        <v>0</v>
      </c>
      <c r="BX605" s="176">
        <f>IF(AND(Input_Product=Elig!$C605,Elig_MatchAll_Ct&lt;22,$BC605=(Elig_MatchAll_Ct-1),AU605=0),S605,0)</f>
        <v>0</v>
      </c>
      <c r="BY605" s="175">
        <f>IF(AND(Input_Product=Elig!$C605,Elig_MatchAll_Ct&lt;22,$BC605=(Elig_MatchAll_Ct-1),AV605=0),T605,0)</f>
        <v>0</v>
      </c>
      <c r="BZ605" s="176">
        <f>IF(AND(Input_Product=Elig!$C605,Elig_MatchAll_Ct&lt;22,$BC605=(Elig_MatchAll_Ct-1),AV605=0),U605,0)</f>
        <v>0</v>
      </c>
      <c r="CA605" s="175">
        <f>IF(AND(Input_Product=Elig!$C605,Elig_MatchAll_Ct&lt;22,$BC605=(Elig_MatchAll_Ct-1),AW605=0),V605,0)</f>
        <v>0</v>
      </c>
      <c r="CB605" s="176">
        <f>IF(AND(Input_Product=Elig!$C605,Elig_MatchAll_Ct&lt;22,$BC605=(Elig_MatchAll_Ct-1),AW605=0),W605,0)</f>
        <v>0</v>
      </c>
      <c r="CC605" s="175">
        <f>IF(AND(Input_Product=Elig!$C605,Elig_MatchAll_Ct&lt;22,$BC605=(Elig_MatchAll_Ct-1),AX605=0),X605,0)</f>
        <v>0</v>
      </c>
      <c r="CD605" s="176">
        <f>IF(AND(Input_Product=Elig!$C605,Elig_MatchAll_Ct&lt;22,$BC605=(Elig_MatchAll_Ct-1),AX605=0),Y605,0)</f>
        <v>0</v>
      </c>
      <c r="CE605" s="175">
        <f>IF(AND(Input_LTV&lt;=AE605,Input_Product=Elig!$C605,Elig_MatchAll_Ct&lt;22,$BC605=(Elig_MatchAll_Ct-1),AY605=0),Z605,0)</f>
        <v>0</v>
      </c>
      <c r="CF605" s="176">
        <f>IF(AND(Input_LTV&lt;=AE605,Input_Product=Elig!$C605,Elig_MatchAll_Ct&lt;22,$BC605=(Elig_MatchAll_Ct-1),AY605=0),AA605,0)</f>
        <v>0</v>
      </c>
      <c r="CG605" s="175">
        <f>IF(AND(Input_Product=Elig!$C605,Elig_MatchAll_Ct&lt;22,$BC605=(Elig_MatchAll_Ct-1),AZ605=0),AB605,0)</f>
        <v>0</v>
      </c>
      <c r="CH605" s="176">
        <f>IF(AND(Input_Product=Elig!$C605,Elig_MatchAll_Ct&lt;22,$BC605=(Elig_MatchAll_Ct-1),AZ605=0),AC605,0)</f>
        <v>0</v>
      </c>
      <c r="CI605" s="175">
        <f>IF(AND(Input_Product=Elig!$C605,Elig_MatchAll_Ct&lt;22,$BC605=(Elig_MatchAll_Ct-1),BA605=0),AD605,0)</f>
        <v>0</v>
      </c>
      <c r="CJ605" s="176">
        <f>IF(AND(Input_Product=Elig!$C605,Elig_MatchAll_Ct&lt;22,$BC605=(Elig_MatchAll_Ct-1),BA605=0),AE605,0)</f>
        <v>0</v>
      </c>
    </row>
    <row r="606" spans="1:88" ht="10.15" customHeight="1" x14ac:dyDescent="0.25">
      <c r="A606" s="1476" t="s">
        <v>76</v>
      </c>
      <c r="B606" s="1476" t="s">
        <v>1419</v>
      </c>
      <c r="C606" s="1481" t="str">
        <f t="shared" si="204"/>
        <v>Second OO</v>
      </c>
      <c r="D606" s="1480" t="s">
        <v>1331</v>
      </c>
      <c r="E606" s="1480" t="s">
        <v>98</v>
      </c>
      <c r="F606" s="1480" t="s">
        <v>328</v>
      </c>
      <c r="G606" s="1482" t="s">
        <v>178</v>
      </c>
      <c r="H606" s="1482" t="s">
        <v>135</v>
      </c>
      <c r="I606" s="1480" t="s">
        <v>1141</v>
      </c>
      <c r="J606" s="1480" t="s">
        <v>1130</v>
      </c>
      <c r="K606" s="1482" t="s">
        <v>2464</v>
      </c>
      <c r="L606" s="1480" t="s">
        <v>428</v>
      </c>
      <c r="M606" s="1480" t="s">
        <v>1835</v>
      </c>
      <c r="N606" s="1482" t="s">
        <v>82</v>
      </c>
      <c r="O606" s="1480" t="s">
        <v>309</v>
      </c>
      <c r="P606" s="1480" t="s">
        <v>2433</v>
      </c>
      <c r="Q606" s="1480" t="s">
        <v>293</v>
      </c>
      <c r="R606" s="1480">
        <v>50000</v>
      </c>
      <c r="S606" s="1480">
        <v>350000</v>
      </c>
      <c r="T606" s="1480">
        <v>0</v>
      </c>
      <c r="U606" s="1480">
        <f t="shared" si="205"/>
        <v>350000</v>
      </c>
      <c r="V606" s="1480">
        <v>0</v>
      </c>
      <c r="W606" s="1480">
        <v>50</v>
      </c>
      <c r="X606" s="1480">
        <v>0</v>
      </c>
      <c r="Y606" s="1480">
        <v>999</v>
      </c>
      <c r="Z606" s="1483">
        <v>660</v>
      </c>
      <c r="AA606" s="1483">
        <v>679</v>
      </c>
      <c r="AB606" s="1483">
        <v>0</v>
      </c>
      <c r="AC606" s="1483">
        <v>999999</v>
      </c>
      <c r="AD606" s="1480">
        <v>0</v>
      </c>
      <c r="AE606" s="1220">
        <v>55</v>
      </c>
      <c r="AF606" s="144">
        <v>0</v>
      </c>
      <c r="AG606" s="145">
        <v>1</v>
      </c>
      <c r="AH606" s="145">
        <v>1</v>
      </c>
      <c r="AI606" s="145">
        <v>0</v>
      </c>
      <c r="AJ606" s="145">
        <v>0</v>
      </c>
      <c r="AK606" s="145">
        <v>1</v>
      </c>
      <c r="AL606" s="145">
        <v>1</v>
      </c>
      <c r="AM606" s="145">
        <v>1</v>
      </c>
      <c r="AN606" s="145">
        <v>1</v>
      </c>
      <c r="AO606" s="145">
        <v>1</v>
      </c>
      <c r="AP606" s="145">
        <v>1</v>
      </c>
      <c r="AQ606" s="145">
        <v>0</v>
      </c>
      <c r="AR606" s="145">
        <v>1</v>
      </c>
      <c r="AS606" s="145">
        <v>1</v>
      </c>
      <c r="AT606" s="145">
        <v>1</v>
      </c>
      <c r="AU606" s="145">
        <f t="shared" si="206"/>
        <v>1</v>
      </c>
      <c r="AV606" s="145">
        <f t="shared" si="207"/>
        <v>1</v>
      </c>
      <c r="AW606" s="145">
        <f t="shared" si="208"/>
        <v>1</v>
      </c>
      <c r="AX606" s="145">
        <f t="shared" si="212"/>
        <v>1</v>
      </c>
      <c r="AY606" s="145">
        <f t="shared" si="209"/>
        <v>0</v>
      </c>
      <c r="AZ606" s="145">
        <f t="shared" si="210"/>
        <v>1</v>
      </c>
      <c r="BA606" s="146">
        <f t="shared" si="211"/>
        <v>0</v>
      </c>
      <c r="BB606" s="149">
        <f t="shared" si="214"/>
        <v>16</v>
      </c>
      <c r="BC606" s="150">
        <f t="shared" si="215"/>
        <v>16</v>
      </c>
      <c r="BD606" s="150">
        <f t="shared" si="216"/>
        <v>16</v>
      </c>
      <c r="BE606" s="211" t="str">
        <f t="shared" si="217"/>
        <v/>
      </c>
      <c r="BF606" s="205"/>
      <c r="BG606" s="205"/>
      <c r="BH606" s="188">
        <f>IF(AND(Input_Product=Elig!$C606,Elig_MatchAll_Ct&lt;22,$BC606=(Elig_MatchAll_Ct-1),AF606=0),C606,0)</f>
        <v>0</v>
      </c>
      <c r="BI606" s="188">
        <f>IF(AND(Input_Product=Elig!$C606,Elig_MatchAll_Ct&lt;22,$BC606=(Elig_MatchAll_Ct-1),AG606=0),D606,0)</f>
        <v>0</v>
      </c>
      <c r="BJ606" s="188">
        <f>IF(AND(Input_Product=Elig!$C606,Elig_MatchAll_Ct&lt;22,$BC606=(Elig_MatchAll_Ct-1),AH606=0),E606,0)</f>
        <v>0</v>
      </c>
      <c r="BK606" s="188">
        <f>IF(AND(Input_Product=Elig!$C606,Elig_MatchAll_Ct&lt;22,$BC606=(Elig_MatchAll_Ct-1),AI606=0),F606,0)</f>
        <v>0</v>
      </c>
      <c r="BL606" s="188">
        <f>IF(AND(Input_Product=Elig!$C606,Elig_MatchAll_Ct&lt;22,$BC606=(Elig_MatchAll_Ct-1),AJ606=0),G606,0)</f>
        <v>0</v>
      </c>
      <c r="BM606" s="188">
        <f>IF(AND(Input_Product=Elig!$C606,Elig_MatchAll_Ct&lt;22,$BC606=(Elig_MatchAll_Ct-1),AK606=0),H606,0)</f>
        <v>0</v>
      </c>
      <c r="BN606" s="188">
        <f>IF(AND(Input_Product=Elig!$C606,Elig_MatchAll_Ct&lt;22,$BC606=(Elig_MatchAll_Ct-1),AL606=0),I606,0)</f>
        <v>0</v>
      </c>
      <c r="BO606" s="188">
        <f>IF(AND(Input_Product=Elig!$C606,Elig_MatchAll_Ct&lt;22,$BC606=(Elig_MatchAll_Ct-1),AM606=0),J606,0)</f>
        <v>0</v>
      </c>
      <c r="BP606" s="188">
        <f>IF(AND(Input_Product=Elig!$C606,Elig_MatchAll_Ct&lt;22,$BC606=(Elig_MatchAll_Ct-1),AN606=0),K606,0)</f>
        <v>0</v>
      </c>
      <c r="BQ606" s="188">
        <f>IF(AND(Input_Product=Elig!$C606,Elig_MatchAll_Ct&lt;22,$BC606=(Elig_MatchAll_Ct-1),AP606=0),L606,0)</f>
        <v>0</v>
      </c>
      <c r="BR606" s="188">
        <f>IF(AND(Input_Product=Elig!$C606,Elig_MatchAll_Ct&lt;22,$BC606=(Elig_MatchAll_Ct-1),AO606=0),M606,0)</f>
        <v>0</v>
      </c>
      <c r="BS606" s="188">
        <f>IF(AND(Input_Product=Elig!$C606,Elig_MatchAll_Ct&lt;22,$BC606=(Elig_MatchAll_Ct-1),AQ606=0),N606,0)</f>
        <v>0</v>
      </c>
      <c r="BT606" s="188">
        <f>IF(AND(Input_Product=Elig!$C606,Elig_MatchAll_Ct&lt;22,$BC606=(Elig_MatchAll_Ct-1),AR606=0),O606,0)</f>
        <v>0</v>
      </c>
      <c r="BU606" s="188">
        <f>IF(AND(Input_Product=Elig!$C606,Elig_MatchAll_Ct&lt;22,$BC606=(Elig_MatchAll_Ct-1),AS606=0),P606,0)</f>
        <v>0</v>
      </c>
      <c r="BV606" s="189">
        <f>IF(AND(Input_Product=Elig!$C606,Elig_MatchAll_Ct&lt;22,$BC606=(Elig_MatchAll_Ct-1),AT606=0),Q606,0)</f>
        <v>0</v>
      </c>
      <c r="BW606" s="271">
        <f>IF(AND(Input_Product=Elig!$C606,Elig_MatchAll_Ct&lt;22,$BC606=(Elig_MatchAll_Ct-1),AU606=0),R606,0)</f>
        <v>0</v>
      </c>
      <c r="BX606" s="272">
        <f>IF(AND(Input_Product=Elig!$C606,Elig_MatchAll_Ct&lt;22,$BC606=(Elig_MatchAll_Ct-1),AU606=0),S606,0)</f>
        <v>0</v>
      </c>
      <c r="BY606" s="271">
        <f>IF(AND(Input_Product=Elig!$C606,Elig_MatchAll_Ct&lt;22,$BC606=(Elig_MatchAll_Ct-1),AV606=0),T606,0)</f>
        <v>0</v>
      </c>
      <c r="BZ606" s="272">
        <f>IF(AND(Input_Product=Elig!$C606,Elig_MatchAll_Ct&lt;22,$BC606=(Elig_MatchAll_Ct-1),AV606=0),U606,0)</f>
        <v>0</v>
      </c>
      <c r="CA606" s="271">
        <f>IF(AND(Input_Product=Elig!$C606,Elig_MatchAll_Ct&lt;22,$BC606=(Elig_MatchAll_Ct-1),AW606=0),V606,0)</f>
        <v>0</v>
      </c>
      <c r="CB606" s="272">
        <f>IF(AND(Input_Product=Elig!$C606,Elig_MatchAll_Ct&lt;22,$BC606=(Elig_MatchAll_Ct-1),AW606=0),W606,0)</f>
        <v>0</v>
      </c>
      <c r="CC606" s="271">
        <f>IF(AND(Input_Product=Elig!$C606,Elig_MatchAll_Ct&lt;22,$BC606=(Elig_MatchAll_Ct-1),AX606=0),X606,0)</f>
        <v>0</v>
      </c>
      <c r="CD606" s="272">
        <f>IF(AND(Input_Product=Elig!$C606,Elig_MatchAll_Ct&lt;22,$BC606=(Elig_MatchAll_Ct-1),AX606=0),Y606,0)</f>
        <v>0</v>
      </c>
      <c r="CE606" s="271">
        <f>IF(AND(Input_LTV&lt;=AE606,Input_Product=Elig!$C606,Elig_MatchAll_Ct&lt;22,$BC606=(Elig_MatchAll_Ct-1),AY606=0),Z606,0)</f>
        <v>0</v>
      </c>
      <c r="CF606" s="272">
        <f>IF(AND(Input_LTV&lt;=AE606,Input_Product=Elig!$C606,Elig_MatchAll_Ct&lt;22,$BC606=(Elig_MatchAll_Ct-1),AY606=0),AA606,0)</f>
        <v>0</v>
      </c>
      <c r="CG606" s="271">
        <f>IF(AND(Input_Product=Elig!$C606,Elig_MatchAll_Ct&lt;22,$BC606=(Elig_MatchAll_Ct-1),AZ606=0),AB606,0)</f>
        <v>0</v>
      </c>
      <c r="CH606" s="272">
        <f>IF(AND(Input_Product=Elig!$C606,Elig_MatchAll_Ct&lt;22,$BC606=(Elig_MatchAll_Ct-1),AZ606=0),AC606,0)</f>
        <v>0</v>
      </c>
      <c r="CI606" s="271">
        <f>IF(AND(Input_Product=Elig!$C606,Elig_MatchAll_Ct&lt;22,$BC606=(Elig_MatchAll_Ct-1),BA606=0),AD606,0)</f>
        <v>0</v>
      </c>
      <c r="CJ606" s="272">
        <f>IF(AND(Input_Product=Elig!$C606,Elig_MatchAll_Ct&lt;22,$BC606=(Elig_MatchAll_Ct-1),BA606=0),AE606,0)</f>
        <v>0</v>
      </c>
    </row>
    <row r="607" spans="1:88" ht="10.15" customHeight="1" x14ac:dyDescent="0.25">
      <c r="A607" s="1476" t="s">
        <v>76</v>
      </c>
      <c r="B607" s="1476" t="s">
        <v>1420</v>
      </c>
      <c r="C607" s="1473" t="str">
        <f t="shared" si="204"/>
        <v>Second OO</v>
      </c>
      <c r="D607" s="1474" t="s">
        <v>1121</v>
      </c>
      <c r="E607" s="1474" t="s">
        <v>98</v>
      </c>
      <c r="F607" s="1474" t="s">
        <v>328</v>
      </c>
      <c r="G607" s="1474" t="s">
        <v>178</v>
      </c>
      <c r="H607" s="1474" t="s">
        <v>135</v>
      </c>
      <c r="I607" s="1472" t="s">
        <v>1141</v>
      </c>
      <c r="J607" s="1472" t="s">
        <v>1130</v>
      </c>
      <c r="K607" s="1474" t="s">
        <v>2464</v>
      </c>
      <c r="L607" s="1472" t="s">
        <v>428</v>
      </c>
      <c r="M607" s="1472" t="s">
        <v>1835</v>
      </c>
      <c r="N607" s="1474" t="s">
        <v>82</v>
      </c>
      <c r="O607" s="1472" t="s">
        <v>309</v>
      </c>
      <c r="P607" s="1472" t="s">
        <v>2433</v>
      </c>
      <c r="Q607" s="1472" t="s">
        <v>293</v>
      </c>
      <c r="R607" s="1472">
        <v>200000</v>
      </c>
      <c r="S607" s="1472">
        <v>350000</v>
      </c>
      <c r="T607" s="1472">
        <v>0</v>
      </c>
      <c r="U607" s="1472">
        <f t="shared" si="205"/>
        <v>350000</v>
      </c>
      <c r="V607" s="1472">
        <v>0</v>
      </c>
      <c r="W607" s="1472">
        <v>50</v>
      </c>
      <c r="X607" s="1472">
        <v>0</v>
      </c>
      <c r="Y607" s="1472">
        <v>999</v>
      </c>
      <c r="Z607" s="1475">
        <v>720</v>
      </c>
      <c r="AA607" s="1475">
        <v>999</v>
      </c>
      <c r="AB607" s="1475">
        <v>0</v>
      </c>
      <c r="AC607" s="1475">
        <v>999999</v>
      </c>
      <c r="AD607" s="1472">
        <v>0</v>
      </c>
      <c r="AE607" s="1218">
        <v>70</v>
      </c>
      <c r="AF607" s="144">
        <v>0</v>
      </c>
      <c r="AG607" s="145">
        <v>0</v>
      </c>
      <c r="AH607" s="145">
        <v>1</v>
      </c>
      <c r="AI607" s="145">
        <v>0</v>
      </c>
      <c r="AJ607" s="145">
        <v>0</v>
      </c>
      <c r="AK607" s="145">
        <v>1</v>
      </c>
      <c r="AL607" s="145">
        <v>1</v>
      </c>
      <c r="AM607" s="145">
        <v>1</v>
      </c>
      <c r="AN607" s="145">
        <v>1</v>
      </c>
      <c r="AO607" s="145">
        <v>1</v>
      </c>
      <c r="AP607" s="145">
        <v>1</v>
      </c>
      <c r="AQ607" s="145">
        <v>0</v>
      </c>
      <c r="AR607" s="145">
        <v>1</v>
      </c>
      <c r="AS607" s="145">
        <v>1</v>
      </c>
      <c r="AT607" s="145">
        <v>1</v>
      </c>
      <c r="AU607" s="145">
        <f t="shared" si="206"/>
        <v>0</v>
      </c>
      <c r="AV607" s="145">
        <f t="shared" si="207"/>
        <v>1</v>
      </c>
      <c r="AW607" s="145">
        <f t="shared" si="208"/>
        <v>1</v>
      </c>
      <c r="AX607" s="145">
        <f t="shared" si="212"/>
        <v>1</v>
      </c>
      <c r="AY607" s="145">
        <f t="shared" si="209"/>
        <v>1</v>
      </c>
      <c r="AZ607" s="145">
        <f t="shared" si="210"/>
        <v>1</v>
      </c>
      <c r="BA607" s="146">
        <f t="shared" si="211"/>
        <v>1</v>
      </c>
      <c r="BB607" s="149">
        <f t="shared" si="214"/>
        <v>16</v>
      </c>
      <c r="BC607" s="150">
        <f t="shared" si="215"/>
        <v>15</v>
      </c>
      <c r="BD607" s="150">
        <f t="shared" si="216"/>
        <v>16</v>
      </c>
      <c r="BE607" s="211" t="str">
        <f t="shared" si="217"/>
        <v/>
      </c>
      <c r="BF607" s="194"/>
      <c r="BG607" s="194"/>
      <c r="BH607" s="190">
        <f>IF(AND(Input_Product=Elig!$C607,Elig_MatchAll_Ct&lt;22,$BC607=(Elig_MatchAll_Ct-1),AF607=0),C607,0)</f>
        <v>0</v>
      </c>
      <c r="BI607" s="190">
        <f>IF(AND(Input_Product=Elig!$C607,Elig_MatchAll_Ct&lt;22,$BC607=(Elig_MatchAll_Ct-1),AG607=0),D607,0)</f>
        <v>0</v>
      </c>
      <c r="BJ607" s="190">
        <f>IF(AND(Input_Product=Elig!$C607,Elig_MatchAll_Ct&lt;22,$BC607=(Elig_MatchAll_Ct-1),AH607=0),E607,0)</f>
        <v>0</v>
      </c>
      <c r="BK607" s="190">
        <f>IF(AND(Input_Product=Elig!$C607,Elig_MatchAll_Ct&lt;22,$BC607=(Elig_MatchAll_Ct-1),AI607=0),F607,0)</f>
        <v>0</v>
      </c>
      <c r="BL607" s="190">
        <f>IF(AND(Input_Product=Elig!$C607,Elig_MatchAll_Ct&lt;22,$BC607=(Elig_MatchAll_Ct-1),AJ607=0),G607,0)</f>
        <v>0</v>
      </c>
      <c r="BM607" s="190">
        <f>IF(AND(Input_Product=Elig!$C607,Elig_MatchAll_Ct&lt;22,$BC607=(Elig_MatchAll_Ct-1),AK607=0),H607,0)</f>
        <v>0</v>
      </c>
      <c r="BN607" s="190">
        <f>IF(AND(Input_Product=Elig!$C607,Elig_MatchAll_Ct&lt;22,$BC607=(Elig_MatchAll_Ct-1),AL607=0),I607,0)</f>
        <v>0</v>
      </c>
      <c r="BO607" s="190">
        <f>IF(AND(Input_Product=Elig!$C607,Elig_MatchAll_Ct&lt;22,$BC607=(Elig_MatchAll_Ct-1),AM607=0),J607,0)</f>
        <v>0</v>
      </c>
      <c r="BP607" s="190">
        <f>IF(AND(Input_Product=Elig!$C607,Elig_MatchAll_Ct&lt;22,$BC607=(Elig_MatchAll_Ct-1),AN607=0),K607,0)</f>
        <v>0</v>
      </c>
      <c r="BQ607" s="190">
        <f>IF(AND(Input_Product=Elig!$C607,Elig_MatchAll_Ct&lt;22,$BC607=(Elig_MatchAll_Ct-1),AP607=0),L607,0)</f>
        <v>0</v>
      </c>
      <c r="BR607" s="190">
        <f>IF(AND(Input_Product=Elig!$C607,Elig_MatchAll_Ct&lt;22,$BC607=(Elig_MatchAll_Ct-1),AO607=0),M607,0)</f>
        <v>0</v>
      </c>
      <c r="BS607" s="190">
        <f>IF(AND(Input_Product=Elig!$C607,Elig_MatchAll_Ct&lt;22,$BC607=(Elig_MatchAll_Ct-1),AQ607=0),N607,0)</f>
        <v>0</v>
      </c>
      <c r="BT607" s="190">
        <f>IF(AND(Input_Product=Elig!$C607,Elig_MatchAll_Ct&lt;22,$BC607=(Elig_MatchAll_Ct-1),AR607=0),O607,0)</f>
        <v>0</v>
      </c>
      <c r="BU607" s="190">
        <f>IF(AND(Input_Product=Elig!$C607,Elig_MatchAll_Ct&lt;22,$BC607=(Elig_MatchAll_Ct-1),AS607=0),P607,0)</f>
        <v>0</v>
      </c>
      <c r="BV607" s="191">
        <f>IF(AND(Input_Product=Elig!$C607,Elig_MatchAll_Ct&lt;22,$BC607=(Elig_MatchAll_Ct-1),AT607=0),Q607,0)</f>
        <v>0</v>
      </c>
      <c r="BW607" s="273">
        <f>IF(AND(Input_Product=Elig!$C607,Elig_MatchAll_Ct&lt;22,$BC607=(Elig_MatchAll_Ct-1),AU607=0),R607,0)</f>
        <v>0</v>
      </c>
      <c r="BX607" s="274">
        <f>IF(AND(Input_Product=Elig!$C607,Elig_MatchAll_Ct&lt;22,$BC607=(Elig_MatchAll_Ct-1),AU607=0),S607,0)</f>
        <v>0</v>
      </c>
      <c r="BY607" s="273">
        <f>IF(AND(Input_Product=Elig!$C607,Elig_MatchAll_Ct&lt;22,$BC607=(Elig_MatchAll_Ct-1),AV607=0),T607,0)</f>
        <v>0</v>
      </c>
      <c r="BZ607" s="274">
        <f>IF(AND(Input_Product=Elig!$C607,Elig_MatchAll_Ct&lt;22,$BC607=(Elig_MatchAll_Ct-1),AV607=0),U607,0)</f>
        <v>0</v>
      </c>
      <c r="CA607" s="273">
        <f>IF(AND(Input_Product=Elig!$C607,Elig_MatchAll_Ct&lt;22,$BC607=(Elig_MatchAll_Ct-1),AW607=0),V607,0)</f>
        <v>0</v>
      </c>
      <c r="CB607" s="274">
        <f>IF(AND(Input_Product=Elig!$C607,Elig_MatchAll_Ct&lt;22,$BC607=(Elig_MatchAll_Ct-1),AW607=0),W607,0)</f>
        <v>0</v>
      </c>
      <c r="CC607" s="273">
        <f>IF(AND(Input_Product=Elig!$C607,Elig_MatchAll_Ct&lt;22,$BC607=(Elig_MatchAll_Ct-1),AX607=0),X607,0)</f>
        <v>0</v>
      </c>
      <c r="CD607" s="274">
        <f>IF(AND(Input_Product=Elig!$C607,Elig_MatchAll_Ct&lt;22,$BC607=(Elig_MatchAll_Ct-1),AX607=0),Y607,0)</f>
        <v>0</v>
      </c>
      <c r="CE607" s="273">
        <f>IF(AND(Input_LTV&lt;=AE607,Input_Product=Elig!$C607,Elig_MatchAll_Ct&lt;22,$BC607=(Elig_MatchAll_Ct-1),AY607=0),Z607,0)</f>
        <v>0</v>
      </c>
      <c r="CF607" s="274">
        <f>IF(AND(Input_LTV&lt;=AE607,Input_Product=Elig!$C607,Elig_MatchAll_Ct&lt;22,$BC607=(Elig_MatchAll_Ct-1),AY607=0),AA607,0)</f>
        <v>0</v>
      </c>
      <c r="CG607" s="273">
        <f>IF(AND(Input_Product=Elig!$C607,Elig_MatchAll_Ct&lt;22,$BC607=(Elig_MatchAll_Ct-1),AZ607=0),AB607,0)</f>
        <v>0</v>
      </c>
      <c r="CH607" s="274">
        <f>IF(AND(Input_Product=Elig!$C607,Elig_MatchAll_Ct&lt;22,$BC607=(Elig_MatchAll_Ct-1),AZ607=0),AC607,0)</f>
        <v>0</v>
      </c>
      <c r="CI607" s="273">
        <f>IF(AND(Input_Product=Elig!$C607,Elig_MatchAll_Ct&lt;22,$BC607=(Elig_MatchAll_Ct-1),BA607=0),AD607,0)</f>
        <v>0</v>
      </c>
      <c r="CJ607" s="274">
        <f>IF(AND(Input_Product=Elig!$C607,Elig_MatchAll_Ct&lt;22,$BC607=(Elig_MatchAll_Ct-1),BA607=0),AE607,0)</f>
        <v>0</v>
      </c>
    </row>
    <row r="608" spans="1:88" ht="10.15" customHeight="1" x14ac:dyDescent="0.25">
      <c r="A608" s="1476" t="s">
        <v>76</v>
      </c>
      <c r="B608" s="1476" t="s">
        <v>1421</v>
      </c>
      <c r="C608" s="1477" t="str">
        <f t="shared" si="204"/>
        <v>Second OO</v>
      </c>
      <c r="D608" s="1476" t="s">
        <v>1121</v>
      </c>
      <c r="E608" s="1476" t="s">
        <v>98</v>
      </c>
      <c r="F608" s="1476" t="s">
        <v>328</v>
      </c>
      <c r="G608" s="1478" t="s">
        <v>178</v>
      </c>
      <c r="H608" s="1478" t="s">
        <v>135</v>
      </c>
      <c r="I608" s="1476" t="s">
        <v>1141</v>
      </c>
      <c r="J608" s="1476" t="s">
        <v>1130</v>
      </c>
      <c r="K608" s="1478" t="s">
        <v>2464</v>
      </c>
      <c r="L608" s="1476" t="s">
        <v>428</v>
      </c>
      <c r="M608" s="1476" t="s">
        <v>1835</v>
      </c>
      <c r="N608" s="1478" t="s">
        <v>82</v>
      </c>
      <c r="O608" s="1476" t="s">
        <v>309</v>
      </c>
      <c r="P608" s="1476" t="s">
        <v>2433</v>
      </c>
      <c r="Q608" s="1476" t="s">
        <v>293</v>
      </c>
      <c r="R608" s="1476">
        <v>200000</v>
      </c>
      <c r="S608" s="1476">
        <v>350000</v>
      </c>
      <c r="T608" s="1476">
        <v>0</v>
      </c>
      <c r="U608" s="1476">
        <f t="shared" si="205"/>
        <v>350000</v>
      </c>
      <c r="V608" s="1476">
        <v>0</v>
      </c>
      <c r="W608" s="1476">
        <v>50</v>
      </c>
      <c r="X608" s="1476">
        <v>0</v>
      </c>
      <c r="Y608" s="1476">
        <v>999</v>
      </c>
      <c r="Z608" s="1479">
        <v>700</v>
      </c>
      <c r="AA608" s="1479">
        <v>719</v>
      </c>
      <c r="AB608" s="1479">
        <v>0</v>
      </c>
      <c r="AC608" s="1479">
        <v>999999</v>
      </c>
      <c r="AD608" s="1476">
        <v>0</v>
      </c>
      <c r="AE608" s="1219">
        <v>65</v>
      </c>
      <c r="AF608" s="144">
        <v>0</v>
      </c>
      <c r="AG608" s="145">
        <v>0</v>
      </c>
      <c r="AH608" s="145">
        <v>1</v>
      </c>
      <c r="AI608" s="145">
        <v>0</v>
      </c>
      <c r="AJ608" s="145">
        <v>0</v>
      </c>
      <c r="AK608" s="145">
        <v>1</v>
      </c>
      <c r="AL608" s="145">
        <v>1</v>
      </c>
      <c r="AM608" s="145">
        <v>1</v>
      </c>
      <c r="AN608" s="145">
        <v>1</v>
      </c>
      <c r="AO608" s="145">
        <v>1</v>
      </c>
      <c r="AP608" s="145">
        <v>1</v>
      </c>
      <c r="AQ608" s="145">
        <v>0</v>
      </c>
      <c r="AR608" s="145">
        <v>1</v>
      </c>
      <c r="AS608" s="145">
        <v>1</v>
      </c>
      <c r="AT608" s="145">
        <v>1</v>
      </c>
      <c r="AU608" s="145">
        <f t="shared" si="206"/>
        <v>0</v>
      </c>
      <c r="AV608" s="145">
        <f t="shared" si="207"/>
        <v>1</v>
      </c>
      <c r="AW608" s="145">
        <f t="shared" si="208"/>
        <v>1</v>
      </c>
      <c r="AX608" s="145">
        <f t="shared" si="212"/>
        <v>1</v>
      </c>
      <c r="AY608" s="145">
        <f t="shared" si="209"/>
        <v>0</v>
      </c>
      <c r="AZ608" s="145">
        <f t="shared" si="210"/>
        <v>1</v>
      </c>
      <c r="BA608" s="146">
        <f t="shared" si="211"/>
        <v>0</v>
      </c>
      <c r="BB608" s="149">
        <f t="shared" si="214"/>
        <v>14</v>
      </c>
      <c r="BC608" s="150">
        <f t="shared" si="215"/>
        <v>14</v>
      </c>
      <c r="BD608" s="150">
        <f t="shared" si="216"/>
        <v>14</v>
      </c>
      <c r="BE608" s="211" t="str">
        <f t="shared" si="217"/>
        <v/>
      </c>
      <c r="BF608" s="205"/>
      <c r="BG608" s="205"/>
      <c r="BH608" s="173">
        <f>IF(AND(Input_Product=Elig!$C608,Elig_MatchAll_Ct&lt;22,$BC608=(Elig_MatchAll_Ct-1),AF608=0),C608,0)</f>
        <v>0</v>
      </c>
      <c r="BI608" s="173">
        <f>IF(AND(Input_Product=Elig!$C608,Elig_MatchAll_Ct&lt;22,$BC608=(Elig_MatchAll_Ct-1),AG608=0),D608,0)</f>
        <v>0</v>
      </c>
      <c r="BJ608" s="173">
        <f>IF(AND(Input_Product=Elig!$C608,Elig_MatchAll_Ct&lt;22,$BC608=(Elig_MatchAll_Ct-1),AH608=0),E608,0)</f>
        <v>0</v>
      </c>
      <c r="BK608" s="173">
        <f>IF(AND(Input_Product=Elig!$C608,Elig_MatchAll_Ct&lt;22,$BC608=(Elig_MatchAll_Ct-1),AI608=0),F608,0)</f>
        <v>0</v>
      </c>
      <c r="BL608" s="173">
        <f>IF(AND(Input_Product=Elig!$C608,Elig_MatchAll_Ct&lt;22,$BC608=(Elig_MatchAll_Ct-1),AJ608=0),G608,0)</f>
        <v>0</v>
      </c>
      <c r="BM608" s="173">
        <f>IF(AND(Input_Product=Elig!$C608,Elig_MatchAll_Ct&lt;22,$BC608=(Elig_MatchAll_Ct-1),AK608=0),H608,0)</f>
        <v>0</v>
      </c>
      <c r="BN608" s="173">
        <f>IF(AND(Input_Product=Elig!$C608,Elig_MatchAll_Ct&lt;22,$BC608=(Elig_MatchAll_Ct-1),AL608=0),I608,0)</f>
        <v>0</v>
      </c>
      <c r="BO608" s="173">
        <f>IF(AND(Input_Product=Elig!$C608,Elig_MatchAll_Ct&lt;22,$BC608=(Elig_MatchAll_Ct-1),AM608=0),J608,0)</f>
        <v>0</v>
      </c>
      <c r="BP608" s="173">
        <f>IF(AND(Input_Product=Elig!$C608,Elig_MatchAll_Ct&lt;22,$BC608=(Elig_MatchAll_Ct-1),AN608=0),K608,0)</f>
        <v>0</v>
      </c>
      <c r="BQ608" s="173">
        <f>IF(AND(Input_Product=Elig!$C608,Elig_MatchAll_Ct&lt;22,$BC608=(Elig_MatchAll_Ct-1),AP608=0),L608,0)</f>
        <v>0</v>
      </c>
      <c r="BR608" s="173">
        <f>IF(AND(Input_Product=Elig!$C608,Elig_MatchAll_Ct&lt;22,$BC608=(Elig_MatchAll_Ct-1),AO608=0),M608,0)</f>
        <v>0</v>
      </c>
      <c r="BS608" s="173">
        <f>IF(AND(Input_Product=Elig!$C608,Elig_MatchAll_Ct&lt;22,$BC608=(Elig_MatchAll_Ct-1),AQ608=0),N608,0)</f>
        <v>0</v>
      </c>
      <c r="BT608" s="173">
        <f>IF(AND(Input_Product=Elig!$C608,Elig_MatchAll_Ct&lt;22,$BC608=(Elig_MatchAll_Ct-1),AR608=0),O608,0)</f>
        <v>0</v>
      </c>
      <c r="BU608" s="173">
        <f>IF(AND(Input_Product=Elig!$C608,Elig_MatchAll_Ct&lt;22,$BC608=(Elig_MatchAll_Ct-1),AS608=0),P608,0)</f>
        <v>0</v>
      </c>
      <c r="BV608" s="174">
        <f>IF(AND(Input_Product=Elig!$C608,Elig_MatchAll_Ct&lt;22,$BC608=(Elig_MatchAll_Ct-1),AT608=0),Q608,0)</f>
        <v>0</v>
      </c>
      <c r="BW608" s="175">
        <f>IF(AND(Input_Product=Elig!$C608,Elig_MatchAll_Ct&lt;22,$BC608=(Elig_MatchAll_Ct-1),AU608=0),R608,0)</f>
        <v>0</v>
      </c>
      <c r="BX608" s="176">
        <f>IF(AND(Input_Product=Elig!$C608,Elig_MatchAll_Ct&lt;22,$BC608=(Elig_MatchAll_Ct-1),AU608=0),S608,0)</f>
        <v>0</v>
      </c>
      <c r="BY608" s="175">
        <f>IF(AND(Input_Product=Elig!$C608,Elig_MatchAll_Ct&lt;22,$BC608=(Elig_MatchAll_Ct-1),AV608=0),T608,0)</f>
        <v>0</v>
      </c>
      <c r="BZ608" s="176">
        <f>IF(AND(Input_Product=Elig!$C608,Elig_MatchAll_Ct&lt;22,$BC608=(Elig_MatchAll_Ct-1),AV608=0),U608,0)</f>
        <v>0</v>
      </c>
      <c r="CA608" s="175">
        <f>IF(AND(Input_Product=Elig!$C608,Elig_MatchAll_Ct&lt;22,$BC608=(Elig_MatchAll_Ct-1),AW608=0),V608,0)</f>
        <v>0</v>
      </c>
      <c r="CB608" s="176">
        <f>IF(AND(Input_Product=Elig!$C608,Elig_MatchAll_Ct&lt;22,$BC608=(Elig_MatchAll_Ct-1),AW608=0),W608,0)</f>
        <v>0</v>
      </c>
      <c r="CC608" s="175">
        <f>IF(AND(Input_Product=Elig!$C608,Elig_MatchAll_Ct&lt;22,$BC608=(Elig_MatchAll_Ct-1),AX608=0),X608,0)</f>
        <v>0</v>
      </c>
      <c r="CD608" s="176">
        <f>IF(AND(Input_Product=Elig!$C608,Elig_MatchAll_Ct&lt;22,$BC608=(Elig_MatchAll_Ct-1),AX608=0),Y608,0)</f>
        <v>0</v>
      </c>
      <c r="CE608" s="175">
        <f>IF(AND(Input_LTV&lt;=AE608,Input_Product=Elig!$C608,Elig_MatchAll_Ct&lt;22,$BC608=(Elig_MatchAll_Ct-1),AY608=0),Z608,0)</f>
        <v>0</v>
      </c>
      <c r="CF608" s="176">
        <f>IF(AND(Input_LTV&lt;=AE608,Input_Product=Elig!$C608,Elig_MatchAll_Ct&lt;22,$BC608=(Elig_MatchAll_Ct-1),AY608=0),AA608,0)</f>
        <v>0</v>
      </c>
      <c r="CG608" s="175">
        <f>IF(AND(Input_Product=Elig!$C608,Elig_MatchAll_Ct&lt;22,$BC608=(Elig_MatchAll_Ct-1),AZ608=0),AB608,0)</f>
        <v>0</v>
      </c>
      <c r="CH608" s="176">
        <f>IF(AND(Input_Product=Elig!$C608,Elig_MatchAll_Ct&lt;22,$BC608=(Elig_MatchAll_Ct-1),AZ608=0),AC608,0)</f>
        <v>0</v>
      </c>
      <c r="CI608" s="175">
        <f>IF(AND(Input_Product=Elig!$C608,Elig_MatchAll_Ct&lt;22,$BC608=(Elig_MatchAll_Ct-1),BA608=0),AD608,0)</f>
        <v>0</v>
      </c>
      <c r="CJ608" s="176">
        <f>IF(AND(Input_Product=Elig!$C608,Elig_MatchAll_Ct&lt;22,$BC608=(Elig_MatchAll_Ct-1),BA608=0),AE608,0)</f>
        <v>0</v>
      </c>
    </row>
    <row r="609" spans="1:88" ht="10.15" customHeight="1" x14ac:dyDescent="0.25">
      <c r="A609" s="1476" t="s">
        <v>76</v>
      </c>
      <c r="B609" s="1476" t="s">
        <v>1422</v>
      </c>
      <c r="C609" s="1477" t="str">
        <f t="shared" si="204"/>
        <v>Second OO</v>
      </c>
      <c r="D609" s="1476" t="s">
        <v>1121</v>
      </c>
      <c r="E609" s="1476" t="s">
        <v>98</v>
      </c>
      <c r="F609" s="1476" t="s">
        <v>328</v>
      </c>
      <c r="G609" s="1478" t="s">
        <v>178</v>
      </c>
      <c r="H609" s="1478" t="s">
        <v>135</v>
      </c>
      <c r="I609" s="1476" t="s">
        <v>1141</v>
      </c>
      <c r="J609" s="1476" t="s">
        <v>1130</v>
      </c>
      <c r="K609" s="1478" t="s">
        <v>2464</v>
      </c>
      <c r="L609" s="1476" t="s">
        <v>428</v>
      </c>
      <c r="M609" s="1476" t="s">
        <v>1835</v>
      </c>
      <c r="N609" s="1478" t="s">
        <v>82</v>
      </c>
      <c r="O609" s="1476" t="s">
        <v>309</v>
      </c>
      <c r="P609" s="1476" t="s">
        <v>2433</v>
      </c>
      <c r="Q609" s="1476" t="s">
        <v>293</v>
      </c>
      <c r="R609" s="1476">
        <v>200000</v>
      </c>
      <c r="S609" s="1476">
        <v>350000</v>
      </c>
      <c r="T609" s="1476">
        <v>0</v>
      </c>
      <c r="U609" s="1476">
        <f t="shared" si="205"/>
        <v>350000</v>
      </c>
      <c r="V609" s="1476">
        <v>0</v>
      </c>
      <c r="W609" s="1476">
        <v>50</v>
      </c>
      <c r="X609" s="1476">
        <v>0</v>
      </c>
      <c r="Y609" s="1476">
        <v>999</v>
      </c>
      <c r="Z609" s="1479">
        <v>680</v>
      </c>
      <c r="AA609" s="1479">
        <v>699</v>
      </c>
      <c r="AB609" s="1479">
        <v>0</v>
      </c>
      <c r="AC609" s="1479">
        <v>999999</v>
      </c>
      <c r="AD609" s="1476">
        <v>0</v>
      </c>
      <c r="AE609" s="1219">
        <v>60</v>
      </c>
      <c r="AF609" s="144">
        <v>0</v>
      </c>
      <c r="AG609" s="145">
        <v>0</v>
      </c>
      <c r="AH609" s="145">
        <v>1</v>
      </c>
      <c r="AI609" s="145">
        <v>0</v>
      </c>
      <c r="AJ609" s="145">
        <v>0</v>
      </c>
      <c r="AK609" s="145">
        <v>1</v>
      </c>
      <c r="AL609" s="145">
        <v>1</v>
      </c>
      <c r="AM609" s="145">
        <v>1</v>
      </c>
      <c r="AN609" s="145">
        <v>1</v>
      </c>
      <c r="AO609" s="145">
        <v>1</v>
      </c>
      <c r="AP609" s="145">
        <v>1</v>
      </c>
      <c r="AQ609" s="145">
        <v>0</v>
      </c>
      <c r="AR609" s="145">
        <v>1</v>
      </c>
      <c r="AS609" s="145">
        <v>1</v>
      </c>
      <c r="AT609" s="145">
        <v>1</v>
      </c>
      <c r="AU609" s="145">
        <f t="shared" ref="AU609:AU688" si="219">IF(AND(Input_LoanAmt&gt;=Elig_LoanAmt_Min,Input_LoanAmt&lt;=Elig_LoanAmt_Max),1,0)</f>
        <v>0</v>
      </c>
      <c r="AV609" s="145">
        <f t="shared" ref="AV609:AV688" si="220">IF(AND(Input_CashoutAmt&gt;=Elig_CashoutAmt_Min,Input_CashoutAmt&lt;=Elig_CashoutAmt_Max),1,0)</f>
        <v>1</v>
      </c>
      <c r="AW609" s="145">
        <f t="shared" ref="AW609:AW688" si="221">IF(AND(Input_DTI&gt;=Elig_DTI_Min,Input_DTI&lt;=Elig_DTI_Max),1,0)</f>
        <v>1</v>
      </c>
      <c r="AX609" s="145">
        <f t="shared" si="212"/>
        <v>1</v>
      </c>
      <c r="AY609" s="145">
        <f t="shared" ref="AY609:AY688" si="222">IF(AND(Input_CreditScore&gt;=Elig_CreditScore_Min,Input_CreditScore&lt;=Elig_CreditScore_Max),1,0)</f>
        <v>0</v>
      </c>
      <c r="AZ609" s="145">
        <f t="shared" ref="AZ609:AZ688" si="223">IF(AND(Input_ReservesMonths&gt;=Elig_Reserves_Min,Input_ReservesMonths&lt;=Elig_Reserves_Max),1,0)</f>
        <v>1</v>
      </c>
      <c r="BA609" s="146">
        <f t="shared" ref="BA609:BA688" si="224">IF(AND(Input_LTV&gt;=Elig_LTV_Min,Input_LTV&lt;=Elig_LTV_Max),1,0)</f>
        <v>0</v>
      </c>
      <c r="BB609" s="149">
        <f t="shared" si="214"/>
        <v>14</v>
      </c>
      <c r="BC609" s="150">
        <f t="shared" si="215"/>
        <v>14</v>
      </c>
      <c r="BD609" s="150">
        <f t="shared" si="216"/>
        <v>14</v>
      </c>
      <c r="BE609" s="211" t="str">
        <f t="shared" si="217"/>
        <v/>
      </c>
      <c r="BF609" s="205"/>
      <c r="BG609" s="205"/>
      <c r="BH609" s="173">
        <f>IF(AND(Input_Product=Elig!$C609,Elig_MatchAll_Ct&lt;22,$BC609=(Elig_MatchAll_Ct-1),AF609=0),C609,0)</f>
        <v>0</v>
      </c>
      <c r="BI609" s="173">
        <f>IF(AND(Input_Product=Elig!$C609,Elig_MatchAll_Ct&lt;22,$BC609=(Elig_MatchAll_Ct-1),AG609=0),D609,0)</f>
        <v>0</v>
      </c>
      <c r="BJ609" s="173">
        <f>IF(AND(Input_Product=Elig!$C609,Elig_MatchAll_Ct&lt;22,$BC609=(Elig_MatchAll_Ct-1),AH609=0),E609,0)</f>
        <v>0</v>
      </c>
      <c r="BK609" s="173">
        <f>IF(AND(Input_Product=Elig!$C609,Elig_MatchAll_Ct&lt;22,$BC609=(Elig_MatchAll_Ct-1),AI609=0),F609,0)</f>
        <v>0</v>
      </c>
      <c r="BL609" s="173">
        <f>IF(AND(Input_Product=Elig!$C609,Elig_MatchAll_Ct&lt;22,$BC609=(Elig_MatchAll_Ct-1),AJ609=0),G609,0)</f>
        <v>0</v>
      </c>
      <c r="BM609" s="173">
        <f>IF(AND(Input_Product=Elig!$C609,Elig_MatchAll_Ct&lt;22,$BC609=(Elig_MatchAll_Ct-1),AK609=0),H609,0)</f>
        <v>0</v>
      </c>
      <c r="BN609" s="173">
        <f>IF(AND(Input_Product=Elig!$C609,Elig_MatchAll_Ct&lt;22,$BC609=(Elig_MatchAll_Ct-1),AL609=0),I609,0)</f>
        <v>0</v>
      </c>
      <c r="BO609" s="173">
        <f>IF(AND(Input_Product=Elig!$C609,Elig_MatchAll_Ct&lt;22,$BC609=(Elig_MatchAll_Ct-1),AM609=0),J609,0)</f>
        <v>0</v>
      </c>
      <c r="BP609" s="173">
        <f>IF(AND(Input_Product=Elig!$C609,Elig_MatchAll_Ct&lt;22,$BC609=(Elig_MatchAll_Ct-1),AN609=0),K609,0)</f>
        <v>0</v>
      </c>
      <c r="BQ609" s="173">
        <f>IF(AND(Input_Product=Elig!$C609,Elig_MatchAll_Ct&lt;22,$BC609=(Elig_MatchAll_Ct-1),AP609=0),L609,0)</f>
        <v>0</v>
      </c>
      <c r="BR609" s="173">
        <f>IF(AND(Input_Product=Elig!$C609,Elig_MatchAll_Ct&lt;22,$BC609=(Elig_MatchAll_Ct-1),AO609=0),M609,0)</f>
        <v>0</v>
      </c>
      <c r="BS609" s="173">
        <f>IF(AND(Input_Product=Elig!$C609,Elig_MatchAll_Ct&lt;22,$BC609=(Elig_MatchAll_Ct-1),AQ609=0),N609,0)</f>
        <v>0</v>
      </c>
      <c r="BT609" s="173">
        <f>IF(AND(Input_Product=Elig!$C609,Elig_MatchAll_Ct&lt;22,$BC609=(Elig_MatchAll_Ct-1),AR609=0),O609,0)</f>
        <v>0</v>
      </c>
      <c r="BU609" s="173">
        <f>IF(AND(Input_Product=Elig!$C609,Elig_MatchAll_Ct&lt;22,$BC609=(Elig_MatchAll_Ct-1),AS609=0),P609,0)</f>
        <v>0</v>
      </c>
      <c r="BV609" s="174">
        <f>IF(AND(Input_Product=Elig!$C609,Elig_MatchAll_Ct&lt;22,$BC609=(Elig_MatchAll_Ct-1),AT609=0),Q609,0)</f>
        <v>0</v>
      </c>
      <c r="BW609" s="175">
        <f>IF(AND(Input_Product=Elig!$C609,Elig_MatchAll_Ct&lt;22,$BC609=(Elig_MatchAll_Ct-1),AU609=0),R609,0)</f>
        <v>0</v>
      </c>
      <c r="BX609" s="176">
        <f>IF(AND(Input_Product=Elig!$C609,Elig_MatchAll_Ct&lt;22,$BC609=(Elig_MatchAll_Ct-1),AU609=0),S609,0)</f>
        <v>0</v>
      </c>
      <c r="BY609" s="175">
        <f>IF(AND(Input_Product=Elig!$C609,Elig_MatchAll_Ct&lt;22,$BC609=(Elig_MatchAll_Ct-1),AV609=0),T609,0)</f>
        <v>0</v>
      </c>
      <c r="BZ609" s="176">
        <f>IF(AND(Input_Product=Elig!$C609,Elig_MatchAll_Ct&lt;22,$BC609=(Elig_MatchAll_Ct-1),AV609=0),U609,0)</f>
        <v>0</v>
      </c>
      <c r="CA609" s="175">
        <f>IF(AND(Input_Product=Elig!$C609,Elig_MatchAll_Ct&lt;22,$BC609=(Elig_MatchAll_Ct-1),AW609=0),V609,0)</f>
        <v>0</v>
      </c>
      <c r="CB609" s="176">
        <f>IF(AND(Input_Product=Elig!$C609,Elig_MatchAll_Ct&lt;22,$BC609=(Elig_MatchAll_Ct-1),AW609=0),W609,0)</f>
        <v>0</v>
      </c>
      <c r="CC609" s="175">
        <f>IF(AND(Input_Product=Elig!$C609,Elig_MatchAll_Ct&lt;22,$BC609=(Elig_MatchAll_Ct-1),AX609=0),X609,0)</f>
        <v>0</v>
      </c>
      <c r="CD609" s="176">
        <f>IF(AND(Input_Product=Elig!$C609,Elig_MatchAll_Ct&lt;22,$BC609=(Elig_MatchAll_Ct-1),AX609=0),Y609,0)</f>
        <v>0</v>
      </c>
      <c r="CE609" s="175">
        <f>IF(AND(Input_LTV&lt;=AE609,Input_Product=Elig!$C609,Elig_MatchAll_Ct&lt;22,$BC609=(Elig_MatchAll_Ct-1),AY609=0),Z609,0)</f>
        <v>0</v>
      </c>
      <c r="CF609" s="176">
        <f>IF(AND(Input_LTV&lt;=AE609,Input_Product=Elig!$C609,Elig_MatchAll_Ct&lt;22,$BC609=(Elig_MatchAll_Ct-1),AY609=0),AA609,0)</f>
        <v>0</v>
      </c>
      <c r="CG609" s="175">
        <f>IF(AND(Input_Product=Elig!$C609,Elig_MatchAll_Ct&lt;22,$BC609=(Elig_MatchAll_Ct-1),AZ609=0),AB609,0)</f>
        <v>0</v>
      </c>
      <c r="CH609" s="176">
        <f>IF(AND(Input_Product=Elig!$C609,Elig_MatchAll_Ct&lt;22,$BC609=(Elig_MatchAll_Ct-1),AZ609=0),AC609,0)</f>
        <v>0</v>
      </c>
      <c r="CI609" s="175">
        <f>IF(AND(Input_Product=Elig!$C609,Elig_MatchAll_Ct&lt;22,$BC609=(Elig_MatchAll_Ct-1),BA609=0),AD609,0)</f>
        <v>0</v>
      </c>
      <c r="CJ609" s="176">
        <f>IF(AND(Input_Product=Elig!$C609,Elig_MatchAll_Ct&lt;22,$BC609=(Elig_MatchAll_Ct-1),BA609=0),AE609,0)</f>
        <v>0</v>
      </c>
    </row>
    <row r="610" spans="1:88" ht="10.15" customHeight="1" x14ac:dyDescent="0.25">
      <c r="A610" s="1476" t="s">
        <v>76</v>
      </c>
      <c r="B610" s="1476" t="s">
        <v>1423</v>
      </c>
      <c r="C610" s="1481" t="str">
        <f t="shared" si="204"/>
        <v>Second OO</v>
      </c>
      <c r="D610" s="1480" t="s">
        <v>1121</v>
      </c>
      <c r="E610" s="1480" t="s">
        <v>98</v>
      </c>
      <c r="F610" s="1480" t="s">
        <v>328</v>
      </c>
      <c r="G610" s="1482" t="s">
        <v>178</v>
      </c>
      <c r="H610" s="1482" t="s">
        <v>135</v>
      </c>
      <c r="I610" s="1480" t="s">
        <v>1141</v>
      </c>
      <c r="J610" s="1480" t="s">
        <v>1130</v>
      </c>
      <c r="K610" s="1482" t="s">
        <v>2464</v>
      </c>
      <c r="L610" s="1480" t="s">
        <v>428</v>
      </c>
      <c r="M610" s="1480" t="s">
        <v>1835</v>
      </c>
      <c r="N610" s="1482" t="s">
        <v>82</v>
      </c>
      <c r="O610" s="1480" t="s">
        <v>309</v>
      </c>
      <c r="P610" s="1480" t="s">
        <v>2433</v>
      </c>
      <c r="Q610" s="1480" t="s">
        <v>293</v>
      </c>
      <c r="R610" s="1480">
        <v>200000</v>
      </c>
      <c r="S610" s="1480">
        <v>350000</v>
      </c>
      <c r="T610" s="1480">
        <v>0</v>
      </c>
      <c r="U610" s="1480">
        <f t="shared" si="205"/>
        <v>350000</v>
      </c>
      <c r="V610" s="1480">
        <v>0</v>
      </c>
      <c r="W610" s="1480">
        <v>50</v>
      </c>
      <c r="X610" s="1480">
        <v>0</v>
      </c>
      <c r="Y610" s="1480">
        <v>999</v>
      </c>
      <c r="Z610" s="1483">
        <v>660</v>
      </c>
      <c r="AA610" s="1483">
        <v>679</v>
      </c>
      <c r="AB610" s="1483">
        <v>0</v>
      </c>
      <c r="AC610" s="1483">
        <v>999999</v>
      </c>
      <c r="AD610" s="1480">
        <v>0</v>
      </c>
      <c r="AE610" s="1220">
        <v>55</v>
      </c>
      <c r="AF610" s="144">
        <v>0</v>
      </c>
      <c r="AG610" s="145">
        <v>0</v>
      </c>
      <c r="AH610" s="145">
        <v>1</v>
      </c>
      <c r="AI610" s="145">
        <v>0</v>
      </c>
      <c r="AJ610" s="145">
        <v>0</v>
      </c>
      <c r="AK610" s="145">
        <v>1</v>
      </c>
      <c r="AL610" s="145">
        <v>1</v>
      </c>
      <c r="AM610" s="145">
        <v>1</v>
      </c>
      <c r="AN610" s="145">
        <v>1</v>
      </c>
      <c r="AO610" s="145">
        <v>1</v>
      </c>
      <c r="AP610" s="145">
        <v>1</v>
      </c>
      <c r="AQ610" s="145">
        <v>0</v>
      </c>
      <c r="AR610" s="145">
        <v>1</v>
      </c>
      <c r="AS610" s="145">
        <v>1</v>
      </c>
      <c r="AT610" s="145">
        <v>1</v>
      </c>
      <c r="AU610" s="145">
        <f t="shared" si="219"/>
        <v>0</v>
      </c>
      <c r="AV610" s="145">
        <f t="shared" si="220"/>
        <v>1</v>
      </c>
      <c r="AW610" s="145">
        <f t="shared" si="221"/>
        <v>1</v>
      </c>
      <c r="AX610" s="145">
        <f t="shared" si="212"/>
        <v>1</v>
      </c>
      <c r="AY610" s="145">
        <f t="shared" si="222"/>
        <v>0</v>
      </c>
      <c r="AZ610" s="145">
        <f t="shared" si="223"/>
        <v>1</v>
      </c>
      <c r="BA610" s="146">
        <f t="shared" si="224"/>
        <v>0</v>
      </c>
      <c r="BB610" s="149">
        <f t="shared" si="214"/>
        <v>14</v>
      </c>
      <c r="BC610" s="150">
        <f t="shared" si="215"/>
        <v>14</v>
      </c>
      <c r="BD610" s="150">
        <f t="shared" si="216"/>
        <v>14</v>
      </c>
      <c r="BE610" s="211" t="str">
        <f t="shared" si="217"/>
        <v/>
      </c>
      <c r="BF610" s="205"/>
      <c r="BG610" s="205"/>
      <c r="BH610" s="188">
        <f>IF(AND(Input_Product=Elig!$C610,Elig_MatchAll_Ct&lt;22,$BC610=(Elig_MatchAll_Ct-1),AF610=0),C610,0)</f>
        <v>0</v>
      </c>
      <c r="BI610" s="188">
        <f>IF(AND(Input_Product=Elig!$C610,Elig_MatchAll_Ct&lt;22,$BC610=(Elig_MatchAll_Ct-1),AG610=0),D610,0)</f>
        <v>0</v>
      </c>
      <c r="BJ610" s="188">
        <f>IF(AND(Input_Product=Elig!$C610,Elig_MatchAll_Ct&lt;22,$BC610=(Elig_MatchAll_Ct-1),AH610=0),E610,0)</f>
        <v>0</v>
      </c>
      <c r="BK610" s="188">
        <f>IF(AND(Input_Product=Elig!$C610,Elig_MatchAll_Ct&lt;22,$BC610=(Elig_MatchAll_Ct-1),AI610=0),F610,0)</f>
        <v>0</v>
      </c>
      <c r="BL610" s="188">
        <f>IF(AND(Input_Product=Elig!$C610,Elig_MatchAll_Ct&lt;22,$BC610=(Elig_MatchAll_Ct-1),AJ610=0),G610,0)</f>
        <v>0</v>
      </c>
      <c r="BM610" s="188">
        <f>IF(AND(Input_Product=Elig!$C610,Elig_MatchAll_Ct&lt;22,$BC610=(Elig_MatchAll_Ct-1),AK610=0),H610,0)</f>
        <v>0</v>
      </c>
      <c r="BN610" s="188">
        <f>IF(AND(Input_Product=Elig!$C610,Elig_MatchAll_Ct&lt;22,$BC610=(Elig_MatchAll_Ct-1),AL610=0),I610,0)</f>
        <v>0</v>
      </c>
      <c r="BO610" s="188">
        <f>IF(AND(Input_Product=Elig!$C610,Elig_MatchAll_Ct&lt;22,$BC610=(Elig_MatchAll_Ct-1),AM610=0),J610,0)</f>
        <v>0</v>
      </c>
      <c r="BP610" s="188">
        <f>IF(AND(Input_Product=Elig!$C610,Elig_MatchAll_Ct&lt;22,$BC610=(Elig_MatchAll_Ct-1),AN610=0),K610,0)</f>
        <v>0</v>
      </c>
      <c r="BQ610" s="188">
        <f>IF(AND(Input_Product=Elig!$C610,Elig_MatchAll_Ct&lt;22,$BC610=(Elig_MatchAll_Ct-1),AP610=0),L610,0)</f>
        <v>0</v>
      </c>
      <c r="BR610" s="188">
        <f>IF(AND(Input_Product=Elig!$C610,Elig_MatchAll_Ct&lt;22,$BC610=(Elig_MatchAll_Ct-1),AO610=0),M610,0)</f>
        <v>0</v>
      </c>
      <c r="BS610" s="188">
        <f>IF(AND(Input_Product=Elig!$C610,Elig_MatchAll_Ct&lt;22,$BC610=(Elig_MatchAll_Ct-1),AQ610=0),N610,0)</f>
        <v>0</v>
      </c>
      <c r="BT610" s="188">
        <f>IF(AND(Input_Product=Elig!$C610,Elig_MatchAll_Ct&lt;22,$BC610=(Elig_MatchAll_Ct-1),AR610=0),O610,0)</f>
        <v>0</v>
      </c>
      <c r="BU610" s="188">
        <f>IF(AND(Input_Product=Elig!$C610,Elig_MatchAll_Ct&lt;22,$BC610=(Elig_MatchAll_Ct-1),AS610=0),P610,0)</f>
        <v>0</v>
      </c>
      <c r="BV610" s="189">
        <f>IF(AND(Input_Product=Elig!$C610,Elig_MatchAll_Ct&lt;22,$BC610=(Elig_MatchAll_Ct-1),AT610=0),Q610,0)</f>
        <v>0</v>
      </c>
      <c r="BW610" s="271">
        <f>IF(AND(Input_Product=Elig!$C610,Elig_MatchAll_Ct&lt;22,$BC610=(Elig_MatchAll_Ct-1),AU610=0),R610,0)</f>
        <v>0</v>
      </c>
      <c r="BX610" s="272">
        <f>IF(AND(Input_Product=Elig!$C610,Elig_MatchAll_Ct&lt;22,$BC610=(Elig_MatchAll_Ct-1),AU610=0),S610,0)</f>
        <v>0</v>
      </c>
      <c r="BY610" s="271">
        <f>IF(AND(Input_Product=Elig!$C610,Elig_MatchAll_Ct&lt;22,$BC610=(Elig_MatchAll_Ct-1),AV610=0),T610,0)</f>
        <v>0</v>
      </c>
      <c r="BZ610" s="272">
        <f>IF(AND(Input_Product=Elig!$C610,Elig_MatchAll_Ct&lt;22,$BC610=(Elig_MatchAll_Ct-1),AV610=0),U610,0)</f>
        <v>0</v>
      </c>
      <c r="CA610" s="271">
        <f>IF(AND(Input_Product=Elig!$C610,Elig_MatchAll_Ct&lt;22,$BC610=(Elig_MatchAll_Ct-1),AW610=0),V610,0)</f>
        <v>0</v>
      </c>
      <c r="CB610" s="272">
        <f>IF(AND(Input_Product=Elig!$C610,Elig_MatchAll_Ct&lt;22,$BC610=(Elig_MatchAll_Ct-1),AW610=0),W610,0)</f>
        <v>0</v>
      </c>
      <c r="CC610" s="271">
        <f>IF(AND(Input_Product=Elig!$C610,Elig_MatchAll_Ct&lt;22,$BC610=(Elig_MatchAll_Ct-1),AX610=0),X610,0)</f>
        <v>0</v>
      </c>
      <c r="CD610" s="272">
        <f>IF(AND(Input_Product=Elig!$C610,Elig_MatchAll_Ct&lt;22,$BC610=(Elig_MatchAll_Ct-1),AX610=0),Y610,0)</f>
        <v>0</v>
      </c>
      <c r="CE610" s="271">
        <f>IF(AND(Input_LTV&lt;=AE610,Input_Product=Elig!$C610,Elig_MatchAll_Ct&lt;22,$BC610=(Elig_MatchAll_Ct-1),AY610=0),Z610,0)</f>
        <v>0</v>
      </c>
      <c r="CF610" s="272">
        <f>IF(AND(Input_LTV&lt;=AE610,Input_Product=Elig!$C610,Elig_MatchAll_Ct&lt;22,$BC610=(Elig_MatchAll_Ct-1),AY610=0),AA610,0)</f>
        <v>0</v>
      </c>
      <c r="CG610" s="271">
        <f>IF(AND(Input_Product=Elig!$C610,Elig_MatchAll_Ct&lt;22,$BC610=(Elig_MatchAll_Ct-1),AZ610=0),AB610,0)</f>
        <v>0</v>
      </c>
      <c r="CH610" s="272">
        <f>IF(AND(Input_Product=Elig!$C610,Elig_MatchAll_Ct&lt;22,$BC610=(Elig_MatchAll_Ct-1),AZ610=0),AC610,0)</f>
        <v>0</v>
      </c>
      <c r="CI610" s="271">
        <f>IF(AND(Input_Product=Elig!$C610,Elig_MatchAll_Ct&lt;22,$BC610=(Elig_MatchAll_Ct-1),BA610=0),AD610,0)</f>
        <v>0</v>
      </c>
      <c r="CJ610" s="272">
        <f>IF(AND(Input_Product=Elig!$C610,Elig_MatchAll_Ct&lt;22,$BC610=(Elig_MatchAll_Ct-1),BA610=0),AE610,0)</f>
        <v>0</v>
      </c>
    </row>
    <row r="611" spans="1:88" ht="10.15" customHeight="1" x14ac:dyDescent="0.25">
      <c r="A611" s="1476" t="s">
        <v>76</v>
      </c>
      <c r="B611" s="1476" t="s">
        <v>1530</v>
      </c>
      <c r="C611" s="1473" t="str">
        <f t="shared" si="204"/>
        <v>Second OO</v>
      </c>
      <c r="D611" s="1474" t="s">
        <v>1338</v>
      </c>
      <c r="E611" s="1474" t="s">
        <v>98</v>
      </c>
      <c r="F611" s="1474" t="s">
        <v>327</v>
      </c>
      <c r="G611" s="1474" t="s">
        <v>302</v>
      </c>
      <c r="H611" s="1474" t="s">
        <v>135</v>
      </c>
      <c r="I611" s="1474" t="s">
        <v>1141</v>
      </c>
      <c r="J611" s="1472" t="s">
        <v>1130</v>
      </c>
      <c r="K611" s="1474" t="s">
        <v>2464</v>
      </c>
      <c r="L611" s="1472" t="s">
        <v>428</v>
      </c>
      <c r="M611" s="1472" t="s">
        <v>1835</v>
      </c>
      <c r="N611" s="1474" t="s">
        <v>82</v>
      </c>
      <c r="O611" s="1472" t="s">
        <v>309</v>
      </c>
      <c r="P611" s="1472" t="s">
        <v>2433</v>
      </c>
      <c r="Q611" s="1472" t="s">
        <v>293</v>
      </c>
      <c r="R611" s="1472">
        <v>350000.01</v>
      </c>
      <c r="S611" s="276">
        <v>500000</v>
      </c>
      <c r="T611" s="1472">
        <v>0</v>
      </c>
      <c r="U611" s="1472">
        <f t="shared" ref="U611:U690" si="225">S611</f>
        <v>500000</v>
      </c>
      <c r="V611" s="1472">
        <v>0</v>
      </c>
      <c r="W611" s="1472">
        <v>50</v>
      </c>
      <c r="X611" s="1472">
        <v>0</v>
      </c>
      <c r="Y611" s="1472">
        <v>999</v>
      </c>
      <c r="Z611" s="1475">
        <v>720</v>
      </c>
      <c r="AA611" s="1475">
        <v>999</v>
      </c>
      <c r="AB611" s="1475">
        <v>0</v>
      </c>
      <c r="AC611" s="1475">
        <v>999999</v>
      </c>
      <c r="AD611" s="1472">
        <v>0</v>
      </c>
      <c r="AE611" s="1538">
        <v>90</v>
      </c>
      <c r="AF611" s="144">
        <v>0</v>
      </c>
      <c r="AG611" s="145">
        <v>1</v>
      </c>
      <c r="AH611" s="145">
        <v>1</v>
      </c>
      <c r="AI611" s="145">
        <v>0</v>
      </c>
      <c r="AJ611" s="145">
        <v>0</v>
      </c>
      <c r="AK611" s="145">
        <v>1</v>
      </c>
      <c r="AL611" s="145">
        <v>1</v>
      </c>
      <c r="AM611" s="145">
        <v>1</v>
      </c>
      <c r="AN611" s="145">
        <v>1</v>
      </c>
      <c r="AO611" s="145">
        <v>1</v>
      </c>
      <c r="AP611" s="145">
        <v>1</v>
      </c>
      <c r="AQ611" s="145">
        <v>0</v>
      </c>
      <c r="AR611" s="145">
        <v>1</v>
      </c>
      <c r="AS611" s="145">
        <v>1</v>
      </c>
      <c r="AT611" s="145">
        <v>1</v>
      </c>
      <c r="AU611" s="145">
        <f t="shared" si="219"/>
        <v>0</v>
      </c>
      <c r="AV611" s="145">
        <f t="shared" si="220"/>
        <v>1</v>
      </c>
      <c r="AW611" s="145">
        <f t="shared" si="221"/>
        <v>1</v>
      </c>
      <c r="AX611" s="145">
        <f t="shared" si="212"/>
        <v>1</v>
      </c>
      <c r="AY611" s="145">
        <f t="shared" si="222"/>
        <v>1</v>
      </c>
      <c r="AZ611" s="145">
        <f t="shared" si="223"/>
        <v>1</v>
      </c>
      <c r="BA611" s="146">
        <f t="shared" si="224"/>
        <v>1</v>
      </c>
      <c r="BB611" s="149">
        <f t="shared" si="214"/>
        <v>17</v>
      </c>
      <c r="BC611" s="150">
        <f t="shared" si="215"/>
        <v>16</v>
      </c>
      <c r="BD611" s="150">
        <f t="shared" si="216"/>
        <v>17</v>
      </c>
      <c r="BE611" s="211" t="str">
        <f t="shared" si="217"/>
        <v/>
      </c>
      <c r="BF611" s="194"/>
      <c r="BG611" s="194"/>
      <c r="BH611" s="190">
        <f>IF(AND(Input_Product=Elig!$C611,Elig_MatchAll_Ct&lt;22,$BC611=(Elig_MatchAll_Ct-1),AF611=0),C611,0)</f>
        <v>0</v>
      </c>
      <c r="BI611" s="190">
        <f>IF(AND(Input_Product=Elig!$C611,Elig_MatchAll_Ct&lt;22,$BC611=(Elig_MatchAll_Ct-1),AG611=0),D611,0)</f>
        <v>0</v>
      </c>
      <c r="BJ611" s="190">
        <f>IF(AND(Input_Product=Elig!$C611,Elig_MatchAll_Ct&lt;22,$BC611=(Elig_MatchAll_Ct-1),AH611=0),E611,0)</f>
        <v>0</v>
      </c>
      <c r="BK611" s="190">
        <f>IF(AND(Input_Product=Elig!$C611,Elig_MatchAll_Ct&lt;22,$BC611=(Elig_MatchAll_Ct-1),AI611=0),F611,0)</f>
        <v>0</v>
      </c>
      <c r="BL611" s="190">
        <f>IF(AND(Input_Product=Elig!$C611,Elig_MatchAll_Ct&lt;22,$BC611=(Elig_MatchAll_Ct-1),AJ611=0),G611,0)</f>
        <v>0</v>
      </c>
      <c r="BM611" s="190">
        <f>IF(AND(Input_Product=Elig!$C611,Elig_MatchAll_Ct&lt;22,$BC611=(Elig_MatchAll_Ct-1),AK611=0),H611,0)</f>
        <v>0</v>
      </c>
      <c r="BN611" s="190">
        <f>IF(AND(Input_Product=Elig!$C611,Elig_MatchAll_Ct&lt;22,$BC611=(Elig_MatchAll_Ct-1),AL611=0),I611,0)</f>
        <v>0</v>
      </c>
      <c r="BO611" s="190">
        <f>IF(AND(Input_Product=Elig!$C611,Elig_MatchAll_Ct&lt;22,$BC611=(Elig_MatchAll_Ct-1),AM611=0),J611,0)</f>
        <v>0</v>
      </c>
      <c r="BP611" s="190">
        <f>IF(AND(Input_Product=Elig!$C611,Elig_MatchAll_Ct&lt;22,$BC611=(Elig_MatchAll_Ct-1),AN611=0),K611,0)</f>
        <v>0</v>
      </c>
      <c r="BQ611" s="190">
        <f>IF(AND(Input_Product=Elig!$C611,Elig_MatchAll_Ct&lt;22,$BC611=(Elig_MatchAll_Ct-1),AP611=0),L611,0)</f>
        <v>0</v>
      </c>
      <c r="BR611" s="190">
        <f>IF(AND(Input_Product=Elig!$C611,Elig_MatchAll_Ct&lt;22,$BC611=(Elig_MatchAll_Ct-1),AO611=0),M611,0)</f>
        <v>0</v>
      </c>
      <c r="BS611" s="190">
        <f>IF(AND(Input_Product=Elig!$C611,Elig_MatchAll_Ct&lt;22,$BC611=(Elig_MatchAll_Ct-1),AQ611=0),N611,0)</f>
        <v>0</v>
      </c>
      <c r="BT611" s="190">
        <f>IF(AND(Input_Product=Elig!$C611,Elig_MatchAll_Ct&lt;22,$BC611=(Elig_MatchAll_Ct-1),AR611=0),O611,0)</f>
        <v>0</v>
      </c>
      <c r="BU611" s="190">
        <f>IF(AND(Input_Product=Elig!$C611,Elig_MatchAll_Ct&lt;22,$BC611=(Elig_MatchAll_Ct-1),AS611=0),P611,0)</f>
        <v>0</v>
      </c>
      <c r="BV611" s="191">
        <f>IF(AND(Input_Product=Elig!$C611,Elig_MatchAll_Ct&lt;22,$BC611=(Elig_MatchAll_Ct-1),AT611=0),Q611,0)</f>
        <v>0</v>
      </c>
      <c r="BW611" s="273">
        <f>IF(AND(Input_Product=Elig!$C611,Elig_MatchAll_Ct&lt;22,$BC611=(Elig_MatchAll_Ct-1),AU611=0),R611,0)</f>
        <v>0</v>
      </c>
      <c r="BX611" s="274">
        <f>IF(AND(Input_Product=Elig!$C611,Elig_MatchAll_Ct&lt;22,$BC611=(Elig_MatchAll_Ct-1),AU611=0),S611,0)</f>
        <v>0</v>
      </c>
      <c r="BY611" s="273">
        <f>IF(AND(Input_Product=Elig!$C611,Elig_MatchAll_Ct&lt;22,$BC611=(Elig_MatchAll_Ct-1),AV611=0),T611,0)</f>
        <v>0</v>
      </c>
      <c r="BZ611" s="274">
        <f>IF(AND(Input_Product=Elig!$C611,Elig_MatchAll_Ct&lt;22,$BC611=(Elig_MatchAll_Ct-1),AV611=0),U611,0)</f>
        <v>0</v>
      </c>
      <c r="CA611" s="273">
        <f>IF(AND(Input_Product=Elig!$C611,Elig_MatchAll_Ct&lt;22,$BC611=(Elig_MatchAll_Ct-1),AW611=0),V611,0)</f>
        <v>0</v>
      </c>
      <c r="CB611" s="274">
        <f>IF(AND(Input_Product=Elig!$C611,Elig_MatchAll_Ct&lt;22,$BC611=(Elig_MatchAll_Ct-1),AW611=0),W611,0)</f>
        <v>0</v>
      </c>
      <c r="CC611" s="273">
        <f>IF(AND(Input_Product=Elig!$C611,Elig_MatchAll_Ct&lt;22,$BC611=(Elig_MatchAll_Ct-1),AX611=0),X611,0)</f>
        <v>0</v>
      </c>
      <c r="CD611" s="274">
        <f>IF(AND(Input_Product=Elig!$C611,Elig_MatchAll_Ct&lt;22,$BC611=(Elig_MatchAll_Ct-1),AX611=0),Y611,0)</f>
        <v>0</v>
      </c>
      <c r="CE611" s="273">
        <f>IF(AND(Input_LTV&lt;=AE611,Input_Product=Elig!$C611,Elig_MatchAll_Ct&lt;22,$BC611=(Elig_MatchAll_Ct-1),AY611=0),Z611,0)</f>
        <v>0</v>
      </c>
      <c r="CF611" s="274">
        <f>IF(AND(Input_LTV&lt;=AE611,Input_Product=Elig!$C611,Elig_MatchAll_Ct&lt;22,$BC611=(Elig_MatchAll_Ct-1),AY611=0),AA611,0)</f>
        <v>0</v>
      </c>
      <c r="CG611" s="273">
        <f>IF(AND(Input_Product=Elig!$C611,Elig_MatchAll_Ct&lt;22,$BC611=(Elig_MatchAll_Ct-1),AZ611=0),AB611,0)</f>
        <v>0</v>
      </c>
      <c r="CH611" s="274">
        <f>IF(AND(Input_Product=Elig!$C611,Elig_MatchAll_Ct&lt;22,$BC611=(Elig_MatchAll_Ct-1),AZ611=0),AC611,0)</f>
        <v>0</v>
      </c>
      <c r="CI611" s="273">
        <f>IF(AND(Input_Product=Elig!$C611,Elig_MatchAll_Ct&lt;22,$BC611=(Elig_MatchAll_Ct-1),BA611=0),AD611,0)</f>
        <v>0</v>
      </c>
      <c r="CJ611" s="274">
        <f>IF(AND(Input_Product=Elig!$C611,Elig_MatchAll_Ct&lt;22,$BC611=(Elig_MatchAll_Ct-1),BA611=0),AE611,0)</f>
        <v>0</v>
      </c>
    </row>
    <row r="612" spans="1:88" ht="10.15" customHeight="1" x14ac:dyDescent="0.25">
      <c r="A612" s="1476" t="s">
        <v>76</v>
      </c>
      <c r="B612" s="1476" t="s">
        <v>1531</v>
      </c>
      <c r="C612" s="1477" t="str">
        <f t="shared" si="204"/>
        <v>Second OO</v>
      </c>
      <c r="D612" s="1476" t="s">
        <v>1338</v>
      </c>
      <c r="E612" s="1476" t="s">
        <v>98</v>
      </c>
      <c r="F612" s="1476" t="s">
        <v>327</v>
      </c>
      <c r="G612" s="1478" t="s">
        <v>302</v>
      </c>
      <c r="H612" s="1478" t="s">
        <v>135</v>
      </c>
      <c r="I612" s="1476" t="s">
        <v>1141</v>
      </c>
      <c r="J612" s="1476" t="s">
        <v>1130</v>
      </c>
      <c r="K612" s="1478" t="s">
        <v>2464</v>
      </c>
      <c r="L612" s="1476" t="s">
        <v>428</v>
      </c>
      <c r="M612" s="1476" t="s">
        <v>1835</v>
      </c>
      <c r="N612" s="1478" t="s">
        <v>82</v>
      </c>
      <c r="O612" s="1476" t="s">
        <v>309</v>
      </c>
      <c r="P612" s="1476" t="s">
        <v>2433</v>
      </c>
      <c r="Q612" s="1476" t="s">
        <v>293</v>
      </c>
      <c r="R612" s="1476">
        <v>350000.01</v>
      </c>
      <c r="S612" s="261">
        <v>500000</v>
      </c>
      <c r="T612" s="1476">
        <v>0</v>
      </c>
      <c r="U612" s="1476">
        <f t="shared" si="225"/>
        <v>500000</v>
      </c>
      <c r="V612" s="1476">
        <v>0</v>
      </c>
      <c r="W612" s="1476">
        <v>50</v>
      </c>
      <c r="X612" s="1476">
        <v>0</v>
      </c>
      <c r="Y612" s="1476">
        <v>999</v>
      </c>
      <c r="Z612" s="1479">
        <v>700</v>
      </c>
      <c r="AA612" s="1479">
        <v>719</v>
      </c>
      <c r="AB612" s="1479">
        <v>0</v>
      </c>
      <c r="AC612" s="1479">
        <v>999999</v>
      </c>
      <c r="AD612" s="1476">
        <v>0</v>
      </c>
      <c r="AE612" s="1219">
        <v>85</v>
      </c>
      <c r="AF612" s="144">
        <v>0</v>
      </c>
      <c r="AG612" s="145">
        <v>1</v>
      </c>
      <c r="AH612" s="145">
        <v>1</v>
      </c>
      <c r="AI612" s="145">
        <v>0</v>
      </c>
      <c r="AJ612" s="145">
        <v>0</v>
      </c>
      <c r="AK612" s="145">
        <v>1</v>
      </c>
      <c r="AL612" s="145">
        <v>1</v>
      </c>
      <c r="AM612" s="145">
        <v>1</v>
      </c>
      <c r="AN612" s="145">
        <v>1</v>
      </c>
      <c r="AO612" s="145">
        <v>1</v>
      </c>
      <c r="AP612" s="145">
        <v>1</v>
      </c>
      <c r="AQ612" s="145">
        <v>0</v>
      </c>
      <c r="AR612" s="145">
        <v>1</v>
      </c>
      <c r="AS612" s="145">
        <v>1</v>
      </c>
      <c r="AT612" s="145">
        <v>1</v>
      </c>
      <c r="AU612" s="145">
        <f t="shared" si="219"/>
        <v>0</v>
      </c>
      <c r="AV612" s="145">
        <f t="shared" si="220"/>
        <v>1</v>
      </c>
      <c r="AW612" s="145">
        <f t="shared" si="221"/>
        <v>1</v>
      </c>
      <c r="AX612" s="145">
        <f t="shared" si="212"/>
        <v>1</v>
      </c>
      <c r="AY612" s="145">
        <f t="shared" si="222"/>
        <v>0</v>
      </c>
      <c r="AZ612" s="145">
        <f t="shared" si="223"/>
        <v>1</v>
      </c>
      <c r="BA612" s="146">
        <f t="shared" si="224"/>
        <v>1</v>
      </c>
      <c r="BB612" s="149">
        <f t="shared" si="214"/>
        <v>16</v>
      </c>
      <c r="BC612" s="150">
        <f t="shared" si="215"/>
        <v>15</v>
      </c>
      <c r="BD612" s="150">
        <f t="shared" si="216"/>
        <v>16</v>
      </c>
      <c r="BE612" s="211" t="str">
        <f t="shared" si="217"/>
        <v/>
      </c>
      <c r="BF612" s="205"/>
      <c r="BG612" s="205"/>
      <c r="BH612" s="173">
        <f>IF(AND(Input_Product=Elig!$C612,Elig_MatchAll_Ct&lt;22,$BC612=(Elig_MatchAll_Ct-1),AF612=0),C612,0)</f>
        <v>0</v>
      </c>
      <c r="BI612" s="173">
        <f>IF(AND(Input_Product=Elig!$C612,Elig_MatchAll_Ct&lt;22,$BC612=(Elig_MatchAll_Ct-1),AG612=0),D612,0)</f>
        <v>0</v>
      </c>
      <c r="BJ612" s="173">
        <f>IF(AND(Input_Product=Elig!$C612,Elig_MatchAll_Ct&lt;22,$BC612=(Elig_MatchAll_Ct-1),AH612=0),E612,0)</f>
        <v>0</v>
      </c>
      <c r="BK612" s="173">
        <f>IF(AND(Input_Product=Elig!$C612,Elig_MatchAll_Ct&lt;22,$BC612=(Elig_MatchAll_Ct-1),AI612=0),F612,0)</f>
        <v>0</v>
      </c>
      <c r="BL612" s="173">
        <f>IF(AND(Input_Product=Elig!$C612,Elig_MatchAll_Ct&lt;22,$BC612=(Elig_MatchAll_Ct-1),AJ612=0),G612,0)</f>
        <v>0</v>
      </c>
      <c r="BM612" s="173">
        <f>IF(AND(Input_Product=Elig!$C612,Elig_MatchAll_Ct&lt;22,$BC612=(Elig_MatchAll_Ct-1),AK612=0),H612,0)</f>
        <v>0</v>
      </c>
      <c r="BN612" s="173">
        <f>IF(AND(Input_Product=Elig!$C612,Elig_MatchAll_Ct&lt;22,$BC612=(Elig_MatchAll_Ct-1),AL612=0),I612,0)</f>
        <v>0</v>
      </c>
      <c r="BO612" s="173">
        <f>IF(AND(Input_Product=Elig!$C612,Elig_MatchAll_Ct&lt;22,$BC612=(Elig_MatchAll_Ct-1),AM612=0),J612,0)</f>
        <v>0</v>
      </c>
      <c r="BP612" s="173">
        <f>IF(AND(Input_Product=Elig!$C612,Elig_MatchAll_Ct&lt;22,$BC612=(Elig_MatchAll_Ct-1),AN612=0),K612,0)</f>
        <v>0</v>
      </c>
      <c r="BQ612" s="173">
        <f>IF(AND(Input_Product=Elig!$C612,Elig_MatchAll_Ct&lt;22,$BC612=(Elig_MatchAll_Ct-1),AP612=0),L612,0)</f>
        <v>0</v>
      </c>
      <c r="BR612" s="173">
        <f>IF(AND(Input_Product=Elig!$C612,Elig_MatchAll_Ct&lt;22,$BC612=(Elig_MatchAll_Ct-1),AO612=0),M612,0)</f>
        <v>0</v>
      </c>
      <c r="BS612" s="173">
        <f>IF(AND(Input_Product=Elig!$C612,Elig_MatchAll_Ct&lt;22,$BC612=(Elig_MatchAll_Ct-1),AQ612=0),N612,0)</f>
        <v>0</v>
      </c>
      <c r="BT612" s="173">
        <f>IF(AND(Input_Product=Elig!$C612,Elig_MatchAll_Ct&lt;22,$BC612=(Elig_MatchAll_Ct-1),AR612=0),O612,0)</f>
        <v>0</v>
      </c>
      <c r="BU612" s="173">
        <f>IF(AND(Input_Product=Elig!$C612,Elig_MatchAll_Ct&lt;22,$BC612=(Elig_MatchAll_Ct-1),AS612=0),P612,0)</f>
        <v>0</v>
      </c>
      <c r="BV612" s="174">
        <f>IF(AND(Input_Product=Elig!$C612,Elig_MatchAll_Ct&lt;22,$BC612=(Elig_MatchAll_Ct-1),AT612=0),Q612,0)</f>
        <v>0</v>
      </c>
      <c r="BW612" s="175">
        <f>IF(AND(Input_Product=Elig!$C612,Elig_MatchAll_Ct&lt;22,$BC612=(Elig_MatchAll_Ct-1),AU612=0),R612,0)</f>
        <v>0</v>
      </c>
      <c r="BX612" s="176">
        <f>IF(AND(Input_Product=Elig!$C612,Elig_MatchAll_Ct&lt;22,$BC612=(Elig_MatchAll_Ct-1),AU612=0),S612,0)</f>
        <v>0</v>
      </c>
      <c r="BY612" s="175">
        <f>IF(AND(Input_Product=Elig!$C612,Elig_MatchAll_Ct&lt;22,$BC612=(Elig_MatchAll_Ct-1),AV612=0),T612,0)</f>
        <v>0</v>
      </c>
      <c r="BZ612" s="176">
        <f>IF(AND(Input_Product=Elig!$C612,Elig_MatchAll_Ct&lt;22,$BC612=(Elig_MatchAll_Ct-1),AV612=0),U612,0)</f>
        <v>0</v>
      </c>
      <c r="CA612" s="175">
        <f>IF(AND(Input_Product=Elig!$C612,Elig_MatchAll_Ct&lt;22,$BC612=(Elig_MatchAll_Ct-1),AW612=0),V612,0)</f>
        <v>0</v>
      </c>
      <c r="CB612" s="176">
        <f>IF(AND(Input_Product=Elig!$C612,Elig_MatchAll_Ct&lt;22,$BC612=(Elig_MatchAll_Ct-1),AW612=0),W612,0)</f>
        <v>0</v>
      </c>
      <c r="CC612" s="175">
        <f>IF(AND(Input_Product=Elig!$C612,Elig_MatchAll_Ct&lt;22,$BC612=(Elig_MatchAll_Ct-1),AX612=0),X612,0)</f>
        <v>0</v>
      </c>
      <c r="CD612" s="176">
        <f>IF(AND(Input_Product=Elig!$C612,Elig_MatchAll_Ct&lt;22,$BC612=(Elig_MatchAll_Ct-1),AX612=0),Y612,0)</f>
        <v>0</v>
      </c>
      <c r="CE612" s="175">
        <f>IF(AND(Input_LTV&lt;=AE612,Input_Product=Elig!$C612,Elig_MatchAll_Ct&lt;22,$BC612=(Elig_MatchAll_Ct-1),AY612=0),Z612,0)</f>
        <v>0</v>
      </c>
      <c r="CF612" s="176">
        <f>IF(AND(Input_LTV&lt;=AE612,Input_Product=Elig!$C612,Elig_MatchAll_Ct&lt;22,$BC612=(Elig_MatchAll_Ct-1),AY612=0),AA612,0)</f>
        <v>0</v>
      </c>
      <c r="CG612" s="175">
        <f>IF(AND(Input_Product=Elig!$C612,Elig_MatchAll_Ct&lt;22,$BC612=(Elig_MatchAll_Ct-1),AZ612=0),AB612,0)</f>
        <v>0</v>
      </c>
      <c r="CH612" s="176">
        <f>IF(AND(Input_Product=Elig!$C612,Elig_MatchAll_Ct&lt;22,$BC612=(Elig_MatchAll_Ct-1),AZ612=0),AC612,0)</f>
        <v>0</v>
      </c>
      <c r="CI612" s="175">
        <f>IF(AND(Input_Product=Elig!$C612,Elig_MatchAll_Ct&lt;22,$BC612=(Elig_MatchAll_Ct-1),BA612=0),AD612,0)</f>
        <v>0</v>
      </c>
      <c r="CJ612" s="176">
        <f>IF(AND(Input_Product=Elig!$C612,Elig_MatchAll_Ct&lt;22,$BC612=(Elig_MatchAll_Ct-1),BA612=0),AE612,0)</f>
        <v>0</v>
      </c>
    </row>
    <row r="613" spans="1:88" ht="10.15" customHeight="1" x14ac:dyDescent="0.25">
      <c r="A613" s="1476" t="s">
        <v>76</v>
      </c>
      <c r="B613" s="1476" t="s">
        <v>1532</v>
      </c>
      <c r="C613" s="1477" t="str">
        <f t="shared" si="204"/>
        <v>Second OO</v>
      </c>
      <c r="D613" s="1476" t="s">
        <v>1338</v>
      </c>
      <c r="E613" s="1476" t="s">
        <v>98</v>
      </c>
      <c r="F613" s="1476" t="s">
        <v>327</v>
      </c>
      <c r="G613" s="1478" t="s">
        <v>302</v>
      </c>
      <c r="H613" s="1478" t="s">
        <v>135</v>
      </c>
      <c r="I613" s="1476" t="s">
        <v>1141</v>
      </c>
      <c r="J613" s="1476" t="s">
        <v>1130</v>
      </c>
      <c r="K613" s="1478" t="s">
        <v>2464</v>
      </c>
      <c r="L613" s="1476" t="s">
        <v>428</v>
      </c>
      <c r="M613" s="1476" t="s">
        <v>1835</v>
      </c>
      <c r="N613" s="1478" t="s">
        <v>82</v>
      </c>
      <c r="O613" s="1476" t="s">
        <v>309</v>
      </c>
      <c r="P613" s="1476" t="s">
        <v>2433</v>
      </c>
      <c r="Q613" s="1476" t="s">
        <v>293</v>
      </c>
      <c r="R613" s="1476">
        <v>350000.01</v>
      </c>
      <c r="S613" s="261">
        <v>500000</v>
      </c>
      <c r="T613" s="1476">
        <v>0</v>
      </c>
      <c r="U613" s="1476">
        <f t="shared" si="225"/>
        <v>500000</v>
      </c>
      <c r="V613" s="1476">
        <v>0</v>
      </c>
      <c r="W613" s="1476">
        <v>50</v>
      </c>
      <c r="X613" s="1476">
        <v>0</v>
      </c>
      <c r="Y613" s="1476">
        <v>999</v>
      </c>
      <c r="Z613" s="1479">
        <v>680</v>
      </c>
      <c r="AA613" s="1479">
        <v>699</v>
      </c>
      <c r="AB613" s="1479">
        <v>0</v>
      </c>
      <c r="AC613" s="1479">
        <v>999999</v>
      </c>
      <c r="AD613" s="1476">
        <v>0</v>
      </c>
      <c r="AE613" s="1219">
        <v>80</v>
      </c>
      <c r="AF613" s="144">
        <v>0</v>
      </c>
      <c r="AG613" s="145">
        <v>1</v>
      </c>
      <c r="AH613" s="145">
        <v>1</v>
      </c>
      <c r="AI613" s="145">
        <v>0</v>
      </c>
      <c r="AJ613" s="145">
        <v>0</v>
      </c>
      <c r="AK613" s="145">
        <v>1</v>
      </c>
      <c r="AL613" s="145">
        <v>1</v>
      </c>
      <c r="AM613" s="145">
        <v>1</v>
      </c>
      <c r="AN613" s="145">
        <v>1</v>
      </c>
      <c r="AO613" s="145">
        <v>1</v>
      </c>
      <c r="AP613" s="145">
        <v>1</v>
      </c>
      <c r="AQ613" s="145">
        <v>0</v>
      </c>
      <c r="AR613" s="145">
        <v>1</v>
      </c>
      <c r="AS613" s="145">
        <v>1</v>
      </c>
      <c r="AT613" s="145">
        <v>1</v>
      </c>
      <c r="AU613" s="145">
        <f t="shared" si="219"/>
        <v>0</v>
      </c>
      <c r="AV613" s="145">
        <f t="shared" si="220"/>
        <v>1</v>
      </c>
      <c r="AW613" s="145">
        <f t="shared" si="221"/>
        <v>1</v>
      </c>
      <c r="AX613" s="145">
        <f t="shared" si="212"/>
        <v>1</v>
      </c>
      <c r="AY613" s="145">
        <f t="shared" si="222"/>
        <v>0</v>
      </c>
      <c r="AZ613" s="145">
        <f t="shared" si="223"/>
        <v>1</v>
      </c>
      <c r="BA613" s="146">
        <f t="shared" si="224"/>
        <v>1</v>
      </c>
      <c r="BB613" s="149">
        <f t="shared" si="214"/>
        <v>16</v>
      </c>
      <c r="BC613" s="150">
        <f t="shared" si="215"/>
        <v>15</v>
      </c>
      <c r="BD613" s="150">
        <f t="shared" si="216"/>
        <v>16</v>
      </c>
      <c r="BE613" s="211" t="str">
        <f t="shared" si="217"/>
        <v/>
      </c>
      <c r="BF613" s="205"/>
      <c r="BG613" s="205"/>
      <c r="BH613" s="173">
        <f>IF(AND(Input_Product=Elig!$C613,Elig_MatchAll_Ct&lt;22,$BC613=(Elig_MatchAll_Ct-1),AF613=0),C613,0)</f>
        <v>0</v>
      </c>
      <c r="BI613" s="173">
        <f>IF(AND(Input_Product=Elig!$C613,Elig_MatchAll_Ct&lt;22,$BC613=(Elig_MatchAll_Ct-1),AG613=0),D613,0)</f>
        <v>0</v>
      </c>
      <c r="BJ613" s="173">
        <f>IF(AND(Input_Product=Elig!$C613,Elig_MatchAll_Ct&lt;22,$BC613=(Elig_MatchAll_Ct-1),AH613=0),E613,0)</f>
        <v>0</v>
      </c>
      <c r="BK613" s="173">
        <f>IF(AND(Input_Product=Elig!$C613,Elig_MatchAll_Ct&lt;22,$BC613=(Elig_MatchAll_Ct-1),AI613=0),F613,0)</f>
        <v>0</v>
      </c>
      <c r="BL613" s="173">
        <f>IF(AND(Input_Product=Elig!$C613,Elig_MatchAll_Ct&lt;22,$BC613=(Elig_MatchAll_Ct-1),AJ613=0),G613,0)</f>
        <v>0</v>
      </c>
      <c r="BM613" s="173">
        <f>IF(AND(Input_Product=Elig!$C613,Elig_MatchAll_Ct&lt;22,$BC613=(Elig_MatchAll_Ct-1),AK613=0),H613,0)</f>
        <v>0</v>
      </c>
      <c r="BN613" s="173">
        <f>IF(AND(Input_Product=Elig!$C613,Elig_MatchAll_Ct&lt;22,$BC613=(Elig_MatchAll_Ct-1),AL613=0),I613,0)</f>
        <v>0</v>
      </c>
      <c r="BO613" s="173">
        <f>IF(AND(Input_Product=Elig!$C613,Elig_MatchAll_Ct&lt;22,$BC613=(Elig_MatchAll_Ct-1),AM613=0),J613,0)</f>
        <v>0</v>
      </c>
      <c r="BP613" s="173">
        <f>IF(AND(Input_Product=Elig!$C613,Elig_MatchAll_Ct&lt;22,$BC613=(Elig_MatchAll_Ct-1),AN613=0),K613,0)</f>
        <v>0</v>
      </c>
      <c r="BQ613" s="173">
        <f>IF(AND(Input_Product=Elig!$C613,Elig_MatchAll_Ct&lt;22,$BC613=(Elig_MatchAll_Ct-1),AP613=0),L613,0)</f>
        <v>0</v>
      </c>
      <c r="BR613" s="173">
        <f>IF(AND(Input_Product=Elig!$C613,Elig_MatchAll_Ct&lt;22,$BC613=(Elig_MatchAll_Ct-1),AO613=0),M613,0)</f>
        <v>0</v>
      </c>
      <c r="BS613" s="173">
        <f>IF(AND(Input_Product=Elig!$C613,Elig_MatchAll_Ct&lt;22,$BC613=(Elig_MatchAll_Ct-1),AQ613=0),N613,0)</f>
        <v>0</v>
      </c>
      <c r="BT613" s="173">
        <f>IF(AND(Input_Product=Elig!$C613,Elig_MatchAll_Ct&lt;22,$BC613=(Elig_MatchAll_Ct-1),AR613=0),O613,0)</f>
        <v>0</v>
      </c>
      <c r="BU613" s="173">
        <f>IF(AND(Input_Product=Elig!$C613,Elig_MatchAll_Ct&lt;22,$BC613=(Elig_MatchAll_Ct-1),AS613=0),P613,0)</f>
        <v>0</v>
      </c>
      <c r="BV613" s="174">
        <f>IF(AND(Input_Product=Elig!$C613,Elig_MatchAll_Ct&lt;22,$BC613=(Elig_MatchAll_Ct-1),AT613=0),Q613,0)</f>
        <v>0</v>
      </c>
      <c r="BW613" s="175">
        <f>IF(AND(Input_Product=Elig!$C613,Elig_MatchAll_Ct&lt;22,$BC613=(Elig_MatchAll_Ct-1),AU613=0),R613,0)</f>
        <v>0</v>
      </c>
      <c r="BX613" s="176">
        <f>IF(AND(Input_Product=Elig!$C613,Elig_MatchAll_Ct&lt;22,$BC613=(Elig_MatchAll_Ct-1),AU613=0),S613,0)</f>
        <v>0</v>
      </c>
      <c r="BY613" s="175">
        <f>IF(AND(Input_Product=Elig!$C613,Elig_MatchAll_Ct&lt;22,$BC613=(Elig_MatchAll_Ct-1),AV613=0),T613,0)</f>
        <v>0</v>
      </c>
      <c r="BZ613" s="176">
        <f>IF(AND(Input_Product=Elig!$C613,Elig_MatchAll_Ct&lt;22,$BC613=(Elig_MatchAll_Ct-1),AV613=0),U613,0)</f>
        <v>0</v>
      </c>
      <c r="CA613" s="175">
        <f>IF(AND(Input_Product=Elig!$C613,Elig_MatchAll_Ct&lt;22,$BC613=(Elig_MatchAll_Ct-1),AW613=0),V613,0)</f>
        <v>0</v>
      </c>
      <c r="CB613" s="176">
        <f>IF(AND(Input_Product=Elig!$C613,Elig_MatchAll_Ct&lt;22,$BC613=(Elig_MatchAll_Ct-1),AW613=0),W613,0)</f>
        <v>0</v>
      </c>
      <c r="CC613" s="175">
        <f>IF(AND(Input_Product=Elig!$C613,Elig_MatchAll_Ct&lt;22,$BC613=(Elig_MatchAll_Ct-1),AX613=0),X613,0)</f>
        <v>0</v>
      </c>
      <c r="CD613" s="176">
        <f>IF(AND(Input_Product=Elig!$C613,Elig_MatchAll_Ct&lt;22,$BC613=(Elig_MatchAll_Ct-1),AX613=0),Y613,0)</f>
        <v>0</v>
      </c>
      <c r="CE613" s="175">
        <f>IF(AND(Input_LTV&lt;=AE613,Input_Product=Elig!$C613,Elig_MatchAll_Ct&lt;22,$BC613=(Elig_MatchAll_Ct-1),AY613=0),Z613,0)</f>
        <v>0</v>
      </c>
      <c r="CF613" s="176">
        <f>IF(AND(Input_LTV&lt;=AE613,Input_Product=Elig!$C613,Elig_MatchAll_Ct&lt;22,$BC613=(Elig_MatchAll_Ct-1),AY613=0),AA613,0)</f>
        <v>0</v>
      </c>
      <c r="CG613" s="175">
        <f>IF(AND(Input_Product=Elig!$C613,Elig_MatchAll_Ct&lt;22,$BC613=(Elig_MatchAll_Ct-1),AZ613=0),AB613,0)</f>
        <v>0</v>
      </c>
      <c r="CH613" s="176">
        <f>IF(AND(Input_Product=Elig!$C613,Elig_MatchAll_Ct&lt;22,$BC613=(Elig_MatchAll_Ct-1),AZ613=0),AC613,0)</f>
        <v>0</v>
      </c>
      <c r="CI613" s="175">
        <f>IF(AND(Input_Product=Elig!$C613,Elig_MatchAll_Ct&lt;22,$BC613=(Elig_MatchAll_Ct-1),BA613=0),AD613,0)</f>
        <v>0</v>
      </c>
      <c r="CJ613" s="176">
        <f>IF(AND(Input_Product=Elig!$C613,Elig_MatchAll_Ct&lt;22,$BC613=(Elig_MatchAll_Ct-1),BA613=0),AE613,0)</f>
        <v>0</v>
      </c>
    </row>
    <row r="614" spans="1:88" ht="10.15" customHeight="1" x14ac:dyDescent="0.25">
      <c r="A614" s="1476" t="s">
        <v>76</v>
      </c>
      <c r="B614" s="1476" t="s">
        <v>1533</v>
      </c>
      <c r="C614" s="1481" t="str">
        <f t="shared" si="204"/>
        <v>Second OO</v>
      </c>
      <c r="D614" s="1480" t="s">
        <v>1338</v>
      </c>
      <c r="E614" s="1480" t="s">
        <v>98</v>
      </c>
      <c r="F614" s="1480" t="s">
        <v>327</v>
      </c>
      <c r="G614" s="1482" t="s">
        <v>302</v>
      </c>
      <c r="H614" s="1482" t="s">
        <v>135</v>
      </c>
      <c r="I614" s="1480" t="s">
        <v>1141</v>
      </c>
      <c r="J614" s="1480" t="s">
        <v>1130</v>
      </c>
      <c r="K614" s="1482" t="s">
        <v>2464</v>
      </c>
      <c r="L614" s="1480" t="s">
        <v>428</v>
      </c>
      <c r="M614" s="1480" t="s">
        <v>1835</v>
      </c>
      <c r="N614" s="1482" t="s">
        <v>82</v>
      </c>
      <c r="O614" s="1480" t="s">
        <v>309</v>
      </c>
      <c r="P614" s="1480" t="s">
        <v>2433</v>
      </c>
      <c r="Q614" s="1480" t="s">
        <v>293</v>
      </c>
      <c r="R614" s="1480">
        <v>350000.01</v>
      </c>
      <c r="S614" s="277">
        <v>500000</v>
      </c>
      <c r="T614" s="1480">
        <v>0</v>
      </c>
      <c r="U614" s="1480">
        <f t="shared" si="225"/>
        <v>500000</v>
      </c>
      <c r="V614" s="1480">
        <v>0</v>
      </c>
      <c r="W614" s="1480">
        <v>50</v>
      </c>
      <c r="X614" s="1480">
        <v>0</v>
      </c>
      <c r="Y614" s="1480">
        <v>999</v>
      </c>
      <c r="Z614" s="1483">
        <v>660</v>
      </c>
      <c r="AA614" s="1483">
        <v>679</v>
      </c>
      <c r="AB614" s="1483">
        <v>0</v>
      </c>
      <c r="AC614" s="1483">
        <v>999999</v>
      </c>
      <c r="AD614" s="1480">
        <v>0</v>
      </c>
      <c r="AE614" s="1220">
        <v>75</v>
      </c>
      <c r="AF614" s="144">
        <v>0</v>
      </c>
      <c r="AG614" s="145">
        <v>1</v>
      </c>
      <c r="AH614" s="145">
        <v>1</v>
      </c>
      <c r="AI614" s="145">
        <v>0</v>
      </c>
      <c r="AJ614" s="145">
        <v>0</v>
      </c>
      <c r="AK614" s="145">
        <v>1</v>
      </c>
      <c r="AL614" s="145">
        <v>1</v>
      </c>
      <c r="AM614" s="145">
        <v>1</v>
      </c>
      <c r="AN614" s="145">
        <v>1</v>
      </c>
      <c r="AO614" s="145">
        <v>1</v>
      </c>
      <c r="AP614" s="145">
        <v>1</v>
      </c>
      <c r="AQ614" s="145">
        <v>0</v>
      </c>
      <c r="AR614" s="145">
        <v>1</v>
      </c>
      <c r="AS614" s="145">
        <v>1</v>
      </c>
      <c r="AT614" s="145">
        <v>1</v>
      </c>
      <c r="AU614" s="145">
        <f t="shared" si="219"/>
        <v>0</v>
      </c>
      <c r="AV614" s="145">
        <f t="shared" si="220"/>
        <v>1</v>
      </c>
      <c r="AW614" s="145">
        <f t="shared" si="221"/>
        <v>1</v>
      </c>
      <c r="AX614" s="145">
        <f t="shared" si="212"/>
        <v>1</v>
      </c>
      <c r="AY614" s="145">
        <f t="shared" si="222"/>
        <v>0</v>
      </c>
      <c r="AZ614" s="145">
        <f t="shared" si="223"/>
        <v>1</v>
      </c>
      <c r="BA614" s="146">
        <f t="shared" si="224"/>
        <v>1</v>
      </c>
      <c r="BB614" s="149">
        <f t="shared" si="214"/>
        <v>16</v>
      </c>
      <c r="BC614" s="150">
        <f t="shared" si="215"/>
        <v>15</v>
      </c>
      <c r="BD614" s="150">
        <f t="shared" si="216"/>
        <v>16</v>
      </c>
      <c r="BE614" s="211" t="str">
        <f t="shared" si="217"/>
        <v/>
      </c>
      <c r="BF614" s="205"/>
      <c r="BG614" s="205"/>
      <c r="BH614" s="188">
        <f>IF(AND(Input_Product=Elig!$C614,Elig_MatchAll_Ct&lt;22,$BC614=(Elig_MatchAll_Ct-1),AF614=0),C614,0)</f>
        <v>0</v>
      </c>
      <c r="BI614" s="188">
        <f>IF(AND(Input_Product=Elig!$C614,Elig_MatchAll_Ct&lt;22,$BC614=(Elig_MatchAll_Ct-1),AG614=0),D614,0)</f>
        <v>0</v>
      </c>
      <c r="BJ614" s="188">
        <f>IF(AND(Input_Product=Elig!$C614,Elig_MatchAll_Ct&lt;22,$BC614=(Elig_MatchAll_Ct-1),AH614=0),E614,0)</f>
        <v>0</v>
      </c>
      <c r="BK614" s="188">
        <f>IF(AND(Input_Product=Elig!$C614,Elig_MatchAll_Ct&lt;22,$BC614=(Elig_MatchAll_Ct-1),AI614=0),F614,0)</f>
        <v>0</v>
      </c>
      <c r="BL614" s="188">
        <f>IF(AND(Input_Product=Elig!$C614,Elig_MatchAll_Ct&lt;22,$BC614=(Elig_MatchAll_Ct-1),AJ614=0),G614,0)</f>
        <v>0</v>
      </c>
      <c r="BM614" s="188">
        <f>IF(AND(Input_Product=Elig!$C614,Elig_MatchAll_Ct&lt;22,$BC614=(Elig_MatchAll_Ct-1),AK614=0),H614,0)</f>
        <v>0</v>
      </c>
      <c r="BN614" s="188">
        <f>IF(AND(Input_Product=Elig!$C614,Elig_MatchAll_Ct&lt;22,$BC614=(Elig_MatchAll_Ct-1),AL614=0),I614,0)</f>
        <v>0</v>
      </c>
      <c r="BO614" s="188">
        <f>IF(AND(Input_Product=Elig!$C614,Elig_MatchAll_Ct&lt;22,$BC614=(Elig_MatchAll_Ct-1),AM614=0),J614,0)</f>
        <v>0</v>
      </c>
      <c r="BP614" s="188">
        <f>IF(AND(Input_Product=Elig!$C614,Elig_MatchAll_Ct&lt;22,$BC614=(Elig_MatchAll_Ct-1),AN614=0),K614,0)</f>
        <v>0</v>
      </c>
      <c r="BQ614" s="188">
        <f>IF(AND(Input_Product=Elig!$C614,Elig_MatchAll_Ct&lt;22,$BC614=(Elig_MatchAll_Ct-1),AP614=0),L614,0)</f>
        <v>0</v>
      </c>
      <c r="BR614" s="188">
        <f>IF(AND(Input_Product=Elig!$C614,Elig_MatchAll_Ct&lt;22,$BC614=(Elig_MatchAll_Ct-1),AO614=0),M614,0)</f>
        <v>0</v>
      </c>
      <c r="BS614" s="188">
        <f>IF(AND(Input_Product=Elig!$C614,Elig_MatchAll_Ct&lt;22,$BC614=(Elig_MatchAll_Ct-1),AQ614=0),N614,0)</f>
        <v>0</v>
      </c>
      <c r="BT614" s="188">
        <f>IF(AND(Input_Product=Elig!$C614,Elig_MatchAll_Ct&lt;22,$BC614=(Elig_MatchAll_Ct-1),AR614=0),O614,0)</f>
        <v>0</v>
      </c>
      <c r="BU614" s="188">
        <f>IF(AND(Input_Product=Elig!$C614,Elig_MatchAll_Ct&lt;22,$BC614=(Elig_MatchAll_Ct-1),AS614=0),P614,0)</f>
        <v>0</v>
      </c>
      <c r="BV614" s="189">
        <f>IF(AND(Input_Product=Elig!$C614,Elig_MatchAll_Ct&lt;22,$BC614=(Elig_MatchAll_Ct-1),AT614=0),Q614,0)</f>
        <v>0</v>
      </c>
      <c r="BW614" s="271">
        <f>IF(AND(Input_Product=Elig!$C614,Elig_MatchAll_Ct&lt;22,$BC614=(Elig_MatchAll_Ct-1),AU614=0),R614,0)</f>
        <v>0</v>
      </c>
      <c r="BX614" s="272">
        <f>IF(AND(Input_Product=Elig!$C614,Elig_MatchAll_Ct&lt;22,$BC614=(Elig_MatchAll_Ct-1),AU614=0),S614,0)</f>
        <v>0</v>
      </c>
      <c r="BY614" s="271">
        <f>IF(AND(Input_Product=Elig!$C614,Elig_MatchAll_Ct&lt;22,$BC614=(Elig_MatchAll_Ct-1),AV614=0),T614,0)</f>
        <v>0</v>
      </c>
      <c r="BZ614" s="272">
        <f>IF(AND(Input_Product=Elig!$C614,Elig_MatchAll_Ct&lt;22,$BC614=(Elig_MatchAll_Ct-1),AV614=0),U614,0)</f>
        <v>0</v>
      </c>
      <c r="CA614" s="271">
        <f>IF(AND(Input_Product=Elig!$C614,Elig_MatchAll_Ct&lt;22,$BC614=(Elig_MatchAll_Ct-1),AW614=0),V614,0)</f>
        <v>0</v>
      </c>
      <c r="CB614" s="272">
        <f>IF(AND(Input_Product=Elig!$C614,Elig_MatchAll_Ct&lt;22,$BC614=(Elig_MatchAll_Ct-1),AW614=0),W614,0)</f>
        <v>0</v>
      </c>
      <c r="CC614" s="271">
        <f>IF(AND(Input_Product=Elig!$C614,Elig_MatchAll_Ct&lt;22,$BC614=(Elig_MatchAll_Ct-1),AX614=0),X614,0)</f>
        <v>0</v>
      </c>
      <c r="CD614" s="272">
        <f>IF(AND(Input_Product=Elig!$C614,Elig_MatchAll_Ct&lt;22,$BC614=(Elig_MatchAll_Ct-1),AX614=0),Y614,0)</f>
        <v>0</v>
      </c>
      <c r="CE614" s="271">
        <f>IF(AND(Input_LTV&lt;=AE614,Input_Product=Elig!$C614,Elig_MatchAll_Ct&lt;22,$BC614=(Elig_MatchAll_Ct-1),AY614=0),Z614,0)</f>
        <v>0</v>
      </c>
      <c r="CF614" s="272">
        <f>IF(AND(Input_LTV&lt;=AE614,Input_Product=Elig!$C614,Elig_MatchAll_Ct&lt;22,$BC614=(Elig_MatchAll_Ct-1),AY614=0),AA614,0)</f>
        <v>0</v>
      </c>
      <c r="CG614" s="271">
        <f>IF(AND(Input_Product=Elig!$C614,Elig_MatchAll_Ct&lt;22,$BC614=(Elig_MatchAll_Ct-1),AZ614=0),AB614,0)</f>
        <v>0</v>
      </c>
      <c r="CH614" s="272">
        <f>IF(AND(Input_Product=Elig!$C614,Elig_MatchAll_Ct&lt;22,$BC614=(Elig_MatchAll_Ct-1),AZ614=0),AC614,0)</f>
        <v>0</v>
      </c>
      <c r="CI614" s="271">
        <f>IF(AND(Input_Product=Elig!$C614,Elig_MatchAll_Ct&lt;22,$BC614=(Elig_MatchAll_Ct-1),BA614=0),AD614,0)</f>
        <v>0</v>
      </c>
      <c r="CJ614" s="272">
        <f>IF(AND(Input_Product=Elig!$C614,Elig_MatchAll_Ct&lt;22,$BC614=(Elig_MatchAll_Ct-1),BA614=0),AE614,0)</f>
        <v>0</v>
      </c>
    </row>
    <row r="615" spans="1:88" ht="10.15" customHeight="1" x14ac:dyDescent="0.25">
      <c r="A615" s="1476" t="s">
        <v>76</v>
      </c>
      <c r="B615" s="1476" t="s">
        <v>1534</v>
      </c>
      <c r="C615" s="1473" t="str">
        <f t="shared" si="204"/>
        <v>Second OO</v>
      </c>
      <c r="D615" s="1474" t="s">
        <v>1338</v>
      </c>
      <c r="E615" s="1474" t="s">
        <v>98</v>
      </c>
      <c r="F615" s="1474" t="s">
        <v>327</v>
      </c>
      <c r="G615" s="1537" t="s">
        <v>174</v>
      </c>
      <c r="H615" s="1474" t="s">
        <v>444</v>
      </c>
      <c r="I615" s="1472" t="s">
        <v>1141</v>
      </c>
      <c r="J615" s="1472" t="s">
        <v>1130</v>
      </c>
      <c r="K615" s="1474" t="s">
        <v>2464</v>
      </c>
      <c r="L615" s="1472" t="s">
        <v>428</v>
      </c>
      <c r="M615" s="1472" t="s">
        <v>1835</v>
      </c>
      <c r="N615" s="1474" t="s">
        <v>82</v>
      </c>
      <c r="O615" s="1472" t="s">
        <v>309</v>
      </c>
      <c r="P615" s="1472" t="s">
        <v>2433</v>
      </c>
      <c r="Q615" s="1472" t="s">
        <v>293</v>
      </c>
      <c r="R615" s="1472">
        <v>350000.01</v>
      </c>
      <c r="S615" s="276">
        <v>500000</v>
      </c>
      <c r="T615" s="1472">
        <v>0</v>
      </c>
      <c r="U615" s="1472">
        <f t="shared" si="225"/>
        <v>500000</v>
      </c>
      <c r="V615" s="1472">
        <v>0</v>
      </c>
      <c r="W615" s="1472">
        <v>50</v>
      </c>
      <c r="X615" s="1472">
        <v>0</v>
      </c>
      <c r="Y615" s="1472">
        <v>999</v>
      </c>
      <c r="Z615" s="1475">
        <v>720</v>
      </c>
      <c r="AA615" s="1475">
        <v>999</v>
      </c>
      <c r="AB615" s="1475">
        <v>0</v>
      </c>
      <c r="AC615" s="1475">
        <v>999999</v>
      </c>
      <c r="AD615" s="1472">
        <v>0</v>
      </c>
      <c r="AE615" s="1538">
        <v>85</v>
      </c>
      <c r="AF615" s="144">
        <v>0</v>
      </c>
      <c r="AG615" s="145">
        <v>1</v>
      </c>
      <c r="AH615" s="145">
        <v>1</v>
      </c>
      <c r="AI615" s="145">
        <v>0</v>
      </c>
      <c r="AJ615" s="145">
        <v>0</v>
      </c>
      <c r="AK615" s="145">
        <v>0</v>
      </c>
      <c r="AL615" s="145">
        <v>1</v>
      </c>
      <c r="AM615" s="145">
        <v>1</v>
      </c>
      <c r="AN615" s="145">
        <v>1</v>
      </c>
      <c r="AO615" s="145">
        <v>1</v>
      </c>
      <c r="AP615" s="145">
        <v>1</v>
      </c>
      <c r="AQ615" s="145">
        <v>0</v>
      </c>
      <c r="AR615" s="145">
        <v>1</v>
      </c>
      <c r="AS615" s="145">
        <v>1</v>
      </c>
      <c r="AT615" s="145">
        <v>1</v>
      </c>
      <c r="AU615" s="145">
        <f t="shared" si="219"/>
        <v>0</v>
      </c>
      <c r="AV615" s="145">
        <f t="shared" si="220"/>
        <v>1</v>
      </c>
      <c r="AW615" s="145">
        <f t="shared" si="221"/>
        <v>1</v>
      </c>
      <c r="AX615" s="145">
        <f t="shared" si="212"/>
        <v>1</v>
      </c>
      <c r="AY615" s="145">
        <f t="shared" si="222"/>
        <v>1</v>
      </c>
      <c r="AZ615" s="145">
        <f t="shared" si="223"/>
        <v>1</v>
      </c>
      <c r="BA615" s="146">
        <f t="shared" si="224"/>
        <v>1</v>
      </c>
      <c r="BB615" s="149">
        <f t="shared" si="214"/>
        <v>16</v>
      </c>
      <c r="BC615" s="150">
        <f t="shared" si="215"/>
        <v>15</v>
      </c>
      <c r="BD615" s="150">
        <f t="shared" si="216"/>
        <v>16</v>
      </c>
      <c r="BE615" s="211" t="str">
        <f t="shared" si="217"/>
        <v/>
      </c>
      <c r="BF615" s="194"/>
      <c r="BG615" s="194"/>
      <c r="BH615" s="190">
        <f>IF(AND(Input_Product=Elig!$C615,Elig_MatchAll_Ct&lt;22,$BC615=(Elig_MatchAll_Ct-1),AF615=0),C615,0)</f>
        <v>0</v>
      </c>
      <c r="BI615" s="190">
        <f>IF(AND(Input_Product=Elig!$C615,Elig_MatchAll_Ct&lt;22,$BC615=(Elig_MatchAll_Ct-1),AG615=0),D615,0)</f>
        <v>0</v>
      </c>
      <c r="BJ615" s="190">
        <f>IF(AND(Input_Product=Elig!$C615,Elig_MatchAll_Ct&lt;22,$BC615=(Elig_MatchAll_Ct-1),AH615=0),E615,0)</f>
        <v>0</v>
      </c>
      <c r="BK615" s="190">
        <f>IF(AND(Input_Product=Elig!$C615,Elig_MatchAll_Ct&lt;22,$BC615=(Elig_MatchAll_Ct-1),AI615=0),F615,0)</f>
        <v>0</v>
      </c>
      <c r="BL615" s="190">
        <f>IF(AND(Input_Product=Elig!$C615,Elig_MatchAll_Ct&lt;22,$BC615=(Elig_MatchAll_Ct-1),AJ615=0),G615,0)</f>
        <v>0</v>
      </c>
      <c r="BM615" s="190">
        <f>IF(AND(Input_Product=Elig!$C615,Elig_MatchAll_Ct&lt;22,$BC615=(Elig_MatchAll_Ct-1),AK615=0),H615,0)</f>
        <v>0</v>
      </c>
      <c r="BN615" s="190">
        <f>IF(AND(Input_Product=Elig!$C615,Elig_MatchAll_Ct&lt;22,$BC615=(Elig_MatchAll_Ct-1),AL615=0),I615,0)</f>
        <v>0</v>
      </c>
      <c r="BO615" s="190">
        <f>IF(AND(Input_Product=Elig!$C615,Elig_MatchAll_Ct&lt;22,$BC615=(Elig_MatchAll_Ct-1),AM615=0),J615,0)</f>
        <v>0</v>
      </c>
      <c r="BP615" s="190">
        <f>IF(AND(Input_Product=Elig!$C615,Elig_MatchAll_Ct&lt;22,$BC615=(Elig_MatchAll_Ct-1),AN615=0),K615,0)</f>
        <v>0</v>
      </c>
      <c r="BQ615" s="190">
        <f>IF(AND(Input_Product=Elig!$C615,Elig_MatchAll_Ct&lt;22,$BC615=(Elig_MatchAll_Ct-1),AP615=0),L615,0)</f>
        <v>0</v>
      </c>
      <c r="BR615" s="190">
        <f>IF(AND(Input_Product=Elig!$C615,Elig_MatchAll_Ct&lt;22,$BC615=(Elig_MatchAll_Ct-1),AO615=0),M615,0)</f>
        <v>0</v>
      </c>
      <c r="BS615" s="190">
        <f>IF(AND(Input_Product=Elig!$C615,Elig_MatchAll_Ct&lt;22,$BC615=(Elig_MatchAll_Ct-1),AQ615=0),N615,0)</f>
        <v>0</v>
      </c>
      <c r="BT615" s="190">
        <f>IF(AND(Input_Product=Elig!$C615,Elig_MatchAll_Ct&lt;22,$BC615=(Elig_MatchAll_Ct-1),AR615=0),O615,0)</f>
        <v>0</v>
      </c>
      <c r="BU615" s="190">
        <f>IF(AND(Input_Product=Elig!$C615,Elig_MatchAll_Ct&lt;22,$BC615=(Elig_MatchAll_Ct-1),AS615=0),P615,0)</f>
        <v>0</v>
      </c>
      <c r="BV615" s="191">
        <f>IF(AND(Input_Product=Elig!$C615,Elig_MatchAll_Ct&lt;22,$BC615=(Elig_MatchAll_Ct-1),AT615=0),Q615,0)</f>
        <v>0</v>
      </c>
      <c r="BW615" s="273">
        <f>IF(AND(Input_Product=Elig!$C615,Elig_MatchAll_Ct&lt;22,$BC615=(Elig_MatchAll_Ct-1),AU615=0),R615,0)</f>
        <v>0</v>
      </c>
      <c r="BX615" s="274">
        <f>IF(AND(Input_Product=Elig!$C615,Elig_MatchAll_Ct&lt;22,$BC615=(Elig_MatchAll_Ct-1),AU615=0),S615,0)</f>
        <v>0</v>
      </c>
      <c r="BY615" s="273">
        <f>IF(AND(Input_Product=Elig!$C615,Elig_MatchAll_Ct&lt;22,$BC615=(Elig_MatchAll_Ct-1),AV615=0),T615,0)</f>
        <v>0</v>
      </c>
      <c r="BZ615" s="274">
        <f>IF(AND(Input_Product=Elig!$C615,Elig_MatchAll_Ct&lt;22,$BC615=(Elig_MatchAll_Ct-1),AV615=0),U615,0)</f>
        <v>0</v>
      </c>
      <c r="CA615" s="273">
        <f>IF(AND(Input_Product=Elig!$C615,Elig_MatchAll_Ct&lt;22,$BC615=(Elig_MatchAll_Ct-1),AW615=0),V615,0)</f>
        <v>0</v>
      </c>
      <c r="CB615" s="274">
        <f>IF(AND(Input_Product=Elig!$C615,Elig_MatchAll_Ct&lt;22,$BC615=(Elig_MatchAll_Ct-1),AW615=0),W615,0)</f>
        <v>0</v>
      </c>
      <c r="CC615" s="273">
        <f>IF(AND(Input_Product=Elig!$C615,Elig_MatchAll_Ct&lt;22,$BC615=(Elig_MatchAll_Ct-1),AX615=0),X615,0)</f>
        <v>0</v>
      </c>
      <c r="CD615" s="274">
        <f>IF(AND(Input_Product=Elig!$C615,Elig_MatchAll_Ct&lt;22,$BC615=(Elig_MatchAll_Ct-1),AX615=0),Y615,0)</f>
        <v>0</v>
      </c>
      <c r="CE615" s="273">
        <f>IF(AND(Input_LTV&lt;=AE615,Input_Product=Elig!$C615,Elig_MatchAll_Ct&lt;22,$BC615=(Elig_MatchAll_Ct-1),AY615=0),Z615,0)</f>
        <v>0</v>
      </c>
      <c r="CF615" s="274">
        <f>IF(AND(Input_LTV&lt;=AE615,Input_Product=Elig!$C615,Elig_MatchAll_Ct&lt;22,$BC615=(Elig_MatchAll_Ct-1),AY615=0),AA615,0)</f>
        <v>0</v>
      </c>
      <c r="CG615" s="273">
        <f>IF(AND(Input_Product=Elig!$C615,Elig_MatchAll_Ct&lt;22,$BC615=(Elig_MatchAll_Ct-1),AZ615=0),AB615,0)</f>
        <v>0</v>
      </c>
      <c r="CH615" s="274">
        <f>IF(AND(Input_Product=Elig!$C615,Elig_MatchAll_Ct&lt;22,$BC615=(Elig_MatchAll_Ct-1),AZ615=0),AC615,0)</f>
        <v>0</v>
      </c>
      <c r="CI615" s="273">
        <f>IF(AND(Input_Product=Elig!$C615,Elig_MatchAll_Ct&lt;22,$BC615=(Elig_MatchAll_Ct-1),BA615=0),AD615,0)</f>
        <v>0</v>
      </c>
      <c r="CJ615" s="274">
        <f>IF(AND(Input_Product=Elig!$C615,Elig_MatchAll_Ct&lt;22,$BC615=(Elig_MatchAll_Ct-1),BA615=0),AE615,0)</f>
        <v>0</v>
      </c>
    </row>
    <row r="616" spans="1:88" ht="10.15" customHeight="1" x14ac:dyDescent="0.25">
      <c r="A616" s="1476" t="s">
        <v>76</v>
      </c>
      <c r="B616" s="1476" t="s">
        <v>1535</v>
      </c>
      <c r="C616" s="1477" t="str">
        <f t="shared" si="204"/>
        <v>Second OO</v>
      </c>
      <c r="D616" s="1476" t="s">
        <v>1338</v>
      </c>
      <c r="E616" s="1476" t="s">
        <v>98</v>
      </c>
      <c r="F616" s="1476" t="s">
        <v>327</v>
      </c>
      <c r="G616" s="1544" t="s">
        <v>174</v>
      </c>
      <c r="H616" s="1478" t="s">
        <v>444</v>
      </c>
      <c r="I616" s="1476" t="s">
        <v>1141</v>
      </c>
      <c r="J616" s="1476" t="s">
        <v>1130</v>
      </c>
      <c r="K616" s="1478" t="s">
        <v>2464</v>
      </c>
      <c r="L616" s="1476" t="s">
        <v>428</v>
      </c>
      <c r="M616" s="1476" t="s">
        <v>1835</v>
      </c>
      <c r="N616" s="1478" t="s">
        <v>82</v>
      </c>
      <c r="O616" s="1476" t="s">
        <v>309</v>
      </c>
      <c r="P616" s="1476" t="s">
        <v>2433</v>
      </c>
      <c r="Q616" s="1476" t="s">
        <v>293</v>
      </c>
      <c r="R616" s="1476">
        <v>350000.01</v>
      </c>
      <c r="S616" s="261">
        <v>500000</v>
      </c>
      <c r="T616" s="1476">
        <v>0</v>
      </c>
      <c r="U616" s="1476">
        <f t="shared" si="225"/>
        <v>500000</v>
      </c>
      <c r="V616" s="1476">
        <v>0</v>
      </c>
      <c r="W616" s="1476">
        <v>50</v>
      </c>
      <c r="X616" s="1476">
        <v>0</v>
      </c>
      <c r="Y616" s="1476">
        <v>999</v>
      </c>
      <c r="Z616" s="1479">
        <v>700</v>
      </c>
      <c r="AA616" s="1479">
        <v>719</v>
      </c>
      <c r="AB616" s="1479">
        <v>0</v>
      </c>
      <c r="AC616" s="1479">
        <v>999999</v>
      </c>
      <c r="AD616" s="1476">
        <v>0</v>
      </c>
      <c r="AE616" s="1539">
        <v>80</v>
      </c>
      <c r="AF616" s="144">
        <v>0</v>
      </c>
      <c r="AG616" s="145">
        <v>1</v>
      </c>
      <c r="AH616" s="145">
        <v>1</v>
      </c>
      <c r="AI616" s="145">
        <v>0</v>
      </c>
      <c r="AJ616" s="145">
        <v>0</v>
      </c>
      <c r="AK616" s="145">
        <v>0</v>
      </c>
      <c r="AL616" s="145">
        <v>1</v>
      </c>
      <c r="AM616" s="145">
        <v>1</v>
      </c>
      <c r="AN616" s="145">
        <v>1</v>
      </c>
      <c r="AO616" s="145">
        <v>1</v>
      </c>
      <c r="AP616" s="145">
        <v>1</v>
      </c>
      <c r="AQ616" s="145">
        <v>0</v>
      </c>
      <c r="AR616" s="145">
        <v>1</v>
      </c>
      <c r="AS616" s="145">
        <v>1</v>
      </c>
      <c r="AT616" s="145">
        <v>1</v>
      </c>
      <c r="AU616" s="145">
        <f t="shared" si="219"/>
        <v>0</v>
      </c>
      <c r="AV616" s="145">
        <f t="shared" si="220"/>
        <v>1</v>
      </c>
      <c r="AW616" s="145">
        <f t="shared" si="221"/>
        <v>1</v>
      </c>
      <c r="AX616" s="145">
        <f t="shared" si="212"/>
        <v>1</v>
      </c>
      <c r="AY616" s="145">
        <f t="shared" si="222"/>
        <v>0</v>
      </c>
      <c r="AZ616" s="145">
        <f t="shared" si="223"/>
        <v>1</v>
      </c>
      <c r="BA616" s="146">
        <f t="shared" si="224"/>
        <v>1</v>
      </c>
      <c r="BB616" s="149">
        <f t="shared" si="214"/>
        <v>15</v>
      </c>
      <c r="BC616" s="150">
        <f t="shared" si="215"/>
        <v>14</v>
      </c>
      <c r="BD616" s="150">
        <f t="shared" si="216"/>
        <v>15</v>
      </c>
      <c r="BE616" s="211" t="str">
        <f t="shared" si="217"/>
        <v/>
      </c>
      <c r="BF616" s="205"/>
      <c r="BG616" s="205"/>
      <c r="BH616" s="173">
        <f>IF(AND(Input_Product=Elig!$C616,Elig_MatchAll_Ct&lt;22,$BC616=(Elig_MatchAll_Ct-1),AF616=0),C616,0)</f>
        <v>0</v>
      </c>
      <c r="BI616" s="173">
        <f>IF(AND(Input_Product=Elig!$C616,Elig_MatchAll_Ct&lt;22,$BC616=(Elig_MatchAll_Ct-1),AG616=0),D616,0)</f>
        <v>0</v>
      </c>
      <c r="BJ616" s="173">
        <f>IF(AND(Input_Product=Elig!$C616,Elig_MatchAll_Ct&lt;22,$BC616=(Elig_MatchAll_Ct-1),AH616=0),E616,0)</f>
        <v>0</v>
      </c>
      <c r="BK616" s="173">
        <f>IF(AND(Input_Product=Elig!$C616,Elig_MatchAll_Ct&lt;22,$BC616=(Elig_MatchAll_Ct-1),AI616=0),F616,0)</f>
        <v>0</v>
      </c>
      <c r="BL616" s="173">
        <f>IF(AND(Input_Product=Elig!$C616,Elig_MatchAll_Ct&lt;22,$BC616=(Elig_MatchAll_Ct-1),AJ616=0),G616,0)</f>
        <v>0</v>
      </c>
      <c r="BM616" s="173">
        <f>IF(AND(Input_Product=Elig!$C616,Elig_MatchAll_Ct&lt;22,$BC616=(Elig_MatchAll_Ct-1),AK616=0),H616,0)</f>
        <v>0</v>
      </c>
      <c r="BN616" s="173">
        <f>IF(AND(Input_Product=Elig!$C616,Elig_MatchAll_Ct&lt;22,$BC616=(Elig_MatchAll_Ct-1),AL616=0),I616,0)</f>
        <v>0</v>
      </c>
      <c r="BO616" s="173">
        <f>IF(AND(Input_Product=Elig!$C616,Elig_MatchAll_Ct&lt;22,$BC616=(Elig_MatchAll_Ct-1),AM616=0),J616,0)</f>
        <v>0</v>
      </c>
      <c r="BP616" s="173">
        <f>IF(AND(Input_Product=Elig!$C616,Elig_MatchAll_Ct&lt;22,$BC616=(Elig_MatchAll_Ct-1),AN616=0),K616,0)</f>
        <v>0</v>
      </c>
      <c r="BQ616" s="173">
        <f>IF(AND(Input_Product=Elig!$C616,Elig_MatchAll_Ct&lt;22,$BC616=(Elig_MatchAll_Ct-1),AP616=0),L616,0)</f>
        <v>0</v>
      </c>
      <c r="BR616" s="173">
        <f>IF(AND(Input_Product=Elig!$C616,Elig_MatchAll_Ct&lt;22,$BC616=(Elig_MatchAll_Ct-1),AO616=0),M616,0)</f>
        <v>0</v>
      </c>
      <c r="BS616" s="173">
        <f>IF(AND(Input_Product=Elig!$C616,Elig_MatchAll_Ct&lt;22,$BC616=(Elig_MatchAll_Ct-1),AQ616=0),N616,0)</f>
        <v>0</v>
      </c>
      <c r="BT616" s="173">
        <f>IF(AND(Input_Product=Elig!$C616,Elig_MatchAll_Ct&lt;22,$BC616=(Elig_MatchAll_Ct-1),AR616=0),O616,0)</f>
        <v>0</v>
      </c>
      <c r="BU616" s="173">
        <f>IF(AND(Input_Product=Elig!$C616,Elig_MatchAll_Ct&lt;22,$BC616=(Elig_MatchAll_Ct-1),AS616=0),P616,0)</f>
        <v>0</v>
      </c>
      <c r="BV616" s="174">
        <f>IF(AND(Input_Product=Elig!$C616,Elig_MatchAll_Ct&lt;22,$BC616=(Elig_MatchAll_Ct-1),AT616=0),Q616,0)</f>
        <v>0</v>
      </c>
      <c r="BW616" s="175">
        <f>IF(AND(Input_Product=Elig!$C616,Elig_MatchAll_Ct&lt;22,$BC616=(Elig_MatchAll_Ct-1),AU616=0),R616,0)</f>
        <v>0</v>
      </c>
      <c r="BX616" s="176">
        <f>IF(AND(Input_Product=Elig!$C616,Elig_MatchAll_Ct&lt;22,$BC616=(Elig_MatchAll_Ct-1),AU616=0),S616,0)</f>
        <v>0</v>
      </c>
      <c r="BY616" s="175">
        <f>IF(AND(Input_Product=Elig!$C616,Elig_MatchAll_Ct&lt;22,$BC616=(Elig_MatchAll_Ct-1),AV616=0),T616,0)</f>
        <v>0</v>
      </c>
      <c r="BZ616" s="176">
        <f>IF(AND(Input_Product=Elig!$C616,Elig_MatchAll_Ct&lt;22,$BC616=(Elig_MatchAll_Ct-1),AV616=0),U616,0)</f>
        <v>0</v>
      </c>
      <c r="CA616" s="175">
        <f>IF(AND(Input_Product=Elig!$C616,Elig_MatchAll_Ct&lt;22,$BC616=(Elig_MatchAll_Ct-1),AW616=0),V616,0)</f>
        <v>0</v>
      </c>
      <c r="CB616" s="176">
        <f>IF(AND(Input_Product=Elig!$C616,Elig_MatchAll_Ct&lt;22,$BC616=(Elig_MatchAll_Ct-1),AW616=0),W616,0)</f>
        <v>0</v>
      </c>
      <c r="CC616" s="175">
        <f>IF(AND(Input_Product=Elig!$C616,Elig_MatchAll_Ct&lt;22,$BC616=(Elig_MatchAll_Ct-1),AX616=0),X616,0)</f>
        <v>0</v>
      </c>
      <c r="CD616" s="176">
        <f>IF(AND(Input_Product=Elig!$C616,Elig_MatchAll_Ct&lt;22,$BC616=(Elig_MatchAll_Ct-1),AX616=0),Y616,0)</f>
        <v>0</v>
      </c>
      <c r="CE616" s="175">
        <f>IF(AND(Input_LTV&lt;=AE616,Input_Product=Elig!$C616,Elig_MatchAll_Ct&lt;22,$BC616=(Elig_MatchAll_Ct-1),AY616=0),Z616,0)</f>
        <v>0</v>
      </c>
      <c r="CF616" s="176">
        <f>IF(AND(Input_LTV&lt;=AE616,Input_Product=Elig!$C616,Elig_MatchAll_Ct&lt;22,$BC616=(Elig_MatchAll_Ct-1),AY616=0),AA616,0)</f>
        <v>0</v>
      </c>
      <c r="CG616" s="175">
        <f>IF(AND(Input_Product=Elig!$C616,Elig_MatchAll_Ct&lt;22,$BC616=(Elig_MatchAll_Ct-1),AZ616=0),AB616,0)</f>
        <v>0</v>
      </c>
      <c r="CH616" s="176">
        <f>IF(AND(Input_Product=Elig!$C616,Elig_MatchAll_Ct&lt;22,$BC616=(Elig_MatchAll_Ct-1),AZ616=0),AC616,0)</f>
        <v>0</v>
      </c>
      <c r="CI616" s="175">
        <f>IF(AND(Input_Product=Elig!$C616,Elig_MatchAll_Ct&lt;22,$BC616=(Elig_MatchAll_Ct-1),BA616=0),AD616,0)</f>
        <v>0</v>
      </c>
      <c r="CJ616" s="176">
        <f>IF(AND(Input_Product=Elig!$C616,Elig_MatchAll_Ct&lt;22,$BC616=(Elig_MatchAll_Ct-1),BA616=0),AE616,0)</f>
        <v>0</v>
      </c>
    </row>
    <row r="617" spans="1:88" ht="10.15" customHeight="1" x14ac:dyDescent="0.25">
      <c r="A617" s="1476" t="s">
        <v>76</v>
      </c>
      <c r="B617" s="1476" t="s">
        <v>1536</v>
      </c>
      <c r="C617" s="1477" t="str">
        <f t="shared" si="204"/>
        <v>Second OO</v>
      </c>
      <c r="D617" s="1476" t="s">
        <v>1338</v>
      </c>
      <c r="E617" s="1476" t="s">
        <v>98</v>
      </c>
      <c r="F617" s="1476" t="s">
        <v>327</v>
      </c>
      <c r="G617" s="1544" t="s">
        <v>174</v>
      </c>
      <c r="H617" s="1478" t="s">
        <v>444</v>
      </c>
      <c r="I617" s="1476" t="s">
        <v>1141</v>
      </c>
      <c r="J617" s="1476" t="s">
        <v>1130</v>
      </c>
      <c r="K617" s="1478" t="s">
        <v>2464</v>
      </c>
      <c r="L617" s="1476" t="s">
        <v>428</v>
      </c>
      <c r="M617" s="1476" t="s">
        <v>1835</v>
      </c>
      <c r="N617" s="1478" t="s">
        <v>82</v>
      </c>
      <c r="O617" s="1476" t="s">
        <v>309</v>
      </c>
      <c r="P617" s="1476" t="s">
        <v>2433</v>
      </c>
      <c r="Q617" s="1476" t="s">
        <v>293</v>
      </c>
      <c r="R617" s="1476">
        <v>350000.01</v>
      </c>
      <c r="S617" s="261">
        <v>500000</v>
      </c>
      <c r="T617" s="1476">
        <v>0</v>
      </c>
      <c r="U617" s="1476">
        <f t="shared" si="225"/>
        <v>500000</v>
      </c>
      <c r="V617" s="1476">
        <v>0</v>
      </c>
      <c r="W617" s="1476">
        <v>50</v>
      </c>
      <c r="X617" s="1476">
        <v>0</v>
      </c>
      <c r="Y617" s="1476">
        <v>999</v>
      </c>
      <c r="Z617" s="1479">
        <v>680</v>
      </c>
      <c r="AA617" s="1479">
        <v>699</v>
      </c>
      <c r="AB617" s="1479">
        <v>0</v>
      </c>
      <c r="AC617" s="1479">
        <v>999999</v>
      </c>
      <c r="AD617" s="1476">
        <v>0</v>
      </c>
      <c r="AE617" s="1539">
        <v>75</v>
      </c>
      <c r="AF617" s="144">
        <v>0</v>
      </c>
      <c r="AG617" s="145">
        <v>1</v>
      </c>
      <c r="AH617" s="145">
        <v>1</v>
      </c>
      <c r="AI617" s="145">
        <v>0</v>
      </c>
      <c r="AJ617" s="145">
        <v>0</v>
      </c>
      <c r="AK617" s="145">
        <v>0</v>
      </c>
      <c r="AL617" s="145">
        <v>1</v>
      </c>
      <c r="AM617" s="145">
        <v>1</v>
      </c>
      <c r="AN617" s="145">
        <v>1</v>
      </c>
      <c r="AO617" s="145">
        <v>1</v>
      </c>
      <c r="AP617" s="145">
        <v>1</v>
      </c>
      <c r="AQ617" s="145">
        <v>0</v>
      </c>
      <c r="AR617" s="145">
        <v>1</v>
      </c>
      <c r="AS617" s="145">
        <v>1</v>
      </c>
      <c r="AT617" s="145">
        <v>1</v>
      </c>
      <c r="AU617" s="145">
        <f t="shared" si="219"/>
        <v>0</v>
      </c>
      <c r="AV617" s="145">
        <f t="shared" si="220"/>
        <v>1</v>
      </c>
      <c r="AW617" s="145">
        <f t="shared" si="221"/>
        <v>1</v>
      </c>
      <c r="AX617" s="145">
        <f t="shared" ref="AX617:AX696" si="226">IF(AND(Input_DSCR&gt;=Elig_DSCR_Min,Input_DSCR&lt;=Elig_DSCR_Max),1,0)</f>
        <v>1</v>
      </c>
      <c r="AY617" s="145">
        <f t="shared" si="222"/>
        <v>0</v>
      </c>
      <c r="AZ617" s="145">
        <f t="shared" si="223"/>
        <v>1</v>
      </c>
      <c r="BA617" s="146">
        <f t="shared" si="224"/>
        <v>1</v>
      </c>
      <c r="BB617" s="149">
        <f t="shared" si="214"/>
        <v>15</v>
      </c>
      <c r="BC617" s="150">
        <f t="shared" si="215"/>
        <v>14</v>
      </c>
      <c r="BD617" s="150">
        <f t="shared" si="216"/>
        <v>15</v>
      </c>
      <c r="BE617" s="211" t="str">
        <f t="shared" si="217"/>
        <v/>
      </c>
      <c r="BF617" s="205"/>
      <c r="BG617" s="205"/>
      <c r="BH617" s="173">
        <f>IF(AND(Input_Product=Elig!$C617,Elig_MatchAll_Ct&lt;22,$BC617=(Elig_MatchAll_Ct-1),AF617=0),C617,0)</f>
        <v>0</v>
      </c>
      <c r="BI617" s="173">
        <f>IF(AND(Input_Product=Elig!$C617,Elig_MatchAll_Ct&lt;22,$BC617=(Elig_MatchAll_Ct-1),AG617=0),D617,0)</f>
        <v>0</v>
      </c>
      <c r="BJ617" s="173">
        <f>IF(AND(Input_Product=Elig!$C617,Elig_MatchAll_Ct&lt;22,$BC617=(Elig_MatchAll_Ct-1),AH617=0),E617,0)</f>
        <v>0</v>
      </c>
      <c r="BK617" s="173">
        <f>IF(AND(Input_Product=Elig!$C617,Elig_MatchAll_Ct&lt;22,$BC617=(Elig_MatchAll_Ct-1),AI617=0),F617,0)</f>
        <v>0</v>
      </c>
      <c r="BL617" s="173">
        <f>IF(AND(Input_Product=Elig!$C617,Elig_MatchAll_Ct&lt;22,$BC617=(Elig_MatchAll_Ct-1),AJ617=0),G617,0)</f>
        <v>0</v>
      </c>
      <c r="BM617" s="173">
        <f>IF(AND(Input_Product=Elig!$C617,Elig_MatchAll_Ct&lt;22,$BC617=(Elig_MatchAll_Ct-1),AK617=0),H617,0)</f>
        <v>0</v>
      </c>
      <c r="BN617" s="173">
        <f>IF(AND(Input_Product=Elig!$C617,Elig_MatchAll_Ct&lt;22,$BC617=(Elig_MatchAll_Ct-1),AL617=0),I617,0)</f>
        <v>0</v>
      </c>
      <c r="BO617" s="173">
        <f>IF(AND(Input_Product=Elig!$C617,Elig_MatchAll_Ct&lt;22,$BC617=(Elig_MatchAll_Ct-1),AM617=0),J617,0)</f>
        <v>0</v>
      </c>
      <c r="BP617" s="173">
        <f>IF(AND(Input_Product=Elig!$C617,Elig_MatchAll_Ct&lt;22,$BC617=(Elig_MatchAll_Ct-1),AN617=0),K617,0)</f>
        <v>0</v>
      </c>
      <c r="BQ617" s="173">
        <f>IF(AND(Input_Product=Elig!$C617,Elig_MatchAll_Ct&lt;22,$BC617=(Elig_MatchAll_Ct-1),AP617=0),L617,0)</f>
        <v>0</v>
      </c>
      <c r="BR617" s="173">
        <f>IF(AND(Input_Product=Elig!$C617,Elig_MatchAll_Ct&lt;22,$BC617=(Elig_MatchAll_Ct-1),AO617=0),M617,0)</f>
        <v>0</v>
      </c>
      <c r="BS617" s="173">
        <f>IF(AND(Input_Product=Elig!$C617,Elig_MatchAll_Ct&lt;22,$BC617=(Elig_MatchAll_Ct-1),AQ617=0),N617,0)</f>
        <v>0</v>
      </c>
      <c r="BT617" s="173">
        <f>IF(AND(Input_Product=Elig!$C617,Elig_MatchAll_Ct&lt;22,$BC617=(Elig_MatchAll_Ct-1),AR617=0),O617,0)</f>
        <v>0</v>
      </c>
      <c r="BU617" s="173">
        <f>IF(AND(Input_Product=Elig!$C617,Elig_MatchAll_Ct&lt;22,$BC617=(Elig_MatchAll_Ct-1),AS617=0),P617,0)</f>
        <v>0</v>
      </c>
      <c r="BV617" s="174">
        <f>IF(AND(Input_Product=Elig!$C617,Elig_MatchAll_Ct&lt;22,$BC617=(Elig_MatchAll_Ct-1),AT617=0),Q617,0)</f>
        <v>0</v>
      </c>
      <c r="BW617" s="175">
        <f>IF(AND(Input_Product=Elig!$C617,Elig_MatchAll_Ct&lt;22,$BC617=(Elig_MatchAll_Ct-1),AU617=0),R617,0)</f>
        <v>0</v>
      </c>
      <c r="BX617" s="176">
        <f>IF(AND(Input_Product=Elig!$C617,Elig_MatchAll_Ct&lt;22,$BC617=(Elig_MatchAll_Ct-1),AU617=0),S617,0)</f>
        <v>0</v>
      </c>
      <c r="BY617" s="175">
        <f>IF(AND(Input_Product=Elig!$C617,Elig_MatchAll_Ct&lt;22,$BC617=(Elig_MatchAll_Ct-1),AV617=0),T617,0)</f>
        <v>0</v>
      </c>
      <c r="BZ617" s="176">
        <f>IF(AND(Input_Product=Elig!$C617,Elig_MatchAll_Ct&lt;22,$BC617=(Elig_MatchAll_Ct-1),AV617=0),U617,0)</f>
        <v>0</v>
      </c>
      <c r="CA617" s="175">
        <f>IF(AND(Input_Product=Elig!$C617,Elig_MatchAll_Ct&lt;22,$BC617=(Elig_MatchAll_Ct-1),AW617=0),V617,0)</f>
        <v>0</v>
      </c>
      <c r="CB617" s="176">
        <f>IF(AND(Input_Product=Elig!$C617,Elig_MatchAll_Ct&lt;22,$BC617=(Elig_MatchAll_Ct-1),AW617=0),W617,0)</f>
        <v>0</v>
      </c>
      <c r="CC617" s="175">
        <f>IF(AND(Input_Product=Elig!$C617,Elig_MatchAll_Ct&lt;22,$BC617=(Elig_MatchAll_Ct-1),AX617=0),X617,0)</f>
        <v>0</v>
      </c>
      <c r="CD617" s="176">
        <f>IF(AND(Input_Product=Elig!$C617,Elig_MatchAll_Ct&lt;22,$BC617=(Elig_MatchAll_Ct-1),AX617=0),Y617,0)</f>
        <v>0</v>
      </c>
      <c r="CE617" s="175">
        <f>IF(AND(Input_LTV&lt;=AE617,Input_Product=Elig!$C617,Elig_MatchAll_Ct&lt;22,$BC617=(Elig_MatchAll_Ct-1),AY617=0),Z617,0)</f>
        <v>0</v>
      </c>
      <c r="CF617" s="176">
        <f>IF(AND(Input_LTV&lt;=AE617,Input_Product=Elig!$C617,Elig_MatchAll_Ct&lt;22,$BC617=(Elig_MatchAll_Ct-1),AY617=0),AA617,0)</f>
        <v>0</v>
      </c>
      <c r="CG617" s="175">
        <f>IF(AND(Input_Product=Elig!$C617,Elig_MatchAll_Ct&lt;22,$BC617=(Elig_MatchAll_Ct-1),AZ617=0),AB617,0)</f>
        <v>0</v>
      </c>
      <c r="CH617" s="176">
        <f>IF(AND(Input_Product=Elig!$C617,Elig_MatchAll_Ct&lt;22,$BC617=(Elig_MatchAll_Ct-1),AZ617=0),AC617,0)</f>
        <v>0</v>
      </c>
      <c r="CI617" s="175">
        <f>IF(AND(Input_Product=Elig!$C617,Elig_MatchAll_Ct&lt;22,$BC617=(Elig_MatchAll_Ct-1),BA617=0),AD617,0)</f>
        <v>0</v>
      </c>
      <c r="CJ617" s="176">
        <f>IF(AND(Input_Product=Elig!$C617,Elig_MatchAll_Ct&lt;22,$BC617=(Elig_MatchAll_Ct-1),BA617=0),AE617,0)</f>
        <v>0</v>
      </c>
    </row>
    <row r="618" spans="1:88" ht="10.15" customHeight="1" x14ac:dyDescent="0.25">
      <c r="A618" s="1476" t="s">
        <v>76</v>
      </c>
      <c r="B618" s="1476" t="s">
        <v>1537</v>
      </c>
      <c r="C618" s="1481" t="str">
        <f t="shared" si="204"/>
        <v>Second OO</v>
      </c>
      <c r="D618" s="1480" t="s">
        <v>1338</v>
      </c>
      <c r="E618" s="1480" t="s">
        <v>98</v>
      </c>
      <c r="F618" s="1480" t="s">
        <v>327</v>
      </c>
      <c r="G618" s="1545" t="s">
        <v>174</v>
      </c>
      <c r="H618" s="1482" t="s">
        <v>444</v>
      </c>
      <c r="I618" s="1480" t="s">
        <v>1141</v>
      </c>
      <c r="J618" s="1480" t="s">
        <v>1130</v>
      </c>
      <c r="K618" s="1482" t="s">
        <v>2464</v>
      </c>
      <c r="L618" s="1480" t="s">
        <v>428</v>
      </c>
      <c r="M618" s="1480" t="s">
        <v>1835</v>
      </c>
      <c r="N618" s="1482" t="s">
        <v>82</v>
      </c>
      <c r="O618" s="1480" t="s">
        <v>309</v>
      </c>
      <c r="P618" s="1480" t="s">
        <v>2433</v>
      </c>
      <c r="Q618" s="1480" t="s">
        <v>293</v>
      </c>
      <c r="R618" s="1480">
        <v>350000.01</v>
      </c>
      <c r="S618" s="277">
        <v>500000</v>
      </c>
      <c r="T618" s="1480">
        <v>0</v>
      </c>
      <c r="U618" s="1480">
        <f t="shared" si="225"/>
        <v>500000</v>
      </c>
      <c r="V618" s="1480">
        <v>0</v>
      </c>
      <c r="W618" s="1480">
        <v>50</v>
      </c>
      <c r="X618" s="1480">
        <v>0</v>
      </c>
      <c r="Y618" s="1480">
        <v>999</v>
      </c>
      <c r="Z618" s="1483">
        <v>660</v>
      </c>
      <c r="AA618" s="1483">
        <v>679</v>
      </c>
      <c r="AB618" s="1483">
        <v>0</v>
      </c>
      <c r="AC618" s="1483">
        <v>999999</v>
      </c>
      <c r="AD618" s="1480">
        <v>0</v>
      </c>
      <c r="AE618" s="1220">
        <v>65</v>
      </c>
      <c r="AF618" s="144">
        <v>0</v>
      </c>
      <c r="AG618" s="145">
        <v>1</v>
      </c>
      <c r="AH618" s="145">
        <v>1</v>
      </c>
      <c r="AI618" s="145">
        <v>0</v>
      </c>
      <c r="AJ618" s="145">
        <v>0</v>
      </c>
      <c r="AK618" s="145">
        <v>0</v>
      </c>
      <c r="AL618" s="145">
        <v>1</v>
      </c>
      <c r="AM618" s="145">
        <v>1</v>
      </c>
      <c r="AN618" s="145">
        <v>1</v>
      </c>
      <c r="AO618" s="145">
        <v>1</v>
      </c>
      <c r="AP618" s="145">
        <v>1</v>
      </c>
      <c r="AQ618" s="145">
        <v>0</v>
      </c>
      <c r="AR618" s="145">
        <v>1</v>
      </c>
      <c r="AS618" s="145">
        <v>1</v>
      </c>
      <c r="AT618" s="145">
        <v>1</v>
      </c>
      <c r="AU618" s="145">
        <f t="shared" si="219"/>
        <v>0</v>
      </c>
      <c r="AV618" s="145">
        <f t="shared" si="220"/>
        <v>1</v>
      </c>
      <c r="AW618" s="145">
        <f t="shared" si="221"/>
        <v>1</v>
      </c>
      <c r="AX618" s="145">
        <f t="shared" si="226"/>
        <v>1</v>
      </c>
      <c r="AY618" s="145">
        <f t="shared" si="222"/>
        <v>0</v>
      </c>
      <c r="AZ618" s="145">
        <f t="shared" si="223"/>
        <v>1</v>
      </c>
      <c r="BA618" s="146">
        <f t="shared" si="224"/>
        <v>0</v>
      </c>
      <c r="BB618" s="149">
        <f t="shared" si="214"/>
        <v>14</v>
      </c>
      <c r="BC618" s="150">
        <f t="shared" si="215"/>
        <v>14</v>
      </c>
      <c r="BD618" s="150">
        <f t="shared" si="216"/>
        <v>14</v>
      </c>
      <c r="BE618" s="211" t="str">
        <f t="shared" si="217"/>
        <v/>
      </c>
      <c r="BF618" s="205"/>
      <c r="BG618" s="205"/>
      <c r="BH618" s="188">
        <f>IF(AND(Input_Product=Elig!$C618,Elig_MatchAll_Ct&lt;22,$BC618=(Elig_MatchAll_Ct-1),AF618=0),C618,0)</f>
        <v>0</v>
      </c>
      <c r="BI618" s="188">
        <f>IF(AND(Input_Product=Elig!$C618,Elig_MatchAll_Ct&lt;22,$BC618=(Elig_MatchAll_Ct-1),AG618=0),D618,0)</f>
        <v>0</v>
      </c>
      <c r="BJ618" s="188">
        <f>IF(AND(Input_Product=Elig!$C618,Elig_MatchAll_Ct&lt;22,$BC618=(Elig_MatchAll_Ct-1),AH618=0),E618,0)</f>
        <v>0</v>
      </c>
      <c r="BK618" s="188">
        <f>IF(AND(Input_Product=Elig!$C618,Elig_MatchAll_Ct&lt;22,$BC618=(Elig_MatchAll_Ct-1),AI618=0),F618,0)</f>
        <v>0</v>
      </c>
      <c r="BL618" s="188">
        <f>IF(AND(Input_Product=Elig!$C618,Elig_MatchAll_Ct&lt;22,$BC618=(Elig_MatchAll_Ct-1),AJ618=0),G618,0)</f>
        <v>0</v>
      </c>
      <c r="BM618" s="188">
        <f>IF(AND(Input_Product=Elig!$C618,Elig_MatchAll_Ct&lt;22,$BC618=(Elig_MatchAll_Ct-1),AK618=0),H618,0)</f>
        <v>0</v>
      </c>
      <c r="BN618" s="188">
        <f>IF(AND(Input_Product=Elig!$C618,Elig_MatchAll_Ct&lt;22,$BC618=(Elig_MatchAll_Ct-1),AL618=0),I618,0)</f>
        <v>0</v>
      </c>
      <c r="BO618" s="188">
        <f>IF(AND(Input_Product=Elig!$C618,Elig_MatchAll_Ct&lt;22,$BC618=(Elig_MatchAll_Ct-1),AM618=0),J618,0)</f>
        <v>0</v>
      </c>
      <c r="BP618" s="188">
        <f>IF(AND(Input_Product=Elig!$C618,Elig_MatchAll_Ct&lt;22,$BC618=(Elig_MatchAll_Ct-1),AN618=0),K618,0)</f>
        <v>0</v>
      </c>
      <c r="BQ618" s="188">
        <f>IF(AND(Input_Product=Elig!$C618,Elig_MatchAll_Ct&lt;22,$BC618=(Elig_MatchAll_Ct-1),AP618=0),L618,0)</f>
        <v>0</v>
      </c>
      <c r="BR618" s="188">
        <f>IF(AND(Input_Product=Elig!$C618,Elig_MatchAll_Ct&lt;22,$BC618=(Elig_MatchAll_Ct-1),AO618=0),M618,0)</f>
        <v>0</v>
      </c>
      <c r="BS618" s="188">
        <f>IF(AND(Input_Product=Elig!$C618,Elig_MatchAll_Ct&lt;22,$BC618=(Elig_MatchAll_Ct-1),AQ618=0),N618,0)</f>
        <v>0</v>
      </c>
      <c r="BT618" s="188">
        <f>IF(AND(Input_Product=Elig!$C618,Elig_MatchAll_Ct&lt;22,$BC618=(Elig_MatchAll_Ct-1),AR618=0),O618,0)</f>
        <v>0</v>
      </c>
      <c r="BU618" s="188">
        <f>IF(AND(Input_Product=Elig!$C618,Elig_MatchAll_Ct&lt;22,$BC618=(Elig_MatchAll_Ct-1),AS618=0),P618,0)</f>
        <v>0</v>
      </c>
      <c r="BV618" s="189">
        <f>IF(AND(Input_Product=Elig!$C618,Elig_MatchAll_Ct&lt;22,$BC618=(Elig_MatchAll_Ct-1),AT618=0),Q618,0)</f>
        <v>0</v>
      </c>
      <c r="BW618" s="271">
        <f>IF(AND(Input_Product=Elig!$C618,Elig_MatchAll_Ct&lt;22,$BC618=(Elig_MatchAll_Ct-1),AU618=0),R618,0)</f>
        <v>0</v>
      </c>
      <c r="BX618" s="272">
        <f>IF(AND(Input_Product=Elig!$C618,Elig_MatchAll_Ct&lt;22,$BC618=(Elig_MatchAll_Ct-1),AU618=0),S618,0)</f>
        <v>0</v>
      </c>
      <c r="BY618" s="271">
        <f>IF(AND(Input_Product=Elig!$C618,Elig_MatchAll_Ct&lt;22,$BC618=(Elig_MatchAll_Ct-1),AV618=0),T618,0)</f>
        <v>0</v>
      </c>
      <c r="BZ618" s="272">
        <f>IF(AND(Input_Product=Elig!$C618,Elig_MatchAll_Ct&lt;22,$BC618=(Elig_MatchAll_Ct-1),AV618=0),U618,0)</f>
        <v>0</v>
      </c>
      <c r="CA618" s="271">
        <f>IF(AND(Input_Product=Elig!$C618,Elig_MatchAll_Ct&lt;22,$BC618=(Elig_MatchAll_Ct-1),AW618=0),V618,0)</f>
        <v>0</v>
      </c>
      <c r="CB618" s="272">
        <f>IF(AND(Input_Product=Elig!$C618,Elig_MatchAll_Ct&lt;22,$BC618=(Elig_MatchAll_Ct-1),AW618=0),W618,0)</f>
        <v>0</v>
      </c>
      <c r="CC618" s="271">
        <f>IF(AND(Input_Product=Elig!$C618,Elig_MatchAll_Ct&lt;22,$BC618=(Elig_MatchAll_Ct-1),AX618=0),X618,0)</f>
        <v>0</v>
      </c>
      <c r="CD618" s="272">
        <f>IF(AND(Input_Product=Elig!$C618,Elig_MatchAll_Ct&lt;22,$BC618=(Elig_MatchAll_Ct-1),AX618=0),Y618,0)</f>
        <v>0</v>
      </c>
      <c r="CE618" s="271">
        <f>IF(AND(Input_LTV&lt;=AE618,Input_Product=Elig!$C618,Elig_MatchAll_Ct&lt;22,$BC618=(Elig_MatchAll_Ct-1),AY618=0),Z618,0)</f>
        <v>0</v>
      </c>
      <c r="CF618" s="272">
        <f>IF(AND(Input_LTV&lt;=AE618,Input_Product=Elig!$C618,Elig_MatchAll_Ct&lt;22,$BC618=(Elig_MatchAll_Ct-1),AY618=0),AA618,0)</f>
        <v>0</v>
      </c>
      <c r="CG618" s="271">
        <f>IF(AND(Input_Product=Elig!$C618,Elig_MatchAll_Ct&lt;22,$BC618=(Elig_MatchAll_Ct-1),AZ618=0),AB618,0)</f>
        <v>0</v>
      </c>
      <c r="CH618" s="272">
        <f>IF(AND(Input_Product=Elig!$C618,Elig_MatchAll_Ct&lt;22,$BC618=(Elig_MatchAll_Ct-1),AZ618=0),AC618,0)</f>
        <v>0</v>
      </c>
      <c r="CI618" s="271">
        <f>IF(AND(Input_Product=Elig!$C618,Elig_MatchAll_Ct&lt;22,$BC618=(Elig_MatchAll_Ct-1),BA618=0),AD618,0)</f>
        <v>0</v>
      </c>
      <c r="CJ618" s="272">
        <f>IF(AND(Input_Product=Elig!$C618,Elig_MatchAll_Ct&lt;22,$BC618=(Elig_MatchAll_Ct-1),BA618=0),AE618,0)</f>
        <v>0</v>
      </c>
    </row>
    <row r="619" spans="1:88" ht="10.15" customHeight="1" x14ac:dyDescent="0.25">
      <c r="A619" s="1476" t="s">
        <v>76</v>
      </c>
      <c r="B619" s="1476" t="s">
        <v>1538</v>
      </c>
      <c r="C619" s="1473" t="str">
        <f t="shared" si="204"/>
        <v>Second OO</v>
      </c>
      <c r="D619" s="1474" t="s">
        <v>1338</v>
      </c>
      <c r="E619" s="1474" t="s">
        <v>98</v>
      </c>
      <c r="F619" s="1474" t="s">
        <v>327</v>
      </c>
      <c r="G619" s="1537" t="s">
        <v>465</v>
      </c>
      <c r="H619" s="1474" t="s">
        <v>135</v>
      </c>
      <c r="I619" s="1472" t="s">
        <v>1141</v>
      </c>
      <c r="J619" s="1472" t="s">
        <v>1130</v>
      </c>
      <c r="K619" s="1474" t="s">
        <v>2464</v>
      </c>
      <c r="L619" s="1472" t="s">
        <v>428</v>
      </c>
      <c r="M619" s="1472" t="s">
        <v>1835</v>
      </c>
      <c r="N619" s="1474" t="s">
        <v>82</v>
      </c>
      <c r="O619" s="1472" t="s">
        <v>309</v>
      </c>
      <c r="P619" s="1472" t="s">
        <v>2433</v>
      </c>
      <c r="Q619" s="1472" t="s">
        <v>293</v>
      </c>
      <c r="R619" s="1472">
        <v>350000.01</v>
      </c>
      <c r="S619" s="276">
        <v>500000</v>
      </c>
      <c r="T619" s="1472">
        <v>0</v>
      </c>
      <c r="U619" s="1472">
        <f t="shared" ref="U619:U622" si="227">S619</f>
        <v>500000</v>
      </c>
      <c r="V619" s="1472">
        <v>0</v>
      </c>
      <c r="W619" s="1472">
        <v>50</v>
      </c>
      <c r="X619" s="1472">
        <v>0</v>
      </c>
      <c r="Y619" s="1472">
        <v>999</v>
      </c>
      <c r="Z619" s="1475">
        <v>720</v>
      </c>
      <c r="AA619" s="1475">
        <v>999</v>
      </c>
      <c r="AB619" s="1475">
        <v>0</v>
      </c>
      <c r="AC619" s="1475">
        <v>999999</v>
      </c>
      <c r="AD619" s="1472">
        <v>0</v>
      </c>
      <c r="AE619" s="1538">
        <v>85</v>
      </c>
      <c r="AF619" s="144">
        <v>0</v>
      </c>
      <c r="AG619" s="145">
        <v>1</v>
      </c>
      <c r="AH619" s="145">
        <v>1</v>
      </c>
      <c r="AI619" s="145">
        <v>0</v>
      </c>
      <c r="AJ619" s="145">
        <v>0</v>
      </c>
      <c r="AK619" s="145">
        <v>1</v>
      </c>
      <c r="AL619" s="145">
        <v>1</v>
      </c>
      <c r="AM619" s="145">
        <v>1</v>
      </c>
      <c r="AN619" s="145">
        <v>1</v>
      </c>
      <c r="AO619" s="145">
        <v>1</v>
      </c>
      <c r="AP619" s="145">
        <v>1</v>
      </c>
      <c r="AQ619" s="145">
        <v>0</v>
      </c>
      <c r="AR619" s="145">
        <v>1</v>
      </c>
      <c r="AS619" s="145">
        <v>1</v>
      </c>
      <c r="AT619" s="145">
        <v>1</v>
      </c>
      <c r="AU619" s="145">
        <f t="shared" si="219"/>
        <v>0</v>
      </c>
      <c r="AV619" s="145">
        <f t="shared" si="220"/>
        <v>1</v>
      </c>
      <c r="AW619" s="145">
        <f t="shared" si="221"/>
        <v>1</v>
      </c>
      <c r="AX619" s="145">
        <f t="shared" si="226"/>
        <v>1</v>
      </c>
      <c r="AY619" s="145">
        <f t="shared" si="222"/>
        <v>1</v>
      </c>
      <c r="AZ619" s="145">
        <f t="shared" si="223"/>
        <v>1</v>
      </c>
      <c r="BA619" s="146">
        <f t="shared" si="224"/>
        <v>1</v>
      </c>
      <c r="BB619" s="149">
        <f t="shared" si="214"/>
        <v>17</v>
      </c>
      <c r="BC619" s="150">
        <f t="shared" si="215"/>
        <v>16</v>
      </c>
      <c r="BD619" s="150">
        <f t="shared" si="216"/>
        <v>17</v>
      </c>
      <c r="BE619" s="211" t="str">
        <f t="shared" si="217"/>
        <v/>
      </c>
      <c r="BF619" s="194"/>
      <c r="BG619" s="194"/>
      <c r="BH619" s="190">
        <f>IF(AND(Input_Product=Elig!$C619,Elig_MatchAll_Ct&lt;22,$BC619=(Elig_MatchAll_Ct-1),AF619=0),C619,0)</f>
        <v>0</v>
      </c>
      <c r="BI619" s="190">
        <f>IF(AND(Input_Product=Elig!$C619,Elig_MatchAll_Ct&lt;22,$BC619=(Elig_MatchAll_Ct-1),AG619=0),D619,0)</f>
        <v>0</v>
      </c>
      <c r="BJ619" s="190">
        <f>IF(AND(Input_Product=Elig!$C619,Elig_MatchAll_Ct&lt;22,$BC619=(Elig_MatchAll_Ct-1),AH619=0),E619,0)</f>
        <v>0</v>
      </c>
      <c r="BK619" s="190">
        <f>IF(AND(Input_Product=Elig!$C619,Elig_MatchAll_Ct&lt;22,$BC619=(Elig_MatchAll_Ct-1),AI619=0),F619,0)</f>
        <v>0</v>
      </c>
      <c r="BL619" s="190">
        <f>IF(AND(Input_Product=Elig!$C619,Elig_MatchAll_Ct&lt;22,$BC619=(Elig_MatchAll_Ct-1),AJ619=0),G619,0)</f>
        <v>0</v>
      </c>
      <c r="BM619" s="190">
        <f>IF(AND(Input_Product=Elig!$C619,Elig_MatchAll_Ct&lt;22,$BC619=(Elig_MatchAll_Ct-1),AK619=0),H619,0)</f>
        <v>0</v>
      </c>
      <c r="BN619" s="190">
        <f>IF(AND(Input_Product=Elig!$C619,Elig_MatchAll_Ct&lt;22,$BC619=(Elig_MatchAll_Ct-1),AL619=0),I619,0)</f>
        <v>0</v>
      </c>
      <c r="BO619" s="190">
        <f>IF(AND(Input_Product=Elig!$C619,Elig_MatchAll_Ct&lt;22,$BC619=(Elig_MatchAll_Ct-1),AM619=0),J619,0)</f>
        <v>0</v>
      </c>
      <c r="BP619" s="190">
        <f>IF(AND(Input_Product=Elig!$C619,Elig_MatchAll_Ct&lt;22,$BC619=(Elig_MatchAll_Ct-1),AN619=0),K619,0)</f>
        <v>0</v>
      </c>
      <c r="BQ619" s="190">
        <f>IF(AND(Input_Product=Elig!$C619,Elig_MatchAll_Ct&lt;22,$BC619=(Elig_MatchAll_Ct-1),AP619=0),L619,0)</f>
        <v>0</v>
      </c>
      <c r="BR619" s="190">
        <f>IF(AND(Input_Product=Elig!$C619,Elig_MatchAll_Ct&lt;22,$BC619=(Elig_MatchAll_Ct-1),AO619=0),M619,0)</f>
        <v>0</v>
      </c>
      <c r="BS619" s="190">
        <f>IF(AND(Input_Product=Elig!$C619,Elig_MatchAll_Ct&lt;22,$BC619=(Elig_MatchAll_Ct-1),AQ619=0),N619,0)</f>
        <v>0</v>
      </c>
      <c r="BT619" s="190">
        <f>IF(AND(Input_Product=Elig!$C619,Elig_MatchAll_Ct&lt;22,$BC619=(Elig_MatchAll_Ct-1),AR619=0),O619,0)</f>
        <v>0</v>
      </c>
      <c r="BU619" s="190">
        <f>IF(AND(Input_Product=Elig!$C619,Elig_MatchAll_Ct&lt;22,$BC619=(Elig_MatchAll_Ct-1),AS619=0),P619,0)</f>
        <v>0</v>
      </c>
      <c r="BV619" s="191">
        <f>IF(AND(Input_Product=Elig!$C619,Elig_MatchAll_Ct&lt;22,$BC619=(Elig_MatchAll_Ct-1),AT619=0),Q619,0)</f>
        <v>0</v>
      </c>
      <c r="BW619" s="273">
        <f>IF(AND(Input_Product=Elig!$C619,Elig_MatchAll_Ct&lt;22,$BC619=(Elig_MatchAll_Ct-1),AU619=0),R619,0)</f>
        <v>0</v>
      </c>
      <c r="BX619" s="274">
        <f>IF(AND(Input_Product=Elig!$C619,Elig_MatchAll_Ct&lt;22,$BC619=(Elig_MatchAll_Ct-1),AU619=0),S619,0)</f>
        <v>0</v>
      </c>
      <c r="BY619" s="273">
        <f>IF(AND(Input_Product=Elig!$C619,Elig_MatchAll_Ct&lt;22,$BC619=(Elig_MatchAll_Ct-1),AV619=0),T619,0)</f>
        <v>0</v>
      </c>
      <c r="BZ619" s="274">
        <f>IF(AND(Input_Product=Elig!$C619,Elig_MatchAll_Ct&lt;22,$BC619=(Elig_MatchAll_Ct-1),AV619=0),U619,0)</f>
        <v>0</v>
      </c>
      <c r="CA619" s="273">
        <f>IF(AND(Input_Product=Elig!$C619,Elig_MatchAll_Ct&lt;22,$BC619=(Elig_MatchAll_Ct-1),AW619=0),V619,0)</f>
        <v>0</v>
      </c>
      <c r="CB619" s="274">
        <f>IF(AND(Input_Product=Elig!$C619,Elig_MatchAll_Ct&lt;22,$BC619=(Elig_MatchAll_Ct-1),AW619=0),W619,0)</f>
        <v>0</v>
      </c>
      <c r="CC619" s="273">
        <f>IF(AND(Input_Product=Elig!$C619,Elig_MatchAll_Ct&lt;22,$BC619=(Elig_MatchAll_Ct-1),AX619=0),X619,0)</f>
        <v>0</v>
      </c>
      <c r="CD619" s="274">
        <f>IF(AND(Input_Product=Elig!$C619,Elig_MatchAll_Ct&lt;22,$BC619=(Elig_MatchAll_Ct-1),AX619=0),Y619,0)</f>
        <v>0</v>
      </c>
      <c r="CE619" s="273">
        <f>IF(AND(Input_LTV&lt;=AE619,Input_Product=Elig!$C619,Elig_MatchAll_Ct&lt;22,$BC619=(Elig_MatchAll_Ct-1),AY619=0),Z619,0)</f>
        <v>0</v>
      </c>
      <c r="CF619" s="274">
        <f>IF(AND(Input_LTV&lt;=AE619,Input_Product=Elig!$C619,Elig_MatchAll_Ct&lt;22,$BC619=(Elig_MatchAll_Ct-1),AY619=0),AA619,0)</f>
        <v>0</v>
      </c>
      <c r="CG619" s="273">
        <f>IF(AND(Input_Product=Elig!$C619,Elig_MatchAll_Ct&lt;22,$BC619=(Elig_MatchAll_Ct-1),AZ619=0),AB619,0)</f>
        <v>0</v>
      </c>
      <c r="CH619" s="274">
        <f>IF(AND(Input_Product=Elig!$C619,Elig_MatchAll_Ct&lt;22,$BC619=(Elig_MatchAll_Ct-1),AZ619=0),AC619,0)</f>
        <v>0</v>
      </c>
      <c r="CI619" s="273">
        <f>IF(AND(Input_Product=Elig!$C619,Elig_MatchAll_Ct&lt;22,$BC619=(Elig_MatchAll_Ct-1),BA619=0),AD619,0)</f>
        <v>0</v>
      </c>
      <c r="CJ619" s="274">
        <f>IF(AND(Input_Product=Elig!$C619,Elig_MatchAll_Ct&lt;22,$BC619=(Elig_MatchAll_Ct-1),BA619=0),AE619,0)</f>
        <v>0</v>
      </c>
    </row>
    <row r="620" spans="1:88" ht="10.15" customHeight="1" x14ac:dyDescent="0.25">
      <c r="A620" s="1476" t="s">
        <v>76</v>
      </c>
      <c r="B620" s="1476" t="s">
        <v>1539</v>
      </c>
      <c r="C620" s="1477" t="str">
        <f t="shared" si="204"/>
        <v>Second OO</v>
      </c>
      <c r="D620" s="1476" t="s">
        <v>1338</v>
      </c>
      <c r="E620" s="1476" t="s">
        <v>98</v>
      </c>
      <c r="F620" s="1476" t="s">
        <v>327</v>
      </c>
      <c r="G620" s="1544" t="s">
        <v>465</v>
      </c>
      <c r="H620" s="1478" t="s">
        <v>135</v>
      </c>
      <c r="I620" s="1476" t="s">
        <v>1141</v>
      </c>
      <c r="J620" s="1476" t="s">
        <v>1130</v>
      </c>
      <c r="K620" s="1478" t="s">
        <v>2464</v>
      </c>
      <c r="L620" s="1476" t="s">
        <v>428</v>
      </c>
      <c r="M620" s="1476" t="s">
        <v>1835</v>
      </c>
      <c r="N620" s="1478" t="s">
        <v>82</v>
      </c>
      <c r="O620" s="1476" t="s">
        <v>309</v>
      </c>
      <c r="P620" s="1476" t="s">
        <v>2433</v>
      </c>
      <c r="Q620" s="1476" t="s">
        <v>293</v>
      </c>
      <c r="R620" s="1476">
        <v>350000.01</v>
      </c>
      <c r="S620" s="261">
        <v>500000</v>
      </c>
      <c r="T620" s="1476">
        <v>0</v>
      </c>
      <c r="U620" s="1476">
        <f t="shared" si="227"/>
        <v>500000</v>
      </c>
      <c r="V620" s="1476">
        <v>0</v>
      </c>
      <c r="W620" s="1476">
        <v>50</v>
      </c>
      <c r="X620" s="1476">
        <v>0</v>
      </c>
      <c r="Y620" s="1476">
        <v>999</v>
      </c>
      <c r="Z620" s="1479">
        <v>700</v>
      </c>
      <c r="AA620" s="1479">
        <v>719</v>
      </c>
      <c r="AB620" s="1479">
        <v>0</v>
      </c>
      <c r="AC620" s="1479">
        <v>999999</v>
      </c>
      <c r="AD620" s="1476">
        <v>0</v>
      </c>
      <c r="AE620" s="1539">
        <v>80</v>
      </c>
      <c r="AF620" s="144">
        <v>0</v>
      </c>
      <c r="AG620" s="145">
        <v>1</v>
      </c>
      <c r="AH620" s="145">
        <v>1</v>
      </c>
      <c r="AI620" s="145">
        <v>0</v>
      </c>
      <c r="AJ620" s="145">
        <v>0</v>
      </c>
      <c r="AK620" s="145">
        <v>1</v>
      </c>
      <c r="AL620" s="145">
        <v>1</v>
      </c>
      <c r="AM620" s="145">
        <v>1</v>
      </c>
      <c r="AN620" s="145">
        <v>1</v>
      </c>
      <c r="AO620" s="145">
        <v>1</v>
      </c>
      <c r="AP620" s="145">
        <v>1</v>
      </c>
      <c r="AQ620" s="145">
        <v>0</v>
      </c>
      <c r="AR620" s="145">
        <v>1</v>
      </c>
      <c r="AS620" s="145">
        <v>1</v>
      </c>
      <c r="AT620" s="145">
        <v>1</v>
      </c>
      <c r="AU620" s="145">
        <f t="shared" si="219"/>
        <v>0</v>
      </c>
      <c r="AV620" s="145">
        <f t="shared" si="220"/>
        <v>1</v>
      </c>
      <c r="AW620" s="145">
        <f t="shared" si="221"/>
        <v>1</v>
      </c>
      <c r="AX620" s="145">
        <f t="shared" si="226"/>
        <v>1</v>
      </c>
      <c r="AY620" s="145">
        <f t="shared" si="222"/>
        <v>0</v>
      </c>
      <c r="AZ620" s="145">
        <f t="shared" si="223"/>
        <v>1</v>
      </c>
      <c r="BA620" s="146">
        <f t="shared" si="224"/>
        <v>1</v>
      </c>
      <c r="BB620" s="149">
        <f t="shared" si="214"/>
        <v>16</v>
      </c>
      <c r="BC620" s="150">
        <f t="shared" si="215"/>
        <v>15</v>
      </c>
      <c r="BD620" s="150">
        <f t="shared" si="216"/>
        <v>16</v>
      </c>
      <c r="BE620" s="211" t="str">
        <f t="shared" si="217"/>
        <v/>
      </c>
      <c r="BF620" s="205"/>
      <c r="BG620" s="205"/>
      <c r="BH620" s="173">
        <f>IF(AND(Input_Product=Elig!$C620,Elig_MatchAll_Ct&lt;22,$BC620=(Elig_MatchAll_Ct-1),AF620=0),C620,0)</f>
        <v>0</v>
      </c>
      <c r="BI620" s="173">
        <f>IF(AND(Input_Product=Elig!$C620,Elig_MatchAll_Ct&lt;22,$BC620=(Elig_MatchAll_Ct-1),AG620=0),D620,0)</f>
        <v>0</v>
      </c>
      <c r="BJ620" s="173">
        <f>IF(AND(Input_Product=Elig!$C620,Elig_MatchAll_Ct&lt;22,$BC620=(Elig_MatchAll_Ct-1),AH620=0),E620,0)</f>
        <v>0</v>
      </c>
      <c r="BK620" s="173">
        <f>IF(AND(Input_Product=Elig!$C620,Elig_MatchAll_Ct&lt;22,$BC620=(Elig_MatchAll_Ct-1),AI620=0),F620,0)</f>
        <v>0</v>
      </c>
      <c r="BL620" s="173">
        <f>IF(AND(Input_Product=Elig!$C620,Elig_MatchAll_Ct&lt;22,$BC620=(Elig_MatchAll_Ct-1),AJ620=0),G620,0)</f>
        <v>0</v>
      </c>
      <c r="BM620" s="173">
        <f>IF(AND(Input_Product=Elig!$C620,Elig_MatchAll_Ct&lt;22,$BC620=(Elig_MatchAll_Ct-1),AK620=0),H620,0)</f>
        <v>0</v>
      </c>
      <c r="BN620" s="173">
        <f>IF(AND(Input_Product=Elig!$C620,Elig_MatchAll_Ct&lt;22,$BC620=(Elig_MatchAll_Ct-1),AL620=0),I620,0)</f>
        <v>0</v>
      </c>
      <c r="BO620" s="173">
        <f>IF(AND(Input_Product=Elig!$C620,Elig_MatchAll_Ct&lt;22,$BC620=(Elig_MatchAll_Ct-1),AM620=0),J620,0)</f>
        <v>0</v>
      </c>
      <c r="BP620" s="173">
        <f>IF(AND(Input_Product=Elig!$C620,Elig_MatchAll_Ct&lt;22,$BC620=(Elig_MatchAll_Ct-1),AN620=0),K620,0)</f>
        <v>0</v>
      </c>
      <c r="BQ620" s="173">
        <f>IF(AND(Input_Product=Elig!$C620,Elig_MatchAll_Ct&lt;22,$BC620=(Elig_MatchAll_Ct-1),AP620=0),L620,0)</f>
        <v>0</v>
      </c>
      <c r="BR620" s="173">
        <f>IF(AND(Input_Product=Elig!$C620,Elig_MatchAll_Ct&lt;22,$BC620=(Elig_MatchAll_Ct-1),AO620=0),M620,0)</f>
        <v>0</v>
      </c>
      <c r="BS620" s="173">
        <f>IF(AND(Input_Product=Elig!$C620,Elig_MatchAll_Ct&lt;22,$BC620=(Elig_MatchAll_Ct-1),AQ620=0),N620,0)</f>
        <v>0</v>
      </c>
      <c r="BT620" s="173">
        <f>IF(AND(Input_Product=Elig!$C620,Elig_MatchAll_Ct&lt;22,$BC620=(Elig_MatchAll_Ct-1),AR620=0),O620,0)</f>
        <v>0</v>
      </c>
      <c r="BU620" s="173">
        <f>IF(AND(Input_Product=Elig!$C620,Elig_MatchAll_Ct&lt;22,$BC620=(Elig_MatchAll_Ct-1),AS620=0),P620,0)</f>
        <v>0</v>
      </c>
      <c r="BV620" s="174">
        <f>IF(AND(Input_Product=Elig!$C620,Elig_MatchAll_Ct&lt;22,$BC620=(Elig_MatchAll_Ct-1),AT620=0),Q620,0)</f>
        <v>0</v>
      </c>
      <c r="BW620" s="175">
        <f>IF(AND(Input_Product=Elig!$C620,Elig_MatchAll_Ct&lt;22,$BC620=(Elig_MatchAll_Ct-1),AU620=0),R620,0)</f>
        <v>0</v>
      </c>
      <c r="BX620" s="176">
        <f>IF(AND(Input_Product=Elig!$C620,Elig_MatchAll_Ct&lt;22,$BC620=(Elig_MatchAll_Ct-1),AU620=0),S620,0)</f>
        <v>0</v>
      </c>
      <c r="BY620" s="175">
        <f>IF(AND(Input_Product=Elig!$C620,Elig_MatchAll_Ct&lt;22,$BC620=(Elig_MatchAll_Ct-1),AV620=0),T620,0)</f>
        <v>0</v>
      </c>
      <c r="BZ620" s="176">
        <f>IF(AND(Input_Product=Elig!$C620,Elig_MatchAll_Ct&lt;22,$BC620=(Elig_MatchAll_Ct-1),AV620=0),U620,0)</f>
        <v>0</v>
      </c>
      <c r="CA620" s="175">
        <f>IF(AND(Input_Product=Elig!$C620,Elig_MatchAll_Ct&lt;22,$BC620=(Elig_MatchAll_Ct-1),AW620=0),V620,0)</f>
        <v>0</v>
      </c>
      <c r="CB620" s="176">
        <f>IF(AND(Input_Product=Elig!$C620,Elig_MatchAll_Ct&lt;22,$BC620=(Elig_MatchAll_Ct-1),AW620=0),W620,0)</f>
        <v>0</v>
      </c>
      <c r="CC620" s="175">
        <f>IF(AND(Input_Product=Elig!$C620,Elig_MatchAll_Ct&lt;22,$BC620=(Elig_MatchAll_Ct-1),AX620=0),X620,0)</f>
        <v>0</v>
      </c>
      <c r="CD620" s="176">
        <f>IF(AND(Input_Product=Elig!$C620,Elig_MatchAll_Ct&lt;22,$BC620=(Elig_MatchAll_Ct-1),AX620=0),Y620,0)</f>
        <v>0</v>
      </c>
      <c r="CE620" s="175">
        <f>IF(AND(Input_LTV&lt;=AE620,Input_Product=Elig!$C620,Elig_MatchAll_Ct&lt;22,$BC620=(Elig_MatchAll_Ct-1),AY620=0),Z620,0)</f>
        <v>0</v>
      </c>
      <c r="CF620" s="176">
        <f>IF(AND(Input_LTV&lt;=AE620,Input_Product=Elig!$C620,Elig_MatchAll_Ct&lt;22,$BC620=(Elig_MatchAll_Ct-1),AY620=0),AA620,0)</f>
        <v>0</v>
      </c>
      <c r="CG620" s="175">
        <f>IF(AND(Input_Product=Elig!$C620,Elig_MatchAll_Ct&lt;22,$BC620=(Elig_MatchAll_Ct-1),AZ620=0),AB620,0)</f>
        <v>0</v>
      </c>
      <c r="CH620" s="176">
        <f>IF(AND(Input_Product=Elig!$C620,Elig_MatchAll_Ct&lt;22,$BC620=(Elig_MatchAll_Ct-1),AZ620=0),AC620,0)</f>
        <v>0</v>
      </c>
      <c r="CI620" s="175">
        <f>IF(AND(Input_Product=Elig!$C620,Elig_MatchAll_Ct&lt;22,$BC620=(Elig_MatchAll_Ct-1),BA620=0),AD620,0)</f>
        <v>0</v>
      </c>
      <c r="CJ620" s="176">
        <f>IF(AND(Input_Product=Elig!$C620,Elig_MatchAll_Ct&lt;22,$BC620=(Elig_MatchAll_Ct-1),BA620=0),AE620,0)</f>
        <v>0</v>
      </c>
    </row>
    <row r="621" spans="1:88" ht="10.15" customHeight="1" x14ac:dyDescent="0.25">
      <c r="A621" s="1476" t="s">
        <v>76</v>
      </c>
      <c r="B621" s="1476" t="s">
        <v>1540</v>
      </c>
      <c r="C621" s="1477" t="str">
        <f t="shared" si="204"/>
        <v>Second OO</v>
      </c>
      <c r="D621" s="1476" t="s">
        <v>1338</v>
      </c>
      <c r="E621" s="1476" t="s">
        <v>98</v>
      </c>
      <c r="F621" s="1476" t="s">
        <v>327</v>
      </c>
      <c r="G621" s="1544" t="s">
        <v>465</v>
      </c>
      <c r="H621" s="1478" t="s">
        <v>135</v>
      </c>
      <c r="I621" s="1476" t="s">
        <v>1141</v>
      </c>
      <c r="J621" s="1476" t="s">
        <v>1130</v>
      </c>
      <c r="K621" s="1478" t="s">
        <v>2464</v>
      </c>
      <c r="L621" s="1476" t="s">
        <v>428</v>
      </c>
      <c r="M621" s="1476" t="s">
        <v>1835</v>
      </c>
      <c r="N621" s="1478" t="s">
        <v>82</v>
      </c>
      <c r="O621" s="1476" t="s">
        <v>309</v>
      </c>
      <c r="P621" s="1476" t="s">
        <v>2433</v>
      </c>
      <c r="Q621" s="1476" t="s">
        <v>293</v>
      </c>
      <c r="R621" s="1476">
        <v>350000.01</v>
      </c>
      <c r="S621" s="261">
        <v>500000</v>
      </c>
      <c r="T621" s="1476">
        <v>0</v>
      </c>
      <c r="U621" s="1476">
        <f t="shared" si="227"/>
        <v>500000</v>
      </c>
      <c r="V621" s="1476">
        <v>0</v>
      </c>
      <c r="W621" s="1476">
        <v>50</v>
      </c>
      <c r="X621" s="1476">
        <v>0</v>
      </c>
      <c r="Y621" s="1476">
        <v>999</v>
      </c>
      <c r="Z621" s="1479">
        <v>680</v>
      </c>
      <c r="AA621" s="1479">
        <v>699</v>
      </c>
      <c r="AB621" s="1479">
        <v>0</v>
      </c>
      <c r="AC621" s="1479">
        <v>999999</v>
      </c>
      <c r="AD621" s="1476">
        <v>0</v>
      </c>
      <c r="AE621" s="1539">
        <v>75</v>
      </c>
      <c r="AF621" s="144">
        <v>0</v>
      </c>
      <c r="AG621" s="145">
        <v>1</v>
      </c>
      <c r="AH621" s="145">
        <v>1</v>
      </c>
      <c r="AI621" s="145">
        <v>0</v>
      </c>
      <c r="AJ621" s="145">
        <v>0</v>
      </c>
      <c r="AK621" s="145">
        <v>1</v>
      </c>
      <c r="AL621" s="145">
        <v>1</v>
      </c>
      <c r="AM621" s="145">
        <v>1</v>
      </c>
      <c r="AN621" s="145">
        <v>1</v>
      </c>
      <c r="AO621" s="145">
        <v>1</v>
      </c>
      <c r="AP621" s="145">
        <v>1</v>
      </c>
      <c r="AQ621" s="145">
        <v>0</v>
      </c>
      <c r="AR621" s="145">
        <v>1</v>
      </c>
      <c r="AS621" s="145">
        <v>1</v>
      </c>
      <c r="AT621" s="145">
        <v>1</v>
      </c>
      <c r="AU621" s="145">
        <f t="shared" si="219"/>
        <v>0</v>
      </c>
      <c r="AV621" s="145">
        <f t="shared" si="220"/>
        <v>1</v>
      </c>
      <c r="AW621" s="145">
        <f t="shared" si="221"/>
        <v>1</v>
      </c>
      <c r="AX621" s="145">
        <f t="shared" si="226"/>
        <v>1</v>
      </c>
      <c r="AY621" s="145">
        <f t="shared" si="222"/>
        <v>0</v>
      </c>
      <c r="AZ621" s="145">
        <f t="shared" si="223"/>
        <v>1</v>
      </c>
      <c r="BA621" s="146">
        <f t="shared" si="224"/>
        <v>1</v>
      </c>
      <c r="BB621" s="149">
        <f t="shared" si="214"/>
        <v>16</v>
      </c>
      <c r="BC621" s="150">
        <f t="shared" si="215"/>
        <v>15</v>
      </c>
      <c r="BD621" s="150">
        <f t="shared" si="216"/>
        <v>16</v>
      </c>
      <c r="BE621" s="211" t="str">
        <f t="shared" si="217"/>
        <v/>
      </c>
      <c r="BF621" s="205"/>
      <c r="BG621" s="205"/>
      <c r="BH621" s="173">
        <f>IF(AND(Input_Product=Elig!$C621,Elig_MatchAll_Ct&lt;22,$BC621=(Elig_MatchAll_Ct-1),AF621=0),C621,0)</f>
        <v>0</v>
      </c>
      <c r="BI621" s="173">
        <f>IF(AND(Input_Product=Elig!$C621,Elig_MatchAll_Ct&lt;22,$BC621=(Elig_MatchAll_Ct-1),AG621=0),D621,0)</f>
        <v>0</v>
      </c>
      <c r="BJ621" s="173">
        <f>IF(AND(Input_Product=Elig!$C621,Elig_MatchAll_Ct&lt;22,$BC621=(Elig_MatchAll_Ct-1),AH621=0),E621,0)</f>
        <v>0</v>
      </c>
      <c r="BK621" s="173">
        <f>IF(AND(Input_Product=Elig!$C621,Elig_MatchAll_Ct&lt;22,$BC621=(Elig_MatchAll_Ct-1),AI621=0),F621,0)</f>
        <v>0</v>
      </c>
      <c r="BL621" s="173">
        <f>IF(AND(Input_Product=Elig!$C621,Elig_MatchAll_Ct&lt;22,$BC621=(Elig_MatchAll_Ct-1),AJ621=0),G621,0)</f>
        <v>0</v>
      </c>
      <c r="BM621" s="173">
        <f>IF(AND(Input_Product=Elig!$C621,Elig_MatchAll_Ct&lt;22,$BC621=(Elig_MatchAll_Ct-1),AK621=0),H621,0)</f>
        <v>0</v>
      </c>
      <c r="BN621" s="173">
        <f>IF(AND(Input_Product=Elig!$C621,Elig_MatchAll_Ct&lt;22,$BC621=(Elig_MatchAll_Ct-1),AL621=0),I621,0)</f>
        <v>0</v>
      </c>
      <c r="BO621" s="173">
        <f>IF(AND(Input_Product=Elig!$C621,Elig_MatchAll_Ct&lt;22,$BC621=(Elig_MatchAll_Ct-1),AM621=0),J621,0)</f>
        <v>0</v>
      </c>
      <c r="BP621" s="173">
        <f>IF(AND(Input_Product=Elig!$C621,Elig_MatchAll_Ct&lt;22,$BC621=(Elig_MatchAll_Ct-1),AN621=0),K621,0)</f>
        <v>0</v>
      </c>
      <c r="BQ621" s="173">
        <f>IF(AND(Input_Product=Elig!$C621,Elig_MatchAll_Ct&lt;22,$BC621=(Elig_MatchAll_Ct-1),AP621=0),L621,0)</f>
        <v>0</v>
      </c>
      <c r="BR621" s="173">
        <f>IF(AND(Input_Product=Elig!$C621,Elig_MatchAll_Ct&lt;22,$BC621=(Elig_MatchAll_Ct-1),AO621=0),M621,0)</f>
        <v>0</v>
      </c>
      <c r="BS621" s="173">
        <f>IF(AND(Input_Product=Elig!$C621,Elig_MatchAll_Ct&lt;22,$BC621=(Elig_MatchAll_Ct-1),AQ621=0),N621,0)</f>
        <v>0</v>
      </c>
      <c r="BT621" s="173">
        <f>IF(AND(Input_Product=Elig!$C621,Elig_MatchAll_Ct&lt;22,$BC621=(Elig_MatchAll_Ct-1),AR621=0),O621,0)</f>
        <v>0</v>
      </c>
      <c r="BU621" s="173">
        <f>IF(AND(Input_Product=Elig!$C621,Elig_MatchAll_Ct&lt;22,$BC621=(Elig_MatchAll_Ct-1),AS621=0),P621,0)</f>
        <v>0</v>
      </c>
      <c r="BV621" s="174">
        <f>IF(AND(Input_Product=Elig!$C621,Elig_MatchAll_Ct&lt;22,$BC621=(Elig_MatchAll_Ct-1),AT621=0),Q621,0)</f>
        <v>0</v>
      </c>
      <c r="BW621" s="175">
        <f>IF(AND(Input_Product=Elig!$C621,Elig_MatchAll_Ct&lt;22,$BC621=(Elig_MatchAll_Ct-1),AU621=0),R621,0)</f>
        <v>0</v>
      </c>
      <c r="BX621" s="176">
        <f>IF(AND(Input_Product=Elig!$C621,Elig_MatchAll_Ct&lt;22,$BC621=(Elig_MatchAll_Ct-1),AU621=0),S621,0)</f>
        <v>0</v>
      </c>
      <c r="BY621" s="175">
        <f>IF(AND(Input_Product=Elig!$C621,Elig_MatchAll_Ct&lt;22,$BC621=(Elig_MatchAll_Ct-1),AV621=0),T621,0)</f>
        <v>0</v>
      </c>
      <c r="BZ621" s="176">
        <f>IF(AND(Input_Product=Elig!$C621,Elig_MatchAll_Ct&lt;22,$BC621=(Elig_MatchAll_Ct-1),AV621=0),U621,0)</f>
        <v>0</v>
      </c>
      <c r="CA621" s="175">
        <f>IF(AND(Input_Product=Elig!$C621,Elig_MatchAll_Ct&lt;22,$BC621=(Elig_MatchAll_Ct-1),AW621=0),V621,0)</f>
        <v>0</v>
      </c>
      <c r="CB621" s="176">
        <f>IF(AND(Input_Product=Elig!$C621,Elig_MatchAll_Ct&lt;22,$BC621=(Elig_MatchAll_Ct-1),AW621=0),W621,0)</f>
        <v>0</v>
      </c>
      <c r="CC621" s="175">
        <f>IF(AND(Input_Product=Elig!$C621,Elig_MatchAll_Ct&lt;22,$BC621=(Elig_MatchAll_Ct-1),AX621=0),X621,0)</f>
        <v>0</v>
      </c>
      <c r="CD621" s="176">
        <f>IF(AND(Input_Product=Elig!$C621,Elig_MatchAll_Ct&lt;22,$BC621=(Elig_MatchAll_Ct-1),AX621=0),Y621,0)</f>
        <v>0</v>
      </c>
      <c r="CE621" s="175">
        <f>IF(AND(Input_LTV&lt;=AE621,Input_Product=Elig!$C621,Elig_MatchAll_Ct&lt;22,$BC621=(Elig_MatchAll_Ct-1),AY621=0),Z621,0)</f>
        <v>0</v>
      </c>
      <c r="CF621" s="176">
        <f>IF(AND(Input_LTV&lt;=AE621,Input_Product=Elig!$C621,Elig_MatchAll_Ct&lt;22,$BC621=(Elig_MatchAll_Ct-1),AY621=0),AA621,0)</f>
        <v>0</v>
      </c>
      <c r="CG621" s="175">
        <f>IF(AND(Input_Product=Elig!$C621,Elig_MatchAll_Ct&lt;22,$BC621=(Elig_MatchAll_Ct-1),AZ621=0),AB621,0)</f>
        <v>0</v>
      </c>
      <c r="CH621" s="176">
        <f>IF(AND(Input_Product=Elig!$C621,Elig_MatchAll_Ct&lt;22,$BC621=(Elig_MatchAll_Ct-1),AZ621=0),AC621,0)</f>
        <v>0</v>
      </c>
      <c r="CI621" s="175">
        <f>IF(AND(Input_Product=Elig!$C621,Elig_MatchAll_Ct&lt;22,$BC621=(Elig_MatchAll_Ct-1),BA621=0),AD621,0)</f>
        <v>0</v>
      </c>
      <c r="CJ621" s="176">
        <f>IF(AND(Input_Product=Elig!$C621,Elig_MatchAll_Ct&lt;22,$BC621=(Elig_MatchAll_Ct-1),BA621=0),AE621,0)</f>
        <v>0</v>
      </c>
    </row>
    <row r="622" spans="1:88" ht="10.15" customHeight="1" x14ac:dyDescent="0.25">
      <c r="A622" s="1476" t="s">
        <v>76</v>
      </c>
      <c r="B622" s="1476" t="s">
        <v>1541</v>
      </c>
      <c r="C622" s="1481" t="str">
        <f t="shared" si="204"/>
        <v>Second OO</v>
      </c>
      <c r="D622" s="1480" t="s">
        <v>1338</v>
      </c>
      <c r="E622" s="1480" t="s">
        <v>98</v>
      </c>
      <c r="F622" s="1480" t="s">
        <v>327</v>
      </c>
      <c r="G622" s="1545" t="s">
        <v>465</v>
      </c>
      <c r="H622" s="1482" t="s">
        <v>135</v>
      </c>
      <c r="I622" s="1480" t="s">
        <v>1141</v>
      </c>
      <c r="J622" s="1480" t="s">
        <v>1130</v>
      </c>
      <c r="K622" s="1482" t="s">
        <v>2464</v>
      </c>
      <c r="L622" s="1480" t="s">
        <v>428</v>
      </c>
      <c r="M622" s="1480" t="s">
        <v>1835</v>
      </c>
      <c r="N622" s="1482" t="s">
        <v>82</v>
      </c>
      <c r="O622" s="1480" t="s">
        <v>309</v>
      </c>
      <c r="P622" s="1480" t="s">
        <v>2433</v>
      </c>
      <c r="Q622" s="1480" t="s">
        <v>293</v>
      </c>
      <c r="R622" s="1480">
        <v>350000.01</v>
      </c>
      <c r="S622" s="277">
        <v>500000</v>
      </c>
      <c r="T622" s="1480">
        <v>0</v>
      </c>
      <c r="U622" s="1480">
        <f t="shared" si="227"/>
        <v>500000</v>
      </c>
      <c r="V622" s="1480">
        <v>0</v>
      </c>
      <c r="W622" s="1480">
        <v>50</v>
      </c>
      <c r="X622" s="1480">
        <v>0</v>
      </c>
      <c r="Y622" s="1480">
        <v>999</v>
      </c>
      <c r="Z622" s="1483">
        <v>660</v>
      </c>
      <c r="AA622" s="1483">
        <v>679</v>
      </c>
      <c r="AB622" s="1483">
        <v>0</v>
      </c>
      <c r="AC622" s="1483">
        <v>999999</v>
      </c>
      <c r="AD622" s="1480">
        <v>0</v>
      </c>
      <c r="AE622" s="1220">
        <v>65</v>
      </c>
      <c r="AF622" s="144">
        <v>0</v>
      </c>
      <c r="AG622" s="145">
        <v>1</v>
      </c>
      <c r="AH622" s="145">
        <v>1</v>
      </c>
      <c r="AI622" s="145">
        <v>0</v>
      </c>
      <c r="AJ622" s="145">
        <v>0</v>
      </c>
      <c r="AK622" s="145">
        <v>1</v>
      </c>
      <c r="AL622" s="145">
        <v>1</v>
      </c>
      <c r="AM622" s="145">
        <v>1</v>
      </c>
      <c r="AN622" s="145">
        <v>1</v>
      </c>
      <c r="AO622" s="145">
        <v>1</v>
      </c>
      <c r="AP622" s="145">
        <v>1</v>
      </c>
      <c r="AQ622" s="145">
        <v>0</v>
      </c>
      <c r="AR622" s="145">
        <v>1</v>
      </c>
      <c r="AS622" s="145">
        <v>1</v>
      </c>
      <c r="AT622" s="145">
        <v>1</v>
      </c>
      <c r="AU622" s="145">
        <f t="shared" si="219"/>
        <v>0</v>
      </c>
      <c r="AV622" s="145">
        <f t="shared" si="220"/>
        <v>1</v>
      </c>
      <c r="AW622" s="145">
        <f t="shared" si="221"/>
        <v>1</v>
      </c>
      <c r="AX622" s="145">
        <f t="shared" si="226"/>
        <v>1</v>
      </c>
      <c r="AY622" s="145">
        <f t="shared" si="222"/>
        <v>0</v>
      </c>
      <c r="AZ622" s="145">
        <f t="shared" si="223"/>
        <v>1</v>
      </c>
      <c r="BA622" s="146">
        <f t="shared" si="224"/>
        <v>0</v>
      </c>
      <c r="BB622" s="149">
        <f t="shared" si="214"/>
        <v>15</v>
      </c>
      <c r="BC622" s="150">
        <f t="shared" si="215"/>
        <v>15</v>
      </c>
      <c r="BD622" s="150">
        <f t="shared" si="216"/>
        <v>15</v>
      </c>
      <c r="BE622" s="211" t="str">
        <f t="shared" si="217"/>
        <v/>
      </c>
      <c r="BF622" s="205"/>
      <c r="BG622" s="205"/>
      <c r="BH622" s="188">
        <f>IF(AND(Input_Product=Elig!$C622,Elig_MatchAll_Ct&lt;22,$BC622=(Elig_MatchAll_Ct-1),AF622=0),C622,0)</f>
        <v>0</v>
      </c>
      <c r="BI622" s="188">
        <f>IF(AND(Input_Product=Elig!$C622,Elig_MatchAll_Ct&lt;22,$BC622=(Elig_MatchAll_Ct-1),AG622=0),D622,0)</f>
        <v>0</v>
      </c>
      <c r="BJ622" s="188">
        <f>IF(AND(Input_Product=Elig!$C622,Elig_MatchAll_Ct&lt;22,$BC622=(Elig_MatchAll_Ct-1),AH622=0),E622,0)</f>
        <v>0</v>
      </c>
      <c r="BK622" s="188">
        <f>IF(AND(Input_Product=Elig!$C622,Elig_MatchAll_Ct&lt;22,$BC622=(Elig_MatchAll_Ct-1),AI622=0),F622,0)</f>
        <v>0</v>
      </c>
      <c r="BL622" s="188">
        <f>IF(AND(Input_Product=Elig!$C622,Elig_MatchAll_Ct&lt;22,$BC622=(Elig_MatchAll_Ct-1),AJ622=0),G622,0)</f>
        <v>0</v>
      </c>
      <c r="BM622" s="188">
        <f>IF(AND(Input_Product=Elig!$C622,Elig_MatchAll_Ct&lt;22,$BC622=(Elig_MatchAll_Ct-1),AK622=0),H622,0)</f>
        <v>0</v>
      </c>
      <c r="BN622" s="188">
        <f>IF(AND(Input_Product=Elig!$C622,Elig_MatchAll_Ct&lt;22,$BC622=(Elig_MatchAll_Ct-1),AL622=0),I622,0)</f>
        <v>0</v>
      </c>
      <c r="BO622" s="188">
        <f>IF(AND(Input_Product=Elig!$C622,Elig_MatchAll_Ct&lt;22,$BC622=(Elig_MatchAll_Ct-1),AM622=0),J622,0)</f>
        <v>0</v>
      </c>
      <c r="BP622" s="188">
        <f>IF(AND(Input_Product=Elig!$C622,Elig_MatchAll_Ct&lt;22,$BC622=(Elig_MatchAll_Ct-1),AN622=0),K622,0)</f>
        <v>0</v>
      </c>
      <c r="BQ622" s="188">
        <f>IF(AND(Input_Product=Elig!$C622,Elig_MatchAll_Ct&lt;22,$BC622=(Elig_MatchAll_Ct-1),AP622=0),L622,0)</f>
        <v>0</v>
      </c>
      <c r="BR622" s="188">
        <f>IF(AND(Input_Product=Elig!$C622,Elig_MatchAll_Ct&lt;22,$BC622=(Elig_MatchAll_Ct-1),AO622=0),M622,0)</f>
        <v>0</v>
      </c>
      <c r="BS622" s="188">
        <f>IF(AND(Input_Product=Elig!$C622,Elig_MatchAll_Ct&lt;22,$BC622=(Elig_MatchAll_Ct-1),AQ622=0),N622,0)</f>
        <v>0</v>
      </c>
      <c r="BT622" s="188">
        <f>IF(AND(Input_Product=Elig!$C622,Elig_MatchAll_Ct&lt;22,$BC622=(Elig_MatchAll_Ct-1),AR622=0),O622,0)</f>
        <v>0</v>
      </c>
      <c r="BU622" s="188">
        <f>IF(AND(Input_Product=Elig!$C622,Elig_MatchAll_Ct&lt;22,$BC622=(Elig_MatchAll_Ct-1),AS622=0),P622,0)</f>
        <v>0</v>
      </c>
      <c r="BV622" s="189">
        <f>IF(AND(Input_Product=Elig!$C622,Elig_MatchAll_Ct&lt;22,$BC622=(Elig_MatchAll_Ct-1),AT622=0),Q622,0)</f>
        <v>0</v>
      </c>
      <c r="BW622" s="271">
        <f>IF(AND(Input_Product=Elig!$C622,Elig_MatchAll_Ct&lt;22,$BC622=(Elig_MatchAll_Ct-1),AU622=0),R622,0)</f>
        <v>0</v>
      </c>
      <c r="BX622" s="272">
        <f>IF(AND(Input_Product=Elig!$C622,Elig_MatchAll_Ct&lt;22,$BC622=(Elig_MatchAll_Ct-1),AU622=0),S622,0)</f>
        <v>0</v>
      </c>
      <c r="BY622" s="271">
        <f>IF(AND(Input_Product=Elig!$C622,Elig_MatchAll_Ct&lt;22,$BC622=(Elig_MatchAll_Ct-1),AV622=0),T622,0)</f>
        <v>0</v>
      </c>
      <c r="BZ622" s="272">
        <f>IF(AND(Input_Product=Elig!$C622,Elig_MatchAll_Ct&lt;22,$BC622=(Elig_MatchAll_Ct-1),AV622=0),U622,0)</f>
        <v>0</v>
      </c>
      <c r="CA622" s="271">
        <f>IF(AND(Input_Product=Elig!$C622,Elig_MatchAll_Ct&lt;22,$BC622=(Elig_MatchAll_Ct-1),AW622=0),V622,0)</f>
        <v>0</v>
      </c>
      <c r="CB622" s="272">
        <f>IF(AND(Input_Product=Elig!$C622,Elig_MatchAll_Ct&lt;22,$BC622=(Elig_MatchAll_Ct-1),AW622=0),W622,0)</f>
        <v>0</v>
      </c>
      <c r="CC622" s="271">
        <f>IF(AND(Input_Product=Elig!$C622,Elig_MatchAll_Ct&lt;22,$BC622=(Elig_MatchAll_Ct-1),AX622=0),X622,0)</f>
        <v>0</v>
      </c>
      <c r="CD622" s="272">
        <f>IF(AND(Input_Product=Elig!$C622,Elig_MatchAll_Ct&lt;22,$BC622=(Elig_MatchAll_Ct-1),AX622=0),Y622,0)</f>
        <v>0</v>
      </c>
      <c r="CE622" s="271">
        <f>IF(AND(Input_LTV&lt;=AE622,Input_Product=Elig!$C622,Elig_MatchAll_Ct&lt;22,$BC622=(Elig_MatchAll_Ct-1),AY622=0),Z622,0)</f>
        <v>0</v>
      </c>
      <c r="CF622" s="272">
        <f>IF(AND(Input_LTV&lt;=AE622,Input_Product=Elig!$C622,Elig_MatchAll_Ct&lt;22,$BC622=(Elig_MatchAll_Ct-1),AY622=0),AA622,0)</f>
        <v>0</v>
      </c>
      <c r="CG622" s="271">
        <f>IF(AND(Input_Product=Elig!$C622,Elig_MatchAll_Ct&lt;22,$BC622=(Elig_MatchAll_Ct-1),AZ622=0),AB622,0)</f>
        <v>0</v>
      </c>
      <c r="CH622" s="272">
        <f>IF(AND(Input_Product=Elig!$C622,Elig_MatchAll_Ct&lt;22,$BC622=(Elig_MatchAll_Ct-1),AZ622=0),AC622,0)</f>
        <v>0</v>
      </c>
      <c r="CI622" s="271">
        <f>IF(AND(Input_Product=Elig!$C622,Elig_MatchAll_Ct&lt;22,$BC622=(Elig_MatchAll_Ct-1),BA622=0),AD622,0)</f>
        <v>0</v>
      </c>
      <c r="CJ622" s="272">
        <f>IF(AND(Input_Product=Elig!$C622,Elig_MatchAll_Ct&lt;22,$BC622=(Elig_MatchAll_Ct-1),BA622=0),AE622,0)</f>
        <v>0</v>
      </c>
    </row>
    <row r="623" spans="1:88" ht="10.15" customHeight="1" x14ac:dyDescent="0.25">
      <c r="A623" s="1476" t="s">
        <v>76</v>
      </c>
      <c r="B623" s="1476" t="s">
        <v>1542</v>
      </c>
      <c r="C623" s="1473" t="str">
        <f t="shared" si="204"/>
        <v>Second OO</v>
      </c>
      <c r="D623" s="1474" t="s">
        <v>1338</v>
      </c>
      <c r="E623" s="1474" t="s">
        <v>98</v>
      </c>
      <c r="F623" s="1474" t="s">
        <v>327</v>
      </c>
      <c r="G623" s="1537" t="s">
        <v>469</v>
      </c>
      <c r="H623" s="1474" t="s">
        <v>135</v>
      </c>
      <c r="I623" s="1472" t="s">
        <v>1141</v>
      </c>
      <c r="J623" s="1472" t="s">
        <v>1130</v>
      </c>
      <c r="K623" s="1474" t="s">
        <v>2464</v>
      </c>
      <c r="L623" s="1472" t="s">
        <v>428</v>
      </c>
      <c r="M623" s="1472" t="s">
        <v>1835</v>
      </c>
      <c r="N623" s="1474" t="s">
        <v>82</v>
      </c>
      <c r="O623" s="1472" t="s">
        <v>309</v>
      </c>
      <c r="P623" s="1472" t="s">
        <v>2433</v>
      </c>
      <c r="Q623" s="1472" t="s">
        <v>293</v>
      </c>
      <c r="R623" s="1472">
        <v>350000.01</v>
      </c>
      <c r="S623" s="276">
        <v>500000</v>
      </c>
      <c r="T623" s="1472">
        <v>0</v>
      </c>
      <c r="U623" s="1472">
        <f t="shared" si="225"/>
        <v>500000</v>
      </c>
      <c r="V623" s="1472">
        <v>0</v>
      </c>
      <c r="W623" s="1472">
        <v>50</v>
      </c>
      <c r="X623" s="1472">
        <v>0</v>
      </c>
      <c r="Y623" s="1472">
        <v>999</v>
      </c>
      <c r="Z623" s="1475">
        <v>720</v>
      </c>
      <c r="AA623" s="1475">
        <v>999</v>
      </c>
      <c r="AB623" s="1475">
        <v>0</v>
      </c>
      <c r="AC623" s="1475">
        <v>999999</v>
      </c>
      <c r="AD623" s="1472">
        <v>0</v>
      </c>
      <c r="AE623" s="1218">
        <v>80</v>
      </c>
      <c r="AF623" s="144">
        <v>0</v>
      </c>
      <c r="AG623" s="145">
        <v>1</v>
      </c>
      <c r="AH623" s="145">
        <v>1</v>
      </c>
      <c r="AI623" s="145">
        <v>0</v>
      </c>
      <c r="AJ623" s="145">
        <v>0</v>
      </c>
      <c r="AK623" s="145">
        <v>1</v>
      </c>
      <c r="AL623" s="145">
        <v>1</v>
      </c>
      <c r="AM623" s="145">
        <v>1</v>
      </c>
      <c r="AN623" s="145">
        <v>1</v>
      </c>
      <c r="AO623" s="145">
        <v>1</v>
      </c>
      <c r="AP623" s="145">
        <v>1</v>
      </c>
      <c r="AQ623" s="145">
        <v>0</v>
      </c>
      <c r="AR623" s="145">
        <v>1</v>
      </c>
      <c r="AS623" s="145">
        <v>1</v>
      </c>
      <c r="AT623" s="145">
        <v>1</v>
      </c>
      <c r="AU623" s="145">
        <f t="shared" si="219"/>
        <v>0</v>
      </c>
      <c r="AV623" s="145">
        <f t="shared" si="220"/>
        <v>1</v>
      </c>
      <c r="AW623" s="145">
        <f t="shared" si="221"/>
        <v>1</v>
      </c>
      <c r="AX623" s="145">
        <f t="shared" si="226"/>
        <v>1</v>
      </c>
      <c r="AY623" s="145">
        <f t="shared" si="222"/>
        <v>1</v>
      </c>
      <c r="AZ623" s="145">
        <f t="shared" si="223"/>
        <v>1</v>
      </c>
      <c r="BA623" s="146">
        <f t="shared" si="224"/>
        <v>1</v>
      </c>
      <c r="BB623" s="149">
        <f t="shared" si="214"/>
        <v>17</v>
      </c>
      <c r="BC623" s="150">
        <f t="shared" si="215"/>
        <v>16</v>
      </c>
      <c r="BD623" s="150">
        <f t="shared" si="216"/>
        <v>17</v>
      </c>
      <c r="BE623" s="211" t="str">
        <f t="shared" si="217"/>
        <v/>
      </c>
      <c r="BF623" s="194"/>
      <c r="BG623" s="194"/>
      <c r="BH623" s="190">
        <f>IF(AND(Input_Product=Elig!$C623,Elig_MatchAll_Ct&lt;22,$BC623=(Elig_MatchAll_Ct-1),AF623=0),C623,0)</f>
        <v>0</v>
      </c>
      <c r="BI623" s="190">
        <f>IF(AND(Input_Product=Elig!$C623,Elig_MatchAll_Ct&lt;22,$BC623=(Elig_MatchAll_Ct-1),AG623=0),D623,0)</f>
        <v>0</v>
      </c>
      <c r="BJ623" s="190">
        <f>IF(AND(Input_Product=Elig!$C623,Elig_MatchAll_Ct&lt;22,$BC623=(Elig_MatchAll_Ct-1),AH623=0),E623,0)</f>
        <v>0</v>
      </c>
      <c r="BK623" s="190">
        <f>IF(AND(Input_Product=Elig!$C623,Elig_MatchAll_Ct&lt;22,$BC623=(Elig_MatchAll_Ct-1),AI623=0),F623,0)</f>
        <v>0</v>
      </c>
      <c r="BL623" s="190">
        <f>IF(AND(Input_Product=Elig!$C623,Elig_MatchAll_Ct&lt;22,$BC623=(Elig_MatchAll_Ct-1),AJ623=0),G623,0)</f>
        <v>0</v>
      </c>
      <c r="BM623" s="190">
        <f>IF(AND(Input_Product=Elig!$C623,Elig_MatchAll_Ct&lt;22,$BC623=(Elig_MatchAll_Ct-1),AK623=0),H623,0)</f>
        <v>0</v>
      </c>
      <c r="BN623" s="190">
        <f>IF(AND(Input_Product=Elig!$C623,Elig_MatchAll_Ct&lt;22,$BC623=(Elig_MatchAll_Ct-1),AL623=0),I623,0)</f>
        <v>0</v>
      </c>
      <c r="BO623" s="190">
        <f>IF(AND(Input_Product=Elig!$C623,Elig_MatchAll_Ct&lt;22,$BC623=(Elig_MatchAll_Ct-1),AM623=0),J623,0)</f>
        <v>0</v>
      </c>
      <c r="BP623" s="190">
        <f>IF(AND(Input_Product=Elig!$C623,Elig_MatchAll_Ct&lt;22,$BC623=(Elig_MatchAll_Ct-1),AN623=0),K623,0)</f>
        <v>0</v>
      </c>
      <c r="BQ623" s="190">
        <f>IF(AND(Input_Product=Elig!$C623,Elig_MatchAll_Ct&lt;22,$BC623=(Elig_MatchAll_Ct-1),AP623=0),L623,0)</f>
        <v>0</v>
      </c>
      <c r="BR623" s="190">
        <f>IF(AND(Input_Product=Elig!$C623,Elig_MatchAll_Ct&lt;22,$BC623=(Elig_MatchAll_Ct-1),AO623=0),M623,0)</f>
        <v>0</v>
      </c>
      <c r="BS623" s="190">
        <f>IF(AND(Input_Product=Elig!$C623,Elig_MatchAll_Ct&lt;22,$BC623=(Elig_MatchAll_Ct-1),AQ623=0),N623,0)</f>
        <v>0</v>
      </c>
      <c r="BT623" s="190">
        <f>IF(AND(Input_Product=Elig!$C623,Elig_MatchAll_Ct&lt;22,$BC623=(Elig_MatchAll_Ct-1),AR623=0),O623,0)</f>
        <v>0</v>
      </c>
      <c r="BU623" s="190">
        <f>IF(AND(Input_Product=Elig!$C623,Elig_MatchAll_Ct&lt;22,$BC623=(Elig_MatchAll_Ct-1),AS623=0),P623,0)</f>
        <v>0</v>
      </c>
      <c r="BV623" s="191">
        <f>IF(AND(Input_Product=Elig!$C623,Elig_MatchAll_Ct&lt;22,$BC623=(Elig_MatchAll_Ct-1),AT623=0),Q623,0)</f>
        <v>0</v>
      </c>
      <c r="BW623" s="273">
        <f>IF(AND(Input_Product=Elig!$C623,Elig_MatchAll_Ct&lt;22,$BC623=(Elig_MatchAll_Ct-1),AU623=0),R623,0)</f>
        <v>0</v>
      </c>
      <c r="BX623" s="274">
        <f>IF(AND(Input_Product=Elig!$C623,Elig_MatchAll_Ct&lt;22,$BC623=(Elig_MatchAll_Ct-1),AU623=0),S623,0)</f>
        <v>0</v>
      </c>
      <c r="BY623" s="273">
        <f>IF(AND(Input_Product=Elig!$C623,Elig_MatchAll_Ct&lt;22,$BC623=(Elig_MatchAll_Ct-1),AV623=0),T623,0)</f>
        <v>0</v>
      </c>
      <c r="BZ623" s="274">
        <f>IF(AND(Input_Product=Elig!$C623,Elig_MatchAll_Ct&lt;22,$BC623=(Elig_MatchAll_Ct-1),AV623=0),U623,0)</f>
        <v>0</v>
      </c>
      <c r="CA623" s="273">
        <f>IF(AND(Input_Product=Elig!$C623,Elig_MatchAll_Ct&lt;22,$BC623=(Elig_MatchAll_Ct-1),AW623=0),V623,0)</f>
        <v>0</v>
      </c>
      <c r="CB623" s="274">
        <f>IF(AND(Input_Product=Elig!$C623,Elig_MatchAll_Ct&lt;22,$BC623=(Elig_MatchAll_Ct-1),AW623=0),W623,0)</f>
        <v>0</v>
      </c>
      <c r="CC623" s="273">
        <f>IF(AND(Input_Product=Elig!$C623,Elig_MatchAll_Ct&lt;22,$BC623=(Elig_MatchAll_Ct-1),AX623=0),X623,0)</f>
        <v>0</v>
      </c>
      <c r="CD623" s="274">
        <f>IF(AND(Input_Product=Elig!$C623,Elig_MatchAll_Ct&lt;22,$BC623=(Elig_MatchAll_Ct-1),AX623=0),Y623,0)</f>
        <v>0</v>
      </c>
      <c r="CE623" s="273">
        <f>IF(AND(Input_LTV&lt;=AE623,Input_Product=Elig!$C623,Elig_MatchAll_Ct&lt;22,$BC623=(Elig_MatchAll_Ct-1),AY623=0),Z623,0)</f>
        <v>0</v>
      </c>
      <c r="CF623" s="274">
        <f>IF(AND(Input_LTV&lt;=AE623,Input_Product=Elig!$C623,Elig_MatchAll_Ct&lt;22,$BC623=(Elig_MatchAll_Ct-1),AY623=0),AA623,0)</f>
        <v>0</v>
      </c>
      <c r="CG623" s="273">
        <f>IF(AND(Input_Product=Elig!$C623,Elig_MatchAll_Ct&lt;22,$BC623=(Elig_MatchAll_Ct-1),AZ623=0),AB623,0)</f>
        <v>0</v>
      </c>
      <c r="CH623" s="274">
        <f>IF(AND(Input_Product=Elig!$C623,Elig_MatchAll_Ct&lt;22,$BC623=(Elig_MatchAll_Ct-1),AZ623=0),AC623,0)</f>
        <v>0</v>
      </c>
      <c r="CI623" s="273">
        <f>IF(AND(Input_Product=Elig!$C623,Elig_MatchAll_Ct&lt;22,$BC623=(Elig_MatchAll_Ct-1),BA623=0),AD623,0)</f>
        <v>0</v>
      </c>
      <c r="CJ623" s="274">
        <f>IF(AND(Input_Product=Elig!$C623,Elig_MatchAll_Ct&lt;22,$BC623=(Elig_MatchAll_Ct-1),BA623=0),AE623,0)</f>
        <v>0</v>
      </c>
    </row>
    <row r="624" spans="1:88" ht="10.15" customHeight="1" x14ac:dyDescent="0.25">
      <c r="A624" s="1476" t="s">
        <v>76</v>
      </c>
      <c r="B624" s="1476" t="s">
        <v>1543</v>
      </c>
      <c r="C624" s="1477" t="str">
        <f t="shared" si="204"/>
        <v>Second OO</v>
      </c>
      <c r="D624" s="1476" t="s">
        <v>1338</v>
      </c>
      <c r="E624" s="1476" t="s">
        <v>98</v>
      </c>
      <c r="F624" s="1476" t="s">
        <v>327</v>
      </c>
      <c r="G624" s="1544" t="s">
        <v>469</v>
      </c>
      <c r="H624" s="1478" t="s">
        <v>135</v>
      </c>
      <c r="I624" s="1476" t="s">
        <v>1141</v>
      </c>
      <c r="J624" s="1476" t="s">
        <v>1130</v>
      </c>
      <c r="K624" s="1478" t="s">
        <v>2464</v>
      </c>
      <c r="L624" s="1476" t="s">
        <v>428</v>
      </c>
      <c r="M624" s="1476" t="s">
        <v>1835</v>
      </c>
      <c r="N624" s="1478" t="s">
        <v>82</v>
      </c>
      <c r="O624" s="1476" t="s">
        <v>309</v>
      </c>
      <c r="P624" s="1476" t="s">
        <v>2433</v>
      </c>
      <c r="Q624" s="1476" t="s">
        <v>293</v>
      </c>
      <c r="R624" s="1476">
        <v>350000.01</v>
      </c>
      <c r="S624" s="261">
        <v>500000</v>
      </c>
      <c r="T624" s="1476">
        <v>0</v>
      </c>
      <c r="U624" s="1476">
        <f t="shared" si="225"/>
        <v>500000</v>
      </c>
      <c r="V624" s="1476">
        <v>0</v>
      </c>
      <c r="W624" s="1476">
        <v>50</v>
      </c>
      <c r="X624" s="1476">
        <v>0</v>
      </c>
      <c r="Y624" s="1476">
        <v>999</v>
      </c>
      <c r="Z624" s="1479">
        <v>700</v>
      </c>
      <c r="AA624" s="1479">
        <v>719</v>
      </c>
      <c r="AB624" s="1479">
        <v>0</v>
      </c>
      <c r="AC624" s="1479">
        <v>999999</v>
      </c>
      <c r="AD624" s="1476">
        <v>0</v>
      </c>
      <c r="AE624" s="1219">
        <v>75</v>
      </c>
      <c r="AF624" s="144">
        <v>0</v>
      </c>
      <c r="AG624" s="145">
        <v>1</v>
      </c>
      <c r="AH624" s="145">
        <v>1</v>
      </c>
      <c r="AI624" s="145">
        <v>0</v>
      </c>
      <c r="AJ624" s="145">
        <v>0</v>
      </c>
      <c r="AK624" s="145">
        <v>1</v>
      </c>
      <c r="AL624" s="145">
        <v>1</v>
      </c>
      <c r="AM624" s="145">
        <v>1</v>
      </c>
      <c r="AN624" s="145">
        <v>1</v>
      </c>
      <c r="AO624" s="145">
        <v>1</v>
      </c>
      <c r="AP624" s="145">
        <v>1</v>
      </c>
      <c r="AQ624" s="145">
        <v>0</v>
      </c>
      <c r="AR624" s="145">
        <v>1</v>
      </c>
      <c r="AS624" s="145">
        <v>1</v>
      </c>
      <c r="AT624" s="145">
        <v>1</v>
      </c>
      <c r="AU624" s="145">
        <f t="shared" si="219"/>
        <v>0</v>
      </c>
      <c r="AV624" s="145">
        <f t="shared" si="220"/>
        <v>1</v>
      </c>
      <c r="AW624" s="145">
        <f t="shared" si="221"/>
        <v>1</v>
      </c>
      <c r="AX624" s="145">
        <f t="shared" si="226"/>
        <v>1</v>
      </c>
      <c r="AY624" s="145">
        <f t="shared" si="222"/>
        <v>0</v>
      </c>
      <c r="AZ624" s="145">
        <f t="shared" si="223"/>
        <v>1</v>
      </c>
      <c r="BA624" s="146">
        <f t="shared" si="224"/>
        <v>1</v>
      </c>
      <c r="BB624" s="149">
        <f t="shared" si="214"/>
        <v>16</v>
      </c>
      <c r="BC624" s="150">
        <f t="shared" si="215"/>
        <v>15</v>
      </c>
      <c r="BD624" s="150">
        <f t="shared" si="216"/>
        <v>16</v>
      </c>
      <c r="BE624" s="211" t="str">
        <f t="shared" si="217"/>
        <v/>
      </c>
      <c r="BF624" s="205"/>
      <c r="BG624" s="205"/>
      <c r="BH624" s="173">
        <f>IF(AND(Input_Product=Elig!$C624,Elig_MatchAll_Ct&lt;22,$BC624=(Elig_MatchAll_Ct-1),AF624=0),C624,0)</f>
        <v>0</v>
      </c>
      <c r="BI624" s="173">
        <f>IF(AND(Input_Product=Elig!$C624,Elig_MatchAll_Ct&lt;22,$BC624=(Elig_MatchAll_Ct-1),AG624=0),D624,0)</f>
        <v>0</v>
      </c>
      <c r="BJ624" s="173">
        <f>IF(AND(Input_Product=Elig!$C624,Elig_MatchAll_Ct&lt;22,$BC624=(Elig_MatchAll_Ct-1),AH624=0),E624,0)</f>
        <v>0</v>
      </c>
      <c r="BK624" s="173">
        <f>IF(AND(Input_Product=Elig!$C624,Elig_MatchAll_Ct&lt;22,$BC624=(Elig_MatchAll_Ct-1),AI624=0),F624,0)</f>
        <v>0</v>
      </c>
      <c r="BL624" s="173">
        <f>IF(AND(Input_Product=Elig!$C624,Elig_MatchAll_Ct&lt;22,$BC624=(Elig_MatchAll_Ct-1),AJ624=0),G624,0)</f>
        <v>0</v>
      </c>
      <c r="BM624" s="173">
        <f>IF(AND(Input_Product=Elig!$C624,Elig_MatchAll_Ct&lt;22,$BC624=(Elig_MatchAll_Ct-1),AK624=0),H624,0)</f>
        <v>0</v>
      </c>
      <c r="BN624" s="173">
        <f>IF(AND(Input_Product=Elig!$C624,Elig_MatchAll_Ct&lt;22,$BC624=(Elig_MatchAll_Ct-1),AL624=0),I624,0)</f>
        <v>0</v>
      </c>
      <c r="BO624" s="173">
        <f>IF(AND(Input_Product=Elig!$C624,Elig_MatchAll_Ct&lt;22,$BC624=(Elig_MatchAll_Ct-1),AM624=0),J624,0)</f>
        <v>0</v>
      </c>
      <c r="BP624" s="173">
        <f>IF(AND(Input_Product=Elig!$C624,Elig_MatchAll_Ct&lt;22,$BC624=(Elig_MatchAll_Ct-1),AN624=0),K624,0)</f>
        <v>0</v>
      </c>
      <c r="BQ624" s="173">
        <f>IF(AND(Input_Product=Elig!$C624,Elig_MatchAll_Ct&lt;22,$BC624=(Elig_MatchAll_Ct-1),AP624=0),L624,0)</f>
        <v>0</v>
      </c>
      <c r="BR624" s="173">
        <f>IF(AND(Input_Product=Elig!$C624,Elig_MatchAll_Ct&lt;22,$BC624=(Elig_MatchAll_Ct-1),AO624=0),M624,0)</f>
        <v>0</v>
      </c>
      <c r="BS624" s="173">
        <f>IF(AND(Input_Product=Elig!$C624,Elig_MatchAll_Ct&lt;22,$BC624=(Elig_MatchAll_Ct-1),AQ624=0),N624,0)</f>
        <v>0</v>
      </c>
      <c r="BT624" s="173">
        <f>IF(AND(Input_Product=Elig!$C624,Elig_MatchAll_Ct&lt;22,$BC624=(Elig_MatchAll_Ct-1),AR624=0),O624,0)</f>
        <v>0</v>
      </c>
      <c r="BU624" s="173">
        <f>IF(AND(Input_Product=Elig!$C624,Elig_MatchAll_Ct&lt;22,$BC624=(Elig_MatchAll_Ct-1),AS624=0),P624,0)</f>
        <v>0</v>
      </c>
      <c r="BV624" s="174">
        <f>IF(AND(Input_Product=Elig!$C624,Elig_MatchAll_Ct&lt;22,$BC624=(Elig_MatchAll_Ct-1),AT624=0),Q624,0)</f>
        <v>0</v>
      </c>
      <c r="BW624" s="175">
        <f>IF(AND(Input_Product=Elig!$C624,Elig_MatchAll_Ct&lt;22,$BC624=(Elig_MatchAll_Ct-1),AU624=0),R624,0)</f>
        <v>0</v>
      </c>
      <c r="BX624" s="176">
        <f>IF(AND(Input_Product=Elig!$C624,Elig_MatchAll_Ct&lt;22,$BC624=(Elig_MatchAll_Ct-1),AU624=0),S624,0)</f>
        <v>0</v>
      </c>
      <c r="BY624" s="175">
        <f>IF(AND(Input_Product=Elig!$C624,Elig_MatchAll_Ct&lt;22,$BC624=(Elig_MatchAll_Ct-1),AV624=0),T624,0)</f>
        <v>0</v>
      </c>
      <c r="BZ624" s="176">
        <f>IF(AND(Input_Product=Elig!$C624,Elig_MatchAll_Ct&lt;22,$BC624=(Elig_MatchAll_Ct-1),AV624=0),U624,0)</f>
        <v>0</v>
      </c>
      <c r="CA624" s="175">
        <f>IF(AND(Input_Product=Elig!$C624,Elig_MatchAll_Ct&lt;22,$BC624=(Elig_MatchAll_Ct-1),AW624=0),V624,0)</f>
        <v>0</v>
      </c>
      <c r="CB624" s="176">
        <f>IF(AND(Input_Product=Elig!$C624,Elig_MatchAll_Ct&lt;22,$BC624=(Elig_MatchAll_Ct-1),AW624=0),W624,0)</f>
        <v>0</v>
      </c>
      <c r="CC624" s="175">
        <f>IF(AND(Input_Product=Elig!$C624,Elig_MatchAll_Ct&lt;22,$BC624=(Elig_MatchAll_Ct-1),AX624=0),X624,0)</f>
        <v>0</v>
      </c>
      <c r="CD624" s="176">
        <f>IF(AND(Input_Product=Elig!$C624,Elig_MatchAll_Ct&lt;22,$BC624=(Elig_MatchAll_Ct-1),AX624=0),Y624,0)</f>
        <v>0</v>
      </c>
      <c r="CE624" s="175">
        <f>IF(AND(Input_LTV&lt;=AE624,Input_Product=Elig!$C624,Elig_MatchAll_Ct&lt;22,$BC624=(Elig_MatchAll_Ct-1),AY624=0),Z624,0)</f>
        <v>0</v>
      </c>
      <c r="CF624" s="176">
        <f>IF(AND(Input_LTV&lt;=AE624,Input_Product=Elig!$C624,Elig_MatchAll_Ct&lt;22,$BC624=(Elig_MatchAll_Ct-1),AY624=0),AA624,0)</f>
        <v>0</v>
      </c>
      <c r="CG624" s="175">
        <f>IF(AND(Input_Product=Elig!$C624,Elig_MatchAll_Ct&lt;22,$BC624=(Elig_MatchAll_Ct-1),AZ624=0),AB624,0)</f>
        <v>0</v>
      </c>
      <c r="CH624" s="176">
        <f>IF(AND(Input_Product=Elig!$C624,Elig_MatchAll_Ct&lt;22,$BC624=(Elig_MatchAll_Ct-1),AZ624=0),AC624,0)</f>
        <v>0</v>
      </c>
      <c r="CI624" s="175">
        <f>IF(AND(Input_Product=Elig!$C624,Elig_MatchAll_Ct&lt;22,$BC624=(Elig_MatchAll_Ct-1),BA624=0),AD624,0)</f>
        <v>0</v>
      </c>
      <c r="CJ624" s="176">
        <f>IF(AND(Input_Product=Elig!$C624,Elig_MatchAll_Ct&lt;22,$BC624=(Elig_MatchAll_Ct-1),BA624=0),AE624,0)</f>
        <v>0</v>
      </c>
    </row>
    <row r="625" spans="1:88" ht="10.15" customHeight="1" x14ac:dyDescent="0.25">
      <c r="A625" s="1476" t="s">
        <v>76</v>
      </c>
      <c r="B625" s="1476" t="s">
        <v>1544</v>
      </c>
      <c r="C625" s="1477" t="str">
        <f t="shared" si="204"/>
        <v>Second OO</v>
      </c>
      <c r="D625" s="1476" t="s">
        <v>1338</v>
      </c>
      <c r="E625" s="1476" t="s">
        <v>98</v>
      </c>
      <c r="F625" s="1476" t="s">
        <v>327</v>
      </c>
      <c r="G625" s="1544" t="s">
        <v>469</v>
      </c>
      <c r="H625" s="1478" t="s">
        <v>135</v>
      </c>
      <c r="I625" s="1476" t="s">
        <v>1141</v>
      </c>
      <c r="J625" s="1476" t="s">
        <v>1130</v>
      </c>
      <c r="K625" s="1478" t="s">
        <v>2464</v>
      </c>
      <c r="L625" s="1476" t="s">
        <v>428</v>
      </c>
      <c r="M625" s="1476" t="s">
        <v>1835</v>
      </c>
      <c r="N625" s="1478" t="s">
        <v>82</v>
      </c>
      <c r="O625" s="1476" t="s">
        <v>309</v>
      </c>
      <c r="P625" s="1476" t="s">
        <v>2433</v>
      </c>
      <c r="Q625" s="1476" t="s">
        <v>293</v>
      </c>
      <c r="R625" s="1476">
        <v>350000.01</v>
      </c>
      <c r="S625" s="261">
        <v>500000</v>
      </c>
      <c r="T625" s="1476">
        <v>0</v>
      </c>
      <c r="U625" s="1476">
        <f t="shared" si="225"/>
        <v>500000</v>
      </c>
      <c r="V625" s="1476">
        <v>0</v>
      </c>
      <c r="W625" s="1476">
        <v>50</v>
      </c>
      <c r="X625" s="1476">
        <v>0</v>
      </c>
      <c r="Y625" s="1476">
        <v>999</v>
      </c>
      <c r="Z625" s="1479">
        <v>680</v>
      </c>
      <c r="AA625" s="1479">
        <v>699</v>
      </c>
      <c r="AB625" s="1479">
        <v>0</v>
      </c>
      <c r="AC625" s="1479">
        <v>999999</v>
      </c>
      <c r="AD625" s="1476">
        <v>0</v>
      </c>
      <c r="AE625" s="1219">
        <v>70</v>
      </c>
      <c r="AF625" s="144">
        <v>0</v>
      </c>
      <c r="AG625" s="145">
        <v>1</v>
      </c>
      <c r="AH625" s="145">
        <v>1</v>
      </c>
      <c r="AI625" s="145">
        <v>0</v>
      </c>
      <c r="AJ625" s="145">
        <v>0</v>
      </c>
      <c r="AK625" s="145">
        <v>1</v>
      </c>
      <c r="AL625" s="145">
        <v>1</v>
      </c>
      <c r="AM625" s="145">
        <v>1</v>
      </c>
      <c r="AN625" s="145">
        <v>1</v>
      </c>
      <c r="AO625" s="145">
        <v>1</v>
      </c>
      <c r="AP625" s="145">
        <v>1</v>
      </c>
      <c r="AQ625" s="145">
        <v>0</v>
      </c>
      <c r="AR625" s="145">
        <v>1</v>
      </c>
      <c r="AS625" s="145">
        <v>1</v>
      </c>
      <c r="AT625" s="145">
        <v>1</v>
      </c>
      <c r="AU625" s="145">
        <f t="shared" si="219"/>
        <v>0</v>
      </c>
      <c r="AV625" s="145">
        <f t="shared" si="220"/>
        <v>1</v>
      </c>
      <c r="AW625" s="145">
        <f t="shared" si="221"/>
        <v>1</v>
      </c>
      <c r="AX625" s="145">
        <f t="shared" si="226"/>
        <v>1</v>
      </c>
      <c r="AY625" s="145">
        <f t="shared" si="222"/>
        <v>0</v>
      </c>
      <c r="AZ625" s="145">
        <f t="shared" si="223"/>
        <v>1</v>
      </c>
      <c r="BA625" s="146">
        <f t="shared" si="224"/>
        <v>1</v>
      </c>
      <c r="BB625" s="149">
        <f t="shared" si="214"/>
        <v>16</v>
      </c>
      <c r="BC625" s="150">
        <f t="shared" si="215"/>
        <v>15</v>
      </c>
      <c r="BD625" s="150">
        <f t="shared" si="216"/>
        <v>16</v>
      </c>
      <c r="BE625" s="211" t="str">
        <f t="shared" si="217"/>
        <v/>
      </c>
      <c r="BF625" s="205"/>
      <c r="BG625" s="205"/>
      <c r="BH625" s="173">
        <f>IF(AND(Input_Product=Elig!$C625,Elig_MatchAll_Ct&lt;22,$BC625=(Elig_MatchAll_Ct-1),AF625=0),C625,0)</f>
        <v>0</v>
      </c>
      <c r="BI625" s="173">
        <f>IF(AND(Input_Product=Elig!$C625,Elig_MatchAll_Ct&lt;22,$BC625=(Elig_MatchAll_Ct-1),AG625=0),D625,0)</f>
        <v>0</v>
      </c>
      <c r="BJ625" s="173">
        <f>IF(AND(Input_Product=Elig!$C625,Elig_MatchAll_Ct&lt;22,$BC625=(Elig_MatchAll_Ct-1),AH625=0),E625,0)</f>
        <v>0</v>
      </c>
      <c r="BK625" s="173">
        <f>IF(AND(Input_Product=Elig!$C625,Elig_MatchAll_Ct&lt;22,$BC625=(Elig_MatchAll_Ct-1),AI625=0),F625,0)</f>
        <v>0</v>
      </c>
      <c r="BL625" s="173">
        <f>IF(AND(Input_Product=Elig!$C625,Elig_MatchAll_Ct&lt;22,$BC625=(Elig_MatchAll_Ct-1),AJ625=0),G625,0)</f>
        <v>0</v>
      </c>
      <c r="BM625" s="173">
        <f>IF(AND(Input_Product=Elig!$C625,Elig_MatchAll_Ct&lt;22,$BC625=(Elig_MatchAll_Ct-1),AK625=0),H625,0)</f>
        <v>0</v>
      </c>
      <c r="BN625" s="173">
        <f>IF(AND(Input_Product=Elig!$C625,Elig_MatchAll_Ct&lt;22,$BC625=(Elig_MatchAll_Ct-1),AL625=0),I625,0)</f>
        <v>0</v>
      </c>
      <c r="BO625" s="173">
        <f>IF(AND(Input_Product=Elig!$C625,Elig_MatchAll_Ct&lt;22,$BC625=(Elig_MatchAll_Ct-1),AM625=0),J625,0)</f>
        <v>0</v>
      </c>
      <c r="BP625" s="173">
        <f>IF(AND(Input_Product=Elig!$C625,Elig_MatchAll_Ct&lt;22,$BC625=(Elig_MatchAll_Ct-1),AN625=0),K625,0)</f>
        <v>0</v>
      </c>
      <c r="BQ625" s="173">
        <f>IF(AND(Input_Product=Elig!$C625,Elig_MatchAll_Ct&lt;22,$BC625=(Elig_MatchAll_Ct-1),AP625=0),L625,0)</f>
        <v>0</v>
      </c>
      <c r="BR625" s="173">
        <f>IF(AND(Input_Product=Elig!$C625,Elig_MatchAll_Ct&lt;22,$BC625=(Elig_MatchAll_Ct-1),AO625=0),M625,0)</f>
        <v>0</v>
      </c>
      <c r="BS625" s="173">
        <f>IF(AND(Input_Product=Elig!$C625,Elig_MatchAll_Ct&lt;22,$BC625=(Elig_MatchAll_Ct-1),AQ625=0),N625,0)</f>
        <v>0</v>
      </c>
      <c r="BT625" s="173">
        <f>IF(AND(Input_Product=Elig!$C625,Elig_MatchAll_Ct&lt;22,$BC625=(Elig_MatchAll_Ct-1),AR625=0),O625,0)</f>
        <v>0</v>
      </c>
      <c r="BU625" s="173">
        <f>IF(AND(Input_Product=Elig!$C625,Elig_MatchAll_Ct&lt;22,$BC625=(Elig_MatchAll_Ct-1),AS625=0),P625,0)</f>
        <v>0</v>
      </c>
      <c r="BV625" s="174">
        <f>IF(AND(Input_Product=Elig!$C625,Elig_MatchAll_Ct&lt;22,$BC625=(Elig_MatchAll_Ct-1),AT625=0),Q625,0)</f>
        <v>0</v>
      </c>
      <c r="BW625" s="175">
        <f>IF(AND(Input_Product=Elig!$C625,Elig_MatchAll_Ct&lt;22,$BC625=(Elig_MatchAll_Ct-1),AU625=0),R625,0)</f>
        <v>0</v>
      </c>
      <c r="BX625" s="176">
        <f>IF(AND(Input_Product=Elig!$C625,Elig_MatchAll_Ct&lt;22,$BC625=(Elig_MatchAll_Ct-1),AU625=0),S625,0)</f>
        <v>0</v>
      </c>
      <c r="BY625" s="175">
        <f>IF(AND(Input_Product=Elig!$C625,Elig_MatchAll_Ct&lt;22,$BC625=(Elig_MatchAll_Ct-1),AV625=0),T625,0)</f>
        <v>0</v>
      </c>
      <c r="BZ625" s="176">
        <f>IF(AND(Input_Product=Elig!$C625,Elig_MatchAll_Ct&lt;22,$BC625=(Elig_MatchAll_Ct-1),AV625=0),U625,0)</f>
        <v>0</v>
      </c>
      <c r="CA625" s="175">
        <f>IF(AND(Input_Product=Elig!$C625,Elig_MatchAll_Ct&lt;22,$BC625=(Elig_MatchAll_Ct-1),AW625=0),V625,0)</f>
        <v>0</v>
      </c>
      <c r="CB625" s="176">
        <f>IF(AND(Input_Product=Elig!$C625,Elig_MatchAll_Ct&lt;22,$BC625=(Elig_MatchAll_Ct-1),AW625=0),W625,0)</f>
        <v>0</v>
      </c>
      <c r="CC625" s="175">
        <f>IF(AND(Input_Product=Elig!$C625,Elig_MatchAll_Ct&lt;22,$BC625=(Elig_MatchAll_Ct-1),AX625=0),X625,0)</f>
        <v>0</v>
      </c>
      <c r="CD625" s="176">
        <f>IF(AND(Input_Product=Elig!$C625,Elig_MatchAll_Ct&lt;22,$BC625=(Elig_MatchAll_Ct-1),AX625=0),Y625,0)</f>
        <v>0</v>
      </c>
      <c r="CE625" s="175">
        <f>IF(AND(Input_LTV&lt;=AE625,Input_Product=Elig!$C625,Elig_MatchAll_Ct&lt;22,$BC625=(Elig_MatchAll_Ct-1),AY625=0),Z625,0)</f>
        <v>0</v>
      </c>
      <c r="CF625" s="176">
        <f>IF(AND(Input_LTV&lt;=AE625,Input_Product=Elig!$C625,Elig_MatchAll_Ct&lt;22,$BC625=(Elig_MatchAll_Ct-1),AY625=0),AA625,0)</f>
        <v>0</v>
      </c>
      <c r="CG625" s="175">
        <f>IF(AND(Input_Product=Elig!$C625,Elig_MatchAll_Ct&lt;22,$BC625=(Elig_MatchAll_Ct-1),AZ625=0),AB625,0)</f>
        <v>0</v>
      </c>
      <c r="CH625" s="176">
        <f>IF(AND(Input_Product=Elig!$C625,Elig_MatchAll_Ct&lt;22,$BC625=(Elig_MatchAll_Ct-1),AZ625=0),AC625,0)</f>
        <v>0</v>
      </c>
      <c r="CI625" s="175">
        <f>IF(AND(Input_Product=Elig!$C625,Elig_MatchAll_Ct&lt;22,$BC625=(Elig_MatchAll_Ct-1),BA625=0),AD625,0)</f>
        <v>0</v>
      </c>
      <c r="CJ625" s="176">
        <f>IF(AND(Input_Product=Elig!$C625,Elig_MatchAll_Ct&lt;22,$BC625=(Elig_MatchAll_Ct-1),BA625=0),AE625,0)</f>
        <v>0</v>
      </c>
    </row>
    <row r="626" spans="1:88" ht="10.15" customHeight="1" x14ac:dyDescent="0.25">
      <c r="A626" s="1476" t="s">
        <v>76</v>
      </c>
      <c r="B626" s="1476" t="s">
        <v>1545</v>
      </c>
      <c r="C626" s="1481" t="str">
        <f t="shared" si="204"/>
        <v>Second OO</v>
      </c>
      <c r="D626" s="1480" t="s">
        <v>1338</v>
      </c>
      <c r="E626" s="1480" t="s">
        <v>98</v>
      </c>
      <c r="F626" s="1480" t="s">
        <v>327</v>
      </c>
      <c r="G626" s="1545" t="s">
        <v>469</v>
      </c>
      <c r="H626" s="1482" t="s">
        <v>135</v>
      </c>
      <c r="I626" s="1480" t="s">
        <v>1141</v>
      </c>
      <c r="J626" s="1480" t="s">
        <v>1130</v>
      </c>
      <c r="K626" s="1482" t="s">
        <v>2464</v>
      </c>
      <c r="L626" s="1480" t="s">
        <v>428</v>
      </c>
      <c r="M626" s="1480" t="s">
        <v>1835</v>
      </c>
      <c r="N626" s="1482" t="s">
        <v>82</v>
      </c>
      <c r="O626" s="1480" t="s">
        <v>309</v>
      </c>
      <c r="P626" s="1480" t="s">
        <v>2433</v>
      </c>
      <c r="Q626" s="1480" t="s">
        <v>293</v>
      </c>
      <c r="R626" s="1480">
        <v>350000.01</v>
      </c>
      <c r="S626" s="277">
        <v>500000</v>
      </c>
      <c r="T626" s="1480">
        <v>0</v>
      </c>
      <c r="U626" s="1480">
        <f t="shared" si="225"/>
        <v>500000</v>
      </c>
      <c r="V626" s="1480">
        <v>0</v>
      </c>
      <c r="W626" s="1480">
        <v>50</v>
      </c>
      <c r="X626" s="1480">
        <v>0</v>
      </c>
      <c r="Y626" s="1480">
        <v>999</v>
      </c>
      <c r="Z626" s="1483">
        <v>660</v>
      </c>
      <c r="AA626" s="1483">
        <v>679</v>
      </c>
      <c r="AB626" s="1483">
        <v>0</v>
      </c>
      <c r="AC626" s="1483">
        <v>999999</v>
      </c>
      <c r="AD626" s="1480">
        <v>0</v>
      </c>
      <c r="AE626" s="1220">
        <v>65</v>
      </c>
      <c r="AF626" s="144">
        <v>0</v>
      </c>
      <c r="AG626" s="145">
        <v>1</v>
      </c>
      <c r="AH626" s="145">
        <v>1</v>
      </c>
      <c r="AI626" s="145">
        <v>0</v>
      </c>
      <c r="AJ626" s="145">
        <v>0</v>
      </c>
      <c r="AK626" s="145">
        <v>1</v>
      </c>
      <c r="AL626" s="145">
        <v>1</v>
      </c>
      <c r="AM626" s="145">
        <v>1</v>
      </c>
      <c r="AN626" s="145">
        <v>1</v>
      </c>
      <c r="AO626" s="145">
        <v>1</v>
      </c>
      <c r="AP626" s="145">
        <v>1</v>
      </c>
      <c r="AQ626" s="145">
        <v>0</v>
      </c>
      <c r="AR626" s="145">
        <v>1</v>
      </c>
      <c r="AS626" s="145">
        <v>1</v>
      </c>
      <c r="AT626" s="145">
        <v>1</v>
      </c>
      <c r="AU626" s="145">
        <f t="shared" si="219"/>
        <v>0</v>
      </c>
      <c r="AV626" s="145">
        <f t="shared" si="220"/>
        <v>1</v>
      </c>
      <c r="AW626" s="145">
        <f t="shared" si="221"/>
        <v>1</v>
      </c>
      <c r="AX626" s="145">
        <f t="shared" si="226"/>
        <v>1</v>
      </c>
      <c r="AY626" s="145">
        <f t="shared" si="222"/>
        <v>0</v>
      </c>
      <c r="AZ626" s="145">
        <f t="shared" si="223"/>
        <v>1</v>
      </c>
      <c r="BA626" s="146">
        <f t="shared" si="224"/>
        <v>0</v>
      </c>
      <c r="BB626" s="149">
        <f t="shared" si="214"/>
        <v>15</v>
      </c>
      <c r="BC626" s="150">
        <f t="shared" si="215"/>
        <v>15</v>
      </c>
      <c r="BD626" s="150">
        <f t="shared" si="216"/>
        <v>15</v>
      </c>
      <c r="BE626" s="211" t="str">
        <f t="shared" si="217"/>
        <v/>
      </c>
      <c r="BF626" s="205"/>
      <c r="BG626" s="205"/>
      <c r="BH626" s="188">
        <f>IF(AND(Input_Product=Elig!$C626,Elig_MatchAll_Ct&lt;22,$BC626=(Elig_MatchAll_Ct-1),AF626=0),C626,0)</f>
        <v>0</v>
      </c>
      <c r="BI626" s="188">
        <f>IF(AND(Input_Product=Elig!$C626,Elig_MatchAll_Ct&lt;22,$BC626=(Elig_MatchAll_Ct-1),AG626=0),D626,0)</f>
        <v>0</v>
      </c>
      <c r="BJ626" s="188">
        <f>IF(AND(Input_Product=Elig!$C626,Elig_MatchAll_Ct&lt;22,$BC626=(Elig_MatchAll_Ct-1),AH626=0),E626,0)</f>
        <v>0</v>
      </c>
      <c r="BK626" s="188">
        <f>IF(AND(Input_Product=Elig!$C626,Elig_MatchAll_Ct&lt;22,$BC626=(Elig_MatchAll_Ct-1),AI626=0),F626,0)</f>
        <v>0</v>
      </c>
      <c r="BL626" s="188">
        <f>IF(AND(Input_Product=Elig!$C626,Elig_MatchAll_Ct&lt;22,$BC626=(Elig_MatchAll_Ct-1),AJ626=0),G626,0)</f>
        <v>0</v>
      </c>
      <c r="BM626" s="188">
        <f>IF(AND(Input_Product=Elig!$C626,Elig_MatchAll_Ct&lt;22,$BC626=(Elig_MatchAll_Ct-1),AK626=0),H626,0)</f>
        <v>0</v>
      </c>
      <c r="BN626" s="188">
        <f>IF(AND(Input_Product=Elig!$C626,Elig_MatchAll_Ct&lt;22,$BC626=(Elig_MatchAll_Ct-1),AL626=0),I626,0)</f>
        <v>0</v>
      </c>
      <c r="BO626" s="188">
        <f>IF(AND(Input_Product=Elig!$C626,Elig_MatchAll_Ct&lt;22,$BC626=(Elig_MatchAll_Ct-1),AM626=0),J626,0)</f>
        <v>0</v>
      </c>
      <c r="BP626" s="188">
        <f>IF(AND(Input_Product=Elig!$C626,Elig_MatchAll_Ct&lt;22,$BC626=(Elig_MatchAll_Ct-1),AN626=0),K626,0)</f>
        <v>0</v>
      </c>
      <c r="BQ626" s="188">
        <f>IF(AND(Input_Product=Elig!$C626,Elig_MatchAll_Ct&lt;22,$BC626=(Elig_MatchAll_Ct-1),AP626=0),L626,0)</f>
        <v>0</v>
      </c>
      <c r="BR626" s="188">
        <f>IF(AND(Input_Product=Elig!$C626,Elig_MatchAll_Ct&lt;22,$BC626=(Elig_MatchAll_Ct-1),AO626=0),M626,0)</f>
        <v>0</v>
      </c>
      <c r="BS626" s="188">
        <f>IF(AND(Input_Product=Elig!$C626,Elig_MatchAll_Ct&lt;22,$BC626=(Elig_MatchAll_Ct-1),AQ626=0),N626,0)</f>
        <v>0</v>
      </c>
      <c r="BT626" s="188">
        <f>IF(AND(Input_Product=Elig!$C626,Elig_MatchAll_Ct&lt;22,$BC626=(Elig_MatchAll_Ct-1),AR626=0),O626,0)</f>
        <v>0</v>
      </c>
      <c r="BU626" s="188">
        <f>IF(AND(Input_Product=Elig!$C626,Elig_MatchAll_Ct&lt;22,$BC626=(Elig_MatchAll_Ct-1),AS626=0),P626,0)</f>
        <v>0</v>
      </c>
      <c r="BV626" s="189">
        <f>IF(AND(Input_Product=Elig!$C626,Elig_MatchAll_Ct&lt;22,$BC626=(Elig_MatchAll_Ct-1),AT626=0),Q626,0)</f>
        <v>0</v>
      </c>
      <c r="BW626" s="271">
        <f>IF(AND(Input_Product=Elig!$C626,Elig_MatchAll_Ct&lt;22,$BC626=(Elig_MatchAll_Ct-1),AU626=0),R626,0)</f>
        <v>0</v>
      </c>
      <c r="BX626" s="272">
        <f>IF(AND(Input_Product=Elig!$C626,Elig_MatchAll_Ct&lt;22,$BC626=(Elig_MatchAll_Ct-1),AU626=0),S626,0)</f>
        <v>0</v>
      </c>
      <c r="BY626" s="271">
        <f>IF(AND(Input_Product=Elig!$C626,Elig_MatchAll_Ct&lt;22,$BC626=(Elig_MatchAll_Ct-1),AV626=0),T626,0)</f>
        <v>0</v>
      </c>
      <c r="BZ626" s="272">
        <f>IF(AND(Input_Product=Elig!$C626,Elig_MatchAll_Ct&lt;22,$BC626=(Elig_MatchAll_Ct-1),AV626=0),U626,0)</f>
        <v>0</v>
      </c>
      <c r="CA626" s="271">
        <f>IF(AND(Input_Product=Elig!$C626,Elig_MatchAll_Ct&lt;22,$BC626=(Elig_MatchAll_Ct-1),AW626=0),V626,0)</f>
        <v>0</v>
      </c>
      <c r="CB626" s="272">
        <f>IF(AND(Input_Product=Elig!$C626,Elig_MatchAll_Ct&lt;22,$BC626=(Elig_MatchAll_Ct-1),AW626=0),W626,0)</f>
        <v>0</v>
      </c>
      <c r="CC626" s="271">
        <f>IF(AND(Input_Product=Elig!$C626,Elig_MatchAll_Ct&lt;22,$BC626=(Elig_MatchAll_Ct-1),AX626=0),X626,0)</f>
        <v>0</v>
      </c>
      <c r="CD626" s="272">
        <f>IF(AND(Input_Product=Elig!$C626,Elig_MatchAll_Ct&lt;22,$BC626=(Elig_MatchAll_Ct-1),AX626=0),Y626,0)</f>
        <v>0</v>
      </c>
      <c r="CE626" s="271">
        <f>IF(AND(Input_LTV&lt;=AE626,Input_Product=Elig!$C626,Elig_MatchAll_Ct&lt;22,$BC626=(Elig_MatchAll_Ct-1),AY626=0),Z626,0)</f>
        <v>0</v>
      </c>
      <c r="CF626" s="272">
        <f>IF(AND(Input_LTV&lt;=AE626,Input_Product=Elig!$C626,Elig_MatchAll_Ct&lt;22,$BC626=(Elig_MatchAll_Ct-1),AY626=0),AA626,0)</f>
        <v>0</v>
      </c>
      <c r="CG626" s="271">
        <f>IF(AND(Input_Product=Elig!$C626,Elig_MatchAll_Ct&lt;22,$BC626=(Elig_MatchAll_Ct-1),AZ626=0),AB626,0)</f>
        <v>0</v>
      </c>
      <c r="CH626" s="272">
        <f>IF(AND(Input_Product=Elig!$C626,Elig_MatchAll_Ct&lt;22,$BC626=(Elig_MatchAll_Ct-1),AZ626=0),AC626,0)</f>
        <v>0</v>
      </c>
      <c r="CI626" s="271">
        <f>IF(AND(Input_Product=Elig!$C626,Elig_MatchAll_Ct&lt;22,$BC626=(Elig_MatchAll_Ct-1),BA626=0),AD626,0)</f>
        <v>0</v>
      </c>
      <c r="CJ626" s="272">
        <f>IF(AND(Input_Product=Elig!$C626,Elig_MatchAll_Ct&lt;22,$BC626=(Elig_MatchAll_Ct-1),BA626=0),AE626,0)</f>
        <v>0</v>
      </c>
    </row>
    <row r="627" spans="1:88" ht="10.15" customHeight="1" x14ac:dyDescent="0.25">
      <c r="A627" s="1476" t="s">
        <v>76</v>
      </c>
      <c r="B627" s="1476" t="s">
        <v>1951</v>
      </c>
      <c r="C627" s="1473" t="str">
        <f t="shared" si="204"/>
        <v>Second OO</v>
      </c>
      <c r="D627" s="1474" t="s">
        <v>1338</v>
      </c>
      <c r="E627" s="1474" t="s">
        <v>98</v>
      </c>
      <c r="F627" s="1474" t="s">
        <v>327</v>
      </c>
      <c r="G627" s="1474" t="s">
        <v>178</v>
      </c>
      <c r="H627" s="1474" t="s">
        <v>135</v>
      </c>
      <c r="I627" s="1472" t="s">
        <v>1141</v>
      </c>
      <c r="J627" s="1472" t="s">
        <v>1130</v>
      </c>
      <c r="K627" s="1474" t="s">
        <v>2464</v>
      </c>
      <c r="L627" s="1472" t="s">
        <v>428</v>
      </c>
      <c r="M627" s="1472" t="s">
        <v>1835</v>
      </c>
      <c r="N627" s="1474" t="s">
        <v>82</v>
      </c>
      <c r="O627" s="1472" t="s">
        <v>309</v>
      </c>
      <c r="P627" s="1472" t="s">
        <v>2433</v>
      </c>
      <c r="Q627" s="1472" t="s">
        <v>293</v>
      </c>
      <c r="R627" s="1472">
        <v>350000.01</v>
      </c>
      <c r="S627" s="276">
        <v>500000</v>
      </c>
      <c r="T627" s="1472">
        <v>0</v>
      </c>
      <c r="U627" s="1472">
        <f t="shared" si="225"/>
        <v>500000</v>
      </c>
      <c r="V627" s="1472">
        <v>0</v>
      </c>
      <c r="W627" s="1472">
        <v>50</v>
      </c>
      <c r="X627" s="1472">
        <v>0</v>
      </c>
      <c r="Y627" s="1472">
        <v>999</v>
      </c>
      <c r="Z627" s="1475">
        <v>720</v>
      </c>
      <c r="AA627" s="1475">
        <v>999</v>
      </c>
      <c r="AB627" s="1475">
        <v>0</v>
      </c>
      <c r="AC627" s="1475">
        <v>999999</v>
      </c>
      <c r="AD627" s="1472">
        <v>0</v>
      </c>
      <c r="AE627" s="1218">
        <v>75</v>
      </c>
      <c r="AF627" s="144">
        <v>0</v>
      </c>
      <c r="AG627" s="145">
        <v>1</v>
      </c>
      <c r="AH627" s="145">
        <v>1</v>
      </c>
      <c r="AI627" s="145">
        <v>0</v>
      </c>
      <c r="AJ627" s="145">
        <v>0</v>
      </c>
      <c r="AK627" s="145">
        <v>1</v>
      </c>
      <c r="AL627" s="145">
        <v>1</v>
      </c>
      <c r="AM627" s="145">
        <v>1</v>
      </c>
      <c r="AN627" s="145">
        <v>1</v>
      </c>
      <c r="AO627" s="145">
        <v>1</v>
      </c>
      <c r="AP627" s="145">
        <v>1</v>
      </c>
      <c r="AQ627" s="145">
        <v>0</v>
      </c>
      <c r="AR627" s="145">
        <v>1</v>
      </c>
      <c r="AS627" s="145">
        <v>1</v>
      </c>
      <c r="AT627" s="145">
        <v>1</v>
      </c>
      <c r="AU627" s="145">
        <f t="shared" si="219"/>
        <v>0</v>
      </c>
      <c r="AV627" s="145">
        <f t="shared" si="220"/>
        <v>1</v>
      </c>
      <c r="AW627" s="145">
        <f t="shared" si="221"/>
        <v>1</v>
      </c>
      <c r="AX627" s="145">
        <f t="shared" si="226"/>
        <v>1</v>
      </c>
      <c r="AY627" s="145">
        <f t="shared" si="222"/>
        <v>1</v>
      </c>
      <c r="AZ627" s="145">
        <f t="shared" si="223"/>
        <v>1</v>
      </c>
      <c r="BA627" s="146">
        <f t="shared" si="224"/>
        <v>1</v>
      </c>
      <c r="BB627" s="149">
        <f t="shared" si="214"/>
        <v>17</v>
      </c>
      <c r="BC627" s="150">
        <f t="shared" si="215"/>
        <v>16</v>
      </c>
      <c r="BD627" s="150">
        <f t="shared" si="216"/>
        <v>17</v>
      </c>
      <c r="BE627" s="211" t="str">
        <f t="shared" si="217"/>
        <v/>
      </c>
      <c r="BF627" s="194"/>
      <c r="BG627" s="194"/>
      <c r="BH627" s="190">
        <f>IF(AND(Input_Product=Elig!$C627,Elig_MatchAll_Ct&lt;22,$BC627=(Elig_MatchAll_Ct-1),AF627=0),C627,0)</f>
        <v>0</v>
      </c>
      <c r="BI627" s="190">
        <f>IF(AND(Input_Product=Elig!$C627,Elig_MatchAll_Ct&lt;22,$BC627=(Elig_MatchAll_Ct-1),AG627=0),D627,0)</f>
        <v>0</v>
      </c>
      <c r="BJ627" s="190">
        <f>IF(AND(Input_Product=Elig!$C627,Elig_MatchAll_Ct&lt;22,$BC627=(Elig_MatchAll_Ct-1),AH627=0),E627,0)</f>
        <v>0</v>
      </c>
      <c r="BK627" s="190">
        <f>IF(AND(Input_Product=Elig!$C627,Elig_MatchAll_Ct&lt;22,$BC627=(Elig_MatchAll_Ct-1),AI627=0),F627,0)</f>
        <v>0</v>
      </c>
      <c r="BL627" s="190">
        <f>IF(AND(Input_Product=Elig!$C627,Elig_MatchAll_Ct&lt;22,$BC627=(Elig_MatchAll_Ct-1),AJ627=0),G627,0)</f>
        <v>0</v>
      </c>
      <c r="BM627" s="190">
        <f>IF(AND(Input_Product=Elig!$C627,Elig_MatchAll_Ct&lt;22,$BC627=(Elig_MatchAll_Ct-1),AK627=0),H627,0)</f>
        <v>0</v>
      </c>
      <c r="BN627" s="190">
        <f>IF(AND(Input_Product=Elig!$C627,Elig_MatchAll_Ct&lt;22,$BC627=(Elig_MatchAll_Ct-1),AL627=0),I627,0)</f>
        <v>0</v>
      </c>
      <c r="BO627" s="190">
        <f>IF(AND(Input_Product=Elig!$C627,Elig_MatchAll_Ct&lt;22,$BC627=(Elig_MatchAll_Ct-1),AM627=0),J627,0)</f>
        <v>0</v>
      </c>
      <c r="BP627" s="190">
        <f>IF(AND(Input_Product=Elig!$C627,Elig_MatchAll_Ct&lt;22,$BC627=(Elig_MatchAll_Ct-1),AN627=0),K627,0)</f>
        <v>0</v>
      </c>
      <c r="BQ627" s="190">
        <f>IF(AND(Input_Product=Elig!$C627,Elig_MatchAll_Ct&lt;22,$BC627=(Elig_MatchAll_Ct-1),AP627=0),L627,0)</f>
        <v>0</v>
      </c>
      <c r="BR627" s="190">
        <f>IF(AND(Input_Product=Elig!$C627,Elig_MatchAll_Ct&lt;22,$BC627=(Elig_MatchAll_Ct-1),AO627=0),M627,0)</f>
        <v>0</v>
      </c>
      <c r="BS627" s="190">
        <f>IF(AND(Input_Product=Elig!$C627,Elig_MatchAll_Ct&lt;22,$BC627=(Elig_MatchAll_Ct-1),AQ627=0),N627,0)</f>
        <v>0</v>
      </c>
      <c r="BT627" s="190">
        <f>IF(AND(Input_Product=Elig!$C627,Elig_MatchAll_Ct&lt;22,$BC627=(Elig_MatchAll_Ct-1),AR627=0),O627,0)</f>
        <v>0</v>
      </c>
      <c r="BU627" s="190">
        <f>IF(AND(Input_Product=Elig!$C627,Elig_MatchAll_Ct&lt;22,$BC627=(Elig_MatchAll_Ct-1),AS627=0),P627,0)</f>
        <v>0</v>
      </c>
      <c r="BV627" s="191">
        <f>IF(AND(Input_Product=Elig!$C627,Elig_MatchAll_Ct&lt;22,$BC627=(Elig_MatchAll_Ct-1),AT627=0),Q627,0)</f>
        <v>0</v>
      </c>
      <c r="BW627" s="273">
        <f>IF(AND(Input_Product=Elig!$C627,Elig_MatchAll_Ct&lt;22,$BC627=(Elig_MatchAll_Ct-1),AU627=0),R627,0)</f>
        <v>0</v>
      </c>
      <c r="BX627" s="274">
        <f>IF(AND(Input_Product=Elig!$C627,Elig_MatchAll_Ct&lt;22,$BC627=(Elig_MatchAll_Ct-1),AU627=0),S627,0)</f>
        <v>0</v>
      </c>
      <c r="BY627" s="273">
        <f>IF(AND(Input_Product=Elig!$C627,Elig_MatchAll_Ct&lt;22,$BC627=(Elig_MatchAll_Ct-1),AV627=0),T627,0)</f>
        <v>0</v>
      </c>
      <c r="BZ627" s="274">
        <f>IF(AND(Input_Product=Elig!$C627,Elig_MatchAll_Ct&lt;22,$BC627=(Elig_MatchAll_Ct-1),AV627=0),U627,0)</f>
        <v>0</v>
      </c>
      <c r="CA627" s="273">
        <f>IF(AND(Input_Product=Elig!$C627,Elig_MatchAll_Ct&lt;22,$BC627=(Elig_MatchAll_Ct-1),AW627=0),V627,0)</f>
        <v>0</v>
      </c>
      <c r="CB627" s="274">
        <f>IF(AND(Input_Product=Elig!$C627,Elig_MatchAll_Ct&lt;22,$BC627=(Elig_MatchAll_Ct-1),AW627=0),W627,0)</f>
        <v>0</v>
      </c>
      <c r="CC627" s="273">
        <f>IF(AND(Input_Product=Elig!$C627,Elig_MatchAll_Ct&lt;22,$BC627=(Elig_MatchAll_Ct-1),AX627=0),X627,0)</f>
        <v>0</v>
      </c>
      <c r="CD627" s="274">
        <f>IF(AND(Input_Product=Elig!$C627,Elig_MatchAll_Ct&lt;22,$BC627=(Elig_MatchAll_Ct-1),AX627=0),Y627,0)</f>
        <v>0</v>
      </c>
      <c r="CE627" s="273">
        <f>IF(AND(Input_LTV&lt;=AE627,Input_Product=Elig!$C627,Elig_MatchAll_Ct&lt;22,$BC627=(Elig_MatchAll_Ct-1),AY627=0),Z627,0)</f>
        <v>0</v>
      </c>
      <c r="CF627" s="274">
        <f>IF(AND(Input_LTV&lt;=AE627,Input_Product=Elig!$C627,Elig_MatchAll_Ct&lt;22,$BC627=(Elig_MatchAll_Ct-1),AY627=0),AA627,0)</f>
        <v>0</v>
      </c>
      <c r="CG627" s="273">
        <f>IF(AND(Input_Product=Elig!$C627,Elig_MatchAll_Ct&lt;22,$BC627=(Elig_MatchAll_Ct-1),AZ627=0),AB627,0)</f>
        <v>0</v>
      </c>
      <c r="CH627" s="274">
        <f>IF(AND(Input_Product=Elig!$C627,Elig_MatchAll_Ct&lt;22,$BC627=(Elig_MatchAll_Ct-1),AZ627=0),AC627,0)</f>
        <v>0</v>
      </c>
      <c r="CI627" s="273">
        <f>IF(AND(Input_Product=Elig!$C627,Elig_MatchAll_Ct&lt;22,$BC627=(Elig_MatchAll_Ct-1),BA627=0),AD627,0)</f>
        <v>0</v>
      </c>
      <c r="CJ627" s="274">
        <f>IF(AND(Input_Product=Elig!$C627,Elig_MatchAll_Ct&lt;22,$BC627=(Elig_MatchAll_Ct-1),BA627=0),AE627,0)</f>
        <v>0</v>
      </c>
    </row>
    <row r="628" spans="1:88" ht="10.15" customHeight="1" x14ac:dyDescent="0.25">
      <c r="A628" s="1476" t="s">
        <v>76</v>
      </c>
      <c r="B628" s="1476" t="s">
        <v>1952</v>
      </c>
      <c r="C628" s="1477" t="str">
        <f t="shared" si="204"/>
        <v>Second OO</v>
      </c>
      <c r="D628" s="1476" t="s">
        <v>1338</v>
      </c>
      <c r="E628" s="1476" t="s">
        <v>98</v>
      </c>
      <c r="F628" s="1476" t="s">
        <v>327</v>
      </c>
      <c r="G628" s="1478" t="s">
        <v>178</v>
      </c>
      <c r="H628" s="1478" t="s">
        <v>135</v>
      </c>
      <c r="I628" s="1476" t="s">
        <v>1141</v>
      </c>
      <c r="J628" s="1476" t="s">
        <v>1130</v>
      </c>
      <c r="K628" s="1478" t="s">
        <v>2464</v>
      </c>
      <c r="L628" s="1476" t="s">
        <v>428</v>
      </c>
      <c r="M628" s="1476" t="s">
        <v>1835</v>
      </c>
      <c r="N628" s="1478" t="s">
        <v>82</v>
      </c>
      <c r="O628" s="1476" t="s">
        <v>309</v>
      </c>
      <c r="P628" s="1476" t="s">
        <v>2433</v>
      </c>
      <c r="Q628" s="1476" t="s">
        <v>293</v>
      </c>
      <c r="R628" s="1476">
        <v>350000.01</v>
      </c>
      <c r="S628" s="261">
        <v>500000</v>
      </c>
      <c r="T628" s="1476">
        <v>0</v>
      </c>
      <c r="U628" s="1476">
        <f t="shared" si="225"/>
        <v>500000</v>
      </c>
      <c r="V628" s="1476">
        <v>0</v>
      </c>
      <c r="W628" s="1476">
        <v>50</v>
      </c>
      <c r="X628" s="1476">
        <v>0</v>
      </c>
      <c r="Y628" s="1476">
        <v>999</v>
      </c>
      <c r="Z628" s="1479">
        <v>700</v>
      </c>
      <c r="AA628" s="1479">
        <v>719</v>
      </c>
      <c r="AB628" s="1479">
        <v>0</v>
      </c>
      <c r="AC628" s="1479">
        <v>999999</v>
      </c>
      <c r="AD628" s="1476">
        <v>0</v>
      </c>
      <c r="AE628" s="1219">
        <v>70</v>
      </c>
      <c r="AF628" s="144">
        <v>0</v>
      </c>
      <c r="AG628" s="145">
        <v>1</v>
      </c>
      <c r="AH628" s="145">
        <v>1</v>
      </c>
      <c r="AI628" s="145">
        <v>0</v>
      </c>
      <c r="AJ628" s="145">
        <v>0</v>
      </c>
      <c r="AK628" s="145">
        <v>1</v>
      </c>
      <c r="AL628" s="145">
        <v>1</v>
      </c>
      <c r="AM628" s="145">
        <v>1</v>
      </c>
      <c r="AN628" s="145">
        <v>1</v>
      </c>
      <c r="AO628" s="145">
        <v>1</v>
      </c>
      <c r="AP628" s="145">
        <v>1</v>
      </c>
      <c r="AQ628" s="145">
        <v>0</v>
      </c>
      <c r="AR628" s="145">
        <v>1</v>
      </c>
      <c r="AS628" s="145">
        <v>1</v>
      </c>
      <c r="AT628" s="145">
        <v>1</v>
      </c>
      <c r="AU628" s="145">
        <f t="shared" si="219"/>
        <v>0</v>
      </c>
      <c r="AV628" s="145">
        <f t="shared" si="220"/>
        <v>1</v>
      </c>
      <c r="AW628" s="145">
        <f t="shared" si="221"/>
        <v>1</v>
      </c>
      <c r="AX628" s="145">
        <f t="shared" si="226"/>
        <v>1</v>
      </c>
      <c r="AY628" s="145">
        <f t="shared" si="222"/>
        <v>0</v>
      </c>
      <c r="AZ628" s="145">
        <f t="shared" si="223"/>
        <v>1</v>
      </c>
      <c r="BA628" s="146">
        <f t="shared" si="224"/>
        <v>1</v>
      </c>
      <c r="BB628" s="149">
        <f t="shared" si="214"/>
        <v>16</v>
      </c>
      <c r="BC628" s="150">
        <f t="shared" si="215"/>
        <v>15</v>
      </c>
      <c r="BD628" s="150">
        <f t="shared" si="216"/>
        <v>16</v>
      </c>
      <c r="BE628" s="211" t="str">
        <f t="shared" si="217"/>
        <v/>
      </c>
      <c r="BF628" s="205"/>
      <c r="BG628" s="205"/>
      <c r="BH628" s="173">
        <f>IF(AND(Input_Product=Elig!$C628,Elig_MatchAll_Ct&lt;22,$BC628=(Elig_MatchAll_Ct-1),AF628=0),C628,0)</f>
        <v>0</v>
      </c>
      <c r="BI628" s="173">
        <f>IF(AND(Input_Product=Elig!$C628,Elig_MatchAll_Ct&lt;22,$BC628=(Elig_MatchAll_Ct-1),AG628=0),D628,0)</f>
        <v>0</v>
      </c>
      <c r="BJ628" s="173">
        <f>IF(AND(Input_Product=Elig!$C628,Elig_MatchAll_Ct&lt;22,$BC628=(Elig_MatchAll_Ct-1),AH628=0),E628,0)</f>
        <v>0</v>
      </c>
      <c r="BK628" s="173">
        <f>IF(AND(Input_Product=Elig!$C628,Elig_MatchAll_Ct&lt;22,$BC628=(Elig_MatchAll_Ct-1),AI628=0),F628,0)</f>
        <v>0</v>
      </c>
      <c r="BL628" s="173">
        <f>IF(AND(Input_Product=Elig!$C628,Elig_MatchAll_Ct&lt;22,$BC628=(Elig_MatchAll_Ct-1),AJ628=0),G628,0)</f>
        <v>0</v>
      </c>
      <c r="BM628" s="173">
        <f>IF(AND(Input_Product=Elig!$C628,Elig_MatchAll_Ct&lt;22,$BC628=(Elig_MatchAll_Ct-1),AK628=0),H628,0)</f>
        <v>0</v>
      </c>
      <c r="BN628" s="173">
        <f>IF(AND(Input_Product=Elig!$C628,Elig_MatchAll_Ct&lt;22,$BC628=(Elig_MatchAll_Ct-1),AL628=0),I628,0)</f>
        <v>0</v>
      </c>
      <c r="BO628" s="173">
        <f>IF(AND(Input_Product=Elig!$C628,Elig_MatchAll_Ct&lt;22,$BC628=(Elig_MatchAll_Ct-1),AM628=0),J628,0)</f>
        <v>0</v>
      </c>
      <c r="BP628" s="173">
        <f>IF(AND(Input_Product=Elig!$C628,Elig_MatchAll_Ct&lt;22,$BC628=(Elig_MatchAll_Ct-1),AN628=0),K628,0)</f>
        <v>0</v>
      </c>
      <c r="BQ628" s="173">
        <f>IF(AND(Input_Product=Elig!$C628,Elig_MatchAll_Ct&lt;22,$BC628=(Elig_MatchAll_Ct-1),AP628=0),L628,0)</f>
        <v>0</v>
      </c>
      <c r="BR628" s="173">
        <f>IF(AND(Input_Product=Elig!$C628,Elig_MatchAll_Ct&lt;22,$BC628=(Elig_MatchAll_Ct-1),AO628=0),M628,0)</f>
        <v>0</v>
      </c>
      <c r="BS628" s="173">
        <f>IF(AND(Input_Product=Elig!$C628,Elig_MatchAll_Ct&lt;22,$BC628=(Elig_MatchAll_Ct-1),AQ628=0),N628,0)</f>
        <v>0</v>
      </c>
      <c r="BT628" s="173">
        <f>IF(AND(Input_Product=Elig!$C628,Elig_MatchAll_Ct&lt;22,$BC628=(Elig_MatchAll_Ct-1),AR628=0),O628,0)</f>
        <v>0</v>
      </c>
      <c r="BU628" s="173">
        <f>IF(AND(Input_Product=Elig!$C628,Elig_MatchAll_Ct&lt;22,$BC628=(Elig_MatchAll_Ct-1),AS628=0),P628,0)</f>
        <v>0</v>
      </c>
      <c r="BV628" s="174">
        <f>IF(AND(Input_Product=Elig!$C628,Elig_MatchAll_Ct&lt;22,$BC628=(Elig_MatchAll_Ct-1),AT628=0),Q628,0)</f>
        <v>0</v>
      </c>
      <c r="BW628" s="175">
        <f>IF(AND(Input_Product=Elig!$C628,Elig_MatchAll_Ct&lt;22,$BC628=(Elig_MatchAll_Ct-1),AU628=0),R628,0)</f>
        <v>0</v>
      </c>
      <c r="BX628" s="176">
        <f>IF(AND(Input_Product=Elig!$C628,Elig_MatchAll_Ct&lt;22,$BC628=(Elig_MatchAll_Ct-1),AU628=0),S628,0)</f>
        <v>0</v>
      </c>
      <c r="BY628" s="175">
        <f>IF(AND(Input_Product=Elig!$C628,Elig_MatchAll_Ct&lt;22,$BC628=(Elig_MatchAll_Ct-1),AV628=0),T628,0)</f>
        <v>0</v>
      </c>
      <c r="BZ628" s="176">
        <f>IF(AND(Input_Product=Elig!$C628,Elig_MatchAll_Ct&lt;22,$BC628=(Elig_MatchAll_Ct-1),AV628=0),U628,0)</f>
        <v>0</v>
      </c>
      <c r="CA628" s="175">
        <f>IF(AND(Input_Product=Elig!$C628,Elig_MatchAll_Ct&lt;22,$BC628=(Elig_MatchAll_Ct-1),AW628=0),V628,0)</f>
        <v>0</v>
      </c>
      <c r="CB628" s="176">
        <f>IF(AND(Input_Product=Elig!$C628,Elig_MatchAll_Ct&lt;22,$BC628=(Elig_MatchAll_Ct-1),AW628=0),W628,0)</f>
        <v>0</v>
      </c>
      <c r="CC628" s="175">
        <f>IF(AND(Input_Product=Elig!$C628,Elig_MatchAll_Ct&lt;22,$BC628=(Elig_MatchAll_Ct-1),AX628=0),X628,0)</f>
        <v>0</v>
      </c>
      <c r="CD628" s="176">
        <f>IF(AND(Input_Product=Elig!$C628,Elig_MatchAll_Ct&lt;22,$BC628=(Elig_MatchAll_Ct-1),AX628=0),Y628,0)</f>
        <v>0</v>
      </c>
      <c r="CE628" s="175">
        <f>IF(AND(Input_LTV&lt;=AE628,Input_Product=Elig!$C628,Elig_MatchAll_Ct&lt;22,$BC628=(Elig_MatchAll_Ct-1),AY628=0),Z628,0)</f>
        <v>0</v>
      </c>
      <c r="CF628" s="176">
        <f>IF(AND(Input_LTV&lt;=AE628,Input_Product=Elig!$C628,Elig_MatchAll_Ct&lt;22,$BC628=(Elig_MatchAll_Ct-1),AY628=0),AA628,0)</f>
        <v>0</v>
      </c>
      <c r="CG628" s="175">
        <f>IF(AND(Input_Product=Elig!$C628,Elig_MatchAll_Ct&lt;22,$BC628=(Elig_MatchAll_Ct-1),AZ628=0),AB628,0)</f>
        <v>0</v>
      </c>
      <c r="CH628" s="176">
        <f>IF(AND(Input_Product=Elig!$C628,Elig_MatchAll_Ct&lt;22,$BC628=(Elig_MatchAll_Ct-1),AZ628=0),AC628,0)</f>
        <v>0</v>
      </c>
      <c r="CI628" s="175">
        <f>IF(AND(Input_Product=Elig!$C628,Elig_MatchAll_Ct&lt;22,$BC628=(Elig_MatchAll_Ct-1),BA628=0),AD628,0)</f>
        <v>0</v>
      </c>
      <c r="CJ628" s="176">
        <f>IF(AND(Input_Product=Elig!$C628,Elig_MatchAll_Ct&lt;22,$BC628=(Elig_MatchAll_Ct-1),BA628=0),AE628,0)</f>
        <v>0</v>
      </c>
    </row>
    <row r="629" spans="1:88" ht="10.15" customHeight="1" x14ac:dyDescent="0.25">
      <c r="A629" s="1476" t="s">
        <v>76</v>
      </c>
      <c r="B629" s="1476" t="s">
        <v>1953</v>
      </c>
      <c r="C629" s="1477" t="str">
        <f t="shared" si="204"/>
        <v>Second OO</v>
      </c>
      <c r="D629" s="1476" t="s">
        <v>1338</v>
      </c>
      <c r="E629" s="1476" t="s">
        <v>98</v>
      </c>
      <c r="F629" s="1476" t="s">
        <v>327</v>
      </c>
      <c r="G629" s="1478" t="s">
        <v>178</v>
      </c>
      <c r="H629" s="1478" t="s">
        <v>135</v>
      </c>
      <c r="I629" s="1476" t="s">
        <v>1141</v>
      </c>
      <c r="J629" s="1476" t="s">
        <v>1130</v>
      </c>
      <c r="K629" s="1478" t="s">
        <v>2464</v>
      </c>
      <c r="L629" s="1476" t="s">
        <v>428</v>
      </c>
      <c r="M629" s="1476" t="s">
        <v>1835</v>
      </c>
      <c r="N629" s="1478" t="s">
        <v>82</v>
      </c>
      <c r="O629" s="1476" t="s">
        <v>309</v>
      </c>
      <c r="P629" s="1476" t="s">
        <v>2433</v>
      </c>
      <c r="Q629" s="1476" t="s">
        <v>293</v>
      </c>
      <c r="R629" s="1476">
        <v>350000.01</v>
      </c>
      <c r="S629" s="261">
        <v>500000</v>
      </c>
      <c r="T629" s="1476">
        <v>0</v>
      </c>
      <c r="U629" s="1476">
        <f t="shared" si="225"/>
        <v>500000</v>
      </c>
      <c r="V629" s="1476">
        <v>0</v>
      </c>
      <c r="W629" s="1476">
        <v>50</v>
      </c>
      <c r="X629" s="1476">
        <v>0</v>
      </c>
      <c r="Y629" s="1476">
        <v>999</v>
      </c>
      <c r="Z629" s="1479">
        <v>680</v>
      </c>
      <c r="AA629" s="1479">
        <v>699</v>
      </c>
      <c r="AB629" s="1479">
        <v>0</v>
      </c>
      <c r="AC629" s="1479">
        <v>999999</v>
      </c>
      <c r="AD629" s="1476">
        <v>0</v>
      </c>
      <c r="AE629" s="1219">
        <v>65</v>
      </c>
      <c r="AF629" s="144">
        <v>0</v>
      </c>
      <c r="AG629" s="145">
        <v>1</v>
      </c>
      <c r="AH629" s="145">
        <v>1</v>
      </c>
      <c r="AI629" s="145">
        <v>0</v>
      </c>
      <c r="AJ629" s="145">
        <v>0</v>
      </c>
      <c r="AK629" s="145">
        <v>1</v>
      </c>
      <c r="AL629" s="145">
        <v>1</v>
      </c>
      <c r="AM629" s="145">
        <v>1</v>
      </c>
      <c r="AN629" s="145">
        <v>1</v>
      </c>
      <c r="AO629" s="145">
        <v>1</v>
      </c>
      <c r="AP629" s="145">
        <v>1</v>
      </c>
      <c r="AQ629" s="145">
        <v>0</v>
      </c>
      <c r="AR629" s="145">
        <v>1</v>
      </c>
      <c r="AS629" s="145">
        <v>1</v>
      </c>
      <c r="AT629" s="145">
        <v>1</v>
      </c>
      <c r="AU629" s="145">
        <f t="shared" si="219"/>
        <v>0</v>
      </c>
      <c r="AV629" s="145">
        <f t="shared" si="220"/>
        <v>1</v>
      </c>
      <c r="AW629" s="145">
        <f t="shared" si="221"/>
        <v>1</v>
      </c>
      <c r="AX629" s="145">
        <f t="shared" si="226"/>
        <v>1</v>
      </c>
      <c r="AY629" s="145">
        <f t="shared" si="222"/>
        <v>0</v>
      </c>
      <c r="AZ629" s="145">
        <f t="shared" si="223"/>
        <v>1</v>
      </c>
      <c r="BA629" s="146">
        <f t="shared" si="224"/>
        <v>0</v>
      </c>
      <c r="BB629" s="149">
        <f t="shared" si="214"/>
        <v>15</v>
      </c>
      <c r="BC629" s="150">
        <f t="shared" si="215"/>
        <v>15</v>
      </c>
      <c r="BD629" s="150">
        <f t="shared" si="216"/>
        <v>15</v>
      </c>
      <c r="BE629" s="211" t="str">
        <f t="shared" si="217"/>
        <v/>
      </c>
      <c r="BF629" s="205"/>
      <c r="BG629" s="205"/>
      <c r="BH629" s="173">
        <f>IF(AND(Input_Product=Elig!$C629,Elig_MatchAll_Ct&lt;22,$BC629=(Elig_MatchAll_Ct-1),AF629=0),C629,0)</f>
        <v>0</v>
      </c>
      <c r="BI629" s="173">
        <f>IF(AND(Input_Product=Elig!$C629,Elig_MatchAll_Ct&lt;22,$BC629=(Elig_MatchAll_Ct-1),AG629=0),D629,0)</f>
        <v>0</v>
      </c>
      <c r="BJ629" s="173">
        <f>IF(AND(Input_Product=Elig!$C629,Elig_MatchAll_Ct&lt;22,$BC629=(Elig_MatchAll_Ct-1),AH629=0),E629,0)</f>
        <v>0</v>
      </c>
      <c r="BK629" s="173">
        <f>IF(AND(Input_Product=Elig!$C629,Elig_MatchAll_Ct&lt;22,$BC629=(Elig_MatchAll_Ct-1),AI629=0),F629,0)</f>
        <v>0</v>
      </c>
      <c r="BL629" s="173">
        <f>IF(AND(Input_Product=Elig!$C629,Elig_MatchAll_Ct&lt;22,$BC629=(Elig_MatchAll_Ct-1),AJ629=0),G629,0)</f>
        <v>0</v>
      </c>
      <c r="BM629" s="173">
        <f>IF(AND(Input_Product=Elig!$C629,Elig_MatchAll_Ct&lt;22,$BC629=(Elig_MatchAll_Ct-1),AK629=0),H629,0)</f>
        <v>0</v>
      </c>
      <c r="BN629" s="173">
        <f>IF(AND(Input_Product=Elig!$C629,Elig_MatchAll_Ct&lt;22,$BC629=(Elig_MatchAll_Ct-1),AL629=0),I629,0)</f>
        <v>0</v>
      </c>
      <c r="BO629" s="173">
        <f>IF(AND(Input_Product=Elig!$C629,Elig_MatchAll_Ct&lt;22,$BC629=(Elig_MatchAll_Ct-1),AM629=0),J629,0)</f>
        <v>0</v>
      </c>
      <c r="BP629" s="173">
        <f>IF(AND(Input_Product=Elig!$C629,Elig_MatchAll_Ct&lt;22,$BC629=(Elig_MatchAll_Ct-1),AN629=0),K629,0)</f>
        <v>0</v>
      </c>
      <c r="BQ629" s="173">
        <f>IF(AND(Input_Product=Elig!$C629,Elig_MatchAll_Ct&lt;22,$BC629=(Elig_MatchAll_Ct-1),AP629=0),L629,0)</f>
        <v>0</v>
      </c>
      <c r="BR629" s="173">
        <f>IF(AND(Input_Product=Elig!$C629,Elig_MatchAll_Ct&lt;22,$BC629=(Elig_MatchAll_Ct-1),AO629=0),M629,0)</f>
        <v>0</v>
      </c>
      <c r="BS629" s="173">
        <f>IF(AND(Input_Product=Elig!$C629,Elig_MatchAll_Ct&lt;22,$BC629=(Elig_MatchAll_Ct-1),AQ629=0),N629,0)</f>
        <v>0</v>
      </c>
      <c r="BT629" s="173">
        <f>IF(AND(Input_Product=Elig!$C629,Elig_MatchAll_Ct&lt;22,$BC629=(Elig_MatchAll_Ct-1),AR629=0),O629,0)</f>
        <v>0</v>
      </c>
      <c r="BU629" s="173">
        <f>IF(AND(Input_Product=Elig!$C629,Elig_MatchAll_Ct&lt;22,$BC629=(Elig_MatchAll_Ct-1),AS629=0),P629,0)</f>
        <v>0</v>
      </c>
      <c r="BV629" s="174">
        <f>IF(AND(Input_Product=Elig!$C629,Elig_MatchAll_Ct&lt;22,$BC629=(Elig_MatchAll_Ct-1),AT629=0),Q629,0)</f>
        <v>0</v>
      </c>
      <c r="BW629" s="175">
        <f>IF(AND(Input_Product=Elig!$C629,Elig_MatchAll_Ct&lt;22,$BC629=(Elig_MatchAll_Ct-1),AU629=0),R629,0)</f>
        <v>0</v>
      </c>
      <c r="BX629" s="176">
        <f>IF(AND(Input_Product=Elig!$C629,Elig_MatchAll_Ct&lt;22,$BC629=(Elig_MatchAll_Ct-1),AU629=0),S629,0)</f>
        <v>0</v>
      </c>
      <c r="BY629" s="175">
        <f>IF(AND(Input_Product=Elig!$C629,Elig_MatchAll_Ct&lt;22,$BC629=(Elig_MatchAll_Ct-1),AV629=0),T629,0)</f>
        <v>0</v>
      </c>
      <c r="BZ629" s="176">
        <f>IF(AND(Input_Product=Elig!$C629,Elig_MatchAll_Ct&lt;22,$BC629=(Elig_MatchAll_Ct-1),AV629=0),U629,0)</f>
        <v>0</v>
      </c>
      <c r="CA629" s="175">
        <f>IF(AND(Input_Product=Elig!$C629,Elig_MatchAll_Ct&lt;22,$BC629=(Elig_MatchAll_Ct-1),AW629=0),V629,0)</f>
        <v>0</v>
      </c>
      <c r="CB629" s="176">
        <f>IF(AND(Input_Product=Elig!$C629,Elig_MatchAll_Ct&lt;22,$BC629=(Elig_MatchAll_Ct-1),AW629=0),W629,0)</f>
        <v>0</v>
      </c>
      <c r="CC629" s="175">
        <f>IF(AND(Input_Product=Elig!$C629,Elig_MatchAll_Ct&lt;22,$BC629=(Elig_MatchAll_Ct-1),AX629=0),X629,0)</f>
        <v>0</v>
      </c>
      <c r="CD629" s="176">
        <f>IF(AND(Input_Product=Elig!$C629,Elig_MatchAll_Ct&lt;22,$BC629=(Elig_MatchAll_Ct-1),AX629=0),Y629,0)</f>
        <v>0</v>
      </c>
      <c r="CE629" s="175">
        <f>IF(AND(Input_LTV&lt;=AE629,Input_Product=Elig!$C629,Elig_MatchAll_Ct&lt;22,$BC629=(Elig_MatchAll_Ct-1),AY629=0),Z629,0)</f>
        <v>0</v>
      </c>
      <c r="CF629" s="176">
        <f>IF(AND(Input_LTV&lt;=AE629,Input_Product=Elig!$C629,Elig_MatchAll_Ct&lt;22,$BC629=(Elig_MatchAll_Ct-1),AY629=0),AA629,0)</f>
        <v>0</v>
      </c>
      <c r="CG629" s="175">
        <f>IF(AND(Input_Product=Elig!$C629,Elig_MatchAll_Ct&lt;22,$BC629=(Elig_MatchAll_Ct-1),AZ629=0),AB629,0)</f>
        <v>0</v>
      </c>
      <c r="CH629" s="176">
        <f>IF(AND(Input_Product=Elig!$C629,Elig_MatchAll_Ct&lt;22,$BC629=(Elig_MatchAll_Ct-1),AZ629=0),AC629,0)</f>
        <v>0</v>
      </c>
      <c r="CI629" s="175">
        <f>IF(AND(Input_Product=Elig!$C629,Elig_MatchAll_Ct&lt;22,$BC629=(Elig_MatchAll_Ct-1),BA629=0),AD629,0)</f>
        <v>0</v>
      </c>
      <c r="CJ629" s="176">
        <f>IF(AND(Input_Product=Elig!$C629,Elig_MatchAll_Ct&lt;22,$BC629=(Elig_MatchAll_Ct-1),BA629=0),AE629,0)</f>
        <v>0</v>
      </c>
    </row>
    <row r="630" spans="1:88" ht="10.15" customHeight="1" x14ac:dyDescent="0.25">
      <c r="A630" s="1476" t="s">
        <v>76</v>
      </c>
      <c r="B630" s="1476" t="s">
        <v>1954</v>
      </c>
      <c r="C630" s="1481" t="str">
        <f t="shared" si="204"/>
        <v>Second OO</v>
      </c>
      <c r="D630" s="1480" t="s">
        <v>1338</v>
      </c>
      <c r="E630" s="1480" t="s">
        <v>98</v>
      </c>
      <c r="F630" s="1480" t="s">
        <v>327</v>
      </c>
      <c r="G630" s="1482" t="s">
        <v>178</v>
      </c>
      <c r="H630" s="1482" t="s">
        <v>135</v>
      </c>
      <c r="I630" s="1480" t="s">
        <v>1141</v>
      </c>
      <c r="J630" s="1480" t="s">
        <v>1130</v>
      </c>
      <c r="K630" s="1482" t="s">
        <v>2464</v>
      </c>
      <c r="L630" s="1480" t="s">
        <v>428</v>
      </c>
      <c r="M630" s="1480" t="s">
        <v>1835</v>
      </c>
      <c r="N630" s="1482" t="s">
        <v>82</v>
      </c>
      <c r="O630" s="1480" t="s">
        <v>309</v>
      </c>
      <c r="P630" s="1480" t="s">
        <v>2433</v>
      </c>
      <c r="Q630" s="1480" t="s">
        <v>293</v>
      </c>
      <c r="R630" s="1480">
        <v>350000.01</v>
      </c>
      <c r="S630" s="277">
        <v>500000</v>
      </c>
      <c r="T630" s="1480">
        <v>0</v>
      </c>
      <c r="U630" s="1480">
        <f t="shared" si="225"/>
        <v>500000</v>
      </c>
      <c r="V630" s="1480">
        <v>0</v>
      </c>
      <c r="W630" s="1480">
        <v>50</v>
      </c>
      <c r="X630" s="1480">
        <v>0</v>
      </c>
      <c r="Y630" s="1480">
        <v>999</v>
      </c>
      <c r="Z630" s="1483">
        <v>660</v>
      </c>
      <c r="AA630" s="1483">
        <v>679</v>
      </c>
      <c r="AB630" s="1483">
        <v>0</v>
      </c>
      <c r="AC630" s="1483">
        <v>999999</v>
      </c>
      <c r="AD630" s="1480">
        <v>0</v>
      </c>
      <c r="AE630" s="1220">
        <v>60</v>
      </c>
      <c r="AF630" s="144">
        <v>0</v>
      </c>
      <c r="AG630" s="145">
        <v>1</v>
      </c>
      <c r="AH630" s="145">
        <v>1</v>
      </c>
      <c r="AI630" s="145">
        <v>0</v>
      </c>
      <c r="AJ630" s="145">
        <v>0</v>
      </c>
      <c r="AK630" s="145">
        <v>1</v>
      </c>
      <c r="AL630" s="145">
        <v>1</v>
      </c>
      <c r="AM630" s="145">
        <v>1</v>
      </c>
      <c r="AN630" s="145">
        <v>1</v>
      </c>
      <c r="AO630" s="145">
        <v>1</v>
      </c>
      <c r="AP630" s="145">
        <v>1</v>
      </c>
      <c r="AQ630" s="145">
        <v>0</v>
      </c>
      <c r="AR630" s="145">
        <v>1</v>
      </c>
      <c r="AS630" s="145">
        <v>1</v>
      </c>
      <c r="AT630" s="145">
        <v>1</v>
      </c>
      <c r="AU630" s="145">
        <f t="shared" si="219"/>
        <v>0</v>
      </c>
      <c r="AV630" s="145">
        <f t="shared" si="220"/>
        <v>1</v>
      </c>
      <c r="AW630" s="145">
        <f t="shared" si="221"/>
        <v>1</v>
      </c>
      <c r="AX630" s="145">
        <f t="shared" si="226"/>
        <v>1</v>
      </c>
      <c r="AY630" s="145">
        <f t="shared" si="222"/>
        <v>0</v>
      </c>
      <c r="AZ630" s="145">
        <f t="shared" si="223"/>
        <v>1</v>
      </c>
      <c r="BA630" s="146">
        <f t="shared" si="224"/>
        <v>0</v>
      </c>
      <c r="BB630" s="149">
        <f t="shared" si="214"/>
        <v>15</v>
      </c>
      <c r="BC630" s="150">
        <f t="shared" si="215"/>
        <v>15</v>
      </c>
      <c r="BD630" s="150">
        <f t="shared" si="216"/>
        <v>15</v>
      </c>
      <c r="BE630" s="211" t="str">
        <f t="shared" si="217"/>
        <v/>
      </c>
      <c r="BF630" s="205"/>
      <c r="BG630" s="205"/>
      <c r="BH630" s="188">
        <f>IF(AND(Input_Product=Elig!$C630,Elig_MatchAll_Ct&lt;22,$BC630=(Elig_MatchAll_Ct-1),AF630=0),C630,0)</f>
        <v>0</v>
      </c>
      <c r="BI630" s="188">
        <f>IF(AND(Input_Product=Elig!$C630,Elig_MatchAll_Ct&lt;22,$BC630=(Elig_MatchAll_Ct-1),AG630=0),D630,0)</f>
        <v>0</v>
      </c>
      <c r="BJ630" s="188">
        <f>IF(AND(Input_Product=Elig!$C630,Elig_MatchAll_Ct&lt;22,$BC630=(Elig_MatchAll_Ct-1),AH630=0),E630,0)</f>
        <v>0</v>
      </c>
      <c r="BK630" s="188">
        <f>IF(AND(Input_Product=Elig!$C630,Elig_MatchAll_Ct&lt;22,$BC630=(Elig_MatchAll_Ct-1),AI630=0),F630,0)</f>
        <v>0</v>
      </c>
      <c r="BL630" s="188">
        <f>IF(AND(Input_Product=Elig!$C630,Elig_MatchAll_Ct&lt;22,$BC630=(Elig_MatchAll_Ct-1),AJ630=0),G630,0)</f>
        <v>0</v>
      </c>
      <c r="BM630" s="188">
        <f>IF(AND(Input_Product=Elig!$C630,Elig_MatchAll_Ct&lt;22,$BC630=(Elig_MatchAll_Ct-1),AK630=0),H630,0)</f>
        <v>0</v>
      </c>
      <c r="BN630" s="188">
        <f>IF(AND(Input_Product=Elig!$C630,Elig_MatchAll_Ct&lt;22,$BC630=(Elig_MatchAll_Ct-1),AL630=0),I630,0)</f>
        <v>0</v>
      </c>
      <c r="BO630" s="188">
        <f>IF(AND(Input_Product=Elig!$C630,Elig_MatchAll_Ct&lt;22,$BC630=(Elig_MatchAll_Ct-1),AM630=0),J630,0)</f>
        <v>0</v>
      </c>
      <c r="BP630" s="188">
        <f>IF(AND(Input_Product=Elig!$C630,Elig_MatchAll_Ct&lt;22,$BC630=(Elig_MatchAll_Ct-1),AN630=0),K630,0)</f>
        <v>0</v>
      </c>
      <c r="BQ630" s="188">
        <f>IF(AND(Input_Product=Elig!$C630,Elig_MatchAll_Ct&lt;22,$BC630=(Elig_MatchAll_Ct-1),AP630=0),L630,0)</f>
        <v>0</v>
      </c>
      <c r="BR630" s="188">
        <f>IF(AND(Input_Product=Elig!$C630,Elig_MatchAll_Ct&lt;22,$BC630=(Elig_MatchAll_Ct-1),AO630=0),M630,0)</f>
        <v>0</v>
      </c>
      <c r="BS630" s="188">
        <f>IF(AND(Input_Product=Elig!$C630,Elig_MatchAll_Ct&lt;22,$BC630=(Elig_MatchAll_Ct-1),AQ630=0),N630,0)</f>
        <v>0</v>
      </c>
      <c r="BT630" s="188">
        <f>IF(AND(Input_Product=Elig!$C630,Elig_MatchAll_Ct&lt;22,$BC630=(Elig_MatchAll_Ct-1),AR630=0),O630,0)</f>
        <v>0</v>
      </c>
      <c r="BU630" s="188">
        <f>IF(AND(Input_Product=Elig!$C630,Elig_MatchAll_Ct&lt;22,$BC630=(Elig_MatchAll_Ct-1),AS630=0),P630,0)</f>
        <v>0</v>
      </c>
      <c r="BV630" s="189">
        <f>IF(AND(Input_Product=Elig!$C630,Elig_MatchAll_Ct&lt;22,$BC630=(Elig_MatchAll_Ct-1),AT630=0),Q630,0)</f>
        <v>0</v>
      </c>
      <c r="BW630" s="271">
        <f>IF(AND(Input_Product=Elig!$C630,Elig_MatchAll_Ct&lt;22,$BC630=(Elig_MatchAll_Ct-1),AU630=0),R630,0)</f>
        <v>0</v>
      </c>
      <c r="BX630" s="272">
        <f>IF(AND(Input_Product=Elig!$C630,Elig_MatchAll_Ct&lt;22,$BC630=(Elig_MatchAll_Ct-1),AU630=0),S630,0)</f>
        <v>0</v>
      </c>
      <c r="BY630" s="271">
        <f>IF(AND(Input_Product=Elig!$C630,Elig_MatchAll_Ct&lt;22,$BC630=(Elig_MatchAll_Ct-1),AV630=0),T630,0)</f>
        <v>0</v>
      </c>
      <c r="BZ630" s="272">
        <f>IF(AND(Input_Product=Elig!$C630,Elig_MatchAll_Ct&lt;22,$BC630=(Elig_MatchAll_Ct-1),AV630=0),U630,0)</f>
        <v>0</v>
      </c>
      <c r="CA630" s="271">
        <f>IF(AND(Input_Product=Elig!$C630,Elig_MatchAll_Ct&lt;22,$BC630=(Elig_MatchAll_Ct-1),AW630=0),V630,0)</f>
        <v>0</v>
      </c>
      <c r="CB630" s="272">
        <f>IF(AND(Input_Product=Elig!$C630,Elig_MatchAll_Ct&lt;22,$BC630=(Elig_MatchAll_Ct-1),AW630=0),W630,0)</f>
        <v>0</v>
      </c>
      <c r="CC630" s="271">
        <f>IF(AND(Input_Product=Elig!$C630,Elig_MatchAll_Ct&lt;22,$BC630=(Elig_MatchAll_Ct-1),AX630=0),X630,0)</f>
        <v>0</v>
      </c>
      <c r="CD630" s="272">
        <f>IF(AND(Input_Product=Elig!$C630,Elig_MatchAll_Ct&lt;22,$BC630=(Elig_MatchAll_Ct-1),AX630=0),Y630,0)</f>
        <v>0</v>
      </c>
      <c r="CE630" s="271">
        <f>IF(AND(Input_LTV&lt;=AE630,Input_Product=Elig!$C630,Elig_MatchAll_Ct&lt;22,$BC630=(Elig_MatchAll_Ct-1),AY630=0),Z630,0)</f>
        <v>0</v>
      </c>
      <c r="CF630" s="272">
        <f>IF(AND(Input_LTV&lt;=AE630,Input_Product=Elig!$C630,Elig_MatchAll_Ct&lt;22,$BC630=(Elig_MatchAll_Ct-1),AY630=0),AA630,0)</f>
        <v>0</v>
      </c>
      <c r="CG630" s="271">
        <f>IF(AND(Input_Product=Elig!$C630,Elig_MatchAll_Ct&lt;22,$BC630=(Elig_MatchAll_Ct-1),AZ630=0),AB630,0)</f>
        <v>0</v>
      </c>
      <c r="CH630" s="272">
        <f>IF(AND(Input_Product=Elig!$C630,Elig_MatchAll_Ct&lt;22,$BC630=(Elig_MatchAll_Ct-1),AZ630=0),AC630,0)</f>
        <v>0</v>
      </c>
      <c r="CI630" s="271">
        <f>IF(AND(Input_Product=Elig!$C630,Elig_MatchAll_Ct&lt;22,$BC630=(Elig_MatchAll_Ct-1),BA630=0),AD630,0)</f>
        <v>0</v>
      </c>
      <c r="CJ630" s="272">
        <f>IF(AND(Input_Product=Elig!$C630,Elig_MatchAll_Ct&lt;22,$BC630=(Elig_MatchAll_Ct-1),BA630=0),AE630,0)</f>
        <v>0</v>
      </c>
    </row>
    <row r="631" spans="1:88" ht="10.15" customHeight="1" x14ac:dyDescent="0.25">
      <c r="A631" s="1476" t="s">
        <v>76</v>
      </c>
      <c r="B631" s="1476" t="s">
        <v>1955</v>
      </c>
      <c r="C631" s="1473" t="str">
        <f t="shared" si="204"/>
        <v>Second OO</v>
      </c>
      <c r="D631" s="1474" t="s">
        <v>1338</v>
      </c>
      <c r="E631" s="1474" t="s">
        <v>98</v>
      </c>
      <c r="F631" s="1474" t="s">
        <v>328</v>
      </c>
      <c r="G631" s="1474" t="s">
        <v>302</v>
      </c>
      <c r="H631" s="1474" t="s">
        <v>135</v>
      </c>
      <c r="I631" s="1472" t="s">
        <v>1141</v>
      </c>
      <c r="J631" s="1472" t="s">
        <v>1130</v>
      </c>
      <c r="K631" s="1474" t="s">
        <v>2464</v>
      </c>
      <c r="L631" s="1472" t="s">
        <v>428</v>
      </c>
      <c r="M631" s="1472" t="s">
        <v>1835</v>
      </c>
      <c r="N631" s="1474" t="s">
        <v>82</v>
      </c>
      <c r="O631" s="1472" t="s">
        <v>309</v>
      </c>
      <c r="P631" s="1472" t="s">
        <v>2433</v>
      </c>
      <c r="Q631" s="1472" t="s">
        <v>293</v>
      </c>
      <c r="R631" s="1472">
        <v>350000.01</v>
      </c>
      <c r="S631" s="276">
        <v>500000</v>
      </c>
      <c r="T631" s="1472">
        <v>0</v>
      </c>
      <c r="U631" s="1472">
        <f t="shared" si="225"/>
        <v>500000</v>
      </c>
      <c r="V631" s="1472">
        <v>0</v>
      </c>
      <c r="W631" s="1472">
        <v>50</v>
      </c>
      <c r="X631" s="1472">
        <v>0</v>
      </c>
      <c r="Y631" s="1472">
        <v>999</v>
      </c>
      <c r="Z631" s="1475">
        <v>720</v>
      </c>
      <c r="AA631" s="1475">
        <v>999</v>
      </c>
      <c r="AB631" s="1475">
        <v>0</v>
      </c>
      <c r="AC631" s="1475">
        <v>999999</v>
      </c>
      <c r="AD631" s="1472">
        <v>0</v>
      </c>
      <c r="AE631" s="1218">
        <v>80</v>
      </c>
      <c r="AF631" s="144">
        <v>0</v>
      </c>
      <c r="AG631" s="145">
        <v>1</v>
      </c>
      <c r="AH631" s="145">
        <v>1</v>
      </c>
      <c r="AI631" s="145">
        <v>0</v>
      </c>
      <c r="AJ631" s="145">
        <v>0</v>
      </c>
      <c r="AK631" s="145">
        <v>1</v>
      </c>
      <c r="AL631" s="145">
        <v>1</v>
      </c>
      <c r="AM631" s="145">
        <v>1</v>
      </c>
      <c r="AN631" s="145">
        <v>1</v>
      </c>
      <c r="AO631" s="145">
        <v>1</v>
      </c>
      <c r="AP631" s="145">
        <v>1</v>
      </c>
      <c r="AQ631" s="145">
        <v>0</v>
      </c>
      <c r="AR631" s="145">
        <v>1</v>
      </c>
      <c r="AS631" s="145">
        <v>1</v>
      </c>
      <c r="AT631" s="145">
        <v>1</v>
      </c>
      <c r="AU631" s="145">
        <f t="shared" si="219"/>
        <v>0</v>
      </c>
      <c r="AV631" s="145">
        <f t="shared" si="220"/>
        <v>1</v>
      </c>
      <c r="AW631" s="145">
        <f t="shared" si="221"/>
        <v>1</v>
      </c>
      <c r="AX631" s="145">
        <f t="shared" si="226"/>
        <v>1</v>
      </c>
      <c r="AY631" s="145">
        <f t="shared" si="222"/>
        <v>1</v>
      </c>
      <c r="AZ631" s="145">
        <f t="shared" si="223"/>
        <v>1</v>
      </c>
      <c r="BA631" s="146">
        <f t="shared" si="224"/>
        <v>1</v>
      </c>
      <c r="BB631" s="149">
        <f t="shared" si="214"/>
        <v>17</v>
      </c>
      <c r="BC631" s="150">
        <f t="shared" si="215"/>
        <v>16</v>
      </c>
      <c r="BD631" s="150">
        <f t="shared" si="216"/>
        <v>17</v>
      </c>
      <c r="BE631" s="211" t="str">
        <f t="shared" si="217"/>
        <v/>
      </c>
      <c r="BF631" s="194"/>
      <c r="BG631" s="194"/>
      <c r="BH631" s="190">
        <f>IF(AND(Input_Product=Elig!$C631,Elig_MatchAll_Ct&lt;22,$BC631=(Elig_MatchAll_Ct-1),AF631=0),C631,0)</f>
        <v>0</v>
      </c>
      <c r="BI631" s="190">
        <f>IF(AND(Input_Product=Elig!$C631,Elig_MatchAll_Ct&lt;22,$BC631=(Elig_MatchAll_Ct-1),AG631=0),D631,0)</f>
        <v>0</v>
      </c>
      <c r="BJ631" s="190">
        <f>IF(AND(Input_Product=Elig!$C631,Elig_MatchAll_Ct&lt;22,$BC631=(Elig_MatchAll_Ct-1),AH631=0),E631,0)</f>
        <v>0</v>
      </c>
      <c r="BK631" s="190">
        <f>IF(AND(Input_Product=Elig!$C631,Elig_MatchAll_Ct&lt;22,$BC631=(Elig_MatchAll_Ct-1),AI631=0),F631,0)</f>
        <v>0</v>
      </c>
      <c r="BL631" s="190">
        <f>IF(AND(Input_Product=Elig!$C631,Elig_MatchAll_Ct&lt;22,$BC631=(Elig_MatchAll_Ct-1),AJ631=0),G631,0)</f>
        <v>0</v>
      </c>
      <c r="BM631" s="190">
        <f>IF(AND(Input_Product=Elig!$C631,Elig_MatchAll_Ct&lt;22,$BC631=(Elig_MatchAll_Ct-1),AK631=0),H631,0)</f>
        <v>0</v>
      </c>
      <c r="BN631" s="190">
        <f>IF(AND(Input_Product=Elig!$C631,Elig_MatchAll_Ct&lt;22,$BC631=(Elig_MatchAll_Ct-1),AL631=0),I631,0)</f>
        <v>0</v>
      </c>
      <c r="BO631" s="190">
        <f>IF(AND(Input_Product=Elig!$C631,Elig_MatchAll_Ct&lt;22,$BC631=(Elig_MatchAll_Ct-1),AM631=0),J631,0)</f>
        <v>0</v>
      </c>
      <c r="BP631" s="190">
        <f>IF(AND(Input_Product=Elig!$C631,Elig_MatchAll_Ct&lt;22,$BC631=(Elig_MatchAll_Ct-1),AN631=0),K631,0)</f>
        <v>0</v>
      </c>
      <c r="BQ631" s="190">
        <f>IF(AND(Input_Product=Elig!$C631,Elig_MatchAll_Ct&lt;22,$BC631=(Elig_MatchAll_Ct-1),AP631=0),L631,0)</f>
        <v>0</v>
      </c>
      <c r="BR631" s="190">
        <f>IF(AND(Input_Product=Elig!$C631,Elig_MatchAll_Ct&lt;22,$BC631=(Elig_MatchAll_Ct-1),AO631=0),M631,0)</f>
        <v>0</v>
      </c>
      <c r="BS631" s="190">
        <f>IF(AND(Input_Product=Elig!$C631,Elig_MatchAll_Ct&lt;22,$BC631=(Elig_MatchAll_Ct-1),AQ631=0),N631,0)</f>
        <v>0</v>
      </c>
      <c r="BT631" s="190">
        <f>IF(AND(Input_Product=Elig!$C631,Elig_MatchAll_Ct&lt;22,$BC631=(Elig_MatchAll_Ct-1),AR631=0),O631,0)</f>
        <v>0</v>
      </c>
      <c r="BU631" s="190">
        <f>IF(AND(Input_Product=Elig!$C631,Elig_MatchAll_Ct&lt;22,$BC631=(Elig_MatchAll_Ct-1),AS631=0),P631,0)</f>
        <v>0</v>
      </c>
      <c r="BV631" s="191">
        <f>IF(AND(Input_Product=Elig!$C631,Elig_MatchAll_Ct&lt;22,$BC631=(Elig_MatchAll_Ct-1),AT631=0),Q631,0)</f>
        <v>0</v>
      </c>
      <c r="BW631" s="273">
        <f>IF(AND(Input_Product=Elig!$C631,Elig_MatchAll_Ct&lt;22,$BC631=(Elig_MatchAll_Ct-1),AU631=0),R631,0)</f>
        <v>0</v>
      </c>
      <c r="BX631" s="274">
        <f>IF(AND(Input_Product=Elig!$C631,Elig_MatchAll_Ct&lt;22,$BC631=(Elig_MatchAll_Ct-1),AU631=0),S631,0)</f>
        <v>0</v>
      </c>
      <c r="BY631" s="273">
        <f>IF(AND(Input_Product=Elig!$C631,Elig_MatchAll_Ct&lt;22,$BC631=(Elig_MatchAll_Ct-1),AV631=0),T631,0)</f>
        <v>0</v>
      </c>
      <c r="BZ631" s="274">
        <f>IF(AND(Input_Product=Elig!$C631,Elig_MatchAll_Ct&lt;22,$BC631=(Elig_MatchAll_Ct-1),AV631=0),U631,0)</f>
        <v>0</v>
      </c>
      <c r="CA631" s="273">
        <f>IF(AND(Input_Product=Elig!$C631,Elig_MatchAll_Ct&lt;22,$BC631=(Elig_MatchAll_Ct-1),AW631=0),V631,0)</f>
        <v>0</v>
      </c>
      <c r="CB631" s="274">
        <f>IF(AND(Input_Product=Elig!$C631,Elig_MatchAll_Ct&lt;22,$BC631=(Elig_MatchAll_Ct-1),AW631=0),W631,0)</f>
        <v>0</v>
      </c>
      <c r="CC631" s="273">
        <f>IF(AND(Input_Product=Elig!$C631,Elig_MatchAll_Ct&lt;22,$BC631=(Elig_MatchAll_Ct-1),AX631=0),X631,0)</f>
        <v>0</v>
      </c>
      <c r="CD631" s="274">
        <f>IF(AND(Input_Product=Elig!$C631,Elig_MatchAll_Ct&lt;22,$BC631=(Elig_MatchAll_Ct-1),AX631=0),Y631,0)</f>
        <v>0</v>
      </c>
      <c r="CE631" s="273">
        <f>IF(AND(Input_LTV&lt;=AE631,Input_Product=Elig!$C631,Elig_MatchAll_Ct&lt;22,$BC631=(Elig_MatchAll_Ct-1),AY631=0),Z631,0)</f>
        <v>0</v>
      </c>
      <c r="CF631" s="274">
        <f>IF(AND(Input_LTV&lt;=AE631,Input_Product=Elig!$C631,Elig_MatchAll_Ct&lt;22,$BC631=(Elig_MatchAll_Ct-1),AY631=0),AA631,0)</f>
        <v>0</v>
      </c>
      <c r="CG631" s="273">
        <f>IF(AND(Input_Product=Elig!$C631,Elig_MatchAll_Ct&lt;22,$BC631=(Elig_MatchAll_Ct-1),AZ631=0),AB631,0)</f>
        <v>0</v>
      </c>
      <c r="CH631" s="274">
        <f>IF(AND(Input_Product=Elig!$C631,Elig_MatchAll_Ct&lt;22,$BC631=(Elig_MatchAll_Ct-1),AZ631=0),AC631,0)</f>
        <v>0</v>
      </c>
      <c r="CI631" s="273">
        <f>IF(AND(Input_Product=Elig!$C631,Elig_MatchAll_Ct&lt;22,$BC631=(Elig_MatchAll_Ct-1),BA631=0),AD631,0)</f>
        <v>0</v>
      </c>
      <c r="CJ631" s="274">
        <f>IF(AND(Input_Product=Elig!$C631,Elig_MatchAll_Ct&lt;22,$BC631=(Elig_MatchAll_Ct-1),BA631=0),AE631,0)</f>
        <v>0</v>
      </c>
    </row>
    <row r="632" spans="1:88" ht="10.15" customHeight="1" x14ac:dyDescent="0.25">
      <c r="A632" s="1476" t="s">
        <v>76</v>
      </c>
      <c r="B632" s="1476" t="s">
        <v>1956</v>
      </c>
      <c r="C632" s="1477" t="str">
        <f t="shared" si="204"/>
        <v>Second OO</v>
      </c>
      <c r="D632" s="1476" t="s">
        <v>1338</v>
      </c>
      <c r="E632" s="1476" t="s">
        <v>98</v>
      </c>
      <c r="F632" s="1476" t="s">
        <v>328</v>
      </c>
      <c r="G632" s="1478" t="s">
        <v>302</v>
      </c>
      <c r="H632" s="1478" t="s">
        <v>135</v>
      </c>
      <c r="I632" s="1476" t="s">
        <v>1141</v>
      </c>
      <c r="J632" s="1476" t="s">
        <v>1130</v>
      </c>
      <c r="K632" s="1478" t="s">
        <v>2464</v>
      </c>
      <c r="L632" s="1476" t="s">
        <v>428</v>
      </c>
      <c r="M632" s="1476" t="s">
        <v>1835</v>
      </c>
      <c r="N632" s="1478" t="s">
        <v>82</v>
      </c>
      <c r="O632" s="1476" t="s">
        <v>309</v>
      </c>
      <c r="P632" s="1476" t="s">
        <v>2433</v>
      </c>
      <c r="Q632" s="1476" t="s">
        <v>293</v>
      </c>
      <c r="R632" s="1476">
        <v>350000.01</v>
      </c>
      <c r="S632" s="261">
        <v>500000</v>
      </c>
      <c r="T632" s="1476">
        <v>0</v>
      </c>
      <c r="U632" s="1476">
        <f t="shared" si="225"/>
        <v>500000</v>
      </c>
      <c r="V632" s="1476">
        <v>0</v>
      </c>
      <c r="W632" s="1476">
        <v>50</v>
      </c>
      <c r="X632" s="1476">
        <v>0</v>
      </c>
      <c r="Y632" s="1476">
        <v>999</v>
      </c>
      <c r="Z632" s="1479">
        <v>700</v>
      </c>
      <c r="AA632" s="1479">
        <v>719</v>
      </c>
      <c r="AB632" s="1479">
        <v>0</v>
      </c>
      <c r="AC632" s="1479">
        <v>999999</v>
      </c>
      <c r="AD632" s="1476">
        <v>0</v>
      </c>
      <c r="AE632" s="1539">
        <v>80</v>
      </c>
      <c r="AF632" s="144">
        <v>0</v>
      </c>
      <c r="AG632" s="145">
        <v>1</v>
      </c>
      <c r="AH632" s="145">
        <v>1</v>
      </c>
      <c r="AI632" s="145">
        <v>0</v>
      </c>
      <c r="AJ632" s="145">
        <v>0</v>
      </c>
      <c r="AK632" s="145">
        <v>1</v>
      </c>
      <c r="AL632" s="145">
        <v>1</v>
      </c>
      <c r="AM632" s="145">
        <v>1</v>
      </c>
      <c r="AN632" s="145">
        <v>1</v>
      </c>
      <c r="AO632" s="145">
        <v>1</v>
      </c>
      <c r="AP632" s="145">
        <v>1</v>
      </c>
      <c r="AQ632" s="145">
        <v>0</v>
      </c>
      <c r="AR632" s="145">
        <v>1</v>
      </c>
      <c r="AS632" s="145">
        <v>1</v>
      </c>
      <c r="AT632" s="145">
        <v>1</v>
      </c>
      <c r="AU632" s="145">
        <f t="shared" si="219"/>
        <v>0</v>
      </c>
      <c r="AV632" s="145">
        <f t="shared" si="220"/>
        <v>1</v>
      </c>
      <c r="AW632" s="145">
        <f t="shared" si="221"/>
        <v>1</v>
      </c>
      <c r="AX632" s="145">
        <f t="shared" si="226"/>
        <v>1</v>
      </c>
      <c r="AY632" s="145">
        <f t="shared" si="222"/>
        <v>0</v>
      </c>
      <c r="AZ632" s="145">
        <f t="shared" si="223"/>
        <v>1</v>
      </c>
      <c r="BA632" s="146">
        <f t="shared" si="224"/>
        <v>1</v>
      </c>
      <c r="BB632" s="149">
        <f t="shared" si="214"/>
        <v>16</v>
      </c>
      <c r="BC632" s="150">
        <f t="shared" si="215"/>
        <v>15</v>
      </c>
      <c r="BD632" s="150">
        <f t="shared" si="216"/>
        <v>16</v>
      </c>
      <c r="BE632" s="211" t="str">
        <f t="shared" si="217"/>
        <v/>
      </c>
      <c r="BF632" s="205"/>
      <c r="BG632" s="205"/>
      <c r="BH632" s="173">
        <f>IF(AND(Input_Product=Elig!$C632,Elig_MatchAll_Ct&lt;22,$BC632=(Elig_MatchAll_Ct-1),AF632=0),C632,0)</f>
        <v>0</v>
      </c>
      <c r="BI632" s="173">
        <f>IF(AND(Input_Product=Elig!$C632,Elig_MatchAll_Ct&lt;22,$BC632=(Elig_MatchAll_Ct-1),AG632=0),D632,0)</f>
        <v>0</v>
      </c>
      <c r="BJ632" s="173">
        <f>IF(AND(Input_Product=Elig!$C632,Elig_MatchAll_Ct&lt;22,$BC632=(Elig_MatchAll_Ct-1),AH632=0),E632,0)</f>
        <v>0</v>
      </c>
      <c r="BK632" s="173">
        <f>IF(AND(Input_Product=Elig!$C632,Elig_MatchAll_Ct&lt;22,$BC632=(Elig_MatchAll_Ct-1),AI632=0),F632,0)</f>
        <v>0</v>
      </c>
      <c r="BL632" s="173">
        <f>IF(AND(Input_Product=Elig!$C632,Elig_MatchAll_Ct&lt;22,$BC632=(Elig_MatchAll_Ct-1),AJ632=0),G632,0)</f>
        <v>0</v>
      </c>
      <c r="BM632" s="173">
        <f>IF(AND(Input_Product=Elig!$C632,Elig_MatchAll_Ct&lt;22,$BC632=(Elig_MatchAll_Ct-1),AK632=0),H632,0)</f>
        <v>0</v>
      </c>
      <c r="BN632" s="173">
        <f>IF(AND(Input_Product=Elig!$C632,Elig_MatchAll_Ct&lt;22,$BC632=(Elig_MatchAll_Ct-1),AL632=0),I632,0)</f>
        <v>0</v>
      </c>
      <c r="BO632" s="173">
        <f>IF(AND(Input_Product=Elig!$C632,Elig_MatchAll_Ct&lt;22,$BC632=(Elig_MatchAll_Ct-1),AM632=0),J632,0)</f>
        <v>0</v>
      </c>
      <c r="BP632" s="173">
        <f>IF(AND(Input_Product=Elig!$C632,Elig_MatchAll_Ct&lt;22,$BC632=(Elig_MatchAll_Ct-1),AN632=0),K632,0)</f>
        <v>0</v>
      </c>
      <c r="BQ632" s="173">
        <f>IF(AND(Input_Product=Elig!$C632,Elig_MatchAll_Ct&lt;22,$BC632=(Elig_MatchAll_Ct-1),AP632=0),L632,0)</f>
        <v>0</v>
      </c>
      <c r="BR632" s="173">
        <f>IF(AND(Input_Product=Elig!$C632,Elig_MatchAll_Ct&lt;22,$BC632=(Elig_MatchAll_Ct-1),AO632=0),M632,0)</f>
        <v>0</v>
      </c>
      <c r="BS632" s="173">
        <f>IF(AND(Input_Product=Elig!$C632,Elig_MatchAll_Ct&lt;22,$BC632=(Elig_MatchAll_Ct-1),AQ632=0),N632,0)</f>
        <v>0</v>
      </c>
      <c r="BT632" s="173">
        <f>IF(AND(Input_Product=Elig!$C632,Elig_MatchAll_Ct&lt;22,$BC632=(Elig_MatchAll_Ct-1),AR632=0),O632,0)</f>
        <v>0</v>
      </c>
      <c r="BU632" s="173">
        <f>IF(AND(Input_Product=Elig!$C632,Elig_MatchAll_Ct&lt;22,$BC632=(Elig_MatchAll_Ct-1),AS632=0),P632,0)</f>
        <v>0</v>
      </c>
      <c r="BV632" s="174">
        <f>IF(AND(Input_Product=Elig!$C632,Elig_MatchAll_Ct&lt;22,$BC632=(Elig_MatchAll_Ct-1),AT632=0),Q632,0)</f>
        <v>0</v>
      </c>
      <c r="BW632" s="175">
        <f>IF(AND(Input_Product=Elig!$C632,Elig_MatchAll_Ct&lt;22,$BC632=(Elig_MatchAll_Ct-1),AU632=0),R632,0)</f>
        <v>0</v>
      </c>
      <c r="BX632" s="176">
        <f>IF(AND(Input_Product=Elig!$C632,Elig_MatchAll_Ct&lt;22,$BC632=(Elig_MatchAll_Ct-1),AU632=0),S632,0)</f>
        <v>0</v>
      </c>
      <c r="BY632" s="175">
        <f>IF(AND(Input_Product=Elig!$C632,Elig_MatchAll_Ct&lt;22,$BC632=(Elig_MatchAll_Ct-1),AV632=0),T632,0)</f>
        <v>0</v>
      </c>
      <c r="BZ632" s="176">
        <f>IF(AND(Input_Product=Elig!$C632,Elig_MatchAll_Ct&lt;22,$BC632=(Elig_MatchAll_Ct-1),AV632=0),U632,0)</f>
        <v>0</v>
      </c>
      <c r="CA632" s="175">
        <f>IF(AND(Input_Product=Elig!$C632,Elig_MatchAll_Ct&lt;22,$BC632=(Elig_MatchAll_Ct-1),AW632=0),V632,0)</f>
        <v>0</v>
      </c>
      <c r="CB632" s="176">
        <f>IF(AND(Input_Product=Elig!$C632,Elig_MatchAll_Ct&lt;22,$BC632=(Elig_MatchAll_Ct-1),AW632=0),W632,0)</f>
        <v>0</v>
      </c>
      <c r="CC632" s="175">
        <f>IF(AND(Input_Product=Elig!$C632,Elig_MatchAll_Ct&lt;22,$BC632=(Elig_MatchAll_Ct-1),AX632=0),X632,0)</f>
        <v>0</v>
      </c>
      <c r="CD632" s="176">
        <f>IF(AND(Input_Product=Elig!$C632,Elig_MatchAll_Ct&lt;22,$BC632=(Elig_MatchAll_Ct-1),AX632=0),Y632,0)</f>
        <v>0</v>
      </c>
      <c r="CE632" s="175">
        <f>IF(AND(Input_LTV&lt;=AE632,Input_Product=Elig!$C632,Elig_MatchAll_Ct&lt;22,$BC632=(Elig_MatchAll_Ct-1),AY632=0),Z632,0)</f>
        <v>0</v>
      </c>
      <c r="CF632" s="176">
        <f>IF(AND(Input_LTV&lt;=AE632,Input_Product=Elig!$C632,Elig_MatchAll_Ct&lt;22,$BC632=(Elig_MatchAll_Ct-1),AY632=0),AA632,0)</f>
        <v>0</v>
      </c>
      <c r="CG632" s="175">
        <f>IF(AND(Input_Product=Elig!$C632,Elig_MatchAll_Ct&lt;22,$BC632=(Elig_MatchAll_Ct-1),AZ632=0),AB632,0)</f>
        <v>0</v>
      </c>
      <c r="CH632" s="176">
        <f>IF(AND(Input_Product=Elig!$C632,Elig_MatchAll_Ct&lt;22,$BC632=(Elig_MatchAll_Ct-1),AZ632=0),AC632,0)</f>
        <v>0</v>
      </c>
      <c r="CI632" s="175">
        <f>IF(AND(Input_Product=Elig!$C632,Elig_MatchAll_Ct&lt;22,$BC632=(Elig_MatchAll_Ct-1),BA632=0),AD632,0)</f>
        <v>0</v>
      </c>
      <c r="CJ632" s="176">
        <f>IF(AND(Input_Product=Elig!$C632,Elig_MatchAll_Ct&lt;22,$BC632=(Elig_MatchAll_Ct-1),BA632=0),AE632,0)</f>
        <v>0</v>
      </c>
    </row>
    <row r="633" spans="1:88" ht="10.15" customHeight="1" x14ac:dyDescent="0.25">
      <c r="A633" s="1476" t="s">
        <v>76</v>
      </c>
      <c r="B633" s="1476" t="s">
        <v>1957</v>
      </c>
      <c r="C633" s="1477" t="str">
        <f t="shared" si="204"/>
        <v>Second OO</v>
      </c>
      <c r="D633" s="1476" t="s">
        <v>1338</v>
      </c>
      <c r="E633" s="1476" t="s">
        <v>98</v>
      </c>
      <c r="F633" s="1476" t="s">
        <v>328</v>
      </c>
      <c r="G633" s="1478" t="s">
        <v>302</v>
      </c>
      <c r="H633" s="1478" t="s">
        <v>135</v>
      </c>
      <c r="I633" s="1476" t="s">
        <v>1141</v>
      </c>
      <c r="J633" s="1476" t="s">
        <v>1130</v>
      </c>
      <c r="K633" s="1478" t="s">
        <v>2464</v>
      </c>
      <c r="L633" s="1476" t="s">
        <v>428</v>
      </c>
      <c r="M633" s="1476" t="s">
        <v>1835</v>
      </c>
      <c r="N633" s="1478" t="s">
        <v>82</v>
      </c>
      <c r="O633" s="1476" t="s">
        <v>309</v>
      </c>
      <c r="P633" s="1476" t="s">
        <v>2433</v>
      </c>
      <c r="Q633" s="1476" t="s">
        <v>293</v>
      </c>
      <c r="R633" s="1476">
        <v>350000.01</v>
      </c>
      <c r="S633" s="261">
        <v>500000</v>
      </c>
      <c r="T633" s="1476">
        <v>0</v>
      </c>
      <c r="U633" s="1476">
        <f t="shared" si="225"/>
        <v>500000</v>
      </c>
      <c r="V633" s="1476">
        <v>0</v>
      </c>
      <c r="W633" s="1476">
        <v>50</v>
      </c>
      <c r="X633" s="1476">
        <v>0</v>
      </c>
      <c r="Y633" s="1476">
        <v>999</v>
      </c>
      <c r="Z633" s="1479">
        <v>680</v>
      </c>
      <c r="AA633" s="1479">
        <v>699</v>
      </c>
      <c r="AB633" s="1479">
        <v>0</v>
      </c>
      <c r="AC633" s="1479">
        <v>999999</v>
      </c>
      <c r="AD633" s="1476">
        <v>0</v>
      </c>
      <c r="AE633" s="1219">
        <v>70</v>
      </c>
      <c r="AF633" s="144">
        <v>0</v>
      </c>
      <c r="AG633" s="145">
        <v>1</v>
      </c>
      <c r="AH633" s="145">
        <v>1</v>
      </c>
      <c r="AI633" s="145">
        <v>0</v>
      </c>
      <c r="AJ633" s="145">
        <v>0</v>
      </c>
      <c r="AK633" s="145">
        <v>1</v>
      </c>
      <c r="AL633" s="145">
        <v>1</v>
      </c>
      <c r="AM633" s="145">
        <v>1</v>
      </c>
      <c r="AN633" s="145">
        <v>1</v>
      </c>
      <c r="AO633" s="145">
        <v>1</v>
      </c>
      <c r="AP633" s="145">
        <v>1</v>
      </c>
      <c r="AQ633" s="145">
        <v>0</v>
      </c>
      <c r="AR633" s="145">
        <v>1</v>
      </c>
      <c r="AS633" s="145">
        <v>1</v>
      </c>
      <c r="AT633" s="145">
        <v>1</v>
      </c>
      <c r="AU633" s="145">
        <f t="shared" si="219"/>
        <v>0</v>
      </c>
      <c r="AV633" s="145">
        <f t="shared" si="220"/>
        <v>1</v>
      </c>
      <c r="AW633" s="145">
        <f t="shared" si="221"/>
        <v>1</v>
      </c>
      <c r="AX633" s="145">
        <f t="shared" si="226"/>
        <v>1</v>
      </c>
      <c r="AY633" s="145">
        <f t="shared" si="222"/>
        <v>0</v>
      </c>
      <c r="AZ633" s="145">
        <f t="shared" si="223"/>
        <v>1</v>
      </c>
      <c r="BA633" s="146">
        <f t="shared" si="224"/>
        <v>1</v>
      </c>
      <c r="BB633" s="149">
        <f t="shared" si="214"/>
        <v>16</v>
      </c>
      <c r="BC633" s="150">
        <f t="shared" si="215"/>
        <v>15</v>
      </c>
      <c r="BD633" s="150">
        <f t="shared" si="216"/>
        <v>16</v>
      </c>
      <c r="BE633" s="211" t="str">
        <f t="shared" si="217"/>
        <v/>
      </c>
      <c r="BF633" s="205"/>
      <c r="BG633" s="205"/>
      <c r="BH633" s="173">
        <f>IF(AND(Input_Product=Elig!$C633,Elig_MatchAll_Ct&lt;22,$BC633=(Elig_MatchAll_Ct-1),AF633=0),C633,0)</f>
        <v>0</v>
      </c>
      <c r="BI633" s="173">
        <f>IF(AND(Input_Product=Elig!$C633,Elig_MatchAll_Ct&lt;22,$BC633=(Elig_MatchAll_Ct-1),AG633=0),D633,0)</f>
        <v>0</v>
      </c>
      <c r="BJ633" s="173">
        <f>IF(AND(Input_Product=Elig!$C633,Elig_MatchAll_Ct&lt;22,$BC633=(Elig_MatchAll_Ct-1),AH633=0),E633,0)</f>
        <v>0</v>
      </c>
      <c r="BK633" s="173">
        <f>IF(AND(Input_Product=Elig!$C633,Elig_MatchAll_Ct&lt;22,$BC633=(Elig_MatchAll_Ct-1),AI633=0),F633,0)</f>
        <v>0</v>
      </c>
      <c r="BL633" s="173">
        <f>IF(AND(Input_Product=Elig!$C633,Elig_MatchAll_Ct&lt;22,$BC633=(Elig_MatchAll_Ct-1),AJ633=0),G633,0)</f>
        <v>0</v>
      </c>
      <c r="BM633" s="173">
        <f>IF(AND(Input_Product=Elig!$C633,Elig_MatchAll_Ct&lt;22,$BC633=(Elig_MatchAll_Ct-1),AK633=0),H633,0)</f>
        <v>0</v>
      </c>
      <c r="BN633" s="173">
        <f>IF(AND(Input_Product=Elig!$C633,Elig_MatchAll_Ct&lt;22,$BC633=(Elig_MatchAll_Ct-1),AL633=0),I633,0)</f>
        <v>0</v>
      </c>
      <c r="BO633" s="173">
        <f>IF(AND(Input_Product=Elig!$C633,Elig_MatchAll_Ct&lt;22,$BC633=(Elig_MatchAll_Ct-1),AM633=0),J633,0)</f>
        <v>0</v>
      </c>
      <c r="BP633" s="173">
        <f>IF(AND(Input_Product=Elig!$C633,Elig_MatchAll_Ct&lt;22,$BC633=(Elig_MatchAll_Ct-1),AN633=0),K633,0)</f>
        <v>0</v>
      </c>
      <c r="BQ633" s="173">
        <f>IF(AND(Input_Product=Elig!$C633,Elig_MatchAll_Ct&lt;22,$BC633=(Elig_MatchAll_Ct-1),AP633=0),L633,0)</f>
        <v>0</v>
      </c>
      <c r="BR633" s="173">
        <f>IF(AND(Input_Product=Elig!$C633,Elig_MatchAll_Ct&lt;22,$BC633=(Elig_MatchAll_Ct-1),AO633=0),M633,0)</f>
        <v>0</v>
      </c>
      <c r="BS633" s="173">
        <f>IF(AND(Input_Product=Elig!$C633,Elig_MatchAll_Ct&lt;22,$BC633=(Elig_MatchAll_Ct-1),AQ633=0),N633,0)</f>
        <v>0</v>
      </c>
      <c r="BT633" s="173">
        <f>IF(AND(Input_Product=Elig!$C633,Elig_MatchAll_Ct&lt;22,$BC633=(Elig_MatchAll_Ct-1),AR633=0),O633,0)</f>
        <v>0</v>
      </c>
      <c r="BU633" s="173">
        <f>IF(AND(Input_Product=Elig!$C633,Elig_MatchAll_Ct&lt;22,$BC633=(Elig_MatchAll_Ct-1),AS633=0),P633,0)</f>
        <v>0</v>
      </c>
      <c r="BV633" s="174">
        <f>IF(AND(Input_Product=Elig!$C633,Elig_MatchAll_Ct&lt;22,$BC633=(Elig_MatchAll_Ct-1),AT633=0),Q633,0)</f>
        <v>0</v>
      </c>
      <c r="BW633" s="175">
        <f>IF(AND(Input_Product=Elig!$C633,Elig_MatchAll_Ct&lt;22,$BC633=(Elig_MatchAll_Ct-1),AU633=0),R633,0)</f>
        <v>0</v>
      </c>
      <c r="BX633" s="176">
        <f>IF(AND(Input_Product=Elig!$C633,Elig_MatchAll_Ct&lt;22,$BC633=(Elig_MatchAll_Ct-1),AU633=0),S633,0)</f>
        <v>0</v>
      </c>
      <c r="BY633" s="175">
        <f>IF(AND(Input_Product=Elig!$C633,Elig_MatchAll_Ct&lt;22,$BC633=(Elig_MatchAll_Ct-1),AV633=0),T633,0)</f>
        <v>0</v>
      </c>
      <c r="BZ633" s="176">
        <f>IF(AND(Input_Product=Elig!$C633,Elig_MatchAll_Ct&lt;22,$BC633=(Elig_MatchAll_Ct-1),AV633=0),U633,0)</f>
        <v>0</v>
      </c>
      <c r="CA633" s="175">
        <f>IF(AND(Input_Product=Elig!$C633,Elig_MatchAll_Ct&lt;22,$BC633=(Elig_MatchAll_Ct-1),AW633=0),V633,0)</f>
        <v>0</v>
      </c>
      <c r="CB633" s="176">
        <f>IF(AND(Input_Product=Elig!$C633,Elig_MatchAll_Ct&lt;22,$BC633=(Elig_MatchAll_Ct-1),AW633=0),W633,0)</f>
        <v>0</v>
      </c>
      <c r="CC633" s="175">
        <f>IF(AND(Input_Product=Elig!$C633,Elig_MatchAll_Ct&lt;22,$BC633=(Elig_MatchAll_Ct-1),AX633=0),X633,0)</f>
        <v>0</v>
      </c>
      <c r="CD633" s="176">
        <f>IF(AND(Input_Product=Elig!$C633,Elig_MatchAll_Ct&lt;22,$BC633=(Elig_MatchAll_Ct-1),AX633=0),Y633,0)</f>
        <v>0</v>
      </c>
      <c r="CE633" s="175">
        <f>IF(AND(Input_LTV&lt;=AE633,Input_Product=Elig!$C633,Elig_MatchAll_Ct&lt;22,$BC633=(Elig_MatchAll_Ct-1),AY633=0),Z633,0)</f>
        <v>0</v>
      </c>
      <c r="CF633" s="176">
        <f>IF(AND(Input_LTV&lt;=AE633,Input_Product=Elig!$C633,Elig_MatchAll_Ct&lt;22,$BC633=(Elig_MatchAll_Ct-1),AY633=0),AA633,0)</f>
        <v>0</v>
      </c>
      <c r="CG633" s="175">
        <f>IF(AND(Input_Product=Elig!$C633,Elig_MatchAll_Ct&lt;22,$BC633=(Elig_MatchAll_Ct-1),AZ633=0),AB633,0)</f>
        <v>0</v>
      </c>
      <c r="CH633" s="176">
        <f>IF(AND(Input_Product=Elig!$C633,Elig_MatchAll_Ct&lt;22,$BC633=(Elig_MatchAll_Ct-1),AZ633=0),AC633,0)</f>
        <v>0</v>
      </c>
      <c r="CI633" s="175">
        <f>IF(AND(Input_Product=Elig!$C633,Elig_MatchAll_Ct&lt;22,$BC633=(Elig_MatchAll_Ct-1),BA633=0),AD633,0)</f>
        <v>0</v>
      </c>
      <c r="CJ633" s="176">
        <f>IF(AND(Input_Product=Elig!$C633,Elig_MatchAll_Ct&lt;22,$BC633=(Elig_MatchAll_Ct-1),BA633=0),AE633,0)</f>
        <v>0</v>
      </c>
    </row>
    <row r="634" spans="1:88" ht="10.15" customHeight="1" x14ac:dyDescent="0.25">
      <c r="A634" s="1476" t="s">
        <v>76</v>
      </c>
      <c r="B634" s="1476" t="s">
        <v>1958</v>
      </c>
      <c r="C634" s="1481" t="str">
        <f t="shared" si="204"/>
        <v>Second OO</v>
      </c>
      <c r="D634" s="1480" t="s">
        <v>1338</v>
      </c>
      <c r="E634" s="1480" t="s">
        <v>98</v>
      </c>
      <c r="F634" s="1480" t="s">
        <v>328</v>
      </c>
      <c r="G634" s="1482" t="s">
        <v>302</v>
      </c>
      <c r="H634" s="1482" t="s">
        <v>135</v>
      </c>
      <c r="I634" s="1480" t="s">
        <v>1141</v>
      </c>
      <c r="J634" s="1480" t="s">
        <v>1130</v>
      </c>
      <c r="K634" s="1482" t="s">
        <v>2464</v>
      </c>
      <c r="L634" s="1480" t="s">
        <v>428</v>
      </c>
      <c r="M634" s="1480" t="s">
        <v>1835</v>
      </c>
      <c r="N634" s="1482" t="s">
        <v>82</v>
      </c>
      <c r="O634" s="1480" t="s">
        <v>309</v>
      </c>
      <c r="P634" s="1480" t="s">
        <v>2433</v>
      </c>
      <c r="Q634" s="1480" t="s">
        <v>293</v>
      </c>
      <c r="R634" s="1480">
        <v>350000.01</v>
      </c>
      <c r="S634" s="277">
        <v>500000</v>
      </c>
      <c r="T634" s="1480">
        <v>0</v>
      </c>
      <c r="U634" s="1480">
        <f t="shared" si="225"/>
        <v>500000</v>
      </c>
      <c r="V634" s="1480">
        <v>0</v>
      </c>
      <c r="W634" s="1480">
        <v>50</v>
      </c>
      <c r="X634" s="1480">
        <v>0</v>
      </c>
      <c r="Y634" s="1480">
        <v>999</v>
      </c>
      <c r="Z634" s="1483">
        <v>660</v>
      </c>
      <c r="AA634" s="1483">
        <v>679</v>
      </c>
      <c r="AB634" s="1483">
        <v>0</v>
      </c>
      <c r="AC634" s="1483">
        <v>999999</v>
      </c>
      <c r="AD634" s="1480">
        <v>0</v>
      </c>
      <c r="AE634" s="1220">
        <v>65</v>
      </c>
      <c r="AF634" s="144">
        <v>0</v>
      </c>
      <c r="AG634" s="145">
        <v>1</v>
      </c>
      <c r="AH634" s="145">
        <v>1</v>
      </c>
      <c r="AI634" s="145">
        <v>0</v>
      </c>
      <c r="AJ634" s="145">
        <v>0</v>
      </c>
      <c r="AK634" s="145">
        <v>1</v>
      </c>
      <c r="AL634" s="145">
        <v>1</v>
      </c>
      <c r="AM634" s="145">
        <v>1</v>
      </c>
      <c r="AN634" s="145">
        <v>1</v>
      </c>
      <c r="AO634" s="145">
        <v>1</v>
      </c>
      <c r="AP634" s="145">
        <v>1</v>
      </c>
      <c r="AQ634" s="145">
        <v>0</v>
      </c>
      <c r="AR634" s="145">
        <v>1</v>
      </c>
      <c r="AS634" s="145">
        <v>1</v>
      </c>
      <c r="AT634" s="145">
        <v>1</v>
      </c>
      <c r="AU634" s="145">
        <f t="shared" si="219"/>
        <v>0</v>
      </c>
      <c r="AV634" s="145">
        <f t="shared" si="220"/>
        <v>1</v>
      </c>
      <c r="AW634" s="145">
        <f t="shared" si="221"/>
        <v>1</v>
      </c>
      <c r="AX634" s="145">
        <f t="shared" si="226"/>
        <v>1</v>
      </c>
      <c r="AY634" s="145">
        <f t="shared" si="222"/>
        <v>0</v>
      </c>
      <c r="AZ634" s="145">
        <f t="shared" si="223"/>
        <v>1</v>
      </c>
      <c r="BA634" s="146">
        <f t="shared" si="224"/>
        <v>0</v>
      </c>
      <c r="BB634" s="149">
        <f t="shared" si="214"/>
        <v>15</v>
      </c>
      <c r="BC634" s="150">
        <f t="shared" si="215"/>
        <v>15</v>
      </c>
      <c r="BD634" s="150">
        <f t="shared" si="216"/>
        <v>15</v>
      </c>
      <c r="BE634" s="211" t="str">
        <f t="shared" si="217"/>
        <v/>
      </c>
      <c r="BF634" s="205"/>
      <c r="BG634" s="205"/>
      <c r="BH634" s="188">
        <f>IF(AND(Input_Product=Elig!$C634,Elig_MatchAll_Ct&lt;22,$BC634=(Elig_MatchAll_Ct-1),AF634=0),C634,0)</f>
        <v>0</v>
      </c>
      <c r="BI634" s="188">
        <f>IF(AND(Input_Product=Elig!$C634,Elig_MatchAll_Ct&lt;22,$BC634=(Elig_MatchAll_Ct-1),AG634=0),D634,0)</f>
        <v>0</v>
      </c>
      <c r="BJ634" s="188">
        <f>IF(AND(Input_Product=Elig!$C634,Elig_MatchAll_Ct&lt;22,$BC634=(Elig_MatchAll_Ct-1),AH634=0),E634,0)</f>
        <v>0</v>
      </c>
      <c r="BK634" s="188">
        <f>IF(AND(Input_Product=Elig!$C634,Elig_MatchAll_Ct&lt;22,$BC634=(Elig_MatchAll_Ct-1),AI634=0),F634,0)</f>
        <v>0</v>
      </c>
      <c r="BL634" s="188">
        <f>IF(AND(Input_Product=Elig!$C634,Elig_MatchAll_Ct&lt;22,$BC634=(Elig_MatchAll_Ct-1),AJ634=0),G634,0)</f>
        <v>0</v>
      </c>
      <c r="BM634" s="188">
        <f>IF(AND(Input_Product=Elig!$C634,Elig_MatchAll_Ct&lt;22,$BC634=(Elig_MatchAll_Ct-1),AK634=0),H634,0)</f>
        <v>0</v>
      </c>
      <c r="BN634" s="188">
        <f>IF(AND(Input_Product=Elig!$C634,Elig_MatchAll_Ct&lt;22,$BC634=(Elig_MatchAll_Ct-1),AL634=0),I634,0)</f>
        <v>0</v>
      </c>
      <c r="BO634" s="188">
        <f>IF(AND(Input_Product=Elig!$C634,Elig_MatchAll_Ct&lt;22,$BC634=(Elig_MatchAll_Ct-1),AM634=0),J634,0)</f>
        <v>0</v>
      </c>
      <c r="BP634" s="188">
        <f>IF(AND(Input_Product=Elig!$C634,Elig_MatchAll_Ct&lt;22,$BC634=(Elig_MatchAll_Ct-1),AN634=0),K634,0)</f>
        <v>0</v>
      </c>
      <c r="BQ634" s="188">
        <f>IF(AND(Input_Product=Elig!$C634,Elig_MatchAll_Ct&lt;22,$BC634=(Elig_MatchAll_Ct-1),AP634=0),L634,0)</f>
        <v>0</v>
      </c>
      <c r="BR634" s="188">
        <f>IF(AND(Input_Product=Elig!$C634,Elig_MatchAll_Ct&lt;22,$BC634=(Elig_MatchAll_Ct-1),AO634=0),M634,0)</f>
        <v>0</v>
      </c>
      <c r="BS634" s="188">
        <f>IF(AND(Input_Product=Elig!$C634,Elig_MatchAll_Ct&lt;22,$BC634=(Elig_MatchAll_Ct-1),AQ634=0),N634,0)</f>
        <v>0</v>
      </c>
      <c r="BT634" s="188">
        <f>IF(AND(Input_Product=Elig!$C634,Elig_MatchAll_Ct&lt;22,$BC634=(Elig_MatchAll_Ct-1),AR634=0),O634,0)</f>
        <v>0</v>
      </c>
      <c r="BU634" s="188">
        <f>IF(AND(Input_Product=Elig!$C634,Elig_MatchAll_Ct&lt;22,$BC634=(Elig_MatchAll_Ct-1),AS634=0),P634,0)</f>
        <v>0</v>
      </c>
      <c r="BV634" s="189">
        <f>IF(AND(Input_Product=Elig!$C634,Elig_MatchAll_Ct&lt;22,$BC634=(Elig_MatchAll_Ct-1),AT634=0),Q634,0)</f>
        <v>0</v>
      </c>
      <c r="BW634" s="271">
        <f>IF(AND(Input_Product=Elig!$C634,Elig_MatchAll_Ct&lt;22,$BC634=(Elig_MatchAll_Ct-1),AU634=0),R634,0)</f>
        <v>0</v>
      </c>
      <c r="BX634" s="272">
        <f>IF(AND(Input_Product=Elig!$C634,Elig_MatchAll_Ct&lt;22,$BC634=(Elig_MatchAll_Ct-1),AU634=0),S634,0)</f>
        <v>0</v>
      </c>
      <c r="BY634" s="271">
        <f>IF(AND(Input_Product=Elig!$C634,Elig_MatchAll_Ct&lt;22,$BC634=(Elig_MatchAll_Ct-1),AV634=0),T634,0)</f>
        <v>0</v>
      </c>
      <c r="BZ634" s="272">
        <f>IF(AND(Input_Product=Elig!$C634,Elig_MatchAll_Ct&lt;22,$BC634=(Elig_MatchAll_Ct-1),AV634=0),U634,0)</f>
        <v>0</v>
      </c>
      <c r="CA634" s="271">
        <f>IF(AND(Input_Product=Elig!$C634,Elig_MatchAll_Ct&lt;22,$BC634=(Elig_MatchAll_Ct-1),AW634=0),V634,0)</f>
        <v>0</v>
      </c>
      <c r="CB634" s="272">
        <f>IF(AND(Input_Product=Elig!$C634,Elig_MatchAll_Ct&lt;22,$BC634=(Elig_MatchAll_Ct-1),AW634=0),W634,0)</f>
        <v>0</v>
      </c>
      <c r="CC634" s="271">
        <f>IF(AND(Input_Product=Elig!$C634,Elig_MatchAll_Ct&lt;22,$BC634=(Elig_MatchAll_Ct-1),AX634=0),X634,0)</f>
        <v>0</v>
      </c>
      <c r="CD634" s="272">
        <f>IF(AND(Input_Product=Elig!$C634,Elig_MatchAll_Ct&lt;22,$BC634=(Elig_MatchAll_Ct-1),AX634=0),Y634,0)</f>
        <v>0</v>
      </c>
      <c r="CE634" s="271">
        <f>IF(AND(Input_LTV&lt;=AE634,Input_Product=Elig!$C634,Elig_MatchAll_Ct&lt;22,$BC634=(Elig_MatchAll_Ct-1),AY634=0),Z634,0)</f>
        <v>0</v>
      </c>
      <c r="CF634" s="272">
        <f>IF(AND(Input_LTV&lt;=AE634,Input_Product=Elig!$C634,Elig_MatchAll_Ct&lt;22,$BC634=(Elig_MatchAll_Ct-1),AY634=0),AA634,0)</f>
        <v>0</v>
      </c>
      <c r="CG634" s="271">
        <f>IF(AND(Input_Product=Elig!$C634,Elig_MatchAll_Ct&lt;22,$BC634=(Elig_MatchAll_Ct-1),AZ634=0),AB634,0)</f>
        <v>0</v>
      </c>
      <c r="CH634" s="272">
        <f>IF(AND(Input_Product=Elig!$C634,Elig_MatchAll_Ct&lt;22,$BC634=(Elig_MatchAll_Ct-1),AZ634=0),AC634,0)</f>
        <v>0</v>
      </c>
      <c r="CI634" s="271">
        <f>IF(AND(Input_Product=Elig!$C634,Elig_MatchAll_Ct&lt;22,$BC634=(Elig_MatchAll_Ct-1),BA634=0),AD634,0)</f>
        <v>0</v>
      </c>
      <c r="CJ634" s="272">
        <f>IF(AND(Input_Product=Elig!$C634,Elig_MatchAll_Ct&lt;22,$BC634=(Elig_MatchAll_Ct-1),BA634=0),AE634,0)</f>
        <v>0</v>
      </c>
    </row>
    <row r="635" spans="1:88" ht="10.15" customHeight="1" x14ac:dyDescent="0.25">
      <c r="A635" s="1476" t="s">
        <v>76</v>
      </c>
      <c r="B635" s="1476" t="s">
        <v>1959</v>
      </c>
      <c r="C635" s="1473" t="str">
        <f t="shared" si="204"/>
        <v>Second OO</v>
      </c>
      <c r="D635" s="1474" t="s">
        <v>1338</v>
      </c>
      <c r="E635" s="1474" t="s">
        <v>98</v>
      </c>
      <c r="F635" s="1474" t="s">
        <v>328</v>
      </c>
      <c r="G635" s="1537" t="s">
        <v>174</v>
      </c>
      <c r="H635" s="1474" t="s">
        <v>444</v>
      </c>
      <c r="I635" s="1472" t="s">
        <v>1141</v>
      </c>
      <c r="J635" s="1472" t="s">
        <v>1130</v>
      </c>
      <c r="K635" s="1474" t="s">
        <v>2464</v>
      </c>
      <c r="L635" s="1472" t="s">
        <v>428</v>
      </c>
      <c r="M635" s="1472" t="s">
        <v>1835</v>
      </c>
      <c r="N635" s="1474" t="s">
        <v>82</v>
      </c>
      <c r="O635" s="1472" t="s">
        <v>309</v>
      </c>
      <c r="P635" s="1472" t="s">
        <v>2433</v>
      </c>
      <c r="Q635" s="1472" t="s">
        <v>293</v>
      </c>
      <c r="R635" s="1472">
        <v>350000.01</v>
      </c>
      <c r="S635" s="276">
        <v>500000</v>
      </c>
      <c r="T635" s="1472">
        <v>0</v>
      </c>
      <c r="U635" s="1472">
        <f t="shared" si="225"/>
        <v>500000</v>
      </c>
      <c r="V635" s="1472">
        <v>0</v>
      </c>
      <c r="W635" s="1472">
        <v>50</v>
      </c>
      <c r="X635" s="1472">
        <v>0</v>
      </c>
      <c r="Y635" s="1472">
        <v>999</v>
      </c>
      <c r="Z635" s="1475">
        <v>720</v>
      </c>
      <c r="AA635" s="1475">
        <v>999</v>
      </c>
      <c r="AB635" s="1475">
        <v>0</v>
      </c>
      <c r="AC635" s="1475">
        <v>999999</v>
      </c>
      <c r="AD635" s="1472">
        <v>0</v>
      </c>
      <c r="AE635" s="1538">
        <v>75</v>
      </c>
      <c r="AF635" s="144">
        <v>0</v>
      </c>
      <c r="AG635" s="145">
        <v>1</v>
      </c>
      <c r="AH635" s="145">
        <v>1</v>
      </c>
      <c r="AI635" s="145">
        <v>0</v>
      </c>
      <c r="AJ635" s="145">
        <v>0</v>
      </c>
      <c r="AK635" s="145">
        <v>0</v>
      </c>
      <c r="AL635" s="145">
        <v>1</v>
      </c>
      <c r="AM635" s="145">
        <v>1</v>
      </c>
      <c r="AN635" s="145">
        <v>1</v>
      </c>
      <c r="AO635" s="145">
        <v>1</v>
      </c>
      <c r="AP635" s="145">
        <v>1</v>
      </c>
      <c r="AQ635" s="145">
        <v>0</v>
      </c>
      <c r="AR635" s="145">
        <v>1</v>
      </c>
      <c r="AS635" s="145">
        <v>1</v>
      </c>
      <c r="AT635" s="145">
        <v>1</v>
      </c>
      <c r="AU635" s="145">
        <f t="shared" si="219"/>
        <v>0</v>
      </c>
      <c r="AV635" s="145">
        <f t="shared" si="220"/>
        <v>1</v>
      </c>
      <c r="AW635" s="145">
        <f t="shared" si="221"/>
        <v>1</v>
      </c>
      <c r="AX635" s="145">
        <f t="shared" si="226"/>
        <v>1</v>
      </c>
      <c r="AY635" s="145">
        <f t="shared" si="222"/>
        <v>1</v>
      </c>
      <c r="AZ635" s="145">
        <f t="shared" si="223"/>
        <v>1</v>
      </c>
      <c r="BA635" s="146">
        <f t="shared" si="224"/>
        <v>1</v>
      </c>
      <c r="BB635" s="149">
        <f t="shared" si="214"/>
        <v>16</v>
      </c>
      <c r="BC635" s="150">
        <f t="shared" si="215"/>
        <v>15</v>
      </c>
      <c r="BD635" s="150">
        <f t="shared" si="216"/>
        <v>16</v>
      </c>
      <c r="BE635" s="211" t="str">
        <f t="shared" si="217"/>
        <v/>
      </c>
      <c r="BF635" s="194"/>
      <c r="BG635" s="194"/>
      <c r="BH635" s="190">
        <f>IF(AND(Input_Product=Elig!$C635,Elig_MatchAll_Ct&lt;22,$BC635=(Elig_MatchAll_Ct-1),AF635=0),C635,0)</f>
        <v>0</v>
      </c>
      <c r="BI635" s="190">
        <f>IF(AND(Input_Product=Elig!$C635,Elig_MatchAll_Ct&lt;22,$BC635=(Elig_MatchAll_Ct-1),AG635=0),D635,0)</f>
        <v>0</v>
      </c>
      <c r="BJ635" s="190">
        <f>IF(AND(Input_Product=Elig!$C635,Elig_MatchAll_Ct&lt;22,$BC635=(Elig_MatchAll_Ct-1),AH635=0),E635,0)</f>
        <v>0</v>
      </c>
      <c r="BK635" s="190">
        <f>IF(AND(Input_Product=Elig!$C635,Elig_MatchAll_Ct&lt;22,$BC635=(Elig_MatchAll_Ct-1),AI635=0),F635,0)</f>
        <v>0</v>
      </c>
      <c r="BL635" s="190">
        <f>IF(AND(Input_Product=Elig!$C635,Elig_MatchAll_Ct&lt;22,$BC635=(Elig_MatchAll_Ct-1),AJ635=0),G635,0)</f>
        <v>0</v>
      </c>
      <c r="BM635" s="190">
        <f>IF(AND(Input_Product=Elig!$C635,Elig_MatchAll_Ct&lt;22,$BC635=(Elig_MatchAll_Ct-1),AK635=0),H635,0)</f>
        <v>0</v>
      </c>
      <c r="BN635" s="190">
        <f>IF(AND(Input_Product=Elig!$C635,Elig_MatchAll_Ct&lt;22,$BC635=(Elig_MatchAll_Ct-1),AL635=0),I635,0)</f>
        <v>0</v>
      </c>
      <c r="BO635" s="190">
        <f>IF(AND(Input_Product=Elig!$C635,Elig_MatchAll_Ct&lt;22,$BC635=(Elig_MatchAll_Ct-1),AM635=0),J635,0)</f>
        <v>0</v>
      </c>
      <c r="BP635" s="190">
        <f>IF(AND(Input_Product=Elig!$C635,Elig_MatchAll_Ct&lt;22,$BC635=(Elig_MatchAll_Ct-1),AN635=0),K635,0)</f>
        <v>0</v>
      </c>
      <c r="BQ635" s="190">
        <f>IF(AND(Input_Product=Elig!$C635,Elig_MatchAll_Ct&lt;22,$BC635=(Elig_MatchAll_Ct-1),AP635=0),L635,0)</f>
        <v>0</v>
      </c>
      <c r="BR635" s="190">
        <f>IF(AND(Input_Product=Elig!$C635,Elig_MatchAll_Ct&lt;22,$BC635=(Elig_MatchAll_Ct-1),AO635=0),M635,0)</f>
        <v>0</v>
      </c>
      <c r="BS635" s="190">
        <f>IF(AND(Input_Product=Elig!$C635,Elig_MatchAll_Ct&lt;22,$BC635=(Elig_MatchAll_Ct-1),AQ635=0),N635,0)</f>
        <v>0</v>
      </c>
      <c r="BT635" s="190">
        <f>IF(AND(Input_Product=Elig!$C635,Elig_MatchAll_Ct&lt;22,$BC635=(Elig_MatchAll_Ct-1),AR635=0),O635,0)</f>
        <v>0</v>
      </c>
      <c r="BU635" s="190">
        <f>IF(AND(Input_Product=Elig!$C635,Elig_MatchAll_Ct&lt;22,$BC635=(Elig_MatchAll_Ct-1),AS635=0),P635,0)</f>
        <v>0</v>
      </c>
      <c r="BV635" s="191">
        <f>IF(AND(Input_Product=Elig!$C635,Elig_MatchAll_Ct&lt;22,$BC635=(Elig_MatchAll_Ct-1),AT635=0),Q635,0)</f>
        <v>0</v>
      </c>
      <c r="BW635" s="273">
        <f>IF(AND(Input_Product=Elig!$C635,Elig_MatchAll_Ct&lt;22,$BC635=(Elig_MatchAll_Ct-1),AU635=0),R635,0)</f>
        <v>0</v>
      </c>
      <c r="BX635" s="274">
        <f>IF(AND(Input_Product=Elig!$C635,Elig_MatchAll_Ct&lt;22,$BC635=(Elig_MatchAll_Ct-1),AU635=0),S635,0)</f>
        <v>0</v>
      </c>
      <c r="BY635" s="273">
        <f>IF(AND(Input_Product=Elig!$C635,Elig_MatchAll_Ct&lt;22,$BC635=(Elig_MatchAll_Ct-1),AV635=0),T635,0)</f>
        <v>0</v>
      </c>
      <c r="BZ635" s="274">
        <f>IF(AND(Input_Product=Elig!$C635,Elig_MatchAll_Ct&lt;22,$BC635=(Elig_MatchAll_Ct-1),AV635=0),U635,0)</f>
        <v>0</v>
      </c>
      <c r="CA635" s="273">
        <f>IF(AND(Input_Product=Elig!$C635,Elig_MatchAll_Ct&lt;22,$BC635=(Elig_MatchAll_Ct-1),AW635=0),V635,0)</f>
        <v>0</v>
      </c>
      <c r="CB635" s="274">
        <f>IF(AND(Input_Product=Elig!$C635,Elig_MatchAll_Ct&lt;22,$BC635=(Elig_MatchAll_Ct-1),AW635=0),W635,0)</f>
        <v>0</v>
      </c>
      <c r="CC635" s="273">
        <f>IF(AND(Input_Product=Elig!$C635,Elig_MatchAll_Ct&lt;22,$BC635=(Elig_MatchAll_Ct-1),AX635=0),X635,0)</f>
        <v>0</v>
      </c>
      <c r="CD635" s="274">
        <f>IF(AND(Input_Product=Elig!$C635,Elig_MatchAll_Ct&lt;22,$BC635=(Elig_MatchAll_Ct-1),AX635=0),Y635,0)</f>
        <v>0</v>
      </c>
      <c r="CE635" s="273">
        <f>IF(AND(Input_LTV&lt;=AE635,Input_Product=Elig!$C635,Elig_MatchAll_Ct&lt;22,$BC635=(Elig_MatchAll_Ct-1),AY635=0),Z635,0)</f>
        <v>0</v>
      </c>
      <c r="CF635" s="274">
        <f>IF(AND(Input_LTV&lt;=AE635,Input_Product=Elig!$C635,Elig_MatchAll_Ct&lt;22,$BC635=(Elig_MatchAll_Ct-1),AY635=0),AA635,0)</f>
        <v>0</v>
      </c>
      <c r="CG635" s="273">
        <f>IF(AND(Input_Product=Elig!$C635,Elig_MatchAll_Ct&lt;22,$BC635=(Elig_MatchAll_Ct-1),AZ635=0),AB635,0)</f>
        <v>0</v>
      </c>
      <c r="CH635" s="274">
        <f>IF(AND(Input_Product=Elig!$C635,Elig_MatchAll_Ct&lt;22,$BC635=(Elig_MatchAll_Ct-1),AZ635=0),AC635,0)</f>
        <v>0</v>
      </c>
      <c r="CI635" s="273">
        <f>IF(AND(Input_Product=Elig!$C635,Elig_MatchAll_Ct&lt;22,$BC635=(Elig_MatchAll_Ct-1),BA635=0),AD635,0)</f>
        <v>0</v>
      </c>
      <c r="CJ635" s="274">
        <f>IF(AND(Input_Product=Elig!$C635,Elig_MatchAll_Ct&lt;22,$BC635=(Elig_MatchAll_Ct-1),BA635=0),AE635,0)</f>
        <v>0</v>
      </c>
    </row>
    <row r="636" spans="1:88" ht="10.15" customHeight="1" x14ac:dyDescent="0.25">
      <c r="A636" s="1476" t="s">
        <v>76</v>
      </c>
      <c r="B636" s="1476" t="s">
        <v>1960</v>
      </c>
      <c r="C636" s="1477" t="str">
        <f t="shared" si="204"/>
        <v>Second OO</v>
      </c>
      <c r="D636" s="1476" t="s">
        <v>1338</v>
      </c>
      <c r="E636" s="1476" t="s">
        <v>98</v>
      </c>
      <c r="F636" s="1476" t="s">
        <v>328</v>
      </c>
      <c r="G636" s="1544" t="s">
        <v>174</v>
      </c>
      <c r="H636" s="1478" t="s">
        <v>444</v>
      </c>
      <c r="I636" s="1476" t="s">
        <v>1141</v>
      </c>
      <c r="J636" s="1476" t="s">
        <v>1130</v>
      </c>
      <c r="K636" s="1478" t="s">
        <v>2464</v>
      </c>
      <c r="L636" s="1476" t="s">
        <v>428</v>
      </c>
      <c r="M636" s="1476" t="s">
        <v>1835</v>
      </c>
      <c r="N636" s="1478" t="s">
        <v>82</v>
      </c>
      <c r="O636" s="1476" t="s">
        <v>309</v>
      </c>
      <c r="P636" s="1476" t="s">
        <v>2433</v>
      </c>
      <c r="Q636" s="1476" t="s">
        <v>293</v>
      </c>
      <c r="R636" s="1476">
        <v>350000.01</v>
      </c>
      <c r="S636" s="261">
        <v>500000</v>
      </c>
      <c r="T636" s="1476">
        <v>0</v>
      </c>
      <c r="U636" s="1476">
        <f t="shared" si="225"/>
        <v>500000</v>
      </c>
      <c r="V636" s="1476">
        <v>0</v>
      </c>
      <c r="W636" s="1476">
        <v>50</v>
      </c>
      <c r="X636" s="1476">
        <v>0</v>
      </c>
      <c r="Y636" s="1476">
        <v>999</v>
      </c>
      <c r="Z636" s="1479">
        <v>700</v>
      </c>
      <c r="AA636" s="1479">
        <v>719</v>
      </c>
      <c r="AB636" s="1479">
        <v>0</v>
      </c>
      <c r="AC636" s="1479">
        <v>999999</v>
      </c>
      <c r="AD636" s="1476">
        <v>0</v>
      </c>
      <c r="AE636" s="1539">
        <v>70</v>
      </c>
      <c r="AF636" s="144">
        <v>0</v>
      </c>
      <c r="AG636" s="145">
        <v>1</v>
      </c>
      <c r="AH636" s="145">
        <v>1</v>
      </c>
      <c r="AI636" s="145">
        <v>0</v>
      </c>
      <c r="AJ636" s="145">
        <v>0</v>
      </c>
      <c r="AK636" s="145">
        <v>0</v>
      </c>
      <c r="AL636" s="145">
        <v>1</v>
      </c>
      <c r="AM636" s="145">
        <v>1</v>
      </c>
      <c r="AN636" s="145">
        <v>1</v>
      </c>
      <c r="AO636" s="145">
        <v>1</v>
      </c>
      <c r="AP636" s="145">
        <v>1</v>
      </c>
      <c r="AQ636" s="145">
        <v>0</v>
      </c>
      <c r="AR636" s="145">
        <v>1</v>
      </c>
      <c r="AS636" s="145">
        <v>1</v>
      </c>
      <c r="AT636" s="145">
        <v>1</v>
      </c>
      <c r="AU636" s="145">
        <f t="shared" si="219"/>
        <v>0</v>
      </c>
      <c r="AV636" s="145">
        <f t="shared" si="220"/>
        <v>1</v>
      </c>
      <c r="AW636" s="145">
        <f t="shared" si="221"/>
        <v>1</v>
      </c>
      <c r="AX636" s="145">
        <f t="shared" si="226"/>
        <v>1</v>
      </c>
      <c r="AY636" s="145">
        <f t="shared" si="222"/>
        <v>0</v>
      </c>
      <c r="AZ636" s="145">
        <f t="shared" si="223"/>
        <v>1</v>
      </c>
      <c r="BA636" s="146">
        <f t="shared" si="224"/>
        <v>1</v>
      </c>
      <c r="BB636" s="149">
        <f t="shared" si="214"/>
        <v>15</v>
      </c>
      <c r="BC636" s="150">
        <f t="shared" si="215"/>
        <v>14</v>
      </c>
      <c r="BD636" s="150">
        <f t="shared" si="216"/>
        <v>15</v>
      </c>
      <c r="BE636" s="211" t="str">
        <f t="shared" si="217"/>
        <v/>
      </c>
      <c r="BF636" s="205"/>
      <c r="BG636" s="205"/>
      <c r="BH636" s="173">
        <f>IF(AND(Input_Product=Elig!$C636,Elig_MatchAll_Ct&lt;22,$BC636=(Elig_MatchAll_Ct-1),AF636=0),C636,0)</f>
        <v>0</v>
      </c>
      <c r="BI636" s="173">
        <f>IF(AND(Input_Product=Elig!$C636,Elig_MatchAll_Ct&lt;22,$BC636=(Elig_MatchAll_Ct-1),AG636=0),D636,0)</f>
        <v>0</v>
      </c>
      <c r="BJ636" s="173">
        <f>IF(AND(Input_Product=Elig!$C636,Elig_MatchAll_Ct&lt;22,$BC636=(Elig_MatchAll_Ct-1),AH636=0),E636,0)</f>
        <v>0</v>
      </c>
      <c r="BK636" s="173">
        <f>IF(AND(Input_Product=Elig!$C636,Elig_MatchAll_Ct&lt;22,$BC636=(Elig_MatchAll_Ct-1),AI636=0),F636,0)</f>
        <v>0</v>
      </c>
      <c r="BL636" s="173">
        <f>IF(AND(Input_Product=Elig!$C636,Elig_MatchAll_Ct&lt;22,$BC636=(Elig_MatchAll_Ct-1),AJ636=0),G636,0)</f>
        <v>0</v>
      </c>
      <c r="BM636" s="173">
        <f>IF(AND(Input_Product=Elig!$C636,Elig_MatchAll_Ct&lt;22,$BC636=(Elig_MatchAll_Ct-1),AK636=0),H636,0)</f>
        <v>0</v>
      </c>
      <c r="BN636" s="173">
        <f>IF(AND(Input_Product=Elig!$C636,Elig_MatchAll_Ct&lt;22,$BC636=(Elig_MatchAll_Ct-1),AL636=0),I636,0)</f>
        <v>0</v>
      </c>
      <c r="BO636" s="173">
        <f>IF(AND(Input_Product=Elig!$C636,Elig_MatchAll_Ct&lt;22,$BC636=(Elig_MatchAll_Ct-1),AM636=0),J636,0)</f>
        <v>0</v>
      </c>
      <c r="BP636" s="173">
        <f>IF(AND(Input_Product=Elig!$C636,Elig_MatchAll_Ct&lt;22,$BC636=(Elig_MatchAll_Ct-1),AN636=0),K636,0)</f>
        <v>0</v>
      </c>
      <c r="BQ636" s="173">
        <f>IF(AND(Input_Product=Elig!$C636,Elig_MatchAll_Ct&lt;22,$BC636=(Elig_MatchAll_Ct-1),AP636=0),L636,0)</f>
        <v>0</v>
      </c>
      <c r="BR636" s="173">
        <f>IF(AND(Input_Product=Elig!$C636,Elig_MatchAll_Ct&lt;22,$BC636=(Elig_MatchAll_Ct-1),AO636=0),M636,0)</f>
        <v>0</v>
      </c>
      <c r="BS636" s="173">
        <f>IF(AND(Input_Product=Elig!$C636,Elig_MatchAll_Ct&lt;22,$BC636=(Elig_MatchAll_Ct-1),AQ636=0),N636,0)</f>
        <v>0</v>
      </c>
      <c r="BT636" s="173">
        <f>IF(AND(Input_Product=Elig!$C636,Elig_MatchAll_Ct&lt;22,$BC636=(Elig_MatchAll_Ct-1),AR636=0),O636,0)</f>
        <v>0</v>
      </c>
      <c r="BU636" s="173">
        <f>IF(AND(Input_Product=Elig!$C636,Elig_MatchAll_Ct&lt;22,$BC636=(Elig_MatchAll_Ct-1),AS636=0),P636,0)</f>
        <v>0</v>
      </c>
      <c r="BV636" s="174">
        <f>IF(AND(Input_Product=Elig!$C636,Elig_MatchAll_Ct&lt;22,$BC636=(Elig_MatchAll_Ct-1),AT636=0),Q636,0)</f>
        <v>0</v>
      </c>
      <c r="BW636" s="175">
        <f>IF(AND(Input_Product=Elig!$C636,Elig_MatchAll_Ct&lt;22,$BC636=(Elig_MatchAll_Ct-1),AU636=0),R636,0)</f>
        <v>0</v>
      </c>
      <c r="BX636" s="176">
        <f>IF(AND(Input_Product=Elig!$C636,Elig_MatchAll_Ct&lt;22,$BC636=(Elig_MatchAll_Ct-1),AU636=0),S636,0)</f>
        <v>0</v>
      </c>
      <c r="BY636" s="175">
        <f>IF(AND(Input_Product=Elig!$C636,Elig_MatchAll_Ct&lt;22,$BC636=(Elig_MatchAll_Ct-1),AV636=0),T636,0)</f>
        <v>0</v>
      </c>
      <c r="BZ636" s="176">
        <f>IF(AND(Input_Product=Elig!$C636,Elig_MatchAll_Ct&lt;22,$BC636=(Elig_MatchAll_Ct-1),AV636=0),U636,0)</f>
        <v>0</v>
      </c>
      <c r="CA636" s="175">
        <f>IF(AND(Input_Product=Elig!$C636,Elig_MatchAll_Ct&lt;22,$BC636=(Elig_MatchAll_Ct-1),AW636=0),V636,0)</f>
        <v>0</v>
      </c>
      <c r="CB636" s="176">
        <f>IF(AND(Input_Product=Elig!$C636,Elig_MatchAll_Ct&lt;22,$BC636=(Elig_MatchAll_Ct-1),AW636=0),W636,0)</f>
        <v>0</v>
      </c>
      <c r="CC636" s="175">
        <f>IF(AND(Input_Product=Elig!$C636,Elig_MatchAll_Ct&lt;22,$BC636=(Elig_MatchAll_Ct-1),AX636=0),X636,0)</f>
        <v>0</v>
      </c>
      <c r="CD636" s="176">
        <f>IF(AND(Input_Product=Elig!$C636,Elig_MatchAll_Ct&lt;22,$BC636=(Elig_MatchAll_Ct-1),AX636=0),Y636,0)</f>
        <v>0</v>
      </c>
      <c r="CE636" s="175">
        <f>IF(AND(Input_LTV&lt;=AE636,Input_Product=Elig!$C636,Elig_MatchAll_Ct&lt;22,$BC636=(Elig_MatchAll_Ct-1),AY636=0),Z636,0)</f>
        <v>0</v>
      </c>
      <c r="CF636" s="176">
        <f>IF(AND(Input_LTV&lt;=AE636,Input_Product=Elig!$C636,Elig_MatchAll_Ct&lt;22,$BC636=(Elig_MatchAll_Ct-1),AY636=0),AA636,0)</f>
        <v>0</v>
      </c>
      <c r="CG636" s="175">
        <f>IF(AND(Input_Product=Elig!$C636,Elig_MatchAll_Ct&lt;22,$BC636=(Elig_MatchAll_Ct-1),AZ636=0),AB636,0)</f>
        <v>0</v>
      </c>
      <c r="CH636" s="176">
        <f>IF(AND(Input_Product=Elig!$C636,Elig_MatchAll_Ct&lt;22,$BC636=(Elig_MatchAll_Ct-1),AZ636=0),AC636,0)</f>
        <v>0</v>
      </c>
      <c r="CI636" s="175">
        <f>IF(AND(Input_Product=Elig!$C636,Elig_MatchAll_Ct&lt;22,$BC636=(Elig_MatchAll_Ct-1),BA636=0),AD636,0)</f>
        <v>0</v>
      </c>
      <c r="CJ636" s="176">
        <f>IF(AND(Input_Product=Elig!$C636,Elig_MatchAll_Ct&lt;22,$BC636=(Elig_MatchAll_Ct-1),BA636=0),AE636,0)</f>
        <v>0</v>
      </c>
    </row>
    <row r="637" spans="1:88" ht="10.15" customHeight="1" x14ac:dyDescent="0.25">
      <c r="A637" s="1476" t="s">
        <v>76</v>
      </c>
      <c r="B637" s="1476" t="s">
        <v>1961</v>
      </c>
      <c r="C637" s="1477" t="str">
        <f t="shared" si="204"/>
        <v>Second OO</v>
      </c>
      <c r="D637" s="1476" t="s">
        <v>1338</v>
      </c>
      <c r="E637" s="1476" t="s">
        <v>98</v>
      </c>
      <c r="F637" s="1476" t="s">
        <v>328</v>
      </c>
      <c r="G637" s="1544" t="s">
        <v>174</v>
      </c>
      <c r="H637" s="1478" t="s">
        <v>444</v>
      </c>
      <c r="I637" s="1476" t="s">
        <v>1141</v>
      </c>
      <c r="J637" s="1476" t="s">
        <v>1130</v>
      </c>
      <c r="K637" s="1478" t="s">
        <v>2464</v>
      </c>
      <c r="L637" s="1476" t="s">
        <v>428</v>
      </c>
      <c r="M637" s="1476" t="s">
        <v>1835</v>
      </c>
      <c r="N637" s="1478" t="s">
        <v>82</v>
      </c>
      <c r="O637" s="1476" t="s">
        <v>309</v>
      </c>
      <c r="P637" s="1476" t="s">
        <v>2433</v>
      </c>
      <c r="Q637" s="1476" t="s">
        <v>293</v>
      </c>
      <c r="R637" s="1476">
        <v>350000.01</v>
      </c>
      <c r="S637" s="261">
        <v>500000</v>
      </c>
      <c r="T637" s="1476">
        <v>0</v>
      </c>
      <c r="U637" s="1476">
        <f t="shared" si="225"/>
        <v>500000</v>
      </c>
      <c r="V637" s="1476">
        <v>0</v>
      </c>
      <c r="W637" s="1476">
        <v>50</v>
      </c>
      <c r="X637" s="1476">
        <v>0</v>
      </c>
      <c r="Y637" s="1476">
        <v>999</v>
      </c>
      <c r="Z637" s="1479">
        <v>680</v>
      </c>
      <c r="AA637" s="1479">
        <v>699</v>
      </c>
      <c r="AB637" s="1479">
        <v>0</v>
      </c>
      <c r="AC637" s="1479">
        <v>999999</v>
      </c>
      <c r="AD637" s="1476">
        <v>0</v>
      </c>
      <c r="AE637" s="1539">
        <v>65</v>
      </c>
      <c r="AF637" s="144">
        <v>0</v>
      </c>
      <c r="AG637" s="145">
        <v>1</v>
      </c>
      <c r="AH637" s="145">
        <v>1</v>
      </c>
      <c r="AI637" s="145">
        <v>0</v>
      </c>
      <c r="AJ637" s="145">
        <v>0</v>
      </c>
      <c r="AK637" s="145">
        <v>0</v>
      </c>
      <c r="AL637" s="145">
        <v>1</v>
      </c>
      <c r="AM637" s="145">
        <v>1</v>
      </c>
      <c r="AN637" s="145">
        <v>1</v>
      </c>
      <c r="AO637" s="145">
        <v>1</v>
      </c>
      <c r="AP637" s="145">
        <v>1</v>
      </c>
      <c r="AQ637" s="145">
        <v>0</v>
      </c>
      <c r="AR637" s="145">
        <v>1</v>
      </c>
      <c r="AS637" s="145">
        <v>1</v>
      </c>
      <c r="AT637" s="145">
        <v>1</v>
      </c>
      <c r="AU637" s="145">
        <f t="shared" si="219"/>
        <v>0</v>
      </c>
      <c r="AV637" s="145">
        <f t="shared" si="220"/>
        <v>1</v>
      </c>
      <c r="AW637" s="145">
        <f t="shared" si="221"/>
        <v>1</v>
      </c>
      <c r="AX637" s="145">
        <f t="shared" si="226"/>
        <v>1</v>
      </c>
      <c r="AY637" s="145">
        <f t="shared" si="222"/>
        <v>0</v>
      </c>
      <c r="AZ637" s="145">
        <f t="shared" si="223"/>
        <v>1</v>
      </c>
      <c r="BA637" s="146">
        <f t="shared" si="224"/>
        <v>0</v>
      </c>
      <c r="BB637" s="149">
        <f t="shared" si="214"/>
        <v>14</v>
      </c>
      <c r="BC637" s="150">
        <f t="shared" si="215"/>
        <v>14</v>
      </c>
      <c r="BD637" s="150">
        <f t="shared" si="216"/>
        <v>14</v>
      </c>
      <c r="BE637" s="211" t="str">
        <f t="shared" si="217"/>
        <v/>
      </c>
      <c r="BF637" s="205"/>
      <c r="BG637" s="205"/>
      <c r="BH637" s="173">
        <f>IF(AND(Input_Product=Elig!$C637,Elig_MatchAll_Ct&lt;22,$BC637=(Elig_MatchAll_Ct-1),AF637=0),C637,0)</f>
        <v>0</v>
      </c>
      <c r="BI637" s="173">
        <f>IF(AND(Input_Product=Elig!$C637,Elig_MatchAll_Ct&lt;22,$BC637=(Elig_MatchAll_Ct-1),AG637=0),D637,0)</f>
        <v>0</v>
      </c>
      <c r="BJ637" s="173">
        <f>IF(AND(Input_Product=Elig!$C637,Elig_MatchAll_Ct&lt;22,$BC637=(Elig_MatchAll_Ct-1),AH637=0),E637,0)</f>
        <v>0</v>
      </c>
      <c r="BK637" s="173">
        <f>IF(AND(Input_Product=Elig!$C637,Elig_MatchAll_Ct&lt;22,$BC637=(Elig_MatchAll_Ct-1),AI637=0),F637,0)</f>
        <v>0</v>
      </c>
      <c r="BL637" s="173">
        <f>IF(AND(Input_Product=Elig!$C637,Elig_MatchAll_Ct&lt;22,$BC637=(Elig_MatchAll_Ct-1),AJ637=0),G637,0)</f>
        <v>0</v>
      </c>
      <c r="BM637" s="173">
        <f>IF(AND(Input_Product=Elig!$C637,Elig_MatchAll_Ct&lt;22,$BC637=(Elig_MatchAll_Ct-1),AK637=0),H637,0)</f>
        <v>0</v>
      </c>
      <c r="BN637" s="173">
        <f>IF(AND(Input_Product=Elig!$C637,Elig_MatchAll_Ct&lt;22,$BC637=(Elig_MatchAll_Ct-1),AL637=0),I637,0)</f>
        <v>0</v>
      </c>
      <c r="BO637" s="173">
        <f>IF(AND(Input_Product=Elig!$C637,Elig_MatchAll_Ct&lt;22,$BC637=(Elig_MatchAll_Ct-1),AM637=0),J637,0)</f>
        <v>0</v>
      </c>
      <c r="BP637" s="173">
        <f>IF(AND(Input_Product=Elig!$C637,Elig_MatchAll_Ct&lt;22,$BC637=(Elig_MatchAll_Ct-1),AN637=0),K637,0)</f>
        <v>0</v>
      </c>
      <c r="BQ637" s="173">
        <f>IF(AND(Input_Product=Elig!$C637,Elig_MatchAll_Ct&lt;22,$BC637=(Elig_MatchAll_Ct-1),AP637=0),L637,0)</f>
        <v>0</v>
      </c>
      <c r="BR637" s="173">
        <f>IF(AND(Input_Product=Elig!$C637,Elig_MatchAll_Ct&lt;22,$BC637=(Elig_MatchAll_Ct-1),AO637=0),M637,0)</f>
        <v>0</v>
      </c>
      <c r="BS637" s="173">
        <f>IF(AND(Input_Product=Elig!$C637,Elig_MatchAll_Ct&lt;22,$BC637=(Elig_MatchAll_Ct-1),AQ637=0),N637,0)</f>
        <v>0</v>
      </c>
      <c r="BT637" s="173">
        <f>IF(AND(Input_Product=Elig!$C637,Elig_MatchAll_Ct&lt;22,$BC637=(Elig_MatchAll_Ct-1),AR637=0),O637,0)</f>
        <v>0</v>
      </c>
      <c r="BU637" s="173">
        <f>IF(AND(Input_Product=Elig!$C637,Elig_MatchAll_Ct&lt;22,$BC637=(Elig_MatchAll_Ct-1),AS637=0),P637,0)</f>
        <v>0</v>
      </c>
      <c r="BV637" s="174">
        <f>IF(AND(Input_Product=Elig!$C637,Elig_MatchAll_Ct&lt;22,$BC637=(Elig_MatchAll_Ct-1),AT637=0),Q637,0)</f>
        <v>0</v>
      </c>
      <c r="BW637" s="175">
        <f>IF(AND(Input_Product=Elig!$C637,Elig_MatchAll_Ct&lt;22,$BC637=(Elig_MatchAll_Ct-1),AU637=0),R637,0)</f>
        <v>0</v>
      </c>
      <c r="BX637" s="176">
        <f>IF(AND(Input_Product=Elig!$C637,Elig_MatchAll_Ct&lt;22,$BC637=(Elig_MatchAll_Ct-1),AU637=0),S637,0)</f>
        <v>0</v>
      </c>
      <c r="BY637" s="175">
        <f>IF(AND(Input_Product=Elig!$C637,Elig_MatchAll_Ct&lt;22,$BC637=(Elig_MatchAll_Ct-1),AV637=0),T637,0)</f>
        <v>0</v>
      </c>
      <c r="BZ637" s="176">
        <f>IF(AND(Input_Product=Elig!$C637,Elig_MatchAll_Ct&lt;22,$BC637=(Elig_MatchAll_Ct-1),AV637=0),U637,0)</f>
        <v>0</v>
      </c>
      <c r="CA637" s="175">
        <f>IF(AND(Input_Product=Elig!$C637,Elig_MatchAll_Ct&lt;22,$BC637=(Elig_MatchAll_Ct-1),AW637=0),V637,0)</f>
        <v>0</v>
      </c>
      <c r="CB637" s="176">
        <f>IF(AND(Input_Product=Elig!$C637,Elig_MatchAll_Ct&lt;22,$BC637=(Elig_MatchAll_Ct-1),AW637=0),W637,0)</f>
        <v>0</v>
      </c>
      <c r="CC637" s="175">
        <f>IF(AND(Input_Product=Elig!$C637,Elig_MatchAll_Ct&lt;22,$BC637=(Elig_MatchAll_Ct-1),AX637=0),X637,0)</f>
        <v>0</v>
      </c>
      <c r="CD637" s="176">
        <f>IF(AND(Input_Product=Elig!$C637,Elig_MatchAll_Ct&lt;22,$BC637=(Elig_MatchAll_Ct-1),AX637=0),Y637,0)</f>
        <v>0</v>
      </c>
      <c r="CE637" s="175">
        <f>IF(AND(Input_LTV&lt;=AE637,Input_Product=Elig!$C637,Elig_MatchAll_Ct&lt;22,$BC637=(Elig_MatchAll_Ct-1),AY637=0),Z637,0)</f>
        <v>0</v>
      </c>
      <c r="CF637" s="176">
        <f>IF(AND(Input_LTV&lt;=AE637,Input_Product=Elig!$C637,Elig_MatchAll_Ct&lt;22,$BC637=(Elig_MatchAll_Ct-1),AY637=0),AA637,0)</f>
        <v>0</v>
      </c>
      <c r="CG637" s="175">
        <f>IF(AND(Input_Product=Elig!$C637,Elig_MatchAll_Ct&lt;22,$BC637=(Elig_MatchAll_Ct-1),AZ637=0),AB637,0)</f>
        <v>0</v>
      </c>
      <c r="CH637" s="176">
        <f>IF(AND(Input_Product=Elig!$C637,Elig_MatchAll_Ct&lt;22,$BC637=(Elig_MatchAll_Ct-1),AZ637=0),AC637,0)</f>
        <v>0</v>
      </c>
      <c r="CI637" s="175">
        <f>IF(AND(Input_Product=Elig!$C637,Elig_MatchAll_Ct&lt;22,$BC637=(Elig_MatchAll_Ct-1),BA637=0),AD637,0)</f>
        <v>0</v>
      </c>
      <c r="CJ637" s="176">
        <f>IF(AND(Input_Product=Elig!$C637,Elig_MatchAll_Ct&lt;22,$BC637=(Elig_MatchAll_Ct-1),BA637=0),AE637,0)</f>
        <v>0</v>
      </c>
    </row>
    <row r="638" spans="1:88" ht="10.15" customHeight="1" x14ac:dyDescent="0.25">
      <c r="A638" s="1476" t="s">
        <v>76</v>
      </c>
      <c r="B638" s="1476" t="s">
        <v>1962</v>
      </c>
      <c r="C638" s="1481" t="str">
        <f t="shared" si="204"/>
        <v>Second OO</v>
      </c>
      <c r="D638" s="1480" t="s">
        <v>1338</v>
      </c>
      <c r="E638" s="1480" t="s">
        <v>98</v>
      </c>
      <c r="F638" s="1480" t="s">
        <v>328</v>
      </c>
      <c r="G638" s="1545" t="s">
        <v>174</v>
      </c>
      <c r="H638" s="1482" t="s">
        <v>444</v>
      </c>
      <c r="I638" s="1480" t="s">
        <v>1141</v>
      </c>
      <c r="J638" s="1480" t="s">
        <v>1130</v>
      </c>
      <c r="K638" s="1482" t="s">
        <v>2464</v>
      </c>
      <c r="L638" s="1480" t="s">
        <v>428</v>
      </c>
      <c r="M638" s="1480" t="s">
        <v>1835</v>
      </c>
      <c r="N638" s="1482" t="s">
        <v>82</v>
      </c>
      <c r="O638" s="1480" t="s">
        <v>309</v>
      </c>
      <c r="P638" s="1480" t="s">
        <v>2433</v>
      </c>
      <c r="Q638" s="1480" t="s">
        <v>293</v>
      </c>
      <c r="R638" s="1480">
        <v>350000.01</v>
      </c>
      <c r="S638" s="277">
        <v>500000</v>
      </c>
      <c r="T638" s="1480">
        <v>0</v>
      </c>
      <c r="U638" s="1480">
        <f t="shared" si="225"/>
        <v>500000</v>
      </c>
      <c r="V638" s="1480">
        <v>0</v>
      </c>
      <c r="W638" s="1480">
        <v>50</v>
      </c>
      <c r="X638" s="1480">
        <v>0</v>
      </c>
      <c r="Y638" s="1480">
        <v>999</v>
      </c>
      <c r="Z638" s="1483">
        <v>660</v>
      </c>
      <c r="AA638" s="1483">
        <v>679</v>
      </c>
      <c r="AB638" s="1483">
        <v>0</v>
      </c>
      <c r="AC638" s="1483">
        <v>999999</v>
      </c>
      <c r="AD638" s="1480">
        <v>0</v>
      </c>
      <c r="AE638" s="1541">
        <v>60</v>
      </c>
      <c r="AF638" s="144">
        <v>0</v>
      </c>
      <c r="AG638" s="145">
        <v>1</v>
      </c>
      <c r="AH638" s="145">
        <v>1</v>
      </c>
      <c r="AI638" s="145">
        <v>0</v>
      </c>
      <c r="AJ638" s="145">
        <v>0</v>
      </c>
      <c r="AK638" s="145">
        <v>0</v>
      </c>
      <c r="AL638" s="145">
        <v>1</v>
      </c>
      <c r="AM638" s="145">
        <v>1</v>
      </c>
      <c r="AN638" s="145">
        <v>1</v>
      </c>
      <c r="AO638" s="145">
        <v>1</v>
      </c>
      <c r="AP638" s="145">
        <v>1</v>
      </c>
      <c r="AQ638" s="145">
        <v>0</v>
      </c>
      <c r="AR638" s="145">
        <v>1</v>
      </c>
      <c r="AS638" s="145">
        <v>1</v>
      </c>
      <c r="AT638" s="145">
        <v>1</v>
      </c>
      <c r="AU638" s="145">
        <f t="shared" si="219"/>
        <v>0</v>
      </c>
      <c r="AV638" s="145">
        <f t="shared" si="220"/>
        <v>1</v>
      </c>
      <c r="AW638" s="145">
        <f t="shared" si="221"/>
        <v>1</v>
      </c>
      <c r="AX638" s="145">
        <f t="shared" si="226"/>
        <v>1</v>
      </c>
      <c r="AY638" s="145">
        <f t="shared" si="222"/>
        <v>0</v>
      </c>
      <c r="AZ638" s="145">
        <f t="shared" si="223"/>
        <v>1</v>
      </c>
      <c r="BA638" s="146">
        <f t="shared" si="224"/>
        <v>0</v>
      </c>
      <c r="BB638" s="149">
        <f t="shared" ref="BB638:BB701" si="228">SUM(AF638:BA638)</f>
        <v>14</v>
      </c>
      <c r="BC638" s="150">
        <f t="shared" ref="BC638:BC701" si="229">SUM(AF638:AZ638)</f>
        <v>14</v>
      </c>
      <c r="BD638" s="150">
        <f t="shared" ref="BD638:BD701" si="230">SUM(AG638:BA638)</f>
        <v>14</v>
      </c>
      <c r="BE638" s="211" t="str">
        <f t="shared" ref="BE638:BE701" si="231">IF(BD638=21,C638,"")</f>
        <v/>
      </c>
      <c r="BF638" s="205"/>
      <c r="BG638" s="205"/>
      <c r="BH638" s="188">
        <f>IF(AND(Input_Product=Elig!$C638,Elig_MatchAll_Ct&lt;22,$BC638=(Elig_MatchAll_Ct-1),AF638=0),C638,0)</f>
        <v>0</v>
      </c>
      <c r="BI638" s="188">
        <f>IF(AND(Input_Product=Elig!$C638,Elig_MatchAll_Ct&lt;22,$BC638=(Elig_MatchAll_Ct-1),AG638=0),D638,0)</f>
        <v>0</v>
      </c>
      <c r="BJ638" s="188">
        <f>IF(AND(Input_Product=Elig!$C638,Elig_MatchAll_Ct&lt;22,$BC638=(Elig_MatchAll_Ct-1),AH638=0),E638,0)</f>
        <v>0</v>
      </c>
      <c r="BK638" s="188">
        <f>IF(AND(Input_Product=Elig!$C638,Elig_MatchAll_Ct&lt;22,$BC638=(Elig_MatchAll_Ct-1),AI638=0),F638,0)</f>
        <v>0</v>
      </c>
      <c r="BL638" s="188">
        <f>IF(AND(Input_Product=Elig!$C638,Elig_MatchAll_Ct&lt;22,$BC638=(Elig_MatchAll_Ct-1),AJ638=0),G638,0)</f>
        <v>0</v>
      </c>
      <c r="BM638" s="188">
        <f>IF(AND(Input_Product=Elig!$C638,Elig_MatchAll_Ct&lt;22,$BC638=(Elig_MatchAll_Ct-1),AK638=0),H638,0)</f>
        <v>0</v>
      </c>
      <c r="BN638" s="188">
        <f>IF(AND(Input_Product=Elig!$C638,Elig_MatchAll_Ct&lt;22,$BC638=(Elig_MatchAll_Ct-1),AL638=0),I638,0)</f>
        <v>0</v>
      </c>
      <c r="BO638" s="188">
        <f>IF(AND(Input_Product=Elig!$C638,Elig_MatchAll_Ct&lt;22,$BC638=(Elig_MatchAll_Ct-1),AM638=0),J638,0)</f>
        <v>0</v>
      </c>
      <c r="BP638" s="188">
        <f>IF(AND(Input_Product=Elig!$C638,Elig_MatchAll_Ct&lt;22,$BC638=(Elig_MatchAll_Ct-1),AN638=0),K638,0)</f>
        <v>0</v>
      </c>
      <c r="BQ638" s="188">
        <f>IF(AND(Input_Product=Elig!$C638,Elig_MatchAll_Ct&lt;22,$BC638=(Elig_MatchAll_Ct-1),AP638=0),L638,0)</f>
        <v>0</v>
      </c>
      <c r="BR638" s="188">
        <f>IF(AND(Input_Product=Elig!$C638,Elig_MatchAll_Ct&lt;22,$BC638=(Elig_MatchAll_Ct-1),AO638=0),M638,0)</f>
        <v>0</v>
      </c>
      <c r="BS638" s="188">
        <f>IF(AND(Input_Product=Elig!$C638,Elig_MatchAll_Ct&lt;22,$BC638=(Elig_MatchAll_Ct-1),AQ638=0),N638,0)</f>
        <v>0</v>
      </c>
      <c r="BT638" s="188">
        <f>IF(AND(Input_Product=Elig!$C638,Elig_MatchAll_Ct&lt;22,$BC638=(Elig_MatchAll_Ct-1),AR638=0),O638,0)</f>
        <v>0</v>
      </c>
      <c r="BU638" s="188">
        <f>IF(AND(Input_Product=Elig!$C638,Elig_MatchAll_Ct&lt;22,$BC638=(Elig_MatchAll_Ct-1),AS638=0),P638,0)</f>
        <v>0</v>
      </c>
      <c r="BV638" s="189">
        <f>IF(AND(Input_Product=Elig!$C638,Elig_MatchAll_Ct&lt;22,$BC638=(Elig_MatchAll_Ct-1),AT638=0),Q638,0)</f>
        <v>0</v>
      </c>
      <c r="BW638" s="271">
        <f>IF(AND(Input_Product=Elig!$C638,Elig_MatchAll_Ct&lt;22,$BC638=(Elig_MatchAll_Ct-1),AU638=0),R638,0)</f>
        <v>0</v>
      </c>
      <c r="BX638" s="272">
        <f>IF(AND(Input_Product=Elig!$C638,Elig_MatchAll_Ct&lt;22,$BC638=(Elig_MatchAll_Ct-1),AU638=0),S638,0)</f>
        <v>0</v>
      </c>
      <c r="BY638" s="271">
        <f>IF(AND(Input_Product=Elig!$C638,Elig_MatchAll_Ct&lt;22,$BC638=(Elig_MatchAll_Ct-1),AV638=0),T638,0)</f>
        <v>0</v>
      </c>
      <c r="BZ638" s="272">
        <f>IF(AND(Input_Product=Elig!$C638,Elig_MatchAll_Ct&lt;22,$BC638=(Elig_MatchAll_Ct-1),AV638=0),U638,0)</f>
        <v>0</v>
      </c>
      <c r="CA638" s="271">
        <f>IF(AND(Input_Product=Elig!$C638,Elig_MatchAll_Ct&lt;22,$BC638=(Elig_MatchAll_Ct-1),AW638=0),V638,0)</f>
        <v>0</v>
      </c>
      <c r="CB638" s="272">
        <f>IF(AND(Input_Product=Elig!$C638,Elig_MatchAll_Ct&lt;22,$BC638=(Elig_MatchAll_Ct-1),AW638=0),W638,0)</f>
        <v>0</v>
      </c>
      <c r="CC638" s="271">
        <f>IF(AND(Input_Product=Elig!$C638,Elig_MatchAll_Ct&lt;22,$BC638=(Elig_MatchAll_Ct-1),AX638=0),X638,0)</f>
        <v>0</v>
      </c>
      <c r="CD638" s="272">
        <f>IF(AND(Input_Product=Elig!$C638,Elig_MatchAll_Ct&lt;22,$BC638=(Elig_MatchAll_Ct-1),AX638=0),Y638,0)</f>
        <v>0</v>
      </c>
      <c r="CE638" s="271">
        <f>IF(AND(Input_LTV&lt;=AE638,Input_Product=Elig!$C638,Elig_MatchAll_Ct&lt;22,$BC638=(Elig_MatchAll_Ct-1),AY638=0),Z638,0)</f>
        <v>0</v>
      </c>
      <c r="CF638" s="272">
        <f>IF(AND(Input_LTV&lt;=AE638,Input_Product=Elig!$C638,Elig_MatchAll_Ct&lt;22,$BC638=(Elig_MatchAll_Ct-1),AY638=0),AA638,0)</f>
        <v>0</v>
      </c>
      <c r="CG638" s="271">
        <f>IF(AND(Input_Product=Elig!$C638,Elig_MatchAll_Ct&lt;22,$BC638=(Elig_MatchAll_Ct-1),AZ638=0),AB638,0)</f>
        <v>0</v>
      </c>
      <c r="CH638" s="272">
        <f>IF(AND(Input_Product=Elig!$C638,Elig_MatchAll_Ct&lt;22,$BC638=(Elig_MatchAll_Ct-1),AZ638=0),AC638,0)</f>
        <v>0</v>
      </c>
      <c r="CI638" s="271">
        <f>IF(AND(Input_Product=Elig!$C638,Elig_MatchAll_Ct&lt;22,$BC638=(Elig_MatchAll_Ct-1),BA638=0),AD638,0)</f>
        <v>0</v>
      </c>
      <c r="CJ638" s="272">
        <f>IF(AND(Input_Product=Elig!$C638,Elig_MatchAll_Ct&lt;22,$BC638=(Elig_MatchAll_Ct-1),BA638=0),AE638,0)</f>
        <v>0</v>
      </c>
    </row>
    <row r="639" spans="1:88" ht="10.15" customHeight="1" x14ac:dyDescent="0.25">
      <c r="A639" s="1476" t="s">
        <v>76</v>
      </c>
      <c r="B639" s="1476" t="s">
        <v>1963</v>
      </c>
      <c r="C639" s="1473" t="str">
        <f t="shared" si="204"/>
        <v>Second OO</v>
      </c>
      <c r="D639" s="1474" t="s">
        <v>1338</v>
      </c>
      <c r="E639" s="1474" t="s">
        <v>98</v>
      </c>
      <c r="F639" s="1474" t="s">
        <v>328</v>
      </c>
      <c r="G639" s="1537" t="s">
        <v>465</v>
      </c>
      <c r="H639" s="1474" t="s">
        <v>135</v>
      </c>
      <c r="I639" s="1472" t="s">
        <v>1141</v>
      </c>
      <c r="J639" s="1472" t="s">
        <v>1130</v>
      </c>
      <c r="K639" s="1474" t="s">
        <v>2464</v>
      </c>
      <c r="L639" s="1472" t="s">
        <v>428</v>
      </c>
      <c r="M639" s="1472" t="s">
        <v>1835</v>
      </c>
      <c r="N639" s="1474" t="s">
        <v>82</v>
      </c>
      <c r="O639" s="1472" t="s">
        <v>309</v>
      </c>
      <c r="P639" s="1472" t="s">
        <v>2433</v>
      </c>
      <c r="Q639" s="1472" t="s">
        <v>293</v>
      </c>
      <c r="R639" s="1472">
        <v>350000.01</v>
      </c>
      <c r="S639" s="276">
        <v>500000</v>
      </c>
      <c r="T639" s="1472">
        <v>0</v>
      </c>
      <c r="U639" s="1472">
        <f t="shared" ref="U639:U642" si="232">S639</f>
        <v>500000</v>
      </c>
      <c r="V639" s="1472">
        <v>0</v>
      </c>
      <c r="W639" s="1472">
        <v>50</v>
      </c>
      <c r="X639" s="1472">
        <v>0</v>
      </c>
      <c r="Y639" s="1472">
        <v>999</v>
      </c>
      <c r="Z639" s="1475">
        <v>720</v>
      </c>
      <c r="AA639" s="1475">
        <v>999</v>
      </c>
      <c r="AB639" s="1475">
        <v>0</v>
      </c>
      <c r="AC639" s="1475">
        <v>999999</v>
      </c>
      <c r="AD639" s="1472">
        <v>0</v>
      </c>
      <c r="AE639" s="1538">
        <v>75</v>
      </c>
      <c r="AF639" s="144">
        <v>0</v>
      </c>
      <c r="AG639" s="145">
        <v>1</v>
      </c>
      <c r="AH639" s="145">
        <v>1</v>
      </c>
      <c r="AI639" s="145">
        <v>0</v>
      </c>
      <c r="AJ639" s="145">
        <v>0</v>
      </c>
      <c r="AK639" s="145">
        <v>1</v>
      </c>
      <c r="AL639" s="145">
        <v>1</v>
      </c>
      <c r="AM639" s="145">
        <v>1</v>
      </c>
      <c r="AN639" s="145">
        <v>1</v>
      </c>
      <c r="AO639" s="145">
        <v>1</v>
      </c>
      <c r="AP639" s="145">
        <v>1</v>
      </c>
      <c r="AQ639" s="145">
        <v>0</v>
      </c>
      <c r="AR639" s="145">
        <v>1</v>
      </c>
      <c r="AS639" s="145">
        <v>1</v>
      </c>
      <c r="AT639" s="145">
        <v>1</v>
      </c>
      <c r="AU639" s="145">
        <f t="shared" si="219"/>
        <v>0</v>
      </c>
      <c r="AV639" s="145">
        <f t="shared" si="220"/>
        <v>1</v>
      </c>
      <c r="AW639" s="145">
        <f t="shared" si="221"/>
        <v>1</v>
      </c>
      <c r="AX639" s="145">
        <f t="shared" si="226"/>
        <v>1</v>
      </c>
      <c r="AY639" s="145">
        <f t="shared" si="222"/>
        <v>1</v>
      </c>
      <c r="AZ639" s="145">
        <f t="shared" si="223"/>
        <v>1</v>
      </c>
      <c r="BA639" s="146">
        <f t="shared" si="224"/>
        <v>1</v>
      </c>
      <c r="BB639" s="149">
        <f t="shared" si="228"/>
        <v>17</v>
      </c>
      <c r="BC639" s="150">
        <f t="shared" si="229"/>
        <v>16</v>
      </c>
      <c r="BD639" s="150">
        <f t="shared" si="230"/>
        <v>17</v>
      </c>
      <c r="BE639" s="211" t="str">
        <f t="shared" si="231"/>
        <v/>
      </c>
      <c r="BF639" s="194"/>
      <c r="BG639" s="194"/>
      <c r="BH639" s="190">
        <f>IF(AND(Input_Product=Elig!$C639,Elig_MatchAll_Ct&lt;22,$BC639=(Elig_MatchAll_Ct-1),AF639=0),C639,0)</f>
        <v>0</v>
      </c>
      <c r="BI639" s="190">
        <f>IF(AND(Input_Product=Elig!$C639,Elig_MatchAll_Ct&lt;22,$BC639=(Elig_MatchAll_Ct-1),AG639=0),D639,0)</f>
        <v>0</v>
      </c>
      <c r="BJ639" s="190">
        <f>IF(AND(Input_Product=Elig!$C639,Elig_MatchAll_Ct&lt;22,$BC639=(Elig_MatchAll_Ct-1),AH639=0),E639,0)</f>
        <v>0</v>
      </c>
      <c r="BK639" s="190">
        <f>IF(AND(Input_Product=Elig!$C639,Elig_MatchAll_Ct&lt;22,$BC639=(Elig_MatchAll_Ct-1),AI639=0),F639,0)</f>
        <v>0</v>
      </c>
      <c r="BL639" s="190">
        <f>IF(AND(Input_Product=Elig!$C639,Elig_MatchAll_Ct&lt;22,$BC639=(Elig_MatchAll_Ct-1),AJ639=0),G639,0)</f>
        <v>0</v>
      </c>
      <c r="BM639" s="190">
        <f>IF(AND(Input_Product=Elig!$C639,Elig_MatchAll_Ct&lt;22,$BC639=(Elig_MatchAll_Ct-1),AK639=0),H639,0)</f>
        <v>0</v>
      </c>
      <c r="BN639" s="190">
        <f>IF(AND(Input_Product=Elig!$C639,Elig_MatchAll_Ct&lt;22,$BC639=(Elig_MatchAll_Ct-1),AL639=0),I639,0)</f>
        <v>0</v>
      </c>
      <c r="BO639" s="190">
        <f>IF(AND(Input_Product=Elig!$C639,Elig_MatchAll_Ct&lt;22,$BC639=(Elig_MatchAll_Ct-1),AM639=0),J639,0)</f>
        <v>0</v>
      </c>
      <c r="BP639" s="190">
        <f>IF(AND(Input_Product=Elig!$C639,Elig_MatchAll_Ct&lt;22,$BC639=(Elig_MatchAll_Ct-1),AN639=0),K639,0)</f>
        <v>0</v>
      </c>
      <c r="BQ639" s="190">
        <f>IF(AND(Input_Product=Elig!$C639,Elig_MatchAll_Ct&lt;22,$BC639=(Elig_MatchAll_Ct-1),AP639=0),L639,0)</f>
        <v>0</v>
      </c>
      <c r="BR639" s="190">
        <f>IF(AND(Input_Product=Elig!$C639,Elig_MatchAll_Ct&lt;22,$BC639=(Elig_MatchAll_Ct-1),AO639=0),M639,0)</f>
        <v>0</v>
      </c>
      <c r="BS639" s="190">
        <f>IF(AND(Input_Product=Elig!$C639,Elig_MatchAll_Ct&lt;22,$BC639=(Elig_MatchAll_Ct-1),AQ639=0),N639,0)</f>
        <v>0</v>
      </c>
      <c r="BT639" s="190">
        <f>IF(AND(Input_Product=Elig!$C639,Elig_MatchAll_Ct&lt;22,$BC639=(Elig_MatchAll_Ct-1),AR639=0),O639,0)</f>
        <v>0</v>
      </c>
      <c r="BU639" s="190">
        <f>IF(AND(Input_Product=Elig!$C639,Elig_MatchAll_Ct&lt;22,$BC639=(Elig_MatchAll_Ct-1),AS639=0),P639,0)</f>
        <v>0</v>
      </c>
      <c r="BV639" s="191">
        <f>IF(AND(Input_Product=Elig!$C639,Elig_MatchAll_Ct&lt;22,$BC639=(Elig_MatchAll_Ct-1),AT639=0),Q639,0)</f>
        <v>0</v>
      </c>
      <c r="BW639" s="273">
        <f>IF(AND(Input_Product=Elig!$C639,Elig_MatchAll_Ct&lt;22,$BC639=(Elig_MatchAll_Ct-1),AU639=0),R639,0)</f>
        <v>0</v>
      </c>
      <c r="BX639" s="274">
        <f>IF(AND(Input_Product=Elig!$C639,Elig_MatchAll_Ct&lt;22,$BC639=(Elig_MatchAll_Ct-1),AU639=0),S639,0)</f>
        <v>0</v>
      </c>
      <c r="BY639" s="273">
        <f>IF(AND(Input_Product=Elig!$C639,Elig_MatchAll_Ct&lt;22,$BC639=(Elig_MatchAll_Ct-1),AV639=0),T639,0)</f>
        <v>0</v>
      </c>
      <c r="BZ639" s="274">
        <f>IF(AND(Input_Product=Elig!$C639,Elig_MatchAll_Ct&lt;22,$BC639=(Elig_MatchAll_Ct-1),AV639=0),U639,0)</f>
        <v>0</v>
      </c>
      <c r="CA639" s="273">
        <f>IF(AND(Input_Product=Elig!$C639,Elig_MatchAll_Ct&lt;22,$BC639=(Elig_MatchAll_Ct-1),AW639=0),V639,0)</f>
        <v>0</v>
      </c>
      <c r="CB639" s="274">
        <f>IF(AND(Input_Product=Elig!$C639,Elig_MatchAll_Ct&lt;22,$BC639=(Elig_MatchAll_Ct-1),AW639=0),W639,0)</f>
        <v>0</v>
      </c>
      <c r="CC639" s="273">
        <f>IF(AND(Input_Product=Elig!$C639,Elig_MatchAll_Ct&lt;22,$BC639=(Elig_MatchAll_Ct-1),AX639=0),X639,0)</f>
        <v>0</v>
      </c>
      <c r="CD639" s="274">
        <f>IF(AND(Input_Product=Elig!$C639,Elig_MatchAll_Ct&lt;22,$BC639=(Elig_MatchAll_Ct-1),AX639=0),Y639,0)</f>
        <v>0</v>
      </c>
      <c r="CE639" s="273">
        <f>IF(AND(Input_LTV&lt;=AE639,Input_Product=Elig!$C639,Elig_MatchAll_Ct&lt;22,$BC639=(Elig_MatchAll_Ct-1),AY639=0),Z639,0)</f>
        <v>0</v>
      </c>
      <c r="CF639" s="274">
        <f>IF(AND(Input_LTV&lt;=AE639,Input_Product=Elig!$C639,Elig_MatchAll_Ct&lt;22,$BC639=(Elig_MatchAll_Ct-1),AY639=0),AA639,0)</f>
        <v>0</v>
      </c>
      <c r="CG639" s="273">
        <f>IF(AND(Input_Product=Elig!$C639,Elig_MatchAll_Ct&lt;22,$BC639=(Elig_MatchAll_Ct-1),AZ639=0),AB639,0)</f>
        <v>0</v>
      </c>
      <c r="CH639" s="274">
        <f>IF(AND(Input_Product=Elig!$C639,Elig_MatchAll_Ct&lt;22,$BC639=(Elig_MatchAll_Ct-1),AZ639=0),AC639,0)</f>
        <v>0</v>
      </c>
      <c r="CI639" s="273">
        <f>IF(AND(Input_Product=Elig!$C639,Elig_MatchAll_Ct&lt;22,$BC639=(Elig_MatchAll_Ct-1),BA639=0),AD639,0)</f>
        <v>0</v>
      </c>
      <c r="CJ639" s="274">
        <f>IF(AND(Input_Product=Elig!$C639,Elig_MatchAll_Ct&lt;22,$BC639=(Elig_MatchAll_Ct-1),BA639=0),AE639,0)</f>
        <v>0</v>
      </c>
    </row>
    <row r="640" spans="1:88" ht="10.15" customHeight="1" x14ac:dyDescent="0.25">
      <c r="A640" s="1476" t="s">
        <v>76</v>
      </c>
      <c r="B640" s="1476" t="s">
        <v>1964</v>
      </c>
      <c r="C640" s="1477" t="str">
        <f t="shared" si="204"/>
        <v>Second OO</v>
      </c>
      <c r="D640" s="1476" t="s">
        <v>1338</v>
      </c>
      <c r="E640" s="1476" t="s">
        <v>98</v>
      </c>
      <c r="F640" s="1476" t="s">
        <v>328</v>
      </c>
      <c r="G640" s="1544" t="s">
        <v>465</v>
      </c>
      <c r="H640" s="1478" t="s">
        <v>135</v>
      </c>
      <c r="I640" s="1476" t="s">
        <v>1141</v>
      </c>
      <c r="J640" s="1476" t="s">
        <v>1130</v>
      </c>
      <c r="K640" s="1478" t="s">
        <v>2464</v>
      </c>
      <c r="L640" s="1476" t="s">
        <v>428</v>
      </c>
      <c r="M640" s="1476" t="s">
        <v>1835</v>
      </c>
      <c r="N640" s="1478" t="s">
        <v>82</v>
      </c>
      <c r="O640" s="1476" t="s">
        <v>309</v>
      </c>
      <c r="P640" s="1476" t="s">
        <v>2433</v>
      </c>
      <c r="Q640" s="1476" t="s">
        <v>293</v>
      </c>
      <c r="R640" s="1476">
        <v>350000.01</v>
      </c>
      <c r="S640" s="261">
        <v>500000</v>
      </c>
      <c r="T640" s="1476">
        <v>0</v>
      </c>
      <c r="U640" s="1476">
        <f t="shared" si="232"/>
        <v>500000</v>
      </c>
      <c r="V640" s="1476">
        <v>0</v>
      </c>
      <c r="W640" s="1476">
        <v>50</v>
      </c>
      <c r="X640" s="1476">
        <v>0</v>
      </c>
      <c r="Y640" s="1476">
        <v>999</v>
      </c>
      <c r="Z640" s="1479">
        <v>700</v>
      </c>
      <c r="AA640" s="1479">
        <v>719</v>
      </c>
      <c r="AB640" s="1479">
        <v>0</v>
      </c>
      <c r="AC640" s="1479">
        <v>999999</v>
      </c>
      <c r="AD640" s="1476">
        <v>0</v>
      </c>
      <c r="AE640" s="1539">
        <v>70</v>
      </c>
      <c r="AF640" s="144">
        <v>0</v>
      </c>
      <c r="AG640" s="145">
        <v>1</v>
      </c>
      <c r="AH640" s="145">
        <v>1</v>
      </c>
      <c r="AI640" s="145">
        <v>0</v>
      </c>
      <c r="AJ640" s="145">
        <v>0</v>
      </c>
      <c r="AK640" s="145">
        <v>1</v>
      </c>
      <c r="AL640" s="145">
        <v>1</v>
      </c>
      <c r="AM640" s="145">
        <v>1</v>
      </c>
      <c r="AN640" s="145">
        <v>1</v>
      </c>
      <c r="AO640" s="145">
        <v>1</v>
      </c>
      <c r="AP640" s="145">
        <v>1</v>
      </c>
      <c r="AQ640" s="145">
        <v>0</v>
      </c>
      <c r="AR640" s="145">
        <v>1</v>
      </c>
      <c r="AS640" s="145">
        <v>1</v>
      </c>
      <c r="AT640" s="145">
        <v>1</v>
      </c>
      <c r="AU640" s="145">
        <f t="shared" si="219"/>
        <v>0</v>
      </c>
      <c r="AV640" s="145">
        <f t="shared" si="220"/>
        <v>1</v>
      </c>
      <c r="AW640" s="145">
        <f t="shared" si="221"/>
        <v>1</v>
      </c>
      <c r="AX640" s="145">
        <f t="shared" si="226"/>
        <v>1</v>
      </c>
      <c r="AY640" s="145">
        <f t="shared" si="222"/>
        <v>0</v>
      </c>
      <c r="AZ640" s="145">
        <f t="shared" si="223"/>
        <v>1</v>
      </c>
      <c r="BA640" s="146">
        <f t="shared" si="224"/>
        <v>1</v>
      </c>
      <c r="BB640" s="149">
        <f t="shared" si="228"/>
        <v>16</v>
      </c>
      <c r="BC640" s="150">
        <f t="shared" si="229"/>
        <v>15</v>
      </c>
      <c r="BD640" s="150">
        <f t="shared" si="230"/>
        <v>16</v>
      </c>
      <c r="BE640" s="211" t="str">
        <f t="shared" si="231"/>
        <v/>
      </c>
      <c r="BF640" s="205"/>
      <c r="BG640" s="205"/>
      <c r="BH640" s="173">
        <f>IF(AND(Input_Product=Elig!$C640,Elig_MatchAll_Ct&lt;22,$BC640=(Elig_MatchAll_Ct-1),AF640=0),C640,0)</f>
        <v>0</v>
      </c>
      <c r="BI640" s="173">
        <f>IF(AND(Input_Product=Elig!$C640,Elig_MatchAll_Ct&lt;22,$BC640=(Elig_MatchAll_Ct-1),AG640=0),D640,0)</f>
        <v>0</v>
      </c>
      <c r="BJ640" s="173">
        <f>IF(AND(Input_Product=Elig!$C640,Elig_MatchAll_Ct&lt;22,$BC640=(Elig_MatchAll_Ct-1),AH640=0),E640,0)</f>
        <v>0</v>
      </c>
      <c r="BK640" s="173">
        <f>IF(AND(Input_Product=Elig!$C640,Elig_MatchAll_Ct&lt;22,$BC640=(Elig_MatchAll_Ct-1),AI640=0),F640,0)</f>
        <v>0</v>
      </c>
      <c r="BL640" s="173">
        <f>IF(AND(Input_Product=Elig!$C640,Elig_MatchAll_Ct&lt;22,$BC640=(Elig_MatchAll_Ct-1),AJ640=0),G640,0)</f>
        <v>0</v>
      </c>
      <c r="BM640" s="173">
        <f>IF(AND(Input_Product=Elig!$C640,Elig_MatchAll_Ct&lt;22,$BC640=(Elig_MatchAll_Ct-1),AK640=0),H640,0)</f>
        <v>0</v>
      </c>
      <c r="BN640" s="173">
        <f>IF(AND(Input_Product=Elig!$C640,Elig_MatchAll_Ct&lt;22,$BC640=(Elig_MatchAll_Ct-1),AL640=0),I640,0)</f>
        <v>0</v>
      </c>
      <c r="BO640" s="173">
        <f>IF(AND(Input_Product=Elig!$C640,Elig_MatchAll_Ct&lt;22,$BC640=(Elig_MatchAll_Ct-1),AM640=0),J640,0)</f>
        <v>0</v>
      </c>
      <c r="BP640" s="173">
        <f>IF(AND(Input_Product=Elig!$C640,Elig_MatchAll_Ct&lt;22,$BC640=(Elig_MatchAll_Ct-1),AN640=0),K640,0)</f>
        <v>0</v>
      </c>
      <c r="BQ640" s="173">
        <f>IF(AND(Input_Product=Elig!$C640,Elig_MatchAll_Ct&lt;22,$BC640=(Elig_MatchAll_Ct-1),AP640=0),L640,0)</f>
        <v>0</v>
      </c>
      <c r="BR640" s="173">
        <f>IF(AND(Input_Product=Elig!$C640,Elig_MatchAll_Ct&lt;22,$BC640=(Elig_MatchAll_Ct-1),AO640=0),M640,0)</f>
        <v>0</v>
      </c>
      <c r="BS640" s="173">
        <f>IF(AND(Input_Product=Elig!$C640,Elig_MatchAll_Ct&lt;22,$BC640=(Elig_MatchAll_Ct-1),AQ640=0),N640,0)</f>
        <v>0</v>
      </c>
      <c r="BT640" s="173">
        <f>IF(AND(Input_Product=Elig!$C640,Elig_MatchAll_Ct&lt;22,$BC640=(Elig_MatchAll_Ct-1),AR640=0),O640,0)</f>
        <v>0</v>
      </c>
      <c r="BU640" s="173">
        <f>IF(AND(Input_Product=Elig!$C640,Elig_MatchAll_Ct&lt;22,$BC640=(Elig_MatchAll_Ct-1),AS640=0),P640,0)</f>
        <v>0</v>
      </c>
      <c r="BV640" s="174">
        <f>IF(AND(Input_Product=Elig!$C640,Elig_MatchAll_Ct&lt;22,$BC640=(Elig_MatchAll_Ct-1),AT640=0),Q640,0)</f>
        <v>0</v>
      </c>
      <c r="BW640" s="175">
        <f>IF(AND(Input_Product=Elig!$C640,Elig_MatchAll_Ct&lt;22,$BC640=(Elig_MatchAll_Ct-1),AU640=0),R640,0)</f>
        <v>0</v>
      </c>
      <c r="BX640" s="176">
        <f>IF(AND(Input_Product=Elig!$C640,Elig_MatchAll_Ct&lt;22,$BC640=(Elig_MatchAll_Ct-1),AU640=0),S640,0)</f>
        <v>0</v>
      </c>
      <c r="BY640" s="175">
        <f>IF(AND(Input_Product=Elig!$C640,Elig_MatchAll_Ct&lt;22,$BC640=(Elig_MatchAll_Ct-1),AV640=0),T640,0)</f>
        <v>0</v>
      </c>
      <c r="BZ640" s="176">
        <f>IF(AND(Input_Product=Elig!$C640,Elig_MatchAll_Ct&lt;22,$BC640=(Elig_MatchAll_Ct-1),AV640=0),U640,0)</f>
        <v>0</v>
      </c>
      <c r="CA640" s="175">
        <f>IF(AND(Input_Product=Elig!$C640,Elig_MatchAll_Ct&lt;22,$BC640=(Elig_MatchAll_Ct-1),AW640=0),V640,0)</f>
        <v>0</v>
      </c>
      <c r="CB640" s="176">
        <f>IF(AND(Input_Product=Elig!$C640,Elig_MatchAll_Ct&lt;22,$BC640=(Elig_MatchAll_Ct-1),AW640=0),W640,0)</f>
        <v>0</v>
      </c>
      <c r="CC640" s="175">
        <f>IF(AND(Input_Product=Elig!$C640,Elig_MatchAll_Ct&lt;22,$BC640=(Elig_MatchAll_Ct-1),AX640=0),X640,0)</f>
        <v>0</v>
      </c>
      <c r="CD640" s="176">
        <f>IF(AND(Input_Product=Elig!$C640,Elig_MatchAll_Ct&lt;22,$BC640=(Elig_MatchAll_Ct-1),AX640=0),Y640,0)</f>
        <v>0</v>
      </c>
      <c r="CE640" s="175">
        <f>IF(AND(Input_LTV&lt;=AE640,Input_Product=Elig!$C640,Elig_MatchAll_Ct&lt;22,$BC640=(Elig_MatchAll_Ct-1),AY640=0),Z640,0)</f>
        <v>0</v>
      </c>
      <c r="CF640" s="176">
        <f>IF(AND(Input_LTV&lt;=AE640,Input_Product=Elig!$C640,Elig_MatchAll_Ct&lt;22,$BC640=(Elig_MatchAll_Ct-1),AY640=0),AA640,0)</f>
        <v>0</v>
      </c>
      <c r="CG640" s="175">
        <f>IF(AND(Input_Product=Elig!$C640,Elig_MatchAll_Ct&lt;22,$BC640=(Elig_MatchAll_Ct-1),AZ640=0),AB640,0)</f>
        <v>0</v>
      </c>
      <c r="CH640" s="176">
        <f>IF(AND(Input_Product=Elig!$C640,Elig_MatchAll_Ct&lt;22,$BC640=(Elig_MatchAll_Ct-1),AZ640=0),AC640,0)</f>
        <v>0</v>
      </c>
      <c r="CI640" s="175">
        <f>IF(AND(Input_Product=Elig!$C640,Elig_MatchAll_Ct&lt;22,$BC640=(Elig_MatchAll_Ct-1),BA640=0),AD640,0)</f>
        <v>0</v>
      </c>
      <c r="CJ640" s="176">
        <f>IF(AND(Input_Product=Elig!$C640,Elig_MatchAll_Ct&lt;22,$BC640=(Elig_MatchAll_Ct-1),BA640=0),AE640,0)</f>
        <v>0</v>
      </c>
    </row>
    <row r="641" spans="1:88" ht="10.15" customHeight="1" x14ac:dyDescent="0.25">
      <c r="A641" s="1476" t="s">
        <v>76</v>
      </c>
      <c r="B641" s="1476" t="s">
        <v>1965</v>
      </c>
      <c r="C641" s="1477" t="str">
        <f t="shared" si="204"/>
        <v>Second OO</v>
      </c>
      <c r="D641" s="1476" t="s">
        <v>1338</v>
      </c>
      <c r="E641" s="1476" t="s">
        <v>98</v>
      </c>
      <c r="F641" s="1476" t="s">
        <v>328</v>
      </c>
      <c r="G641" s="1544" t="s">
        <v>465</v>
      </c>
      <c r="H641" s="1478" t="s">
        <v>135</v>
      </c>
      <c r="I641" s="1476" t="s">
        <v>1141</v>
      </c>
      <c r="J641" s="1476" t="s">
        <v>1130</v>
      </c>
      <c r="K641" s="1478" t="s">
        <v>2464</v>
      </c>
      <c r="L641" s="1476" t="s">
        <v>428</v>
      </c>
      <c r="M641" s="1476" t="s">
        <v>1835</v>
      </c>
      <c r="N641" s="1478" t="s">
        <v>82</v>
      </c>
      <c r="O641" s="1476" t="s">
        <v>309</v>
      </c>
      <c r="P641" s="1476" t="s">
        <v>2433</v>
      </c>
      <c r="Q641" s="1476" t="s">
        <v>293</v>
      </c>
      <c r="R641" s="1476">
        <v>350000.01</v>
      </c>
      <c r="S641" s="261">
        <v>500000</v>
      </c>
      <c r="T641" s="1476">
        <v>0</v>
      </c>
      <c r="U641" s="1476">
        <f t="shared" si="232"/>
        <v>500000</v>
      </c>
      <c r="V641" s="1476">
        <v>0</v>
      </c>
      <c r="W641" s="1476">
        <v>50</v>
      </c>
      <c r="X641" s="1476">
        <v>0</v>
      </c>
      <c r="Y641" s="1476">
        <v>999</v>
      </c>
      <c r="Z641" s="1479">
        <v>680</v>
      </c>
      <c r="AA641" s="1479">
        <v>699</v>
      </c>
      <c r="AB641" s="1479">
        <v>0</v>
      </c>
      <c r="AC641" s="1479">
        <v>999999</v>
      </c>
      <c r="AD641" s="1476">
        <v>0</v>
      </c>
      <c r="AE641" s="1539">
        <v>65</v>
      </c>
      <c r="AF641" s="144">
        <v>0</v>
      </c>
      <c r="AG641" s="145">
        <v>1</v>
      </c>
      <c r="AH641" s="145">
        <v>1</v>
      </c>
      <c r="AI641" s="145">
        <v>0</v>
      </c>
      <c r="AJ641" s="145">
        <v>0</v>
      </c>
      <c r="AK641" s="145">
        <v>1</v>
      </c>
      <c r="AL641" s="145">
        <v>1</v>
      </c>
      <c r="AM641" s="145">
        <v>1</v>
      </c>
      <c r="AN641" s="145">
        <v>1</v>
      </c>
      <c r="AO641" s="145">
        <v>1</v>
      </c>
      <c r="AP641" s="145">
        <v>1</v>
      </c>
      <c r="AQ641" s="145">
        <v>0</v>
      </c>
      <c r="AR641" s="145">
        <v>1</v>
      </c>
      <c r="AS641" s="145">
        <v>1</v>
      </c>
      <c r="AT641" s="145">
        <v>1</v>
      </c>
      <c r="AU641" s="145">
        <f t="shared" si="219"/>
        <v>0</v>
      </c>
      <c r="AV641" s="145">
        <f t="shared" si="220"/>
        <v>1</v>
      </c>
      <c r="AW641" s="145">
        <f t="shared" si="221"/>
        <v>1</v>
      </c>
      <c r="AX641" s="145">
        <f t="shared" si="226"/>
        <v>1</v>
      </c>
      <c r="AY641" s="145">
        <f t="shared" si="222"/>
        <v>0</v>
      </c>
      <c r="AZ641" s="145">
        <f t="shared" si="223"/>
        <v>1</v>
      </c>
      <c r="BA641" s="146">
        <f t="shared" si="224"/>
        <v>0</v>
      </c>
      <c r="BB641" s="149">
        <f t="shared" si="228"/>
        <v>15</v>
      </c>
      <c r="BC641" s="150">
        <f t="shared" si="229"/>
        <v>15</v>
      </c>
      <c r="BD641" s="150">
        <f t="shared" si="230"/>
        <v>15</v>
      </c>
      <c r="BE641" s="211" t="str">
        <f t="shared" si="231"/>
        <v/>
      </c>
      <c r="BF641" s="205"/>
      <c r="BG641" s="205"/>
      <c r="BH641" s="173">
        <f>IF(AND(Input_Product=Elig!$C641,Elig_MatchAll_Ct&lt;22,$BC641=(Elig_MatchAll_Ct-1),AF641=0),C641,0)</f>
        <v>0</v>
      </c>
      <c r="BI641" s="173">
        <f>IF(AND(Input_Product=Elig!$C641,Elig_MatchAll_Ct&lt;22,$BC641=(Elig_MatchAll_Ct-1),AG641=0),D641,0)</f>
        <v>0</v>
      </c>
      <c r="BJ641" s="173">
        <f>IF(AND(Input_Product=Elig!$C641,Elig_MatchAll_Ct&lt;22,$BC641=(Elig_MatchAll_Ct-1),AH641=0),E641,0)</f>
        <v>0</v>
      </c>
      <c r="BK641" s="173">
        <f>IF(AND(Input_Product=Elig!$C641,Elig_MatchAll_Ct&lt;22,$BC641=(Elig_MatchAll_Ct-1),AI641=0),F641,0)</f>
        <v>0</v>
      </c>
      <c r="BL641" s="173">
        <f>IF(AND(Input_Product=Elig!$C641,Elig_MatchAll_Ct&lt;22,$BC641=(Elig_MatchAll_Ct-1),AJ641=0),G641,0)</f>
        <v>0</v>
      </c>
      <c r="BM641" s="173">
        <f>IF(AND(Input_Product=Elig!$C641,Elig_MatchAll_Ct&lt;22,$BC641=(Elig_MatchAll_Ct-1),AK641=0),H641,0)</f>
        <v>0</v>
      </c>
      <c r="BN641" s="173">
        <f>IF(AND(Input_Product=Elig!$C641,Elig_MatchAll_Ct&lt;22,$BC641=(Elig_MatchAll_Ct-1),AL641=0),I641,0)</f>
        <v>0</v>
      </c>
      <c r="BO641" s="173">
        <f>IF(AND(Input_Product=Elig!$C641,Elig_MatchAll_Ct&lt;22,$BC641=(Elig_MatchAll_Ct-1),AM641=0),J641,0)</f>
        <v>0</v>
      </c>
      <c r="BP641" s="173">
        <f>IF(AND(Input_Product=Elig!$C641,Elig_MatchAll_Ct&lt;22,$BC641=(Elig_MatchAll_Ct-1),AN641=0),K641,0)</f>
        <v>0</v>
      </c>
      <c r="BQ641" s="173">
        <f>IF(AND(Input_Product=Elig!$C641,Elig_MatchAll_Ct&lt;22,$BC641=(Elig_MatchAll_Ct-1),AP641=0),L641,0)</f>
        <v>0</v>
      </c>
      <c r="BR641" s="173">
        <f>IF(AND(Input_Product=Elig!$C641,Elig_MatchAll_Ct&lt;22,$BC641=(Elig_MatchAll_Ct-1),AO641=0),M641,0)</f>
        <v>0</v>
      </c>
      <c r="BS641" s="173">
        <f>IF(AND(Input_Product=Elig!$C641,Elig_MatchAll_Ct&lt;22,$BC641=(Elig_MatchAll_Ct-1),AQ641=0),N641,0)</f>
        <v>0</v>
      </c>
      <c r="BT641" s="173">
        <f>IF(AND(Input_Product=Elig!$C641,Elig_MatchAll_Ct&lt;22,$BC641=(Elig_MatchAll_Ct-1),AR641=0),O641,0)</f>
        <v>0</v>
      </c>
      <c r="BU641" s="173">
        <f>IF(AND(Input_Product=Elig!$C641,Elig_MatchAll_Ct&lt;22,$BC641=(Elig_MatchAll_Ct-1),AS641=0),P641,0)</f>
        <v>0</v>
      </c>
      <c r="BV641" s="174">
        <f>IF(AND(Input_Product=Elig!$C641,Elig_MatchAll_Ct&lt;22,$BC641=(Elig_MatchAll_Ct-1),AT641=0),Q641,0)</f>
        <v>0</v>
      </c>
      <c r="BW641" s="175">
        <f>IF(AND(Input_Product=Elig!$C641,Elig_MatchAll_Ct&lt;22,$BC641=(Elig_MatchAll_Ct-1),AU641=0),R641,0)</f>
        <v>0</v>
      </c>
      <c r="BX641" s="176">
        <f>IF(AND(Input_Product=Elig!$C641,Elig_MatchAll_Ct&lt;22,$BC641=(Elig_MatchAll_Ct-1),AU641=0),S641,0)</f>
        <v>0</v>
      </c>
      <c r="BY641" s="175">
        <f>IF(AND(Input_Product=Elig!$C641,Elig_MatchAll_Ct&lt;22,$BC641=(Elig_MatchAll_Ct-1),AV641=0),T641,0)</f>
        <v>0</v>
      </c>
      <c r="BZ641" s="176">
        <f>IF(AND(Input_Product=Elig!$C641,Elig_MatchAll_Ct&lt;22,$BC641=(Elig_MatchAll_Ct-1),AV641=0),U641,0)</f>
        <v>0</v>
      </c>
      <c r="CA641" s="175">
        <f>IF(AND(Input_Product=Elig!$C641,Elig_MatchAll_Ct&lt;22,$BC641=(Elig_MatchAll_Ct-1),AW641=0),V641,0)</f>
        <v>0</v>
      </c>
      <c r="CB641" s="176">
        <f>IF(AND(Input_Product=Elig!$C641,Elig_MatchAll_Ct&lt;22,$BC641=(Elig_MatchAll_Ct-1),AW641=0),W641,0)</f>
        <v>0</v>
      </c>
      <c r="CC641" s="175">
        <f>IF(AND(Input_Product=Elig!$C641,Elig_MatchAll_Ct&lt;22,$BC641=(Elig_MatchAll_Ct-1),AX641=0),X641,0)</f>
        <v>0</v>
      </c>
      <c r="CD641" s="176">
        <f>IF(AND(Input_Product=Elig!$C641,Elig_MatchAll_Ct&lt;22,$BC641=(Elig_MatchAll_Ct-1),AX641=0),Y641,0)</f>
        <v>0</v>
      </c>
      <c r="CE641" s="175">
        <f>IF(AND(Input_LTV&lt;=AE641,Input_Product=Elig!$C641,Elig_MatchAll_Ct&lt;22,$BC641=(Elig_MatchAll_Ct-1),AY641=0),Z641,0)</f>
        <v>0</v>
      </c>
      <c r="CF641" s="176">
        <f>IF(AND(Input_LTV&lt;=AE641,Input_Product=Elig!$C641,Elig_MatchAll_Ct&lt;22,$BC641=(Elig_MatchAll_Ct-1),AY641=0),AA641,0)</f>
        <v>0</v>
      </c>
      <c r="CG641" s="175">
        <f>IF(AND(Input_Product=Elig!$C641,Elig_MatchAll_Ct&lt;22,$BC641=(Elig_MatchAll_Ct-1),AZ641=0),AB641,0)</f>
        <v>0</v>
      </c>
      <c r="CH641" s="176">
        <f>IF(AND(Input_Product=Elig!$C641,Elig_MatchAll_Ct&lt;22,$BC641=(Elig_MatchAll_Ct-1),AZ641=0),AC641,0)</f>
        <v>0</v>
      </c>
      <c r="CI641" s="175">
        <f>IF(AND(Input_Product=Elig!$C641,Elig_MatchAll_Ct&lt;22,$BC641=(Elig_MatchAll_Ct-1),BA641=0),AD641,0)</f>
        <v>0</v>
      </c>
      <c r="CJ641" s="176">
        <f>IF(AND(Input_Product=Elig!$C641,Elig_MatchAll_Ct&lt;22,$BC641=(Elig_MatchAll_Ct-1),BA641=0),AE641,0)</f>
        <v>0</v>
      </c>
    </row>
    <row r="642" spans="1:88" ht="10.15" customHeight="1" x14ac:dyDescent="0.25">
      <c r="A642" s="1476" t="s">
        <v>76</v>
      </c>
      <c r="B642" s="1476" t="s">
        <v>1966</v>
      </c>
      <c r="C642" s="1481" t="str">
        <f t="shared" si="204"/>
        <v>Second OO</v>
      </c>
      <c r="D642" s="1480" t="s">
        <v>1338</v>
      </c>
      <c r="E642" s="1480" t="s">
        <v>98</v>
      </c>
      <c r="F642" s="1480" t="s">
        <v>328</v>
      </c>
      <c r="G642" s="1545" t="s">
        <v>465</v>
      </c>
      <c r="H642" s="1482" t="s">
        <v>135</v>
      </c>
      <c r="I642" s="1480" t="s">
        <v>1141</v>
      </c>
      <c r="J642" s="1480" t="s">
        <v>1130</v>
      </c>
      <c r="K642" s="1482" t="s">
        <v>2464</v>
      </c>
      <c r="L642" s="1480" t="s">
        <v>428</v>
      </c>
      <c r="M642" s="1480" t="s">
        <v>1835</v>
      </c>
      <c r="N642" s="1482" t="s">
        <v>82</v>
      </c>
      <c r="O642" s="1480" t="s">
        <v>309</v>
      </c>
      <c r="P642" s="1480" t="s">
        <v>2433</v>
      </c>
      <c r="Q642" s="1480" t="s">
        <v>293</v>
      </c>
      <c r="R642" s="1480">
        <v>350000.01</v>
      </c>
      <c r="S642" s="277">
        <v>500000</v>
      </c>
      <c r="T642" s="1480">
        <v>0</v>
      </c>
      <c r="U642" s="1480">
        <f t="shared" si="232"/>
        <v>500000</v>
      </c>
      <c r="V642" s="1480">
        <v>0</v>
      </c>
      <c r="W642" s="1480">
        <v>50</v>
      </c>
      <c r="X642" s="1480">
        <v>0</v>
      </c>
      <c r="Y642" s="1480">
        <v>999</v>
      </c>
      <c r="Z642" s="1483">
        <v>660</v>
      </c>
      <c r="AA642" s="1483">
        <v>679</v>
      </c>
      <c r="AB642" s="1483">
        <v>0</v>
      </c>
      <c r="AC642" s="1483">
        <v>999999</v>
      </c>
      <c r="AD642" s="1480">
        <v>0</v>
      </c>
      <c r="AE642" s="1541">
        <v>60</v>
      </c>
      <c r="AF642" s="144">
        <v>0</v>
      </c>
      <c r="AG642" s="145">
        <v>1</v>
      </c>
      <c r="AH642" s="145">
        <v>1</v>
      </c>
      <c r="AI642" s="145">
        <v>0</v>
      </c>
      <c r="AJ642" s="145">
        <v>0</v>
      </c>
      <c r="AK642" s="145">
        <v>1</v>
      </c>
      <c r="AL642" s="145">
        <v>1</v>
      </c>
      <c r="AM642" s="145">
        <v>1</v>
      </c>
      <c r="AN642" s="145">
        <v>1</v>
      </c>
      <c r="AO642" s="145">
        <v>1</v>
      </c>
      <c r="AP642" s="145">
        <v>1</v>
      </c>
      <c r="AQ642" s="145">
        <v>0</v>
      </c>
      <c r="AR642" s="145">
        <v>1</v>
      </c>
      <c r="AS642" s="145">
        <v>1</v>
      </c>
      <c r="AT642" s="145">
        <v>1</v>
      </c>
      <c r="AU642" s="145">
        <f t="shared" si="219"/>
        <v>0</v>
      </c>
      <c r="AV642" s="145">
        <f t="shared" si="220"/>
        <v>1</v>
      </c>
      <c r="AW642" s="145">
        <f t="shared" si="221"/>
        <v>1</v>
      </c>
      <c r="AX642" s="145">
        <f t="shared" si="226"/>
        <v>1</v>
      </c>
      <c r="AY642" s="145">
        <f t="shared" si="222"/>
        <v>0</v>
      </c>
      <c r="AZ642" s="145">
        <f t="shared" si="223"/>
        <v>1</v>
      </c>
      <c r="BA642" s="146">
        <f t="shared" si="224"/>
        <v>0</v>
      </c>
      <c r="BB642" s="149">
        <f t="shared" si="228"/>
        <v>15</v>
      </c>
      <c r="BC642" s="150">
        <f t="shared" si="229"/>
        <v>15</v>
      </c>
      <c r="BD642" s="150">
        <f t="shared" si="230"/>
        <v>15</v>
      </c>
      <c r="BE642" s="211" t="str">
        <f t="shared" si="231"/>
        <v/>
      </c>
      <c r="BF642" s="205"/>
      <c r="BG642" s="205"/>
      <c r="BH642" s="188">
        <f>IF(AND(Input_Product=Elig!$C642,Elig_MatchAll_Ct&lt;22,$BC642=(Elig_MatchAll_Ct-1),AF642=0),C642,0)</f>
        <v>0</v>
      </c>
      <c r="BI642" s="188">
        <f>IF(AND(Input_Product=Elig!$C642,Elig_MatchAll_Ct&lt;22,$BC642=(Elig_MatchAll_Ct-1),AG642=0),D642,0)</f>
        <v>0</v>
      </c>
      <c r="BJ642" s="188">
        <f>IF(AND(Input_Product=Elig!$C642,Elig_MatchAll_Ct&lt;22,$BC642=(Elig_MatchAll_Ct-1),AH642=0),E642,0)</f>
        <v>0</v>
      </c>
      <c r="BK642" s="188">
        <f>IF(AND(Input_Product=Elig!$C642,Elig_MatchAll_Ct&lt;22,$BC642=(Elig_MatchAll_Ct-1),AI642=0),F642,0)</f>
        <v>0</v>
      </c>
      <c r="BL642" s="188">
        <f>IF(AND(Input_Product=Elig!$C642,Elig_MatchAll_Ct&lt;22,$BC642=(Elig_MatchAll_Ct-1),AJ642=0),G642,0)</f>
        <v>0</v>
      </c>
      <c r="BM642" s="188">
        <f>IF(AND(Input_Product=Elig!$C642,Elig_MatchAll_Ct&lt;22,$BC642=(Elig_MatchAll_Ct-1),AK642=0),H642,0)</f>
        <v>0</v>
      </c>
      <c r="BN642" s="188">
        <f>IF(AND(Input_Product=Elig!$C642,Elig_MatchAll_Ct&lt;22,$BC642=(Elig_MatchAll_Ct-1),AL642=0),I642,0)</f>
        <v>0</v>
      </c>
      <c r="BO642" s="188">
        <f>IF(AND(Input_Product=Elig!$C642,Elig_MatchAll_Ct&lt;22,$BC642=(Elig_MatchAll_Ct-1),AM642=0),J642,0)</f>
        <v>0</v>
      </c>
      <c r="BP642" s="188">
        <f>IF(AND(Input_Product=Elig!$C642,Elig_MatchAll_Ct&lt;22,$BC642=(Elig_MatchAll_Ct-1),AN642=0),K642,0)</f>
        <v>0</v>
      </c>
      <c r="BQ642" s="188">
        <f>IF(AND(Input_Product=Elig!$C642,Elig_MatchAll_Ct&lt;22,$BC642=(Elig_MatchAll_Ct-1),AP642=0),L642,0)</f>
        <v>0</v>
      </c>
      <c r="BR642" s="188">
        <f>IF(AND(Input_Product=Elig!$C642,Elig_MatchAll_Ct&lt;22,$BC642=(Elig_MatchAll_Ct-1),AO642=0),M642,0)</f>
        <v>0</v>
      </c>
      <c r="BS642" s="188">
        <f>IF(AND(Input_Product=Elig!$C642,Elig_MatchAll_Ct&lt;22,$BC642=(Elig_MatchAll_Ct-1),AQ642=0),N642,0)</f>
        <v>0</v>
      </c>
      <c r="BT642" s="188">
        <f>IF(AND(Input_Product=Elig!$C642,Elig_MatchAll_Ct&lt;22,$BC642=(Elig_MatchAll_Ct-1),AR642=0),O642,0)</f>
        <v>0</v>
      </c>
      <c r="BU642" s="188">
        <f>IF(AND(Input_Product=Elig!$C642,Elig_MatchAll_Ct&lt;22,$BC642=(Elig_MatchAll_Ct-1),AS642=0),P642,0)</f>
        <v>0</v>
      </c>
      <c r="BV642" s="189">
        <f>IF(AND(Input_Product=Elig!$C642,Elig_MatchAll_Ct&lt;22,$BC642=(Elig_MatchAll_Ct-1),AT642=0),Q642,0)</f>
        <v>0</v>
      </c>
      <c r="BW642" s="271">
        <f>IF(AND(Input_Product=Elig!$C642,Elig_MatchAll_Ct&lt;22,$BC642=(Elig_MatchAll_Ct-1),AU642=0),R642,0)</f>
        <v>0</v>
      </c>
      <c r="BX642" s="272">
        <f>IF(AND(Input_Product=Elig!$C642,Elig_MatchAll_Ct&lt;22,$BC642=(Elig_MatchAll_Ct-1),AU642=0),S642,0)</f>
        <v>0</v>
      </c>
      <c r="BY642" s="271">
        <f>IF(AND(Input_Product=Elig!$C642,Elig_MatchAll_Ct&lt;22,$BC642=(Elig_MatchAll_Ct-1),AV642=0),T642,0)</f>
        <v>0</v>
      </c>
      <c r="BZ642" s="272">
        <f>IF(AND(Input_Product=Elig!$C642,Elig_MatchAll_Ct&lt;22,$BC642=(Elig_MatchAll_Ct-1),AV642=0),U642,0)</f>
        <v>0</v>
      </c>
      <c r="CA642" s="271">
        <f>IF(AND(Input_Product=Elig!$C642,Elig_MatchAll_Ct&lt;22,$BC642=(Elig_MatchAll_Ct-1),AW642=0),V642,0)</f>
        <v>0</v>
      </c>
      <c r="CB642" s="272">
        <f>IF(AND(Input_Product=Elig!$C642,Elig_MatchAll_Ct&lt;22,$BC642=(Elig_MatchAll_Ct-1),AW642=0),W642,0)</f>
        <v>0</v>
      </c>
      <c r="CC642" s="271">
        <f>IF(AND(Input_Product=Elig!$C642,Elig_MatchAll_Ct&lt;22,$BC642=(Elig_MatchAll_Ct-1),AX642=0),X642,0)</f>
        <v>0</v>
      </c>
      <c r="CD642" s="272">
        <f>IF(AND(Input_Product=Elig!$C642,Elig_MatchAll_Ct&lt;22,$BC642=(Elig_MatchAll_Ct-1),AX642=0),Y642,0)</f>
        <v>0</v>
      </c>
      <c r="CE642" s="271">
        <f>IF(AND(Input_LTV&lt;=AE642,Input_Product=Elig!$C642,Elig_MatchAll_Ct&lt;22,$BC642=(Elig_MatchAll_Ct-1),AY642=0),Z642,0)</f>
        <v>0</v>
      </c>
      <c r="CF642" s="272">
        <f>IF(AND(Input_LTV&lt;=AE642,Input_Product=Elig!$C642,Elig_MatchAll_Ct&lt;22,$BC642=(Elig_MatchAll_Ct-1),AY642=0),AA642,0)</f>
        <v>0</v>
      </c>
      <c r="CG642" s="271">
        <f>IF(AND(Input_Product=Elig!$C642,Elig_MatchAll_Ct&lt;22,$BC642=(Elig_MatchAll_Ct-1),AZ642=0),AB642,0)</f>
        <v>0</v>
      </c>
      <c r="CH642" s="272">
        <f>IF(AND(Input_Product=Elig!$C642,Elig_MatchAll_Ct&lt;22,$BC642=(Elig_MatchAll_Ct-1),AZ642=0),AC642,0)</f>
        <v>0</v>
      </c>
      <c r="CI642" s="271">
        <f>IF(AND(Input_Product=Elig!$C642,Elig_MatchAll_Ct&lt;22,$BC642=(Elig_MatchAll_Ct-1),BA642=0),AD642,0)</f>
        <v>0</v>
      </c>
      <c r="CJ642" s="272">
        <f>IF(AND(Input_Product=Elig!$C642,Elig_MatchAll_Ct&lt;22,$BC642=(Elig_MatchAll_Ct-1),BA642=0),AE642,0)</f>
        <v>0</v>
      </c>
    </row>
    <row r="643" spans="1:88" ht="10.15" customHeight="1" x14ac:dyDescent="0.25">
      <c r="A643" s="1476" t="s">
        <v>76</v>
      </c>
      <c r="B643" s="1476" t="s">
        <v>1967</v>
      </c>
      <c r="C643" s="1473" t="str">
        <f t="shared" si="204"/>
        <v>Second OO</v>
      </c>
      <c r="D643" s="1474" t="s">
        <v>1338</v>
      </c>
      <c r="E643" s="1474" t="s">
        <v>98</v>
      </c>
      <c r="F643" s="1474" t="s">
        <v>328</v>
      </c>
      <c r="G643" s="1537" t="s">
        <v>469</v>
      </c>
      <c r="H643" s="1474" t="s">
        <v>135</v>
      </c>
      <c r="I643" s="1472" t="s">
        <v>1141</v>
      </c>
      <c r="J643" s="1472" t="s">
        <v>1130</v>
      </c>
      <c r="K643" s="1474" t="s">
        <v>2464</v>
      </c>
      <c r="L643" s="1472" t="s">
        <v>428</v>
      </c>
      <c r="M643" s="1472" t="s">
        <v>1835</v>
      </c>
      <c r="N643" s="1474" t="s">
        <v>82</v>
      </c>
      <c r="O643" s="1472" t="s">
        <v>309</v>
      </c>
      <c r="P643" s="1472" t="s">
        <v>2433</v>
      </c>
      <c r="Q643" s="1472" t="s">
        <v>293</v>
      </c>
      <c r="R643" s="1472">
        <v>350000.01</v>
      </c>
      <c r="S643" s="276">
        <v>500000</v>
      </c>
      <c r="T643" s="1472">
        <v>0</v>
      </c>
      <c r="U643" s="1472">
        <f t="shared" si="225"/>
        <v>500000</v>
      </c>
      <c r="V643" s="1472">
        <v>0</v>
      </c>
      <c r="W643" s="1472">
        <v>50</v>
      </c>
      <c r="X643" s="1472">
        <v>0</v>
      </c>
      <c r="Y643" s="1472">
        <v>999</v>
      </c>
      <c r="Z643" s="1475">
        <v>720</v>
      </c>
      <c r="AA643" s="1475">
        <v>999</v>
      </c>
      <c r="AB643" s="1475">
        <v>0</v>
      </c>
      <c r="AC643" s="1475">
        <v>999999</v>
      </c>
      <c r="AD643" s="1472">
        <v>0</v>
      </c>
      <c r="AE643" s="1218">
        <v>70</v>
      </c>
      <c r="AF643" s="144">
        <v>0</v>
      </c>
      <c r="AG643" s="145">
        <v>1</v>
      </c>
      <c r="AH643" s="145">
        <v>1</v>
      </c>
      <c r="AI643" s="145">
        <v>0</v>
      </c>
      <c r="AJ643" s="145">
        <v>0</v>
      </c>
      <c r="AK643" s="145">
        <v>1</v>
      </c>
      <c r="AL643" s="145">
        <v>1</v>
      </c>
      <c r="AM643" s="145">
        <v>1</v>
      </c>
      <c r="AN643" s="145">
        <v>1</v>
      </c>
      <c r="AO643" s="145">
        <v>1</v>
      </c>
      <c r="AP643" s="145">
        <v>1</v>
      </c>
      <c r="AQ643" s="145">
        <v>0</v>
      </c>
      <c r="AR643" s="145">
        <v>1</v>
      </c>
      <c r="AS643" s="145">
        <v>1</v>
      </c>
      <c r="AT643" s="145">
        <v>1</v>
      </c>
      <c r="AU643" s="145">
        <f t="shared" si="219"/>
        <v>0</v>
      </c>
      <c r="AV643" s="145">
        <f t="shared" si="220"/>
        <v>1</v>
      </c>
      <c r="AW643" s="145">
        <f t="shared" si="221"/>
        <v>1</v>
      </c>
      <c r="AX643" s="145">
        <f t="shared" si="226"/>
        <v>1</v>
      </c>
      <c r="AY643" s="145">
        <f t="shared" si="222"/>
        <v>1</v>
      </c>
      <c r="AZ643" s="145">
        <f t="shared" si="223"/>
        <v>1</v>
      </c>
      <c r="BA643" s="146">
        <f t="shared" si="224"/>
        <v>1</v>
      </c>
      <c r="BB643" s="149">
        <f t="shared" si="228"/>
        <v>17</v>
      </c>
      <c r="BC643" s="150">
        <f t="shared" si="229"/>
        <v>16</v>
      </c>
      <c r="BD643" s="150">
        <f t="shared" si="230"/>
        <v>17</v>
      </c>
      <c r="BE643" s="211" t="str">
        <f t="shared" si="231"/>
        <v/>
      </c>
      <c r="BF643" s="194"/>
      <c r="BG643" s="194"/>
      <c r="BH643" s="190">
        <f>IF(AND(Input_Product=Elig!$C643,Elig_MatchAll_Ct&lt;22,$BC643=(Elig_MatchAll_Ct-1),AF643=0),C643,0)</f>
        <v>0</v>
      </c>
      <c r="BI643" s="190">
        <f>IF(AND(Input_Product=Elig!$C643,Elig_MatchAll_Ct&lt;22,$BC643=(Elig_MatchAll_Ct-1),AG643=0),D643,0)</f>
        <v>0</v>
      </c>
      <c r="BJ643" s="190">
        <f>IF(AND(Input_Product=Elig!$C643,Elig_MatchAll_Ct&lt;22,$BC643=(Elig_MatchAll_Ct-1),AH643=0),E643,0)</f>
        <v>0</v>
      </c>
      <c r="BK643" s="190">
        <f>IF(AND(Input_Product=Elig!$C643,Elig_MatchAll_Ct&lt;22,$BC643=(Elig_MatchAll_Ct-1),AI643=0),F643,0)</f>
        <v>0</v>
      </c>
      <c r="BL643" s="190">
        <f>IF(AND(Input_Product=Elig!$C643,Elig_MatchAll_Ct&lt;22,$BC643=(Elig_MatchAll_Ct-1),AJ643=0),G643,0)</f>
        <v>0</v>
      </c>
      <c r="BM643" s="190">
        <f>IF(AND(Input_Product=Elig!$C643,Elig_MatchAll_Ct&lt;22,$BC643=(Elig_MatchAll_Ct-1),AK643=0),H643,0)</f>
        <v>0</v>
      </c>
      <c r="BN643" s="190">
        <f>IF(AND(Input_Product=Elig!$C643,Elig_MatchAll_Ct&lt;22,$BC643=(Elig_MatchAll_Ct-1),AL643=0),I643,0)</f>
        <v>0</v>
      </c>
      <c r="BO643" s="190">
        <f>IF(AND(Input_Product=Elig!$C643,Elig_MatchAll_Ct&lt;22,$BC643=(Elig_MatchAll_Ct-1),AM643=0),J643,0)</f>
        <v>0</v>
      </c>
      <c r="BP643" s="190">
        <f>IF(AND(Input_Product=Elig!$C643,Elig_MatchAll_Ct&lt;22,$BC643=(Elig_MatchAll_Ct-1),AN643=0),K643,0)</f>
        <v>0</v>
      </c>
      <c r="BQ643" s="190">
        <f>IF(AND(Input_Product=Elig!$C643,Elig_MatchAll_Ct&lt;22,$BC643=(Elig_MatchAll_Ct-1),AP643=0),L643,0)</f>
        <v>0</v>
      </c>
      <c r="BR643" s="190">
        <f>IF(AND(Input_Product=Elig!$C643,Elig_MatchAll_Ct&lt;22,$BC643=(Elig_MatchAll_Ct-1),AO643=0),M643,0)</f>
        <v>0</v>
      </c>
      <c r="BS643" s="190">
        <f>IF(AND(Input_Product=Elig!$C643,Elig_MatchAll_Ct&lt;22,$BC643=(Elig_MatchAll_Ct-1),AQ643=0),N643,0)</f>
        <v>0</v>
      </c>
      <c r="BT643" s="190">
        <f>IF(AND(Input_Product=Elig!$C643,Elig_MatchAll_Ct&lt;22,$BC643=(Elig_MatchAll_Ct-1),AR643=0),O643,0)</f>
        <v>0</v>
      </c>
      <c r="BU643" s="190">
        <f>IF(AND(Input_Product=Elig!$C643,Elig_MatchAll_Ct&lt;22,$BC643=(Elig_MatchAll_Ct-1),AS643=0),P643,0)</f>
        <v>0</v>
      </c>
      <c r="BV643" s="191">
        <f>IF(AND(Input_Product=Elig!$C643,Elig_MatchAll_Ct&lt;22,$BC643=(Elig_MatchAll_Ct-1),AT643=0),Q643,0)</f>
        <v>0</v>
      </c>
      <c r="BW643" s="273">
        <f>IF(AND(Input_Product=Elig!$C643,Elig_MatchAll_Ct&lt;22,$BC643=(Elig_MatchAll_Ct-1),AU643=0),R643,0)</f>
        <v>0</v>
      </c>
      <c r="BX643" s="274">
        <f>IF(AND(Input_Product=Elig!$C643,Elig_MatchAll_Ct&lt;22,$BC643=(Elig_MatchAll_Ct-1),AU643=0),S643,0)</f>
        <v>0</v>
      </c>
      <c r="BY643" s="273">
        <f>IF(AND(Input_Product=Elig!$C643,Elig_MatchAll_Ct&lt;22,$BC643=(Elig_MatchAll_Ct-1),AV643=0),T643,0)</f>
        <v>0</v>
      </c>
      <c r="BZ643" s="274">
        <f>IF(AND(Input_Product=Elig!$C643,Elig_MatchAll_Ct&lt;22,$BC643=(Elig_MatchAll_Ct-1),AV643=0),U643,0)</f>
        <v>0</v>
      </c>
      <c r="CA643" s="273">
        <f>IF(AND(Input_Product=Elig!$C643,Elig_MatchAll_Ct&lt;22,$BC643=(Elig_MatchAll_Ct-1),AW643=0),V643,0)</f>
        <v>0</v>
      </c>
      <c r="CB643" s="274">
        <f>IF(AND(Input_Product=Elig!$C643,Elig_MatchAll_Ct&lt;22,$BC643=(Elig_MatchAll_Ct-1),AW643=0),W643,0)</f>
        <v>0</v>
      </c>
      <c r="CC643" s="273">
        <f>IF(AND(Input_Product=Elig!$C643,Elig_MatchAll_Ct&lt;22,$BC643=(Elig_MatchAll_Ct-1),AX643=0),X643,0)</f>
        <v>0</v>
      </c>
      <c r="CD643" s="274">
        <f>IF(AND(Input_Product=Elig!$C643,Elig_MatchAll_Ct&lt;22,$BC643=(Elig_MatchAll_Ct-1),AX643=0),Y643,0)</f>
        <v>0</v>
      </c>
      <c r="CE643" s="273">
        <f>IF(AND(Input_LTV&lt;=AE643,Input_Product=Elig!$C643,Elig_MatchAll_Ct&lt;22,$BC643=(Elig_MatchAll_Ct-1),AY643=0),Z643,0)</f>
        <v>0</v>
      </c>
      <c r="CF643" s="274">
        <f>IF(AND(Input_LTV&lt;=AE643,Input_Product=Elig!$C643,Elig_MatchAll_Ct&lt;22,$BC643=(Elig_MatchAll_Ct-1),AY643=0),AA643,0)</f>
        <v>0</v>
      </c>
      <c r="CG643" s="273">
        <f>IF(AND(Input_Product=Elig!$C643,Elig_MatchAll_Ct&lt;22,$BC643=(Elig_MatchAll_Ct-1),AZ643=0),AB643,0)</f>
        <v>0</v>
      </c>
      <c r="CH643" s="274">
        <f>IF(AND(Input_Product=Elig!$C643,Elig_MatchAll_Ct&lt;22,$BC643=(Elig_MatchAll_Ct-1),AZ643=0),AC643,0)</f>
        <v>0</v>
      </c>
      <c r="CI643" s="273">
        <f>IF(AND(Input_Product=Elig!$C643,Elig_MatchAll_Ct&lt;22,$BC643=(Elig_MatchAll_Ct-1),BA643=0),AD643,0)</f>
        <v>0</v>
      </c>
      <c r="CJ643" s="274">
        <f>IF(AND(Input_Product=Elig!$C643,Elig_MatchAll_Ct&lt;22,$BC643=(Elig_MatchAll_Ct-1),BA643=0),AE643,0)</f>
        <v>0</v>
      </c>
    </row>
    <row r="644" spans="1:88" ht="10.15" customHeight="1" x14ac:dyDescent="0.25">
      <c r="A644" s="1476" t="s">
        <v>76</v>
      </c>
      <c r="B644" s="1476" t="s">
        <v>1968</v>
      </c>
      <c r="C644" s="1477" t="str">
        <f t="shared" si="204"/>
        <v>Second OO</v>
      </c>
      <c r="D644" s="1476" t="s">
        <v>1338</v>
      </c>
      <c r="E644" s="1476" t="s">
        <v>98</v>
      </c>
      <c r="F644" s="1476" t="s">
        <v>328</v>
      </c>
      <c r="G644" s="1544" t="s">
        <v>469</v>
      </c>
      <c r="H644" s="1478" t="s">
        <v>135</v>
      </c>
      <c r="I644" s="1476" t="s">
        <v>1141</v>
      </c>
      <c r="J644" s="1476" t="s">
        <v>1130</v>
      </c>
      <c r="K644" s="1478" t="s">
        <v>2464</v>
      </c>
      <c r="L644" s="1476" t="s">
        <v>428</v>
      </c>
      <c r="M644" s="1476" t="s">
        <v>1835</v>
      </c>
      <c r="N644" s="1478" t="s">
        <v>82</v>
      </c>
      <c r="O644" s="1476" t="s">
        <v>309</v>
      </c>
      <c r="P644" s="1476" t="s">
        <v>2433</v>
      </c>
      <c r="Q644" s="1476" t="s">
        <v>293</v>
      </c>
      <c r="R644" s="1476">
        <v>350000.01</v>
      </c>
      <c r="S644" s="261">
        <v>500000</v>
      </c>
      <c r="T644" s="1476">
        <v>0</v>
      </c>
      <c r="U644" s="1476">
        <f t="shared" si="225"/>
        <v>500000</v>
      </c>
      <c r="V644" s="1476">
        <v>0</v>
      </c>
      <c r="W644" s="1476">
        <v>50</v>
      </c>
      <c r="X644" s="1476">
        <v>0</v>
      </c>
      <c r="Y644" s="1476">
        <v>999</v>
      </c>
      <c r="Z644" s="1479">
        <v>700</v>
      </c>
      <c r="AA644" s="1479">
        <v>719</v>
      </c>
      <c r="AB644" s="1479">
        <v>0</v>
      </c>
      <c r="AC644" s="1479">
        <v>999999</v>
      </c>
      <c r="AD644" s="1476">
        <v>0</v>
      </c>
      <c r="AE644" s="1219">
        <v>65</v>
      </c>
      <c r="AF644" s="144">
        <v>0</v>
      </c>
      <c r="AG644" s="145">
        <v>1</v>
      </c>
      <c r="AH644" s="145">
        <v>1</v>
      </c>
      <c r="AI644" s="145">
        <v>0</v>
      </c>
      <c r="AJ644" s="145">
        <v>0</v>
      </c>
      <c r="AK644" s="145">
        <v>1</v>
      </c>
      <c r="AL644" s="145">
        <v>1</v>
      </c>
      <c r="AM644" s="145">
        <v>1</v>
      </c>
      <c r="AN644" s="145">
        <v>1</v>
      </c>
      <c r="AO644" s="145">
        <v>1</v>
      </c>
      <c r="AP644" s="145">
        <v>1</v>
      </c>
      <c r="AQ644" s="145">
        <v>0</v>
      </c>
      <c r="AR644" s="145">
        <v>1</v>
      </c>
      <c r="AS644" s="145">
        <v>1</v>
      </c>
      <c r="AT644" s="145">
        <v>1</v>
      </c>
      <c r="AU644" s="145">
        <f t="shared" si="219"/>
        <v>0</v>
      </c>
      <c r="AV644" s="145">
        <f t="shared" si="220"/>
        <v>1</v>
      </c>
      <c r="AW644" s="145">
        <f t="shared" si="221"/>
        <v>1</v>
      </c>
      <c r="AX644" s="145">
        <f t="shared" si="226"/>
        <v>1</v>
      </c>
      <c r="AY644" s="145">
        <f t="shared" si="222"/>
        <v>0</v>
      </c>
      <c r="AZ644" s="145">
        <f t="shared" si="223"/>
        <v>1</v>
      </c>
      <c r="BA644" s="146">
        <f t="shared" si="224"/>
        <v>0</v>
      </c>
      <c r="BB644" s="149">
        <f t="shared" si="228"/>
        <v>15</v>
      </c>
      <c r="BC644" s="150">
        <f t="shared" si="229"/>
        <v>15</v>
      </c>
      <c r="BD644" s="150">
        <f t="shared" si="230"/>
        <v>15</v>
      </c>
      <c r="BE644" s="211" t="str">
        <f t="shared" si="231"/>
        <v/>
      </c>
      <c r="BF644" s="205"/>
      <c r="BG644" s="205"/>
      <c r="BH644" s="173">
        <f>IF(AND(Input_Product=Elig!$C644,Elig_MatchAll_Ct&lt;22,$BC644=(Elig_MatchAll_Ct-1),AF644=0),C644,0)</f>
        <v>0</v>
      </c>
      <c r="BI644" s="173">
        <f>IF(AND(Input_Product=Elig!$C644,Elig_MatchAll_Ct&lt;22,$BC644=(Elig_MatchAll_Ct-1),AG644=0),D644,0)</f>
        <v>0</v>
      </c>
      <c r="BJ644" s="173">
        <f>IF(AND(Input_Product=Elig!$C644,Elig_MatchAll_Ct&lt;22,$BC644=(Elig_MatchAll_Ct-1),AH644=0),E644,0)</f>
        <v>0</v>
      </c>
      <c r="BK644" s="173">
        <f>IF(AND(Input_Product=Elig!$C644,Elig_MatchAll_Ct&lt;22,$BC644=(Elig_MatchAll_Ct-1),AI644=0),F644,0)</f>
        <v>0</v>
      </c>
      <c r="BL644" s="173">
        <f>IF(AND(Input_Product=Elig!$C644,Elig_MatchAll_Ct&lt;22,$BC644=(Elig_MatchAll_Ct-1),AJ644=0),G644,0)</f>
        <v>0</v>
      </c>
      <c r="BM644" s="173">
        <f>IF(AND(Input_Product=Elig!$C644,Elig_MatchAll_Ct&lt;22,$BC644=(Elig_MatchAll_Ct-1),AK644=0),H644,0)</f>
        <v>0</v>
      </c>
      <c r="BN644" s="173">
        <f>IF(AND(Input_Product=Elig!$C644,Elig_MatchAll_Ct&lt;22,$BC644=(Elig_MatchAll_Ct-1),AL644=0),I644,0)</f>
        <v>0</v>
      </c>
      <c r="BO644" s="173">
        <f>IF(AND(Input_Product=Elig!$C644,Elig_MatchAll_Ct&lt;22,$BC644=(Elig_MatchAll_Ct-1),AM644=0),J644,0)</f>
        <v>0</v>
      </c>
      <c r="BP644" s="173">
        <f>IF(AND(Input_Product=Elig!$C644,Elig_MatchAll_Ct&lt;22,$BC644=(Elig_MatchAll_Ct-1),AN644=0),K644,0)</f>
        <v>0</v>
      </c>
      <c r="BQ644" s="173">
        <f>IF(AND(Input_Product=Elig!$C644,Elig_MatchAll_Ct&lt;22,$BC644=(Elig_MatchAll_Ct-1),AP644=0),L644,0)</f>
        <v>0</v>
      </c>
      <c r="BR644" s="173">
        <f>IF(AND(Input_Product=Elig!$C644,Elig_MatchAll_Ct&lt;22,$BC644=(Elig_MatchAll_Ct-1),AO644=0),M644,0)</f>
        <v>0</v>
      </c>
      <c r="BS644" s="173">
        <f>IF(AND(Input_Product=Elig!$C644,Elig_MatchAll_Ct&lt;22,$BC644=(Elig_MatchAll_Ct-1),AQ644=0),N644,0)</f>
        <v>0</v>
      </c>
      <c r="BT644" s="173">
        <f>IF(AND(Input_Product=Elig!$C644,Elig_MatchAll_Ct&lt;22,$BC644=(Elig_MatchAll_Ct-1),AR644=0),O644,0)</f>
        <v>0</v>
      </c>
      <c r="BU644" s="173">
        <f>IF(AND(Input_Product=Elig!$C644,Elig_MatchAll_Ct&lt;22,$BC644=(Elig_MatchAll_Ct-1),AS644=0),P644,0)</f>
        <v>0</v>
      </c>
      <c r="BV644" s="174">
        <f>IF(AND(Input_Product=Elig!$C644,Elig_MatchAll_Ct&lt;22,$BC644=(Elig_MatchAll_Ct-1),AT644=0),Q644,0)</f>
        <v>0</v>
      </c>
      <c r="BW644" s="175">
        <f>IF(AND(Input_Product=Elig!$C644,Elig_MatchAll_Ct&lt;22,$BC644=(Elig_MatchAll_Ct-1),AU644=0),R644,0)</f>
        <v>0</v>
      </c>
      <c r="BX644" s="176">
        <f>IF(AND(Input_Product=Elig!$C644,Elig_MatchAll_Ct&lt;22,$BC644=(Elig_MatchAll_Ct-1),AU644=0),S644,0)</f>
        <v>0</v>
      </c>
      <c r="BY644" s="175">
        <f>IF(AND(Input_Product=Elig!$C644,Elig_MatchAll_Ct&lt;22,$BC644=(Elig_MatchAll_Ct-1),AV644=0),T644,0)</f>
        <v>0</v>
      </c>
      <c r="BZ644" s="176">
        <f>IF(AND(Input_Product=Elig!$C644,Elig_MatchAll_Ct&lt;22,$BC644=(Elig_MatchAll_Ct-1),AV644=0),U644,0)</f>
        <v>0</v>
      </c>
      <c r="CA644" s="175">
        <f>IF(AND(Input_Product=Elig!$C644,Elig_MatchAll_Ct&lt;22,$BC644=(Elig_MatchAll_Ct-1),AW644=0),V644,0)</f>
        <v>0</v>
      </c>
      <c r="CB644" s="176">
        <f>IF(AND(Input_Product=Elig!$C644,Elig_MatchAll_Ct&lt;22,$BC644=(Elig_MatchAll_Ct-1),AW644=0),W644,0)</f>
        <v>0</v>
      </c>
      <c r="CC644" s="175">
        <f>IF(AND(Input_Product=Elig!$C644,Elig_MatchAll_Ct&lt;22,$BC644=(Elig_MatchAll_Ct-1),AX644=0),X644,0)</f>
        <v>0</v>
      </c>
      <c r="CD644" s="176">
        <f>IF(AND(Input_Product=Elig!$C644,Elig_MatchAll_Ct&lt;22,$BC644=(Elig_MatchAll_Ct-1),AX644=0),Y644,0)</f>
        <v>0</v>
      </c>
      <c r="CE644" s="175">
        <f>IF(AND(Input_LTV&lt;=AE644,Input_Product=Elig!$C644,Elig_MatchAll_Ct&lt;22,$BC644=(Elig_MatchAll_Ct-1),AY644=0),Z644,0)</f>
        <v>0</v>
      </c>
      <c r="CF644" s="176">
        <f>IF(AND(Input_LTV&lt;=AE644,Input_Product=Elig!$C644,Elig_MatchAll_Ct&lt;22,$BC644=(Elig_MatchAll_Ct-1),AY644=0),AA644,0)</f>
        <v>0</v>
      </c>
      <c r="CG644" s="175">
        <f>IF(AND(Input_Product=Elig!$C644,Elig_MatchAll_Ct&lt;22,$BC644=(Elig_MatchAll_Ct-1),AZ644=0),AB644,0)</f>
        <v>0</v>
      </c>
      <c r="CH644" s="176">
        <f>IF(AND(Input_Product=Elig!$C644,Elig_MatchAll_Ct&lt;22,$BC644=(Elig_MatchAll_Ct-1),AZ644=0),AC644,0)</f>
        <v>0</v>
      </c>
      <c r="CI644" s="175">
        <f>IF(AND(Input_Product=Elig!$C644,Elig_MatchAll_Ct&lt;22,$BC644=(Elig_MatchAll_Ct-1),BA644=0),AD644,0)</f>
        <v>0</v>
      </c>
      <c r="CJ644" s="176">
        <f>IF(AND(Input_Product=Elig!$C644,Elig_MatchAll_Ct&lt;22,$BC644=(Elig_MatchAll_Ct-1),BA644=0),AE644,0)</f>
        <v>0</v>
      </c>
    </row>
    <row r="645" spans="1:88" ht="10.15" customHeight="1" x14ac:dyDescent="0.25">
      <c r="A645" s="1476" t="s">
        <v>76</v>
      </c>
      <c r="B645" s="1476" t="s">
        <v>1969</v>
      </c>
      <c r="C645" s="1477" t="str">
        <f t="shared" si="204"/>
        <v>Second OO</v>
      </c>
      <c r="D645" s="1476" t="s">
        <v>1338</v>
      </c>
      <c r="E645" s="1476" t="s">
        <v>98</v>
      </c>
      <c r="F645" s="1476" t="s">
        <v>328</v>
      </c>
      <c r="G645" s="1544" t="s">
        <v>469</v>
      </c>
      <c r="H645" s="1478" t="s">
        <v>135</v>
      </c>
      <c r="I645" s="1476" t="s">
        <v>1141</v>
      </c>
      <c r="J645" s="1476" t="s">
        <v>1130</v>
      </c>
      <c r="K645" s="1478" t="s">
        <v>2464</v>
      </c>
      <c r="L645" s="1476" t="s">
        <v>428</v>
      </c>
      <c r="M645" s="1476" t="s">
        <v>1835</v>
      </c>
      <c r="N645" s="1478" t="s">
        <v>82</v>
      </c>
      <c r="O645" s="1476" t="s">
        <v>309</v>
      </c>
      <c r="P645" s="1476" t="s">
        <v>2433</v>
      </c>
      <c r="Q645" s="1476" t="s">
        <v>293</v>
      </c>
      <c r="R645" s="1476">
        <v>350000.01</v>
      </c>
      <c r="S645" s="261">
        <v>500000</v>
      </c>
      <c r="T645" s="1476">
        <v>0</v>
      </c>
      <c r="U645" s="1476">
        <f t="shared" si="225"/>
        <v>500000</v>
      </c>
      <c r="V645" s="1476">
        <v>0</v>
      </c>
      <c r="W645" s="1476">
        <v>50</v>
      </c>
      <c r="X645" s="1476">
        <v>0</v>
      </c>
      <c r="Y645" s="1476">
        <v>999</v>
      </c>
      <c r="Z645" s="1479">
        <v>680</v>
      </c>
      <c r="AA645" s="1479">
        <v>699</v>
      </c>
      <c r="AB645" s="1479">
        <v>0</v>
      </c>
      <c r="AC645" s="1479">
        <v>999999</v>
      </c>
      <c r="AD645" s="1476">
        <v>0</v>
      </c>
      <c r="AE645" s="1219">
        <v>60</v>
      </c>
      <c r="AF645" s="144">
        <v>0</v>
      </c>
      <c r="AG645" s="145">
        <v>1</v>
      </c>
      <c r="AH645" s="145">
        <v>1</v>
      </c>
      <c r="AI645" s="145">
        <v>0</v>
      </c>
      <c r="AJ645" s="145">
        <v>0</v>
      </c>
      <c r="AK645" s="145">
        <v>1</v>
      </c>
      <c r="AL645" s="145">
        <v>1</v>
      </c>
      <c r="AM645" s="145">
        <v>1</v>
      </c>
      <c r="AN645" s="145">
        <v>1</v>
      </c>
      <c r="AO645" s="145">
        <v>1</v>
      </c>
      <c r="AP645" s="145">
        <v>1</v>
      </c>
      <c r="AQ645" s="145">
        <v>0</v>
      </c>
      <c r="AR645" s="145">
        <v>1</v>
      </c>
      <c r="AS645" s="145">
        <v>1</v>
      </c>
      <c r="AT645" s="145">
        <v>1</v>
      </c>
      <c r="AU645" s="145">
        <f t="shared" si="219"/>
        <v>0</v>
      </c>
      <c r="AV645" s="145">
        <f t="shared" si="220"/>
        <v>1</v>
      </c>
      <c r="AW645" s="145">
        <f t="shared" si="221"/>
        <v>1</v>
      </c>
      <c r="AX645" s="145">
        <f t="shared" si="226"/>
        <v>1</v>
      </c>
      <c r="AY645" s="145">
        <f t="shared" si="222"/>
        <v>0</v>
      </c>
      <c r="AZ645" s="145">
        <f t="shared" si="223"/>
        <v>1</v>
      </c>
      <c r="BA645" s="146">
        <f t="shared" si="224"/>
        <v>0</v>
      </c>
      <c r="BB645" s="149">
        <f t="shared" si="228"/>
        <v>15</v>
      </c>
      <c r="BC645" s="150">
        <f t="shared" si="229"/>
        <v>15</v>
      </c>
      <c r="BD645" s="150">
        <f t="shared" si="230"/>
        <v>15</v>
      </c>
      <c r="BE645" s="211" t="str">
        <f t="shared" si="231"/>
        <v/>
      </c>
      <c r="BF645" s="205"/>
      <c r="BG645" s="205"/>
      <c r="BH645" s="173">
        <f>IF(AND(Input_Product=Elig!$C645,Elig_MatchAll_Ct&lt;22,$BC645=(Elig_MatchAll_Ct-1),AF645=0),C645,0)</f>
        <v>0</v>
      </c>
      <c r="BI645" s="173">
        <f>IF(AND(Input_Product=Elig!$C645,Elig_MatchAll_Ct&lt;22,$BC645=(Elig_MatchAll_Ct-1),AG645=0),D645,0)</f>
        <v>0</v>
      </c>
      <c r="BJ645" s="173">
        <f>IF(AND(Input_Product=Elig!$C645,Elig_MatchAll_Ct&lt;22,$BC645=(Elig_MatchAll_Ct-1),AH645=0),E645,0)</f>
        <v>0</v>
      </c>
      <c r="BK645" s="173">
        <f>IF(AND(Input_Product=Elig!$C645,Elig_MatchAll_Ct&lt;22,$BC645=(Elig_MatchAll_Ct-1),AI645=0),F645,0)</f>
        <v>0</v>
      </c>
      <c r="BL645" s="173">
        <f>IF(AND(Input_Product=Elig!$C645,Elig_MatchAll_Ct&lt;22,$BC645=(Elig_MatchAll_Ct-1),AJ645=0),G645,0)</f>
        <v>0</v>
      </c>
      <c r="BM645" s="173">
        <f>IF(AND(Input_Product=Elig!$C645,Elig_MatchAll_Ct&lt;22,$BC645=(Elig_MatchAll_Ct-1),AK645=0),H645,0)</f>
        <v>0</v>
      </c>
      <c r="BN645" s="173">
        <f>IF(AND(Input_Product=Elig!$C645,Elig_MatchAll_Ct&lt;22,$BC645=(Elig_MatchAll_Ct-1),AL645=0),I645,0)</f>
        <v>0</v>
      </c>
      <c r="BO645" s="173">
        <f>IF(AND(Input_Product=Elig!$C645,Elig_MatchAll_Ct&lt;22,$BC645=(Elig_MatchAll_Ct-1),AM645=0),J645,0)</f>
        <v>0</v>
      </c>
      <c r="BP645" s="173">
        <f>IF(AND(Input_Product=Elig!$C645,Elig_MatchAll_Ct&lt;22,$BC645=(Elig_MatchAll_Ct-1),AN645=0),K645,0)</f>
        <v>0</v>
      </c>
      <c r="BQ645" s="173">
        <f>IF(AND(Input_Product=Elig!$C645,Elig_MatchAll_Ct&lt;22,$BC645=(Elig_MatchAll_Ct-1),AP645=0),L645,0)</f>
        <v>0</v>
      </c>
      <c r="BR645" s="173">
        <f>IF(AND(Input_Product=Elig!$C645,Elig_MatchAll_Ct&lt;22,$BC645=(Elig_MatchAll_Ct-1),AO645=0),M645,0)</f>
        <v>0</v>
      </c>
      <c r="BS645" s="173">
        <f>IF(AND(Input_Product=Elig!$C645,Elig_MatchAll_Ct&lt;22,$BC645=(Elig_MatchAll_Ct-1),AQ645=0),N645,0)</f>
        <v>0</v>
      </c>
      <c r="BT645" s="173">
        <f>IF(AND(Input_Product=Elig!$C645,Elig_MatchAll_Ct&lt;22,$BC645=(Elig_MatchAll_Ct-1),AR645=0),O645,0)</f>
        <v>0</v>
      </c>
      <c r="BU645" s="173">
        <f>IF(AND(Input_Product=Elig!$C645,Elig_MatchAll_Ct&lt;22,$BC645=(Elig_MatchAll_Ct-1),AS645=0),P645,0)</f>
        <v>0</v>
      </c>
      <c r="BV645" s="174">
        <f>IF(AND(Input_Product=Elig!$C645,Elig_MatchAll_Ct&lt;22,$BC645=(Elig_MatchAll_Ct-1),AT645=0),Q645,0)</f>
        <v>0</v>
      </c>
      <c r="BW645" s="175">
        <f>IF(AND(Input_Product=Elig!$C645,Elig_MatchAll_Ct&lt;22,$BC645=(Elig_MatchAll_Ct-1),AU645=0),R645,0)</f>
        <v>0</v>
      </c>
      <c r="BX645" s="176">
        <f>IF(AND(Input_Product=Elig!$C645,Elig_MatchAll_Ct&lt;22,$BC645=(Elig_MatchAll_Ct-1),AU645=0),S645,0)</f>
        <v>0</v>
      </c>
      <c r="BY645" s="175">
        <f>IF(AND(Input_Product=Elig!$C645,Elig_MatchAll_Ct&lt;22,$BC645=(Elig_MatchAll_Ct-1),AV645=0),T645,0)</f>
        <v>0</v>
      </c>
      <c r="BZ645" s="176">
        <f>IF(AND(Input_Product=Elig!$C645,Elig_MatchAll_Ct&lt;22,$BC645=(Elig_MatchAll_Ct-1),AV645=0),U645,0)</f>
        <v>0</v>
      </c>
      <c r="CA645" s="175">
        <f>IF(AND(Input_Product=Elig!$C645,Elig_MatchAll_Ct&lt;22,$BC645=(Elig_MatchAll_Ct-1),AW645=0),V645,0)</f>
        <v>0</v>
      </c>
      <c r="CB645" s="176">
        <f>IF(AND(Input_Product=Elig!$C645,Elig_MatchAll_Ct&lt;22,$BC645=(Elig_MatchAll_Ct-1),AW645=0),W645,0)</f>
        <v>0</v>
      </c>
      <c r="CC645" s="175">
        <f>IF(AND(Input_Product=Elig!$C645,Elig_MatchAll_Ct&lt;22,$BC645=(Elig_MatchAll_Ct-1),AX645=0),X645,0)</f>
        <v>0</v>
      </c>
      <c r="CD645" s="176">
        <f>IF(AND(Input_Product=Elig!$C645,Elig_MatchAll_Ct&lt;22,$BC645=(Elig_MatchAll_Ct-1),AX645=0),Y645,0)</f>
        <v>0</v>
      </c>
      <c r="CE645" s="175">
        <f>IF(AND(Input_LTV&lt;=AE645,Input_Product=Elig!$C645,Elig_MatchAll_Ct&lt;22,$BC645=(Elig_MatchAll_Ct-1),AY645=0),Z645,0)</f>
        <v>0</v>
      </c>
      <c r="CF645" s="176">
        <f>IF(AND(Input_LTV&lt;=AE645,Input_Product=Elig!$C645,Elig_MatchAll_Ct&lt;22,$BC645=(Elig_MatchAll_Ct-1),AY645=0),AA645,0)</f>
        <v>0</v>
      </c>
      <c r="CG645" s="175">
        <f>IF(AND(Input_Product=Elig!$C645,Elig_MatchAll_Ct&lt;22,$BC645=(Elig_MatchAll_Ct-1),AZ645=0),AB645,0)</f>
        <v>0</v>
      </c>
      <c r="CH645" s="176">
        <f>IF(AND(Input_Product=Elig!$C645,Elig_MatchAll_Ct&lt;22,$BC645=(Elig_MatchAll_Ct-1),AZ645=0),AC645,0)</f>
        <v>0</v>
      </c>
      <c r="CI645" s="175">
        <f>IF(AND(Input_Product=Elig!$C645,Elig_MatchAll_Ct&lt;22,$BC645=(Elig_MatchAll_Ct-1),BA645=0),AD645,0)</f>
        <v>0</v>
      </c>
      <c r="CJ645" s="176">
        <f>IF(AND(Input_Product=Elig!$C645,Elig_MatchAll_Ct&lt;22,$BC645=(Elig_MatchAll_Ct-1),BA645=0),AE645,0)</f>
        <v>0</v>
      </c>
    </row>
    <row r="646" spans="1:88" ht="10.15" customHeight="1" x14ac:dyDescent="0.25">
      <c r="A646" s="1476" t="s">
        <v>76</v>
      </c>
      <c r="B646" s="1476" t="s">
        <v>1970</v>
      </c>
      <c r="C646" s="1481" t="str">
        <f t="shared" si="204"/>
        <v>Second OO</v>
      </c>
      <c r="D646" s="1480" t="s">
        <v>1338</v>
      </c>
      <c r="E646" s="1480" t="s">
        <v>98</v>
      </c>
      <c r="F646" s="1480" t="s">
        <v>328</v>
      </c>
      <c r="G646" s="1545" t="s">
        <v>469</v>
      </c>
      <c r="H646" s="1482" t="s">
        <v>135</v>
      </c>
      <c r="I646" s="1480" t="s">
        <v>1141</v>
      </c>
      <c r="J646" s="1480" t="s">
        <v>1130</v>
      </c>
      <c r="K646" s="1482" t="s">
        <v>2464</v>
      </c>
      <c r="L646" s="1480" t="s">
        <v>428</v>
      </c>
      <c r="M646" s="1480" t="s">
        <v>1835</v>
      </c>
      <c r="N646" s="1482" t="s">
        <v>82</v>
      </c>
      <c r="O646" s="1480" t="s">
        <v>309</v>
      </c>
      <c r="P646" s="1480" t="s">
        <v>2433</v>
      </c>
      <c r="Q646" s="1480" t="s">
        <v>293</v>
      </c>
      <c r="R646" s="1480">
        <v>350000.01</v>
      </c>
      <c r="S646" s="277">
        <v>500000</v>
      </c>
      <c r="T646" s="1480">
        <v>0</v>
      </c>
      <c r="U646" s="1480">
        <f t="shared" si="225"/>
        <v>500000</v>
      </c>
      <c r="V646" s="1480">
        <v>0</v>
      </c>
      <c r="W646" s="1480">
        <v>50</v>
      </c>
      <c r="X646" s="1480">
        <v>0</v>
      </c>
      <c r="Y646" s="1480">
        <v>999</v>
      </c>
      <c r="Z646" s="1483">
        <v>660</v>
      </c>
      <c r="AA646" s="1483">
        <v>679</v>
      </c>
      <c r="AB646" s="1483">
        <v>0</v>
      </c>
      <c r="AC646" s="1483">
        <v>999999</v>
      </c>
      <c r="AD646" s="1480">
        <v>0</v>
      </c>
      <c r="AE646" s="1220">
        <v>55</v>
      </c>
      <c r="AF646" s="144">
        <v>0</v>
      </c>
      <c r="AG646" s="145">
        <v>1</v>
      </c>
      <c r="AH646" s="145">
        <v>1</v>
      </c>
      <c r="AI646" s="145">
        <v>0</v>
      </c>
      <c r="AJ646" s="145">
        <v>0</v>
      </c>
      <c r="AK646" s="145">
        <v>1</v>
      </c>
      <c r="AL646" s="145">
        <v>1</v>
      </c>
      <c r="AM646" s="145">
        <v>1</v>
      </c>
      <c r="AN646" s="145">
        <v>1</v>
      </c>
      <c r="AO646" s="145">
        <v>1</v>
      </c>
      <c r="AP646" s="145">
        <v>1</v>
      </c>
      <c r="AQ646" s="145">
        <v>0</v>
      </c>
      <c r="AR646" s="145">
        <v>1</v>
      </c>
      <c r="AS646" s="145">
        <v>1</v>
      </c>
      <c r="AT646" s="145">
        <v>1</v>
      </c>
      <c r="AU646" s="145">
        <f t="shared" si="219"/>
        <v>0</v>
      </c>
      <c r="AV646" s="145">
        <f t="shared" si="220"/>
        <v>1</v>
      </c>
      <c r="AW646" s="145">
        <f t="shared" si="221"/>
        <v>1</v>
      </c>
      <c r="AX646" s="145">
        <f t="shared" si="226"/>
        <v>1</v>
      </c>
      <c r="AY646" s="145">
        <f t="shared" si="222"/>
        <v>0</v>
      </c>
      <c r="AZ646" s="145">
        <f t="shared" si="223"/>
        <v>1</v>
      </c>
      <c r="BA646" s="146">
        <f t="shared" si="224"/>
        <v>0</v>
      </c>
      <c r="BB646" s="149">
        <f t="shared" si="228"/>
        <v>15</v>
      </c>
      <c r="BC646" s="150">
        <f t="shared" si="229"/>
        <v>15</v>
      </c>
      <c r="BD646" s="150">
        <f t="shared" si="230"/>
        <v>15</v>
      </c>
      <c r="BE646" s="211" t="str">
        <f t="shared" si="231"/>
        <v/>
      </c>
      <c r="BF646" s="205"/>
      <c r="BG646" s="205"/>
      <c r="BH646" s="188">
        <f>IF(AND(Input_Product=Elig!$C646,Elig_MatchAll_Ct&lt;22,$BC646=(Elig_MatchAll_Ct-1),AF646=0),C646,0)</f>
        <v>0</v>
      </c>
      <c r="BI646" s="188">
        <f>IF(AND(Input_Product=Elig!$C646,Elig_MatchAll_Ct&lt;22,$BC646=(Elig_MatchAll_Ct-1),AG646=0),D646,0)</f>
        <v>0</v>
      </c>
      <c r="BJ646" s="188">
        <f>IF(AND(Input_Product=Elig!$C646,Elig_MatchAll_Ct&lt;22,$BC646=(Elig_MatchAll_Ct-1),AH646=0),E646,0)</f>
        <v>0</v>
      </c>
      <c r="BK646" s="188">
        <f>IF(AND(Input_Product=Elig!$C646,Elig_MatchAll_Ct&lt;22,$BC646=(Elig_MatchAll_Ct-1),AI646=0),F646,0)</f>
        <v>0</v>
      </c>
      <c r="BL646" s="188">
        <f>IF(AND(Input_Product=Elig!$C646,Elig_MatchAll_Ct&lt;22,$BC646=(Elig_MatchAll_Ct-1),AJ646=0),G646,0)</f>
        <v>0</v>
      </c>
      <c r="BM646" s="188">
        <f>IF(AND(Input_Product=Elig!$C646,Elig_MatchAll_Ct&lt;22,$BC646=(Elig_MatchAll_Ct-1),AK646=0),H646,0)</f>
        <v>0</v>
      </c>
      <c r="BN646" s="188">
        <f>IF(AND(Input_Product=Elig!$C646,Elig_MatchAll_Ct&lt;22,$BC646=(Elig_MatchAll_Ct-1),AL646=0),I646,0)</f>
        <v>0</v>
      </c>
      <c r="BO646" s="188">
        <f>IF(AND(Input_Product=Elig!$C646,Elig_MatchAll_Ct&lt;22,$BC646=(Elig_MatchAll_Ct-1),AM646=0),J646,0)</f>
        <v>0</v>
      </c>
      <c r="BP646" s="188">
        <f>IF(AND(Input_Product=Elig!$C646,Elig_MatchAll_Ct&lt;22,$BC646=(Elig_MatchAll_Ct-1),AN646=0),K646,0)</f>
        <v>0</v>
      </c>
      <c r="BQ646" s="188">
        <f>IF(AND(Input_Product=Elig!$C646,Elig_MatchAll_Ct&lt;22,$BC646=(Elig_MatchAll_Ct-1),AP646=0),L646,0)</f>
        <v>0</v>
      </c>
      <c r="BR646" s="188">
        <f>IF(AND(Input_Product=Elig!$C646,Elig_MatchAll_Ct&lt;22,$BC646=(Elig_MatchAll_Ct-1),AO646=0),M646,0)</f>
        <v>0</v>
      </c>
      <c r="BS646" s="188">
        <f>IF(AND(Input_Product=Elig!$C646,Elig_MatchAll_Ct&lt;22,$BC646=(Elig_MatchAll_Ct-1),AQ646=0),N646,0)</f>
        <v>0</v>
      </c>
      <c r="BT646" s="188">
        <f>IF(AND(Input_Product=Elig!$C646,Elig_MatchAll_Ct&lt;22,$BC646=(Elig_MatchAll_Ct-1),AR646=0),O646,0)</f>
        <v>0</v>
      </c>
      <c r="BU646" s="188">
        <f>IF(AND(Input_Product=Elig!$C646,Elig_MatchAll_Ct&lt;22,$BC646=(Elig_MatchAll_Ct-1),AS646=0),P646,0)</f>
        <v>0</v>
      </c>
      <c r="BV646" s="189">
        <f>IF(AND(Input_Product=Elig!$C646,Elig_MatchAll_Ct&lt;22,$BC646=(Elig_MatchAll_Ct-1),AT646=0),Q646,0)</f>
        <v>0</v>
      </c>
      <c r="BW646" s="271">
        <f>IF(AND(Input_Product=Elig!$C646,Elig_MatchAll_Ct&lt;22,$BC646=(Elig_MatchAll_Ct-1),AU646=0),R646,0)</f>
        <v>0</v>
      </c>
      <c r="BX646" s="272">
        <f>IF(AND(Input_Product=Elig!$C646,Elig_MatchAll_Ct&lt;22,$BC646=(Elig_MatchAll_Ct-1),AU646=0),S646,0)</f>
        <v>0</v>
      </c>
      <c r="BY646" s="271">
        <f>IF(AND(Input_Product=Elig!$C646,Elig_MatchAll_Ct&lt;22,$BC646=(Elig_MatchAll_Ct-1),AV646=0),T646,0)</f>
        <v>0</v>
      </c>
      <c r="BZ646" s="272">
        <f>IF(AND(Input_Product=Elig!$C646,Elig_MatchAll_Ct&lt;22,$BC646=(Elig_MatchAll_Ct-1),AV646=0),U646,0)</f>
        <v>0</v>
      </c>
      <c r="CA646" s="271">
        <f>IF(AND(Input_Product=Elig!$C646,Elig_MatchAll_Ct&lt;22,$BC646=(Elig_MatchAll_Ct-1),AW646=0),V646,0)</f>
        <v>0</v>
      </c>
      <c r="CB646" s="272">
        <f>IF(AND(Input_Product=Elig!$C646,Elig_MatchAll_Ct&lt;22,$BC646=(Elig_MatchAll_Ct-1),AW646=0),W646,0)</f>
        <v>0</v>
      </c>
      <c r="CC646" s="271">
        <f>IF(AND(Input_Product=Elig!$C646,Elig_MatchAll_Ct&lt;22,$BC646=(Elig_MatchAll_Ct-1),AX646=0),X646,0)</f>
        <v>0</v>
      </c>
      <c r="CD646" s="272">
        <f>IF(AND(Input_Product=Elig!$C646,Elig_MatchAll_Ct&lt;22,$BC646=(Elig_MatchAll_Ct-1),AX646=0),Y646,0)</f>
        <v>0</v>
      </c>
      <c r="CE646" s="271">
        <f>IF(AND(Input_LTV&lt;=AE646,Input_Product=Elig!$C646,Elig_MatchAll_Ct&lt;22,$BC646=(Elig_MatchAll_Ct-1),AY646=0),Z646,0)</f>
        <v>0</v>
      </c>
      <c r="CF646" s="272">
        <f>IF(AND(Input_LTV&lt;=AE646,Input_Product=Elig!$C646,Elig_MatchAll_Ct&lt;22,$BC646=(Elig_MatchAll_Ct-1),AY646=0),AA646,0)</f>
        <v>0</v>
      </c>
      <c r="CG646" s="271">
        <f>IF(AND(Input_Product=Elig!$C646,Elig_MatchAll_Ct&lt;22,$BC646=(Elig_MatchAll_Ct-1),AZ646=0),AB646,0)</f>
        <v>0</v>
      </c>
      <c r="CH646" s="272">
        <f>IF(AND(Input_Product=Elig!$C646,Elig_MatchAll_Ct&lt;22,$BC646=(Elig_MatchAll_Ct-1),AZ646=0),AC646,0)</f>
        <v>0</v>
      </c>
      <c r="CI646" s="271">
        <f>IF(AND(Input_Product=Elig!$C646,Elig_MatchAll_Ct&lt;22,$BC646=(Elig_MatchAll_Ct-1),BA646=0),AD646,0)</f>
        <v>0</v>
      </c>
      <c r="CJ646" s="272">
        <f>IF(AND(Input_Product=Elig!$C646,Elig_MatchAll_Ct&lt;22,$BC646=(Elig_MatchAll_Ct-1),BA646=0),AE646,0)</f>
        <v>0</v>
      </c>
    </row>
    <row r="647" spans="1:88" ht="10.15" customHeight="1" x14ac:dyDescent="0.25">
      <c r="A647" s="1476" t="s">
        <v>76</v>
      </c>
      <c r="B647" s="1476" t="s">
        <v>1971</v>
      </c>
      <c r="C647" s="1473" t="str">
        <f t="shared" si="204"/>
        <v>Second OO</v>
      </c>
      <c r="D647" s="1474" t="s">
        <v>1338</v>
      </c>
      <c r="E647" s="1474" t="s">
        <v>98</v>
      </c>
      <c r="F647" s="1474" t="s">
        <v>328</v>
      </c>
      <c r="G647" s="1474" t="s">
        <v>178</v>
      </c>
      <c r="H647" s="1474" t="s">
        <v>135</v>
      </c>
      <c r="I647" s="1472" t="s">
        <v>1141</v>
      </c>
      <c r="J647" s="1472" t="s">
        <v>1130</v>
      </c>
      <c r="K647" s="1474" t="s">
        <v>2464</v>
      </c>
      <c r="L647" s="1472" t="s">
        <v>428</v>
      </c>
      <c r="M647" s="1472" t="s">
        <v>1835</v>
      </c>
      <c r="N647" s="1474" t="s">
        <v>82</v>
      </c>
      <c r="O647" s="1472" t="s">
        <v>309</v>
      </c>
      <c r="P647" s="1472" t="s">
        <v>2433</v>
      </c>
      <c r="Q647" s="1472" t="s">
        <v>293</v>
      </c>
      <c r="R647" s="1472">
        <v>350000.01</v>
      </c>
      <c r="S647" s="276">
        <v>500000</v>
      </c>
      <c r="T647" s="1472">
        <v>0</v>
      </c>
      <c r="U647" s="1472">
        <f t="shared" si="225"/>
        <v>500000</v>
      </c>
      <c r="V647" s="1472">
        <v>0</v>
      </c>
      <c r="W647" s="1472">
        <v>50</v>
      </c>
      <c r="X647" s="1472">
        <v>0</v>
      </c>
      <c r="Y647" s="1472">
        <v>999</v>
      </c>
      <c r="Z647" s="1475">
        <v>720</v>
      </c>
      <c r="AA647" s="1475">
        <v>999</v>
      </c>
      <c r="AB647" s="1475">
        <v>0</v>
      </c>
      <c r="AC647" s="1475">
        <v>999999</v>
      </c>
      <c r="AD647" s="1472">
        <v>0</v>
      </c>
      <c r="AE647" s="1218">
        <v>65</v>
      </c>
      <c r="AF647" s="144">
        <v>0</v>
      </c>
      <c r="AG647" s="145">
        <v>1</v>
      </c>
      <c r="AH647" s="145">
        <v>1</v>
      </c>
      <c r="AI647" s="145">
        <v>0</v>
      </c>
      <c r="AJ647" s="145">
        <v>0</v>
      </c>
      <c r="AK647" s="145">
        <v>1</v>
      </c>
      <c r="AL647" s="145">
        <v>1</v>
      </c>
      <c r="AM647" s="145">
        <v>1</v>
      </c>
      <c r="AN647" s="145">
        <v>1</v>
      </c>
      <c r="AO647" s="145">
        <v>1</v>
      </c>
      <c r="AP647" s="145">
        <v>1</v>
      </c>
      <c r="AQ647" s="145">
        <v>0</v>
      </c>
      <c r="AR647" s="145">
        <v>1</v>
      </c>
      <c r="AS647" s="145">
        <v>1</v>
      </c>
      <c r="AT647" s="145">
        <v>1</v>
      </c>
      <c r="AU647" s="145">
        <f t="shared" si="219"/>
        <v>0</v>
      </c>
      <c r="AV647" s="145">
        <f t="shared" si="220"/>
        <v>1</v>
      </c>
      <c r="AW647" s="145">
        <f t="shared" si="221"/>
        <v>1</v>
      </c>
      <c r="AX647" s="145">
        <f t="shared" si="226"/>
        <v>1</v>
      </c>
      <c r="AY647" s="145">
        <f t="shared" si="222"/>
        <v>1</v>
      </c>
      <c r="AZ647" s="145">
        <f t="shared" si="223"/>
        <v>1</v>
      </c>
      <c r="BA647" s="146">
        <f t="shared" si="224"/>
        <v>0</v>
      </c>
      <c r="BB647" s="149">
        <f t="shared" si="228"/>
        <v>16</v>
      </c>
      <c r="BC647" s="150">
        <f t="shared" si="229"/>
        <v>16</v>
      </c>
      <c r="BD647" s="150">
        <f t="shared" si="230"/>
        <v>16</v>
      </c>
      <c r="BE647" s="211" t="str">
        <f t="shared" si="231"/>
        <v/>
      </c>
      <c r="BF647" s="194"/>
      <c r="BG647" s="194"/>
      <c r="BH647" s="190">
        <f>IF(AND(Input_Product=Elig!$C647,Elig_MatchAll_Ct&lt;22,$BC647=(Elig_MatchAll_Ct-1),AF647=0),C647,0)</f>
        <v>0</v>
      </c>
      <c r="BI647" s="190">
        <f>IF(AND(Input_Product=Elig!$C647,Elig_MatchAll_Ct&lt;22,$BC647=(Elig_MatchAll_Ct-1),AG647=0),D647,0)</f>
        <v>0</v>
      </c>
      <c r="BJ647" s="190">
        <f>IF(AND(Input_Product=Elig!$C647,Elig_MatchAll_Ct&lt;22,$BC647=(Elig_MatchAll_Ct-1),AH647=0),E647,0)</f>
        <v>0</v>
      </c>
      <c r="BK647" s="190">
        <f>IF(AND(Input_Product=Elig!$C647,Elig_MatchAll_Ct&lt;22,$BC647=(Elig_MatchAll_Ct-1),AI647=0),F647,0)</f>
        <v>0</v>
      </c>
      <c r="BL647" s="190">
        <f>IF(AND(Input_Product=Elig!$C647,Elig_MatchAll_Ct&lt;22,$BC647=(Elig_MatchAll_Ct-1),AJ647=0),G647,0)</f>
        <v>0</v>
      </c>
      <c r="BM647" s="190">
        <f>IF(AND(Input_Product=Elig!$C647,Elig_MatchAll_Ct&lt;22,$BC647=(Elig_MatchAll_Ct-1),AK647=0),H647,0)</f>
        <v>0</v>
      </c>
      <c r="BN647" s="190">
        <f>IF(AND(Input_Product=Elig!$C647,Elig_MatchAll_Ct&lt;22,$BC647=(Elig_MatchAll_Ct-1),AL647=0),I647,0)</f>
        <v>0</v>
      </c>
      <c r="BO647" s="190">
        <f>IF(AND(Input_Product=Elig!$C647,Elig_MatchAll_Ct&lt;22,$BC647=(Elig_MatchAll_Ct-1),AM647=0),J647,0)</f>
        <v>0</v>
      </c>
      <c r="BP647" s="190">
        <f>IF(AND(Input_Product=Elig!$C647,Elig_MatchAll_Ct&lt;22,$BC647=(Elig_MatchAll_Ct-1),AN647=0),K647,0)</f>
        <v>0</v>
      </c>
      <c r="BQ647" s="190">
        <f>IF(AND(Input_Product=Elig!$C647,Elig_MatchAll_Ct&lt;22,$BC647=(Elig_MatchAll_Ct-1),AP647=0),L647,0)</f>
        <v>0</v>
      </c>
      <c r="BR647" s="190">
        <f>IF(AND(Input_Product=Elig!$C647,Elig_MatchAll_Ct&lt;22,$BC647=(Elig_MatchAll_Ct-1),AO647=0),M647,0)</f>
        <v>0</v>
      </c>
      <c r="BS647" s="190">
        <f>IF(AND(Input_Product=Elig!$C647,Elig_MatchAll_Ct&lt;22,$BC647=(Elig_MatchAll_Ct-1),AQ647=0),N647,0)</f>
        <v>0</v>
      </c>
      <c r="BT647" s="190">
        <f>IF(AND(Input_Product=Elig!$C647,Elig_MatchAll_Ct&lt;22,$BC647=(Elig_MatchAll_Ct-1),AR647=0),O647,0)</f>
        <v>0</v>
      </c>
      <c r="BU647" s="190">
        <f>IF(AND(Input_Product=Elig!$C647,Elig_MatchAll_Ct&lt;22,$BC647=(Elig_MatchAll_Ct-1),AS647=0),P647,0)</f>
        <v>0</v>
      </c>
      <c r="BV647" s="191">
        <f>IF(AND(Input_Product=Elig!$C647,Elig_MatchAll_Ct&lt;22,$BC647=(Elig_MatchAll_Ct-1),AT647=0),Q647,0)</f>
        <v>0</v>
      </c>
      <c r="BW647" s="273">
        <f>IF(AND(Input_Product=Elig!$C647,Elig_MatchAll_Ct&lt;22,$BC647=(Elig_MatchAll_Ct-1),AU647=0),R647,0)</f>
        <v>0</v>
      </c>
      <c r="BX647" s="274">
        <f>IF(AND(Input_Product=Elig!$C647,Elig_MatchAll_Ct&lt;22,$BC647=(Elig_MatchAll_Ct-1),AU647=0),S647,0)</f>
        <v>0</v>
      </c>
      <c r="BY647" s="273">
        <f>IF(AND(Input_Product=Elig!$C647,Elig_MatchAll_Ct&lt;22,$BC647=(Elig_MatchAll_Ct-1),AV647=0),T647,0)</f>
        <v>0</v>
      </c>
      <c r="BZ647" s="274">
        <f>IF(AND(Input_Product=Elig!$C647,Elig_MatchAll_Ct&lt;22,$BC647=(Elig_MatchAll_Ct-1),AV647=0),U647,0)</f>
        <v>0</v>
      </c>
      <c r="CA647" s="273">
        <f>IF(AND(Input_Product=Elig!$C647,Elig_MatchAll_Ct&lt;22,$BC647=(Elig_MatchAll_Ct-1),AW647=0),V647,0)</f>
        <v>0</v>
      </c>
      <c r="CB647" s="274">
        <f>IF(AND(Input_Product=Elig!$C647,Elig_MatchAll_Ct&lt;22,$BC647=(Elig_MatchAll_Ct-1),AW647=0),W647,0)</f>
        <v>0</v>
      </c>
      <c r="CC647" s="273">
        <f>IF(AND(Input_Product=Elig!$C647,Elig_MatchAll_Ct&lt;22,$BC647=(Elig_MatchAll_Ct-1),AX647=0),X647,0)</f>
        <v>0</v>
      </c>
      <c r="CD647" s="274">
        <f>IF(AND(Input_Product=Elig!$C647,Elig_MatchAll_Ct&lt;22,$BC647=(Elig_MatchAll_Ct-1),AX647=0),Y647,0)</f>
        <v>0</v>
      </c>
      <c r="CE647" s="273">
        <f>IF(AND(Input_LTV&lt;=AE647,Input_Product=Elig!$C647,Elig_MatchAll_Ct&lt;22,$BC647=(Elig_MatchAll_Ct-1),AY647=0),Z647,0)</f>
        <v>0</v>
      </c>
      <c r="CF647" s="274">
        <f>IF(AND(Input_LTV&lt;=AE647,Input_Product=Elig!$C647,Elig_MatchAll_Ct&lt;22,$BC647=(Elig_MatchAll_Ct-1),AY647=0),AA647,0)</f>
        <v>0</v>
      </c>
      <c r="CG647" s="273">
        <f>IF(AND(Input_Product=Elig!$C647,Elig_MatchAll_Ct&lt;22,$BC647=(Elig_MatchAll_Ct-1),AZ647=0),AB647,0)</f>
        <v>0</v>
      </c>
      <c r="CH647" s="274">
        <f>IF(AND(Input_Product=Elig!$C647,Elig_MatchAll_Ct&lt;22,$BC647=(Elig_MatchAll_Ct-1),AZ647=0),AC647,0)</f>
        <v>0</v>
      </c>
      <c r="CI647" s="273">
        <f>IF(AND(Input_Product=Elig!$C647,Elig_MatchAll_Ct&lt;22,$BC647=(Elig_MatchAll_Ct-1),BA647=0),AD647,0)</f>
        <v>0</v>
      </c>
      <c r="CJ647" s="274">
        <f>IF(AND(Input_Product=Elig!$C647,Elig_MatchAll_Ct&lt;22,$BC647=(Elig_MatchAll_Ct-1),BA647=0),AE647,0)</f>
        <v>0</v>
      </c>
    </row>
    <row r="648" spans="1:88" ht="10.15" customHeight="1" x14ac:dyDescent="0.25">
      <c r="A648" s="1476" t="s">
        <v>76</v>
      </c>
      <c r="B648" s="1476" t="s">
        <v>1972</v>
      </c>
      <c r="C648" s="1477" t="str">
        <f t="shared" si="204"/>
        <v>Second OO</v>
      </c>
      <c r="D648" s="1476" t="s">
        <v>1338</v>
      </c>
      <c r="E648" s="1476" t="s">
        <v>98</v>
      </c>
      <c r="F648" s="1476" t="s">
        <v>328</v>
      </c>
      <c r="G648" s="1478" t="s">
        <v>178</v>
      </c>
      <c r="H648" s="1478" t="s">
        <v>135</v>
      </c>
      <c r="I648" s="1476" t="s">
        <v>1141</v>
      </c>
      <c r="J648" s="1476" t="s">
        <v>1130</v>
      </c>
      <c r="K648" s="1478" t="s">
        <v>2464</v>
      </c>
      <c r="L648" s="1476" t="s">
        <v>428</v>
      </c>
      <c r="M648" s="1476" t="s">
        <v>1835</v>
      </c>
      <c r="N648" s="1478" t="s">
        <v>82</v>
      </c>
      <c r="O648" s="1476" t="s">
        <v>309</v>
      </c>
      <c r="P648" s="1476" t="s">
        <v>2433</v>
      </c>
      <c r="Q648" s="1476" t="s">
        <v>293</v>
      </c>
      <c r="R648" s="1476">
        <v>350000.01</v>
      </c>
      <c r="S648" s="261">
        <v>500000</v>
      </c>
      <c r="T648" s="1476">
        <v>0</v>
      </c>
      <c r="U648" s="1476">
        <f t="shared" si="225"/>
        <v>500000</v>
      </c>
      <c r="V648" s="1476">
        <v>0</v>
      </c>
      <c r="W648" s="1476">
        <v>50</v>
      </c>
      <c r="X648" s="1476">
        <v>0</v>
      </c>
      <c r="Y648" s="1476">
        <v>999</v>
      </c>
      <c r="Z648" s="1479">
        <v>700</v>
      </c>
      <c r="AA648" s="1479">
        <v>719</v>
      </c>
      <c r="AB648" s="1479">
        <v>0</v>
      </c>
      <c r="AC648" s="1479">
        <v>999999</v>
      </c>
      <c r="AD648" s="1476">
        <v>0</v>
      </c>
      <c r="AE648" s="1219">
        <v>60</v>
      </c>
      <c r="AF648" s="144">
        <v>0</v>
      </c>
      <c r="AG648" s="145">
        <v>1</v>
      </c>
      <c r="AH648" s="145">
        <v>1</v>
      </c>
      <c r="AI648" s="145">
        <v>0</v>
      </c>
      <c r="AJ648" s="145">
        <v>0</v>
      </c>
      <c r="AK648" s="145">
        <v>1</v>
      </c>
      <c r="AL648" s="145">
        <v>1</v>
      </c>
      <c r="AM648" s="145">
        <v>1</v>
      </c>
      <c r="AN648" s="145">
        <v>1</v>
      </c>
      <c r="AO648" s="145">
        <v>1</v>
      </c>
      <c r="AP648" s="145">
        <v>1</v>
      </c>
      <c r="AQ648" s="145">
        <v>0</v>
      </c>
      <c r="AR648" s="145">
        <v>1</v>
      </c>
      <c r="AS648" s="145">
        <v>1</v>
      </c>
      <c r="AT648" s="145">
        <v>1</v>
      </c>
      <c r="AU648" s="145">
        <f t="shared" si="219"/>
        <v>0</v>
      </c>
      <c r="AV648" s="145">
        <f t="shared" si="220"/>
        <v>1</v>
      </c>
      <c r="AW648" s="145">
        <f t="shared" si="221"/>
        <v>1</v>
      </c>
      <c r="AX648" s="145">
        <f t="shared" si="226"/>
        <v>1</v>
      </c>
      <c r="AY648" s="145">
        <f t="shared" si="222"/>
        <v>0</v>
      </c>
      <c r="AZ648" s="145">
        <f t="shared" si="223"/>
        <v>1</v>
      </c>
      <c r="BA648" s="146">
        <f t="shared" si="224"/>
        <v>0</v>
      </c>
      <c r="BB648" s="149">
        <f t="shared" si="228"/>
        <v>15</v>
      </c>
      <c r="BC648" s="150">
        <f t="shared" si="229"/>
        <v>15</v>
      </c>
      <c r="BD648" s="150">
        <f t="shared" si="230"/>
        <v>15</v>
      </c>
      <c r="BE648" s="211" t="str">
        <f t="shared" si="231"/>
        <v/>
      </c>
      <c r="BF648" s="205"/>
      <c r="BG648" s="205"/>
      <c r="BH648" s="173">
        <f>IF(AND(Input_Product=Elig!$C648,Elig_MatchAll_Ct&lt;22,$BC648=(Elig_MatchAll_Ct-1),AF648=0),C648,0)</f>
        <v>0</v>
      </c>
      <c r="BI648" s="173">
        <f>IF(AND(Input_Product=Elig!$C648,Elig_MatchAll_Ct&lt;22,$BC648=(Elig_MatchAll_Ct-1),AG648=0),D648,0)</f>
        <v>0</v>
      </c>
      <c r="BJ648" s="173">
        <f>IF(AND(Input_Product=Elig!$C648,Elig_MatchAll_Ct&lt;22,$BC648=(Elig_MatchAll_Ct-1),AH648=0),E648,0)</f>
        <v>0</v>
      </c>
      <c r="BK648" s="173">
        <f>IF(AND(Input_Product=Elig!$C648,Elig_MatchAll_Ct&lt;22,$BC648=(Elig_MatchAll_Ct-1),AI648=0),F648,0)</f>
        <v>0</v>
      </c>
      <c r="BL648" s="173">
        <f>IF(AND(Input_Product=Elig!$C648,Elig_MatchAll_Ct&lt;22,$BC648=(Elig_MatchAll_Ct-1),AJ648=0),G648,0)</f>
        <v>0</v>
      </c>
      <c r="BM648" s="173">
        <f>IF(AND(Input_Product=Elig!$C648,Elig_MatchAll_Ct&lt;22,$BC648=(Elig_MatchAll_Ct-1),AK648=0),H648,0)</f>
        <v>0</v>
      </c>
      <c r="BN648" s="173">
        <f>IF(AND(Input_Product=Elig!$C648,Elig_MatchAll_Ct&lt;22,$BC648=(Elig_MatchAll_Ct-1),AL648=0),I648,0)</f>
        <v>0</v>
      </c>
      <c r="BO648" s="173">
        <f>IF(AND(Input_Product=Elig!$C648,Elig_MatchAll_Ct&lt;22,$BC648=(Elig_MatchAll_Ct-1),AM648=0),J648,0)</f>
        <v>0</v>
      </c>
      <c r="BP648" s="173">
        <f>IF(AND(Input_Product=Elig!$C648,Elig_MatchAll_Ct&lt;22,$BC648=(Elig_MatchAll_Ct-1),AN648=0),K648,0)</f>
        <v>0</v>
      </c>
      <c r="BQ648" s="173">
        <f>IF(AND(Input_Product=Elig!$C648,Elig_MatchAll_Ct&lt;22,$BC648=(Elig_MatchAll_Ct-1),AP648=0),L648,0)</f>
        <v>0</v>
      </c>
      <c r="BR648" s="173">
        <f>IF(AND(Input_Product=Elig!$C648,Elig_MatchAll_Ct&lt;22,$BC648=(Elig_MatchAll_Ct-1),AO648=0),M648,0)</f>
        <v>0</v>
      </c>
      <c r="BS648" s="173">
        <f>IF(AND(Input_Product=Elig!$C648,Elig_MatchAll_Ct&lt;22,$BC648=(Elig_MatchAll_Ct-1),AQ648=0),N648,0)</f>
        <v>0</v>
      </c>
      <c r="BT648" s="173">
        <f>IF(AND(Input_Product=Elig!$C648,Elig_MatchAll_Ct&lt;22,$BC648=(Elig_MatchAll_Ct-1),AR648=0),O648,0)</f>
        <v>0</v>
      </c>
      <c r="BU648" s="173">
        <f>IF(AND(Input_Product=Elig!$C648,Elig_MatchAll_Ct&lt;22,$BC648=(Elig_MatchAll_Ct-1),AS648=0),P648,0)</f>
        <v>0</v>
      </c>
      <c r="BV648" s="174">
        <f>IF(AND(Input_Product=Elig!$C648,Elig_MatchAll_Ct&lt;22,$BC648=(Elig_MatchAll_Ct-1),AT648=0),Q648,0)</f>
        <v>0</v>
      </c>
      <c r="BW648" s="175">
        <f>IF(AND(Input_Product=Elig!$C648,Elig_MatchAll_Ct&lt;22,$BC648=(Elig_MatchAll_Ct-1),AU648=0),R648,0)</f>
        <v>0</v>
      </c>
      <c r="BX648" s="176">
        <f>IF(AND(Input_Product=Elig!$C648,Elig_MatchAll_Ct&lt;22,$BC648=(Elig_MatchAll_Ct-1),AU648=0),S648,0)</f>
        <v>0</v>
      </c>
      <c r="BY648" s="175">
        <f>IF(AND(Input_Product=Elig!$C648,Elig_MatchAll_Ct&lt;22,$BC648=(Elig_MatchAll_Ct-1),AV648=0),T648,0)</f>
        <v>0</v>
      </c>
      <c r="BZ648" s="176">
        <f>IF(AND(Input_Product=Elig!$C648,Elig_MatchAll_Ct&lt;22,$BC648=(Elig_MatchAll_Ct-1),AV648=0),U648,0)</f>
        <v>0</v>
      </c>
      <c r="CA648" s="175">
        <f>IF(AND(Input_Product=Elig!$C648,Elig_MatchAll_Ct&lt;22,$BC648=(Elig_MatchAll_Ct-1),AW648=0),V648,0)</f>
        <v>0</v>
      </c>
      <c r="CB648" s="176">
        <f>IF(AND(Input_Product=Elig!$C648,Elig_MatchAll_Ct&lt;22,$BC648=(Elig_MatchAll_Ct-1),AW648=0),W648,0)</f>
        <v>0</v>
      </c>
      <c r="CC648" s="175">
        <f>IF(AND(Input_Product=Elig!$C648,Elig_MatchAll_Ct&lt;22,$BC648=(Elig_MatchAll_Ct-1),AX648=0),X648,0)</f>
        <v>0</v>
      </c>
      <c r="CD648" s="176">
        <f>IF(AND(Input_Product=Elig!$C648,Elig_MatchAll_Ct&lt;22,$BC648=(Elig_MatchAll_Ct-1),AX648=0),Y648,0)</f>
        <v>0</v>
      </c>
      <c r="CE648" s="175">
        <f>IF(AND(Input_LTV&lt;=AE648,Input_Product=Elig!$C648,Elig_MatchAll_Ct&lt;22,$BC648=(Elig_MatchAll_Ct-1),AY648=0),Z648,0)</f>
        <v>0</v>
      </c>
      <c r="CF648" s="176">
        <f>IF(AND(Input_LTV&lt;=AE648,Input_Product=Elig!$C648,Elig_MatchAll_Ct&lt;22,$BC648=(Elig_MatchAll_Ct-1),AY648=0),AA648,0)</f>
        <v>0</v>
      </c>
      <c r="CG648" s="175">
        <f>IF(AND(Input_Product=Elig!$C648,Elig_MatchAll_Ct&lt;22,$BC648=(Elig_MatchAll_Ct-1),AZ648=0),AB648,0)</f>
        <v>0</v>
      </c>
      <c r="CH648" s="176">
        <f>IF(AND(Input_Product=Elig!$C648,Elig_MatchAll_Ct&lt;22,$BC648=(Elig_MatchAll_Ct-1),AZ648=0),AC648,0)</f>
        <v>0</v>
      </c>
      <c r="CI648" s="175">
        <f>IF(AND(Input_Product=Elig!$C648,Elig_MatchAll_Ct&lt;22,$BC648=(Elig_MatchAll_Ct-1),BA648=0),AD648,0)</f>
        <v>0</v>
      </c>
      <c r="CJ648" s="176">
        <f>IF(AND(Input_Product=Elig!$C648,Elig_MatchAll_Ct&lt;22,$BC648=(Elig_MatchAll_Ct-1),BA648=0),AE648,0)</f>
        <v>0</v>
      </c>
    </row>
    <row r="649" spans="1:88" ht="10.15" customHeight="1" x14ac:dyDescent="0.25">
      <c r="A649" s="1476" t="s">
        <v>76</v>
      </c>
      <c r="B649" s="1476" t="s">
        <v>1973</v>
      </c>
      <c r="C649" s="1477" t="str">
        <f t="shared" si="204"/>
        <v>Second OO</v>
      </c>
      <c r="D649" s="1476" t="s">
        <v>1338</v>
      </c>
      <c r="E649" s="1476" t="s">
        <v>98</v>
      </c>
      <c r="F649" s="1476" t="s">
        <v>328</v>
      </c>
      <c r="G649" s="1478" t="s">
        <v>178</v>
      </c>
      <c r="H649" s="1478" t="s">
        <v>135</v>
      </c>
      <c r="I649" s="1476" t="s">
        <v>1141</v>
      </c>
      <c r="J649" s="1476" t="s">
        <v>1130</v>
      </c>
      <c r="K649" s="1478" t="s">
        <v>2464</v>
      </c>
      <c r="L649" s="1476" t="s">
        <v>428</v>
      </c>
      <c r="M649" s="1476" t="s">
        <v>1835</v>
      </c>
      <c r="N649" s="1478" t="s">
        <v>82</v>
      </c>
      <c r="O649" s="1476" t="s">
        <v>309</v>
      </c>
      <c r="P649" s="1476" t="s">
        <v>2433</v>
      </c>
      <c r="Q649" s="1476" t="s">
        <v>293</v>
      </c>
      <c r="R649" s="1476">
        <v>350000.01</v>
      </c>
      <c r="S649" s="261">
        <v>500000</v>
      </c>
      <c r="T649" s="1476">
        <v>0</v>
      </c>
      <c r="U649" s="1476">
        <f t="shared" si="225"/>
        <v>500000</v>
      </c>
      <c r="V649" s="1476">
        <v>0</v>
      </c>
      <c r="W649" s="1476">
        <v>50</v>
      </c>
      <c r="X649" s="1476">
        <v>0</v>
      </c>
      <c r="Y649" s="1476">
        <v>999</v>
      </c>
      <c r="Z649" s="1479">
        <v>680</v>
      </c>
      <c r="AA649" s="1479">
        <v>699</v>
      </c>
      <c r="AB649" s="1479">
        <v>0</v>
      </c>
      <c r="AC649" s="1479">
        <v>999999</v>
      </c>
      <c r="AD649" s="1476">
        <v>0</v>
      </c>
      <c r="AE649" s="1219">
        <v>55</v>
      </c>
      <c r="AF649" s="144">
        <v>0</v>
      </c>
      <c r="AG649" s="145">
        <v>1</v>
      </c>
      <c r="AH649" s="145">
        <v>1</v>
      </c>
      <c r="AI649" s="145">
        <v>0</v>
      </c>
      <c r="AJ649" s="145">
        <v>0</v>
      </c>
      <c r="AK649" s="145">
        <v>1</v>
      </c>
      <c r="AL649" s="145">
        <v>1</v>
      </c>
      <c r="AM649" s="145">
        <v>1</v>
      </c>
      <c r="AN649" s="145">
        <v>1</v>
      </c>
      <c r="AO649" s="145">
        <v>1</v>
      </c>
      <c r="AP649" s="145">
        <v>1</v>
      </c>
      <c r="AQ649" s="145">
        <v>0</v>
      </c>
      <c r="AR649" s="145">
        <v>1</v>
      </c>
      <c r="AS649" s="145">
        <v>1</v>
      </c>
      <c r="AT649" s="145">
        <v>1</v>
      </c>
      <c r="AU649" s="145">
        <f t="shared" si="219"/>
        <v>0</v>
      </c>
      <c r="AV649" s="145">
        <f t="shared" si="220"/>
        <v>1</v>
      </c>
      <c r="AW649" s="145">
        <f t="shared" si="221"/>
        <v>1</v>
      </c>
      <c r="AX649" s="145">
        <f t="shared" si="226"/>
        <v>1</v>
      </c>
      <c r="AY649" s="145">
        <f t="shared" si="222"/>
        <v>0</v>
      </c>
      <c r="AZ649" s="145">
        <f t="shared" si="223"/>
        <v>1</v>
      </c>
      <c r="BA649" s="146">
        <f t="shared" si="224"/>
        <v>0</v>
      </c>
      <c r="BB649" s="149">
        <f t="shared" si="228"/>
        <v>15</v>
      </c>
      <c r="BC649" s="150">
        <f t="shared" si="229"/>
        <v>15</v>
      </c>
      <c r="BD649" s="150">
        <f t="shared" si="230"/>
        <v>15</v>
      </c>
      <c r="BE649" s="211" t="str">
        <f t="shared" si="231"/>
        <v/>
      </c>
      <c r="BF649" s="205"/>
      <c r="BG649" s="205"/>
      <c r="BH649" s="173">
        <f>IF(AND(Input_Product=Elig!$C649,Elig_MatchAll_Ct&lt;22,$BC649=(Elig_MatchAll_Ct-1),AF649=0),C649,0)</f>
        <v>0</v>
      </c>
      <c r="BI649" s="173">
        <f>IF(AND(Input_Product=Elig!$C649,Elig_MatchAll_Ct&lt;22,$BC649=(Elig_MatchAll_Ct-1),AG649=0),D649,0)</f>
        <v>0</v>
      </c>
      <c r="BJ649" s="173">
        <f>IF(AND(Input_Product=Elig!$C649,Elig_MatchAll_Ct&lt;22,$BC649=(Elig_MatchAll_Ct-1),AH649=0),E649,0)</f>
        <v>0</v>
      </c>
      <c r="BK649" s="173">
        <f>IF(AND(Input_Product=Elig!$C649,Elig_MatchAll_Ct&lt;22,$BC649=(Elig_MatchAll_Ct-1),AI649=0),F649,0)</f>
        <v>0</v>
      </c>
      <c r="BL649" s="173">
        <f>IF(AND(Input_Product=Elig!$C649,Elig_MatchAll_Ct&lt;22,$BC649=(Elig_MatchAll_Ct-1),AJ649=0),G649,0)</f>
        <v>0</v>
      </c>
      <c r="BM649" s="173">
        <f>IF(AND(Input_Product=Elig!$C649,Elig_MatchAll_Ct&lt;22,$BC649=(Elig_MatchAll_Ct-1),AK649=0),H649,0)</f>
        <v>0</v>
      </c>
      <c r="BN649" s="173">
        <f>IF(AND(Input_Product=Elig!$C649,Elig_MatchAll_Ct&lt;22,$BC649=(Elig_MatchAll_Ct-1),AL649=0),I649,0)</f>
        <v>0</v>
      </c>
      <c r="BO649" s="173">
        <f>IF(AND(Input_Product=Elig!$C649,Elig_MatchAll_Ct&lt;22,$BC649=(Elig_MatchAll_Ct-1),AM649=0),J649,0)</f>
        <v>0</v>
      </c>
      <c r="BP649" s="173">
        <f>IF(AND(Input_Product=Elig!$C649,Elig_MatchAll_Ct&lt;22,$BC649=(Elig_MatchAll_Ct-1),AN649=0),K649,0)</f>
        <v>0</v>
      </c>
      <c r="BQ649" s="173">
        <f>IF(AND(Input_Product=Elig!$C649,Elig_MatchAll_Ct&lt;22,$BC649=(Elig_MatchAll_Ct-1),AP649=0),L649,0)</f>
        <v>0</v>
      </c>
      <c r="BR649" s="173">
        <f>IF(AND(Input_Product=Elig!$C649,Elig_MatchAll_Ct&lt;22,$BC649=(Elig_MatchAll_Ct-1),AO649=0),M649,0)</f>
        <v>0</v>
      </c>
      <c r="BS649" s="173">
        <f>IF(AND(Input_Product=Elig!$C649,Elig_MatchAll_Ct&lt;22,$BC649=(Elig_MatchAll_Ct-1),AQ649=0),N649,0)</f>
        <v>0</v>
      </c>
      <c r="BT649" s="173">
        <f>IF(AND(Input_Product=Elig!$C649,Elig_MatchAll_Ct&lt;22,$BC649=(Elig_MatchAll_Ct-1),AR649=0),O649,0)</f>
        <v>0</v>
      </c>
      <c r="BU649" s="173">
        <f>IF(AND(Input_Product=Elig!$C649,Elig_MatchAll_Ct&lt;22,$BC649=(Elig_MatchAll_Ct-1),AS649=0),P649,0)</f>
        <v>0</v>
      </c>
      <c r="BV649" s="174">
        <f>IF(AND(Input_Product=Elig!$C649,Elig_MatchAll_Ct&lt;22,$BC649=(Elig_MatchAll_Ct-1),AT649=0),Q649,0)</f>
        <v>0</v>
      </c>
      <c r="BW649" s="175">
        <f>IF(AND(Input_Product=Elig!$C649,Elig_MatchAll_Ct&lt;22,$BC649=(Elig_MatchAll_Ct-1),AU649=0),R649,0)</f>
        <v>0</v>
      </c>
      <c r="BX649" s="176">
        <f>IF(AND(Input_Product=Elig!$C649,Elig_MatchAll_Ct&lt;22,$BC649=(Elig_MatchAll_Ct-1),AU649=0),S649,0)</f>
        <v>0</v>
      </c>
      <c r="BY649" s="175">
        <f>IF(AND(Input_Product=Elig!$C649,Elig_MatchAll_Ct&lt;22,$BC649=(Elig_MatchAll_Ct-1),AV649=0),T649,0)</f>
        <v>0</v>
      </c>
      <c r="BZ649" s="176">
        <f>IF(AND(Input_Product=Elig!$C649,Elig_MatchAll_Ct&lt;22,$BC649=(Elig_MatchAll_Ct-1),AV649=0),U649,0)</f>
        <v>0</v>
      </c>
      <c r="CA649" s="175">
        <f>IF(AND(Input_Product=Elig!$C649,Elig_MatchAll_Ct&lt;22,$BC649=(Elig_MatchAll_Ct-1),AW649=0),V649,0)</f>
        <v>0</v>
      </c>
      <c r="CB649" s="176">
        <f>IF(AND(Input_Product=Elig!$C649,Elig_MatchAll_Ct&lt;22,$BC649=(Elig_MatchAll_Ct-1),AW649=0),W649,0)</f>
        <v>0</v>
      </c>
      <c r="CC649" s="175">
        <f>IF(AND(Input_Product=Elig!$C649,Elig_MatchAll_Ct&lt;22,$BC649=(Elig_MatchAll_Ct-1),AX649=0),X649,0)</f>
        <v>0</v>
      </c>
      <c r="CD649" s="176">
        <f>IF(AND(Input_Product=Elig!$C649,Elig_MatchAll_Ct&lt;22,$BC649=(Elig_MatchAll_Ct-1),AX649=0),Y649,0)</f>
        <v>0</v>
      </c>
      <c r="CE649" s="175">
        <f>IF(AND(Input_LTV&lt;=AE649,Input_Product=Elig!$C649,Elig_MatchAll_Ct&lt;22,$BC649=(Elig_MatchAll_Ct-1),AY649=0),Z649,0)</f>
        <v>0</v>
      </c>
      <c r="CF649" s="176">
        <f>IF(AND(Input_LTV&lt;=AE649,Input_Product=Elig!$C649,Elig_MatchAll_Ct&lt;22,$BC649=(Elig_MatchAll_Ct-1),AY649=0),AA649,0)</f>
        <v>0</v>
      </c>
      <c r="CG649" s="175">
        <f>IF(AND(Input_Product=Elig!$C649,Elig_MatchAll_Ct&lt;22,$BC649=(Elig_MatchAll_Ct-1),AZ649=0),AB649,0)</f>
        <v>0</v>
      </c>
      <c r="CH649" s="176">
        <f>IF(AND(Input_Product=Elig!$C649,Elig_MatchAll_Ct&lt;22,$BC649=(Elig_MatchAll_Ct-1),AZ649=0),AC649,0)</f>
        <v>0</v>
      </c>
      <c r="CI649" s="175">
        <f>IF(AND(Input_Product=Elig!$C649,Elig_MatchAll_Ct&lt;22,$BC649=(Elig_MatchAll_Ct-1),BA649=0),AD649,0)</f>
        <v>0</v>
      </c>
      <c r="CJ649" s="176">
        <f>IF(AND(Input_Product=Elig!$C649,Elig_MatchAll_Ct&lt;22,$BC649=(Elig_MatchAll_Ct-1),BA649=0),AE649,0)</f>
        <v>0</v>
      </c>
    </row>
    <row r="650" spans="1:88" ht="10.15" customHeight="1" x14ac:dyDescent="0.25">
      <c r="A650" s="1476" t="s">
        <v>76</v>
      </c>
      <c r="B650" s="1476" t="s">
        <v>1974</v>
      </c>
      <c r="C650" s="1481" t="str">
        <f t="shared" si="204"/>
        <v>Second OO</v>
      </c>
      <c r="D650" s="1480" t="s">
        <v>1338</v>
      </c>
      <c r="E650" s="1480" t="s">
        <v>98</v>
      </c>
      <c r="F650" s="1480" t="s">
        <v>328</v>
      </c>
      <c r="G650" s="1482" t="s">
        <v>178</v>
      </c>
      <c r="H650" s="1482" t="s">
        <v>135</v>
      </c>
      <c r="I650" s="1480" t="s">
        <v>1141</v>
      </c>
      <c r="J650" s="1480" t="s">
        <v>1130</v>
      </c>
      <c r="K650" s="1482" t="s">
        <v>2464</v>
      </c>
      <c r="L650" s="1480" t="s">
        <v>428</v>
      </c>
      <c r="M650" s="1480" t="s">
        <v>1835</v>
      </c>
      <c r="N650" s="1482" t="s">
        <v>82</v>
      </c>
      <c r="O650" s="1480" t="s">
        <v>309</v>
      </c>
      <c r="P650" s="1480" t="s">
        <v>2433</v>
      </c>
      <c r="Q650" s="1480" t="s">
        <v>293</v>
      </c>
      <c r="R650" s="1480">
        <v>350000.01</v>
      </c>
      <c r="S650" s="277">
        <v>500000</v>
      </c>
      <c r="T650" s="1480">
        <v>0</v>
      </c>
      <c r="U650" s="1480">
        <f t="shared" si="225"/>
        <v>500000</v>
      </c>
      <c r="V650" s="1480">
        <v>0</v>
      </c>
      <c r="W650" s="1480">
        <v>50</v>
      </c>
      <c r="X650" s="1480">
        <v>0</v>
      </c>
      <c r="Y650" s="1480">
        <v>999</v>
      </c>
      <c r="Z650" s="1483">
        <v>660</v>
      </c>
      <c r="AA650" s="1483">
        <v>679</v>
      </c>
      <c r="AB650" s="1483">
        <v>0</v>
      </c>
      <c r="AC650" s="1483">
        <v>999999</v>
      </c>
      <c r="AD650" s="1480">
        <v>0</v>
      </c>
      <c r="AE650" s="1220">
        <v>50</v>
      </c>
      <c r="AF650" s="144">
        <v>0</v>
      </c>
      <c r="AG650" s="145">
        <v>1</v>
      </c>
      <c r="AH650" s="145">
        <v>1</v>
      </c>
      <c r="AI650" s="145">
        <v>0</v>
      </c>
      <c r="AJ650" s="145">
        <v>0</v>
      </c>
      <c r="AK650" s="145">
        <v>1</v>
      </c>
      <c r="AL650" s="145">
        <v>1</v>
      </c>
      <c r="AM650" s="145">
        <v>1</v>
      </c>
      <c r="AN650" s="145">
        <v>1</v>
      </c>
      <c r="AO650" s="145">
        <v>1</v>
      </c>
      <c r="AP650" s="145">
        <v>1</v>
      </c>
      <c r="AQ650" s="145">
        <v>0</v>
      </c>
      <c r="AR650" s="145">
        <v>1</v>
      </c>
      <c r="AS650" s="145">
        <v>1</v>
      </c>
      <c r="AT650" s="145">
        <v>1</v>
      </c>
      <c r="AU650" s="145">
        <f t="shared" si="219"/>
        <v>0</v>
      </c>
      <c r="AV650" s="145">
        <f t="shared" si="220"/>
        <v>1</v>
      </c>
      <c r="AW650" s="145">
        <f t="shared" si="221"/>
        <v>1</v>
      </c>
      <c r="AX650" s="145">
        <f t="shared" si="226"/>
        <v>1</v>
      </c>
      <c r="AY650" s="145">
        <f t="shared" si="222"/>
        <v>0</v>
      </c>
      <c r="AZ650" s="145">
        <f t="shared" si="223"/>
        <v>1</v>
      </c>
      <c r="BA650" s="146">
        <f t="shared" si="224"/>
        <v>0</v>
      </c>
      <c r="BB650" s="149">
        <f t="shared" si="228"/>
        <v>15</v>
      </c>
      <c r="BC650" s="150">
        <f t="shared" si="229"/>
        <v>15</v>
      </c>
      <c r="BD650" s="150">
        <f t="shared" si="230"/>
        <v>15</v>
      </c>
      <c r="BE650" s="211" t="str">
        <f t="shared" si="231"/>
        <v/>
      </c>
      <c r="BF650" s="205"/>
      <c r="BG650" s="205"/>
      <c r="BH650" s="188">
        <f>IF(AND(Input_Product=Elig!$C650,Elig_MatchAll_Ct&lt;22,$BC650=(Elig_MatchAll_Ct-1),AF650=0),C650,0)</f>
        <v>0</v>
      </c>
      <c r="BI650" s="188">
        <f>IF(AND(Input_Product=Elig!$C650,Elig_MatchAll_Ct&lt;22,$BC650=(Elig_MatchAll_Ct-1),AG650=0),D650,0)</f>
        <v>0</v>
      </c>
      <c r="BJ650" s="188">
        <f>IF(AND(Input_Product=Elig!$C650,Elig_MatchAll_Ct&lt;22,$BC650=(Elig_MatchAll_Ct-1),AH650=0),E650,0)</f>
        <v>0</v>
      </c>
      <c r="BK650" s="188">
        <f>IF(AND(Input_Product=Elig!$C650,Elig_MatchAll_Ct&lt;22,$BC650=(Elig_MatchAll_Ct-1),AI650=0),F650,0)</f>
        <v>0</v>
      </c>
      <c r="BL650" s="188">
        <f>IF(AND(Input_Product=Elig!$C650,Elig_MatchAll_Ct&lt;22,$BC650=(Elig_MatchAll_Ct-1),AJ650=0),G650,0)</f>
        <v>0</v>
      </c>
      <c r="BM650" s="188">
        <f>IF(AND(Input_Product=Elig!$C650,Elig_MatchAll_Ct&lt;22,$BC650=(Elig_MatchAll_Ct-1),AK650=0),H650,0)</f>
        <v>0</v>
      </c>
      <c r="BN650" s="188">
        <f>IF(AND(Input_Product=Elig!$C650,Elig_MatchAll_Ct&lt;22,$BC650=(Elig_MatchAll_Ct-1),AL650=0),I650,0)</f>
        <v>0</v>
      </c>
      <c r="BO650" s="188">
        <f>IF(AND(Input_Product=Elig!$C650,Elig_MatchAll_Ct&lt;22,$BC650=(Elig_MatchAll_Ct-1),AM650=0),J650,0)</f>
        <v>0</v>
      </c>
      <c r="BP650" s="188">
        <f>IF(AND(Input_Product=Elig!$C650,Elig_MatchAll_Ct&lt;22,$BC650=(Elig_MatchAll_Ct-1),AN650=0),K650,0)</f>
        <v>0</v>
      </c>
      <c r="BQ650" s="188">
        <f>IF(AND(Input_Product=Elig!$C650,Elig_MatchAll_Ct&lt;22,$BC650=(Elig_MatchAll_Ct-1),AP650=0),L650,0)</f>
        <v>0</v>
      </c>
      <c r="BR650" s="188">
        <f>IF(AND(Input_Product=Elig!$C650,Elig_MatchAll_Ct&lt;22,$BC650=(Elig_MatchAll_Ct-1),AO650=0),M650,0)</f>
        <v>0</v>
      </c>
      <c r="BS650" s="188">
        <f>IF(AND(Input_Product=Elig!$C650,Elig_MatchAll_Ct&lt;22,$BC650=(Elig_MatchAll_Ct-1),AQ650=0),N650,0)</f>
        <v>0</v>
      </c>
      <c r="BT650" s="188">
        <f>IF(AND(Input_Product=Elig!$C650,Elig_MatchAll_Ct&lt;22,$BC650=(Elig_MatchAll_Ct-1),AR650=0),O650,0)</f>
        <v>0</v>
      </c>
      <c r="BU650" s="188">
        <f>IF(AND(Input_Product=Elig!$C650,Elig_MatchAll_Ct&lt;22,$BC650=(Elig_MatchAll_Ct-1),AS650=0),P650,0)</f>
        <v>0</v>
      </c>
      <c r="BV650" s="189">
        <f>IF(AND(Input_Product=Elig!$C650,Elig_MatchAll_Ct&lt;22,$BC650=(Elig_MatchAll_Ct-1),AT650=0),Q650,0)</f>
        <v>0</v>
      </c>
      <c r="BW650" s="271">
        <f>IF(AND(Input_Product=Elig!$C650,Elig_MatchAll_Ct&lt;22,$BC650=(Elig_MatchAll_Ct-1),AU650=0),R650,0)</f>
        <v>0</v>
      </c>
      <c r="BX650" s="272">
        <f>IF(AND(Input_Product=Elig!$C650,Elig_MatchAll_Ct&lt;22,$BC650=(Elig_MatchAll_Ct-1),AU650=0),S650,0)</f>
        <v>0</v>
      </c>
      <c r="BY650" s="271">
        <f>IF(AND(Input_Product=Elig!$C650,Elig_MatchAll_Ct&lt;22,$BC650=(Elig_MatchAll_Ct-1),AV650=0),T650,0)</f>
        <v>0</v>
      </c>
      <c r="BZ650" s="272">
        <f>IF(AND(Input_Product=Elig!$C650,Elig_MatchAll_Ct&lt;22,$BC650=(Elig_MatchAll_Ct-1),AV650=0),U650,0)</f>
        <v>0</v>
      </c>
      <c r="CA650" s="271">
        <f>IF(AND(Input_Product=Elig!$C650,Elig_MatchAll_Ct&lt;22,$BC650=(Elig_MatchAll_Ct-1),AW650=0),V650,0)</f>
        <v>0</v>
      </c>
      <c r="CB650" s="272">
        <f>IF(AND(Input_Product=Elig!$C650,Elig_MatchAll_Ct&lt;22,$BC650=(Elig_MatchAll_Ct-1),AW650=0),W650,0)</f>
        <v>0</v>
      </c>
      <c r="CC650" s="271">
        <f>IF(AND(Input_Product=Elig!$C650,Elig_MatchAll_Ct&lt;22,$BC650=(Elig_MatchAll_Ct-1),AX650=0),X650,0)</f>
        <v>0</v>
      </c>
      <c r="CD650" s="272">
        <f>IF(AND(Input_Product=Elig!$C650,Elig_MatchAll_Ct&lt;22,$BC650=(Elig_MatchAll_Ct-1),AX650=0),Y650,0)</f>
        <v>0</v>
      </c>
      <c r="CE650" s="271">
        <f>IF(AND(Input_LTV&lt;=AE650,Input_Product=Elig!$C650,Elig_MatchAll_Ct&lt;22,$BC650=(Elig_MatchAll_Ct-1),AY650=0),Z650,0)</f>
        <v>0</v>
      </c>
      <c r="CF650" s="272">
        <f>IF(AND(Input_LTV&lt;=AE650,Input_Product=Elig!$C650,Elig_MatchAll_Ct&lt;22,$BC650=(Elig_MatchAll_Ct-1),AY650=0),AA650,0)</f>
        <v>0</v>
      </c>
      <c r="CG650" s="271">
        <f>IF(AND(Input_Product=Elig!$C650,Elig_MatchAll_Ct&lt;22,$BC650=(Elig_MatchAll_Ct-1),AZ650=0),AB650,0)</f>
        <v>0</v>
      </c>
      <c r="CH650" s="272">
        <f>IF(AND(Input_Product=Elig!$C650,Elig_MatchAll_Ct&lt;22,$BC650=(Elig_MatchAll_Ct-1),AZ650=0),AC650,0)</f>
        <v>0</v>
      </c>
      <c r="CI650" s="271">
        <f>IF(AND(Input_Product=Elig!$C650,Elig_MatchAll_Ct&lt;22,$BC650=(Elig_MatchAll_Ct-1),BA650=0),AD650,0)</f>
        <v>0</v>
      </c>
      <c r="CJ650" s="272">
        <f>IF(AND(Input_Product=Elig!$C650,Elig_MatchAll_Ct&lt;22,$BC650=(Elig_MatchAll_Ct-1),BA650=0),AE650,0)</f>
        <v>0</v>
      </c>
    </row>
    <row r="651" spans="1:88" ht="10.15" customHeight="1" x14ac:dyDescent="0.25">
      <c r="A651" s="1476" t="s">
        <v>76</v>
      </c>
      <c r="B651" s="1476" t="s">
        <v>1975</v>
      </c>
      <c r="C651" s="1473" t="str">
        <f t="shared" si="204"/>
        <v>Second OO</v>
      </c>
      <c r="D651" s="1474" t="s">
        <v>1338</v>
      </c>
      <c r="E651" s="1474" t="s">
        <v>98</v>
      </c>
      <c r="F651" s="1474" t="s">
        <v>327</v>
      </c>
      <c r="G651" s="1474" t="s">
        <v>302</v>
      </c>
      <c r="H651" s="1474" t="s">
        <v>135</v>
      </c>
      <c r="I651" s="1474" t="s">
        <v>1141</v>
      </c>
      <c r="J651" s="1472" t="s">
        <v>1130</v>
      </c>
      <c r="K651" s="1474" t="s">
        <v>2464</v>
      </c>
      <c r="L651" s="1472" t="s">
        <v>428</v>
      </c>
      <c r="M651" s="1472" t="s">
        <v>1835</v>
      </c>
      <c r="N651" s="1474" t="s">
        <v>82</v>
      </c>
      <c r="O651" s="1472" t="s">
        <v>309</v>
      </c>
      <c r="P651" s="1472" t="s">
        <v>2433</v>
      </c>
      <c r="Q651" s="1472" t="s">
        <v>293</v>
      </c>
      <c r="R651" s="276">
        <v>500000.01</v>
      </c>
      <c r="S651" s="276">
        <v>750000</v>
      </c>
      <c r="T651" s="1472">
        <v>0</v>
      </c>
      <c r="U651" s="1472">
        <f t="shared" si="225"/>
        <v>750000</v>
      </c>
      <c r="V651" s="1472">
        <v>0</v>
      </c>
      <c r="W651" s="1472">
        <v>50</v>
      </c>
      <c r="X651" s="1472">
        <v>0</v>
      </c>
      <c r="Y651" s="1472">
        <v>999</v>
      </c>
      <c r="Z651" s="1475">
        <v>720</v>
      </c>
      <c r="AA651" s="1475">
        <v>999</v>
      </c>
      <c r="AB651" s="1475">
        <v>0</v>
      </c>
      <c r="AC651" s="1475">
        <v>999999</v>
      </c>
      <c r="AD651" s="1472">
        <v>0</v>
      </c>
      <c r="AE651" s="1218">
        <v>80</v>
      </c>
      <c r="AF651" s="144">
        <v>0</v>
      </c>
      <c r="AG651" s="145">
        <v>1</v>
      </c>
      <c r="AH651" s="145">
        <v>1</v>
      </c>
      <c r="AI651" s="145">
        <v>0</v>
      </c>
      <c r="AJ651" s="145">
        <v>0</v>
      </c>
      <c r="AK651" s="145">
        <v>1</v>
      </c>
      <c r="AL651" s="145">
        <v>1</v>
      </c>
      <c r="AM651" s="145">
        <v>1</v>
      </c>
      <c r="AN651" s="145">
        <v>1</v>
      </c>
      <c r="AO651" s="145">
        <v>1</v>
      </c>
      <c r="AP651" s="145">
        <v>1</v>
      </c>
      <c r="AQ651" s="145">
        <v>0</v>
      </c>
      <c r="AR651" s="145">
        <v>1</v>
      </c>
      <c r="AS651" s="145">
        <v>1</v>
      </c>
      <c r="AT651" s="145">
        <v>1</v>
      </c>
      <c r="AU651" s="145">
        <f t="shared" si="219"/>
        <v>0</v>
      </c>
      <c r="AV651" s="145">
        <f t="shared" si="220"/>
        <v>1</v>
      </c>
      <c r="AW651" s="145">
        <f t="shared" si="221"/>
        <v>1</v>
      </c>
      <c r="AX651" s="145">
        <f t="shared" si="226"/>
        <v>1</v>
      </c>
      <c r="AY651" s="145">
        <f t="shared" si="222"/>
        <v>1</v>
      </c>
      <c r="AZ651" s="145">
        <f t="shared" si="223"/>
        <v>1</v>
      </c>
      <c r="BA651" s="146">
        <f t="shared" si="224"/>
        <v>1</v>
      </c>
      <c r="BB651" s="149">
        <f t="shared" si="228"/>
        <v>17</v>
      </c>
      <c r="BC651" s="150">
        <f t="shared" si="229"/>
        <v>16</v>
      </c>
      <c r="BD651" s="150">
        <f t="shared" si="230"/>
        <v>17</v>
      </c>
      <c r="BE651" s="211" t="str">
        <f t="shared" si="231"/>
        <v/>
      </c>
      <c r="BF651" s="194"/>
      <c r="BG651" s="194"/>
      <c r="BH651" s="190">
        <f>IF(AND(Input_Product=Elig!$C651,Elig_MatchAll_Ct&lt;22,$BC651=(Elig_MatchAll_Ct-1),AF651=0),C651,0)</f>
        <v>0</v>
      </c>
      <c r="BI651" s="190">
        <f>IF(AND(Input_Product=Elig!$C651,Elig_MatchAll_Ct&lt;22,$BC651=(Elig_MatchAll_Ct-1),AG651=0),D651,0)</f>
        <v>0</v>
      </c>
      <c r="BJ651" s="190">
        <f>IF(AND(Input_Product=Elig!$C651,Elig_MatchAll_Ct&lt;22,$BC651=(Elig_MatchAll_Ct-1),AH651=0),E651,0)</f>
        <v>0</v>
      </c>
      <c r="BK651" s="190">
        <f>IF(AND(Input_Product=Elig!$C651,Elig_MatchAll_Ct&lt;22,$BC651=(Elig_MatchAll_Ct-1),AI651=0),F651,0)</f>
        <v>0</v>
      </c>
      <c r="BL651" s="190">
        <f>IF(AND(Input_Product=Elig!$C651,Elig_MatchAll_Ct&lt;22,$BC651=(Elig_MatchAll_Ct-1),AJ651=0),G651,0)</f>
        <v>0</v>
      </c>
      <c r="BM651" s="190">
        <f>IF(AND(Input_Product=Elig!$C651,Elig_MatchAll_Ct&lt;22,$BC651=(Elig_MatchAll_Ct-1),AK651=0),H651,0)</f>
        <v>0</v>
      </c>
      <c r="BN651" s="190">
        <f>IF(AND(Input_Product=Elig!$C651,Elig_MatchAll_Ct&lt;22,$BC651=(Elig_MatchAll_Ct-1),AL651=0),I651,0)</f>
        <v>0</v>
      </c>
      <c r="BO651" s="190">
        <f>IF(AND(Input_Product=Elig!$C651,Elig_MatchAll_Ct&lt;22,$BC651=(Elig_MatchAll_Ct-1),AM651=0),J651,0)</f>
        <v>0</v>
      </c>
      <c r="BP651" s="190">
        <f>IF(AND(Input_Product=Elig!$C651,Elig_MatchAll_Ct&lt;22,$BC651=(Elig_MatchAll_Ct-1),AN651=0),K651,0)</f>
        <v>0</v>
      </c>
      <c r="BQ651" s="190">
        <f>IF(AND(Input_Product=Elig!$C651,Elig_MatchAll_Ct&lt;22,$BC651=(Elig_MatchAll_Ct-1),AP651=0),L651,0)</f>
        <v>0</v>
      </c>
      <c r="BR651" s="190">
        <f>IF(AND(Input_Product=Elig!$C651,Elig_MatchAll_Ct&lt;22,$BC651=(Elig_MatchAll_Ct-1),AO651=0),M651,0)</f>
        <v>0</v>
      </c>
      <c r="BS651" s="190">
        <f>IF(AND(Input_Product=Elig!$C651,Elig_MatchAll_Ct&lt;22,$BC651=(Elig_MatchAll_Ct-1),AQ651=0),N651,0)</f>
        <v>0</v>
      </c>
      <c r="BT651" s="190">
        <f>IF(AND(Input_Product=Elig!$C651,Elig_MatchAll_Ct&lt;22,$BC651=(Elig_MatchAll_Ct-1),AR651=0),O651,0)</f>
        <v>0</v>
      </c>
      <c r="BU651" s="190">
        <f>IF(AND(Input_Product=Elig!$C651,Elig_MatchAll_Ct&lt;22,$BC651=(Elig_MatchAll_Ct-1),AS651=0),P651,0)</f>
        <v>0</v>
      </c>
      <c r="BV651" s="191">
        <f>IF(AND(Input_Product=Elig!$C651,Elig_MatchAll_Ct&lt;22,$BC651=(Elig_MatchAll_Ct-1),AT651=0),Q651,0)</f>
        <v>0</v>
      </c>
      <c r="BW651" s="273">
        <f>IF(AND(Input_Product=Elig!$C651,Elig_MatchAll_Ct&lt;22,$BC651=(Elig_MatchAll_Ct-1),AU651=0),R651,0)</f>
        <v>0</v>
      </c>
      <c r="BX651" s="274">
        <f>IF(AND(Input_Product=Elig!$C651,Elig_MatchAll_Ct&lt;22,$BC651=(Elig_MatchAll_Ct-1),AU651=0),S651,0)</f>
        <v>0</v>
      </c>
      <c r="BY651" s="273">
        <f>IF(AND(Input_Product=Elig!$C651,Elig_MatchAll_Ct&lt;22,$BC651=(Elig_MatchAll_Ct-1),AV651=0),T651,0)</f>
        <v>0</v>
      </c>
      <c r="BZ651" s="274">
        <f>IF(AND(Input_Product=Elig!$C651,Elig_MatchAll_Ct&lt;22,$BC651=(Elig_MatchAll_Ct-1),AV651=0),U651,0)</f>
        <v>0</v>
      </c>
      <c r="CA651" s="273">
        <f>IF(AND(Input_Product=Elig!$C651,Elig_MatchAll_Ct&lt;22,$BC651=(Elig_MatchAll_Ct-1),AW651=0),V651,0)</f>
        <v>0</v>
      </c>
      <c r="CB651" s="274">
        <f>IF(AND(Input_Product=Elig!$C651,Elig_MatchAll_Ct&lt;22,$BC651=(Elig_MatchAll_Ct-1),AW651=0),W651,0)</f>
        <v>0</v>
      </c>
      <c r="CC651" s="273">
        <f>IF(AND(Input_Product=Elig!$C651,Elig_MatchAll_Ct&lt;22,$BC651=(Elig_MatchAll_Ct-1),AX651=0),X651,0)</f>
        <v>0</v>
      </c>
      <c r="CD651" s="274">
        <f>IF(AND(Input_Product=Elig!$C651,Elig_MatchAll_Ct&lt;22,$BC651=(Elig_MatchAll_Ct-1),AX651=0),Y651,0)</f>
        <v>0</v>
      </c>
      <c r="CE651" s="273">
        <f>IF(AND(Input_LTV&lt;=AE651,Input_Product=Elig!$C651,Elig_MatchAll_Ct&lt;22,$BC651=(Elig_MatchAll_Ct-1),AY651=0),Z651,0)</f>
        <v>0</v>
      </c>
      <c r="CF651" s="274">
        <f>IF(AND(Input_LTV&lt;=AE651,Input_Product=Elig!$C651,Elig_MatchAll_Ct&lt;22,$BC651=(Elig_MatchAll_Ct-1),AY651=0),AA651,0)</f>
        <v>0</v>
      </c>
      <c r="CG651" s="273">
        <f>IF(AND(Input_Product=Elig!$C651,Elig_MatchAll_Ct&lt;22,$BC651=(Elig_MatchAll_Ct-1),AZ651=0),AB651,0)</f>
        <v>0</v>
      </c>
      <c r="CH651" s="274">
        <f>IF(AND(Input_Product=Elig!$C651,Elig_MatchAll_Ct&lt;22,$BC651=(Elig_MatchAll_Ct-1),AZ651=0),AC651,0)</f>
        <v>0</v>
      </c>
      <c r="CI651" s="273">
        <f>IF(AND(Input_Product=Elig!$C651,Elig_MatchAll_Ct&lt;22,$BC651=(Elig_MatchAll_Ct-1),BA651=0),AD651,0)</f>
        <v>0</v>
      </c>
      <c r="CJ651" s="274">
        <f>IF(AND(Input_Product=Elig!$C651,Elig_MatchAll_Ct&lt;22,$BC651=(Elig_MatchAll_Ct-1),BA651=0),AE651,0)</f>
        <v>0</v>
      </c>
    </row>
    <row r="652" spans="1:88" ht="10.15" customHeight="1" x14ac:dyDescent="0.25">
      <c r="A652" s="1476" t="s">
        <v>76</v>
      </c>
      <c r="B652" s="1476" t="s">
        <v>1976</v>
      </c>
      <c r="C652" s="1477" t="str">
        <f t="shared" si="204"/>
        <v>Second OO</v>
      </c>
      <c r="D652" s="1476" t="s">
        <v>1338</v>
      </c>
      <c r="E652" s="1476" t="s">
        <v>98</v>
      </c>
      <c r="F652" s="1476" t="s">
        <v>327</v>
      </c>
      <c r="G652" s="1478" t="s">
        <v>302</v>
      </c>
      <c r="H652" s="1478" t="s">
        <v>135</v>
      </c>
      <c r="I652" s="1476" t="s">
        <v>1141</v>
      </c>
      <c r="J652" s="1476" t="s">
        <v>1130</v>
      </c>
      <c r="K652" s="1478" t="s">
        <v>2464</v>
      </c>
      <c r="L652" s="1476" t="s">
        <v>428</v>
      </c>
      <c r="M652" s="1476" t="s">
        <v>1835</v>
      </c>
      <c r="N652" s="1478" t="s">
        <v>82</v>
      </c>
      <c r="O652" s="1476" t="s">
        <v>309</v>
      </c>
      <c r="P652" s="1476" t="s">
        <v>2433</v>
      </c>
      <c r="Q652" s="1476" t="s">
        <v>293</v>
      </c>
      <c r="R652" s="261">
        <v>500000.01</v>
      </c>
      <c r="S652" s="261">
        <v>750000</v>
      </c>
      <c r="T652" s="1476">
        <v>0</v>
      </c>
      <c r="U652" s="1476">
        <f t="shared" si="225"/>
        <v>750000</v>
      </c>
      <c r="V652" s="1476">
        <v>0</v>
      </c>
      <c r="W652" s="1476">
        <v>50</v>
      </c>
      <c r="X652" s="1476">
        <v>0</v>
      </c>
      <c r="Y652" s="1476">
        <v>999</v>
      </c>
      <c r="Z652" s="1479">
        <v>700</v>
      </c>
      <c r="AA652" s="1479">
        <v>719</v>
      </c>
      <c r="AB652" s="1479">
        <v>0</v>
      </c>
      <c r="AC652" s="1479">
        <v>999999</v>
      </c>
      <c r="AD652" s="1476">
        <v>0</v>
      </c>
      <c r="AE652" s="1219">
        <v>80</v>
      </c>
      <c r="AF652" s="144">
        <v>0</v>
      </c>
      <c r="AG652" s="145">
        <v>1</v>
      </c>
      <c r="AH652" s="145">
        <v>1</v>
      </c>
      <c r="AI652" s="145">
        <v>0</v>
      </c>
      <c r="AJ652" s="145">
        <v>0</v>
      </c>
      <c r="AK652" s="145">
        <v>1</v>
      </c>
      <c r="AL652" s="145">
        <v>1</v>
      </c>
      <c r="AM652" s="145">
        <v>1</v>
      </c>
      <c r="AN652" s="145">
        <v>1</v>
      </c>
      <c r="AO652" s="145">
        <v>1</v>
      </c>
      <c r="AP652" s="145">
        <v>1</v>
      </c>
      <c r="AQ652" s="145">
        <v>0</v>
      </c>
      <c r="AR652" s="145">
        <v>1</v>
      </c>
      <c r="AS652" s="145">
        <v>1</v>
      </c>
      <c r="AT652" s="145">
        <v>1</v>
      </c>
      <c r="AU652" s="145">
        <f t="shared" si="219"/>
        <v>0</v>
      </c>
      <c r="AV652" s="145">
        <f t="shared" si="220"/>
        <v>1</v>
      </c>
      <c r="AW652" s="145">
        <f t="shared" si="221"/>
        <v>1</v>
      </c>
      <c r="AX652" s="145">
        <f t="shared" si="226"/>
        <v>1</v>
      </c>
      <c r="AY652" s="145">
        <f t="shared" si="222"/>
        <v>0</v>
      </c>
      <c r="AZ652" s="145">
        <f t="shared" si="223"/>
        <v>1</v>
      </c>
      <c r="BA652" s="146">
        <f t="shared" si="224"/>
        <v>1</v>
      </c>
      <c r="BB652" s="149">
        <f t="shared" si="228"/>
        <v>16</v>
      </c>
      <c r="BC652" s="150">
        <f t="shared" si="229"/>
        <v>15</v>
      </c>
      <c r="BD652" s="150">
        <f t="shared" si="230"/>
        <v>16</v>
      </c>
      <c r="BE652" s="211" t="str">
        <f t="shared" si="231"/>
        <v/>
      </c>
      <c r="BF652" s="205"/>
      <c r="BG652" s="205"/>
      <c r="BH652" s="173">
        <f>IF(AND(Input_Product=Elig!$C652,Elig_MatchAll_Ct&lt;22,$BC652=(Elig_MatchAll_Ct-1),AF652=0),C652,0)</f>
        <v>0</v>
      </c>
      <c r="BI652" s="173">
        <f>IF(AND(Input_Product=Elig!$C652,Elig_MatchAll_Ct&lt;22,$BC652=(Elig_MatchAll_Ct-1),AG652=0),D652,0)</f>
        <v>0</v>
      </c>
      <c r="BJ652" s="173">
        <f>IF(AND(Input_Product=Elig!$C652,Elig_MatchAll_Ct&lt;22,$BC652=(Elig_MatchAll_Ct-1),AH652=0),E652,0)</f>
        <v>0</v>
      </c>
      <c r="BK652" s="173">
        <f>IF(AND(Input_Product=Elig!$C652,Elig_MatchAll_Ct&lt;22,$BC652=(Elig_MatchAll_Ct-1),AI652=0),F652,0)</f>
        <v>0</v>
      </c>
      <c r="BL652" s="173">
        <f>IF(AND(Input_Product=Elig!$C652,Elig_MatchAll_Ct&lt;22,$BC652=(Elig_MatchAll_Ct-1),AJ652=0),G652,0)</f>
        <v>0</v>
      </c>
      <c r="BM652" s="173">
        <f>IF(AND(Input_Product=Elig!$C652,Elig_MatchAll_Ct&lt;22,$BC652=(Elig_MatchAll_Ct-1),AK652=0),H652,0)</f>
        <v>0</v>
      </c>
      <c r="BN652" s="173">
        <f>IF(AND(Input_Product=Elig!$C652,Elig_MatchAll_Ct&lt;22,$BC652=(Elig_MatchAll_Ct-1),AL652=0),I652,0)</f>
        <v>0</v>
      </c>
      <c r="BO652" s="173">
        <f>IF(AND(Input_Product=Elig!$C652,Elig_MatchAll_Ct&lt;22,$BC652=(Elig_MatchAll_Ct-1),AM652=0),J652,0)</f>
        <v>0</v>
      </c>
      <c r="BP652" s="173">
        <f>IF(AND(Input_Product=Elig!$C652,Elig_MatchAll_Ct&lt;22,$BC652=(Elig_MatchAll_Ct-1),AN652=0),K652,0)</f>
        <v>0</v>
      </c>
      <c r="BQ652" s="173">
        <f>IF(AND(Input_Product=Elig!$C652,Elig_MatchAll_Ct&lt;22,$BC652=(Elig_MatchAll_Ct-1),AP652=0),L652,0)</f>
        <v>0</v>
      </c>
      <c r="BR652" s="173">
        <f>IF(AND(Input_Product=Elig!$C652,Elig_MatchAll_Ct&lt;22,$BC652=(Elig_MatchAll_Ct-1),AO652=0),M652,0)</f>
        <v>0</v>
      </c>
      <c r="BS652" s="173">
        <f>IF(AND(Input_Product=Elig!$C652,Elig_MatchAll_Ct&lt;22,$BC652=(Elig_MatchAll_Ct-1),AQ652=0),N652,0)</f>
        <v>0</v>
      </c>
      <c r="BT652" s="173">
        <f>IF(AND(Input_Product=Elig!$C652,Elig_MatchAll_Ct&lt;22,$BC652=(Elig_MatchAll_Ct-1),AR652=0),O652,0)</f>
        <v>0</v>
      </c>
      <c r="BU652" s="173">
        <f>IF(AND(Input_Product=Elig!$C652,Elig_MatchAll_Ct&lt;22,$BC652=(Elig_MatchAll_Ct-1),AS652=0),P652,0)</f>
        <v>0</v>
      </c>
      <c r="BV652" s="174">
        <f>IF(AND(Input_Product=Elig!$C652,Elig_MatchAll_Ct&lt;22,$BC652=(Elig_MatchAll_Ct-1),AT652=0),Q652,0)</f>
        <v>0</v>
      </c>
      <c r="BW652" s="175">
        <f>IF(AND(Input_Product=Elig!$C652,Elig_MatchAll_Ct&lt;22,$BC652=(Elig_MatchAll_Ct-1),AU652=0),R652,0)</f>
        <v>0</v>
      </c>
      <c r="BX652" s="176">
        <f>IF(AND(Input_Product=Elig!$C652,Elig_MatchAll_Ct&lt;22,$BC652=(Elig_MatchAll_Ct-1),AU652=0),S652,0)</f>
        <v>0</v>
      </c>
      <c r="BY652" s="175">
        <f>IF(AND(Input_Product=Elig!$C652,Elig_MatchAll_Ct&lt;22,$BC652=(Elig_MatchAll_Ct-1),AV652=0),T652,0)</f>
        <v>0</v>
      </c>
      <c r="BZ652" s="176">
        <f>IF(AND(Input_Product=Elig!$C652,Elig_MatchAll_Ct&lt;22,$BC652=(Elig_MatchAll_Ct-1),AV652=0),U652,0)</f>
        <v>0</v>
      </c>
      <c r="CA652" s="175">
        <f>IF(AND(Input_Product=Elig!$C652,Elig_MatchAll_Ct&lt;22,$BC652=(Elig_MatchAll_Ct-1),AW652=0),V652,0)</f>
        <v>0</v>
      </c>
      <c r="CB652" s="176">
        <f>IF(AND(Input_Product=Elig!$C652,Elig_MatchAll_Ct&lt;22,$BC652=(Elig_MatchAll_Ct-1),AW652=0),W652,0)</f>
        <v>0</v>
      </c>
      <c r="CC652" s="175">
        <f>IF(AND(Input_Product=Elig!$C652,Elig_MatchAll_Ct&lt;22,$BC652=(Elig_MatchAll_Ct-1),AX652=0),X652,0)</f>
        <v>0</v>
      </c>
      <c r="CD652" s="176">
        <f>IF(AND(Input_Product=Elig!$C652,Elig_MatchAll_Ct&lt;22,$BC652=(Elig_MatchAll_Ct-1),AX652=0),Y652,0)</f>
        <v>0</v>
      </c>
      <c r="CE652" s="175">
        <f>IF(AND(Input_LTV&lt;=AE652,Input_Product=Elig!$C652,Elig_MatchAll_Ct&lt;22,$BC652=(Elig_MatchAll_Ct-1),AY652=0),Z652,0)</f>
        <v>0</v>
      </c>
      <c r="CF652" s="176">
        <f>IF(AND(Input_LTV&lt;=AE652,Input_Product=Elig!$C652,Elig_MatchAll_Ct&lt;22,$BC652=(Elig_MatchAll_Ct-1),AY652=0),AA652,0)</f>
        <v>0</v>
      </c>
      <c r="CG652" s="175">
        <f>IF(AND(Input_Product=Elig!$C652,Elig_MatchAll_Ct&lt;22,$BC652=(Elig_MatchAll_Ct-1),AZ652=0),AB652,0)</f>
        <v>0</v>
      </c>
      <c r="CH652" s="176">
        <f>IF(AND(Input_Product=Elig!$C652,Elig_MatchAll_Ct&lt;22,$BC652=(Elig_MatchAll_Ct-1),AZ652=0),AC652,0)</f>
        <v>0</v>
      </c>
      <c r="CI652" s="175">
        <f>IF(AND(Input_Product=Elig!$C652,Elig_MatchAll_Ct&lt;22,$BC652=(Elig_MatchAll_Ct-1),BA652=0),AD652,0)</f>
        <v>0</v>
      </c>
      <c r="CJ652" s="176">
        <f>IF(AND(Input_Product=Elig!$C652,Elig_MatchAll_Ct&lt;22,$BC652=(Elig_MatchAll_Ct-1),BA652=0),AE652,0)</f>
        <v>0</v>
      </c>
    </row>
    <row r="653" spans="1:88" ht="10.15" customHeight="1" x14ac:dyDescent="0.25">
      <c r="A653" s="1476" t="s">
        <v>76</v>
      </c>
      <c r="B653" s="1476" t="s">
        <v>1977</v>
      </c>
      <c r="C653" s="1477" t="str">
        <f t="shared" si="204"/>
        <v>Second OO</v>
      </c>
      <c r="D653" s="1476" t="s">
        <v>1338</v>
      </c>
      <c r="E653" s="1476" t="s">
        <v>98</v>
      </c>
      <c r="F653" s="1476" t="s">
        <v>327</v>
      </c>
      <c r="G653" s="1478" t="s">
        <v>302</v>
      </c>
      <c r="H653" s="1478" t="s">
        <v>135</v>
      </c>
      <c r="I653" s="1476" t="s">
        <v>1141</v>
      </c>
      <c r="J653" s="1476" t="s">
        <v>1130</v>
      </c>
      <c r="K653" s="1478" t="s">
        <v>2464</v>
      </c>
      <c r="L653" s="1476" t="s">
        <v>428</v>
      </c>
      <c r="M653" s="1476" t="s">
        <v>1835</v>
      </c>
      <c r="N653" s="1478" t="s">
        <v>82</v>
      </c>
      <c r="O653" s="1476" t="s">
        <v>309</v>
      </c>
      <c r="P653" s="1476" t="s">
        <v>2433</v>
      </c>
      <c r="Q653" s="1476" t="s">
        <v>293</v>
      </c>
      <c r="R653" s="261">
        <v>500000.01</v>
      </c>
      <c r="S653" s="261">
        <v>750000</v>
      </c>
      <c r="T653" s="1476">
        <v>0</v>
      </c>
      <c r="U653" s="1476">
        <f t="shared" si="225"/>
        <v>750000</v>
      </c>
      <c r="V653" s="1476">
        <v>0</v>
      </c>
      <c r="W653" s="1476">
        <v>50</v>
      </c>
      <c r="X653" s="1476">
        <v>0</v>
      </c>
      <c r="Y653" s="1476">
        <v>999</v>
      </c>
      <c r="Z653" s="1479">
        <v>680</v>
      </c>
      <c r="AA653" s="1479">
        <v>699</v>
      </c>
      <c r="AB653" s="1479">
        <v>0</v>
      </c>
      <c r="AC653" s="1479">
        <v>999999</v>
      </c>
      <c r="AD653" s="1476">
        <v>0</v>
      </c>
      <c r="AE653" s="1219">
        <v>75</v>
      </c>
      <c r="AF653" s="144">
        <v>0</v>
      </c>
      <c r="AG653" s="145">
        <v>1</v>
      </c>
      <c r="AH653" s="145">
        <v>1</v>
      </c>
      <c r="AI653" s="145">
        <v>0</v>
      </c>
      <c r="AJ653" s="145">
        <v>0</v>
      </c>
      <c r="AK653" s="145">
        <v>1</v>
      </c>
      <c r="AL653" s="145">
        <v>1</v>
      </c>
      <c r="AM653" s="145">
        <v>1</v>
      </c>
      <c r="AN653" s="145">
        <v>1</v>
      </c>
      <c r="AO653" s="145">
        <v>1</v>
      </c>
      <c r="AP653" s="145">
        <v>1</v>
      </c>
      <c r="AQ653" s="145">
        <v>0</v>
      </c>
      <c r="AR653" s="145">
        <v>1</v>
      </c>
      <c r="AS653" s="145">
        <v>1</v>
      </c>
      <c r="AT653" s="145">
        <v>1</v>
      </c>
      <c r="AU653" s="145">
        <f t="shared" si="219"/>
        <v>0</v>
      </c>
      <c r="AV653" s="145">
        <f t="shared" si="220"/>
        <v>1</v>
      </c>
      <c r="AW653" s="145">
        <f t="shared" si="221"/>
        <v>1</v>
      </c>
      <c r="AX653" s="145">
        <f t="shared" si="226"/>
        <v>1</v>
      </c>
      <c r="AY653" s="145">
        <f t="shared" si="222"/>
        <v>0</v>
      </c>
      <c r="AZ653" s="145">
        <f t="shared" si="223"/>
        <v>1</v>
      </c>
      <c r="BA653" s="146">
        <f t="shared" si="224"/>
        <v>1</v>
      </c>
      <c r="BB653" s="149">
        <f t="shared" si="228"/>
        <v>16</v>
      </c>
      <c r="BC653" s="150">
        <f t="shared" si="229"/>
        <v>15</v>
      </c>
      <c r="BD653" s="150">
        <f t="shared" si="230"/>
        <v>16</v>
      </c>
      <c r="BE653" s="211" t="str">
        <f t="shared" si="231"/>
        <v/>
      </c>
      <c r="BF653" s="205"/>
      <c r="BG653" s="205"/>
      <c r="BH653" s="173">
        <f>IF(AND(Input_Product=Elig!$C653,Elig_MatchAll_Ct&lt;22,$BC653=(Elig_MatchAll_Ct-1),AF653=0),C653,0)</f>
        <v>0</v>
      </c>
      <c r="BI653" s="173">
        <f>IF(AND(Input_Product=Elig!$C653,Elig_MatchAll_Ct&lt;22,$BC653=(Elig_MatchAll_Ct-1),AG653=0),D653,0)</f>
        <v>0</v>
      </c>
      <c r="BJ653" s="173">
        <f>IF(AND(Input_Product=Elig!$C653,Elig_MatchAll_Ct&lt;22,$BC653=(Elig_MatchAll_Ct-1),AH653=0),E653,0)</f>
        <v>0</v>
      </c>
      <c r="BK653" s="173">
        <f>IF(AND(Input_Product=Elig!$C653,Elig_MatchAll_Ct&lt;22,$BC653=(Elig_MatchAll_Ct-1),AI653=0),F653,0)</f>
        <v>0</v>
      </c>
      <c r="BL653" s="173">
        <f>IF(AND(Input_Product=Elig!$C653,Elig_MatchAll_Ct&lt;22,$BC653=(Elig_MatchAll_Ct-1),AJ653=0),G653,0)</f>
        <v>0</v>
      </c>
      <c r="BM653" s="173">
        <f>IF(AND(Input_Product=Elig!$C653,Elig_MatchAll_Ct&lt;22,$BC653=(Elig_MatchAll_Ct-1),AK653=0),H653,0)</f>
        <v>0</v>
      </c>
      <c r="BN653" s="173">
        <f>IF(AND(Input_Product=Elig!$C653,Elig_MatchAll_Ct&lt;22,$BC653=(Elig_MatchAll_Ct-1),AL653=0),I653,0)</f>
        <v>0</v>
      </c>
      <c r="BO653" s="173">
        <f>IF(AND(Input_Product=Elig!$C653,Elig_MatchAll_Ct&lt;22,$BC653=(Elig_MatchAll_Ct-1),AM653=0),J653,0)</f>
        <v>0</v>
      </c>
      <c r="BP653" s="173">
        <f>IF(AND(Input_Product=Elig!$C653,Elig_MatchAll_Ct&lt;22,$BC653=(Elig_MatchAll_Ct-1),AN653=0),K653,0)</f>
        <v>0</v>
      </c>
      <c r="BQ653" s="173">
        <f>IF(AND(Input_Product=Elig!$C653,Elig_MatchAll_Ct&lt;22,$BC653=(Elig_MatchAll_Ct-1),AP653=0),L653,0)</f>
        <v>0</v>
      </c>
      <c r="BR653" s="173">
        <f>IF(AND(Input_Product=Elig!$C653,Elig_MatchAll_Ct&lt;22,$BC653=(Elig_MatchAll_Ct-1),AO653=0),M653,0)</f>
        <v>0</v>
      </c>
      <c r="BS653" s="173">
        <f>IF(AND(Input_Product=Elig!$C653,Elig_MatchAll_Ct&lt;22,$BC653=(Elig_MatchAll_Ct-1),AQ653=0),N653,0)</f>
        <v>0</v>
      </c>
      <c r="BT653" s="173">
        <f>IF(AND(Input_Product=Elig!$C653,Elig_MatchAll_Ct&lt;22,$BC653=(Elig_MatchAll_Ct-1),AR653=0),O653,0)</f>
        <v>0</v>
      </c>
      <c r="BU653" s="173">
        <f>IF(AND(Input_Product=Elig!$C653,Elig_MatchAll_Ct&lt;22,$BC653=(Elig_MatchAll_Ct-1),AS653=0),P653,0)</f>
        <v>0</v>
      </c>
      <c r="BV653" s="174">
        <f>IF(AND(Input_Product=Elig!$C653,Elig_MatchAll_Ct&lt;22,$BC653=(Elig_MatchAll_Ct-1),AT653=0),Q653,0)</f>
        <v>0</v>
      </c>
      <c r="BW653" s="175">
        <f>IF(AND(Input_Product=Elig!$C653,Elig_MatchAll_Ct&lt;22,$BC653=(Elig_MatchAll_Ct-1),AU653=0),R653,0)</f>
        <v>0</v>
      </c>
      <c r="BX653" s="176">
        <f>IF(AND(Input_Product=Elig!$C653,Elig_MatchAll_Ct&lt;22,$BC653=(Elig_MatchAll_Ct-1),AU653=0),S653,0)</f>
        <v>0</v>
      </c>
      <c r="BY653" s="175">
        <f>IF(AND(Input_Product=Elig!$C653,Elig_MatchAll_Ct&lt;22,$BC653=(Elig_MatchAll_Ct-1),AV653=0),T653,0)</f>
        <v>0</v>
      </c>
      <c r="BZ653" s="176">
        <f>IF(AND(Input_Product=Elig!$C653,Elig_MatchAll_Ct&lt;22,$BC653=(Elig_MatchAll_Ct-1),AV653=0),U653,0)</f>
        <v>0</v>
      </c>
      <c r="CA653" s="175">
        <f>IF(AND(Input_Product=Elig!$C653,Elig_MatchAll_Ct&lt;22,$BC653=(Elig_MatchAll_Ct-1),AW653=0),V653,0)</f>
        <v>0</v>
      </c>
      <c r="CB653" s="176">
        <f>IF(AND(Input_Product=Elig!$C653,Elig_MatchAll_Ct&lt;22,$BC653=(Elig_MatchAll_Ct-1),AW653=0),W653,0)</f>
        <v>0</v>
      </c>
      <c r="CC653" s="175">
        <f>IF(AND(Input_Product=Elig!$C653,Elig_MatchAll_Ct&lt;22,$BC653=(Elig_MatchAll_Ct-1),AX653=0),X653,0)</f>
        <v>0</v>
      </c>
      <c r="CD653" s="176">
        <f>IF(AND(Input_Product=Elig!$C653,Elig_MatchAll_Ct&lt;22,$BC653=(Elig_MatchAll_Ct-1),AX653=0),Y653,0)</f>
        <v>0</v>
      </c>
      <c r="CE653" s="175">
        <f>IF(AND(Input_LTV&lt;=AE653,Input_Product=Elig!$C653,Elig_MatchAll_Ct&lt;22,$BC653=(Elig_MatchAll_Ct-1),AY653=0),Z653,0)</f>
        <v>0</v>
      </c>
      <c r="CF653" s="176">
        <f>IF(AND(Input_LTV&lt;=AE653,Input_Product=Elig!$C653,Elig_MatchAll_Ct&lt;22,$BC653=(Elig_MatchAll_Ct-1),AY653=0),AA653,0)</f>
        <v>0</v>
      </c>
      <c r="CG653" s="175">
        <f>IF(AND(Input_Product=Elig!$C653,Elig_MatchAll_Ct&lt;22,$BC653=(Elig_MatchAll_Ct-1),AZ653=0),AB653,0)</f>
        <v>0</v>
      </c>
      <c r="CH653" s="176">
        <f>IF(AND(Input_Product=Elig!$C653,Elig_MatchAll_Ct&lt;22,$BC653=(Elig_MatchAll_Ct-1),AZ653=0),AC653,0)</f>
        <v>0</v>
      </c>
      <c r="CI653" s="175">
        <f>IF(AND(Input_Product=Elig!$C653,Elig_MatchAll_Ct&lt;22,$BC653=(Elig_MatchAll_Ct-1),BA653=0),AD653,0)</f>
        <v>0</v>
      </c>
      <c r="CJ653" s="176">
        <f>IF(AND(Input_Product=Elig!$C653,Elig_MatchAll_Ct&lt;22,$BC653=(Elig_MatchAll_Ct-1),BA653=0),AE653,0)</f>
        <v>0</v>
      </c>
    </row>
    <row r="654" spans="1:88" ht="10.15" customHeight="1" x14ac:dyDescent="0.25">
      <c r="A654" s="1476" t="s">
        <v>76</v>
      </c>
      <c r="B654" s="1476" t="s">
        <v>1978</v>
      </c>
      <c r="C654" s="1481" t="str">
        <f t="shared" si="204"/>
        <v>Second OO</v>
      </c>
      <c r="D654" s="1480" t="s">
        <v>1338</v>
      </c>
      <c r="E654" s="1480" t="s">
        <v>98</v>
      </c>
      <c r="F654" s="1480" t="s">
        <v>327</v>
      </c>
      <c r="G654" s="1482" t="s">
        <v>302</v>
      </c>
      <c r="H654" s="1482" t="s">
        <v>135</v>
      </c>
      <c r="I654" s="1480" t="s">
        <v>1141</v>
      </c>
      <c r="J654" s="1480" t="s">
        <v>1130</v>
      </c>
      <c r="K654" s="1482" t="s">
        <v>2464</v>
      </c>
      <c r="L654" s="1480" t="s">
        <v>428</v>
      </c>
      <c r="M654" s="1480" t="s">
        <v>1835</v>
      </c>
      <c r="N654" s="1482" t="s">
        <v>82</v>
      </c>
      <c r="O654" s="1480" t="s">
        <v>309</v>
      </c>
      <c r="P654" s="1480" t="s">
        <v>2433</v>
      </c>
      <c r="Q654" s="1480" t="s">
        <v>293</v>
      </c>
      <c r="R654" s="277">
        <v>500000.01</v>
      </c>
      <c r="S654" s="277">
        <v>750000</v>
      </c>
      <c r="T654" s="1480">
        <v>0</v>
      </c>
      <c r="U654" s="1480">
        <f t="shared" si="225"/>
        <v>750000</v>
      </c>
      <c r="V654" s="1480">
        <v>0</v>
      </c>
      <c r="W654" s="1480">
        <v>50</v>
      </c>
      <c r="X654" s="1480">
        <v>0</v>
      </c>
      <c r="Y654" s="1480">
        <v>999</v>
      </c>
      <c r="Z654" s="1483">
        <v>660</v>
      </c>
      <c r="AA654" s="1483">
        <v>679</v>
      </c>
      <c r="AB654" s="1483">
        <v>0</v>
      </c>
      <c r="AC654" s="1483">
        <v>999999</v>
      </c>
      <c r="AD654" s="1480">
        <v>0</v>
      </c>
      <c r="AE654" s="1220">
        <v>70</v>
      </c>
      <c r="AF654" s="144">
        <v>0</v>
      </c>
      <c r="AG654" s="145">
        <v>1</v>
      </c>
      <c r="AH654" s="145">
        <v>1</v>
      </c>
      <c r="AI654" s="145">
        <v>0</v>
      </c>
      <c r="AJ654" s="145">
        <v>0</v>
      </c>
      <c r="AK654" s="145">
        <v>1</v>
      </c>
      <c r="AL654" s="145">
        <v>1</v>
      </c>
      <c r="AM654" s="145">
        <v>1</v>
      </c>
      <c r="AN654" s="145">
        <v>1</v>
      </c>
      <c r="AO654" s="145">
        <v>1</v>
      </c>
      <c r="AP654" s="145">
        <v>1</v>
      </c>
      <c r="AQ654" s="145">
        <v>0</v>
      </c>
      <c r="AR654" s="145">
        <v>1</v>
      </c>
      <c r="AS654" s="145">
        <v>1</v>
      </c>
      <c r="AT654" s="145">
        <v>1</v>
      </c>
      <c r="AU654" s="145">
        <f t="shared" si="219"/>
        <v>0</v>
      </c>
      <c r="AV654" s="145">
        <f t="shared" si="220"/>
        <v>1</v>
      </c>
      <c r="AW654" s="145">
        <f t="shared" si="221"/>
        <v>1</v>
      </c>
      <c r="AX654" s="145">
        <f t="shared" si="226"/>
        <v>1</v>
      </c>
      <c r="AY654" s="145">
        <f t="shared" si="222"/>
        <v>0</v>
      </c>
      <c r="AZ654" s="145">
        <f t="shared" si="223"/>
        <v>1</v>
      </c>
      <c r="BA654" s="146">
        <f t="shared" si="224"/>
        <v>1</v>
      </c>
      <c r="BB654" s="149">
        <f t="shared" si="228"/>
        <v>16</v>
      </c>
      <c r="BC654" s="150">
        <f t="shared" si="229"/>
        <v>15</v>
      </c>
      <c r="BD654" s="150">
        <f t="shared" si="230"/>
        <v>16</v>
      </c>
      <c r="BE654" s="211" t="str">
        <f t="shared" si="231"/>
        <v/>
      </c>
      <c r="BF654" s="205"/>
      <c r="BG654" s="205"/>
      <c r="BH654" s="188">
        <f>IF(AND(Input_Product=Elig!$C654,Elig_MatchAll_Ct&lt;22,$BC654=(Elig_MatchAll_Ct-1),AF654=0),C654,0)</f>
        <v>0</v>
      </c>
      <c r="BI654" s="188">
        <f>IF(AND(Input_Product=Elig!$C654,Elig_MatchAll_Ct&lt;22,$BC654=(Elig_MatchAll_Ct-1),AG654=0),D654,0)</f>
        <v>0</v>
      </c>
      <c r="BJ654" s="188">
        <f>IF(AND(Input_Product=Elig!$C654,Elig_MatchAll_Ct&lt;22,$BC654=(Elig_MatchAll_Ct-1),AH654=0),E654,0)</f>
        <v>0</v>
      </c>
      <c r="BK654" s="188">
        <f>IF(AND(Input_Product=Elig!$C654,Elig_MatchAll_Ct&lt;22,$BC654=(Elig_MatchAll_Ct-1),AI654=0),F654,0)</f>
        <v>0</v>
      </c>
      <c r="BL654" s="188">
        <f>IF(AND(Input_Product=Elig!$C654,Elig_MatchAll_Ct&lt;22,$BC654=(Elig_MatchAll_Ct-1),AJ654=0),G654,0)</f>
        <v>0</v>
      </c>
      <c r="BM654" s="188">
        <f>IF(AND(Input_Product=Elig!$C654,Elig_MatchAll_Ct&lt;22,$BC654=(Elig_MatchAll_Ct-1),AK654=0),H654,0)</f>
        <v>0</v>
      </c>
      <c r="BN654" s="188">
        <f>IF(AND(Input_Product=Elig!$C654,Elig_MatchAll_Ct&lt;22,$BC654=(Elig_MatchAll_Ct-1),AL654=0),I654,0)</f>
        <v>0</v>
      </c>
      <c r="BO654" s="188">
        <f>IF(AND(Input_Product=Elig!$C654,Elig_MatchAll_Ct&lt;22,$BC654=(Elig_MatchAll_Ct-1),AM654=0),J654,0)</f>
        <v>0</v>
      </c>
      <c r="BP654" s="188">
        <f>IF(AND(Input_Product=Elig!$C654,Elig_MatchAll_Ct&lt;22,$BC654=(Elig_MatchAll_Ct-1),AN654=0),K654,0)</f>
        <v>0</v>
      </c>
      <c r="BQ654" s="188">
        <f>IF(AND(Input_Product=Elig!$C654,Elig_MatchAll_Ct&lt;22,$BC654=(Elig_MatchAll_Ct-1),AP654=0),L654,0)</f>
        <v>0</v>
      </c>
      <c r="BR654" s="188">
        <f>IF(AND(Input_Product=Elig!$C654,Elig_MatchAll_Ct&lt;22,$BC654=(Elig_MatchAll_Ct-1),AO654=0),M654,0)</f>
        <v>0</v>
      </c>
      <c r="BS654" s="188">
        <f>IF(AND(Input_Product=Elig!$C654,Elig_MatchAll_Ct&lt;22,$BC654=(Elig_MatchAll_Ct-1),AQ654=0),N654,0)</f>
        <v>0</v>
      </c>
      <c r="BT654" s="188">
        <f>IF(AND(Input_Product=Elig!$C654,Elig_MatchAll_Ct&lt;22,$BC654=(Elig_MatchAll_Ct-1),AR654=0),O654,0)</f>
        <v>0</v>
      </c>
      <c r="BU654" s="188">
        <f>IF(AND(Input_Product=Elig!$C654,Elig_MatchAll_Ct&lt;22,$BC654=(Elig_MatchAll_Ct-1),AS654=0),P654,0)</f>
        <v>0</v>
      </c>
      <c r="BV654" s="189">
        <f>IF(AND(Input_Product=Elig!$C654,Elig_MatchAll_Ct&lt;22,$BC654=(Elig_MatchAll_Ct-1),AT654=0),Q654,0)</f>
        <v>0</v>
      </c>
      <c r="BW654" s="271">
        <f>IF(AND(Input_Product=Elig!$C654,Elig_MatchAll_Ct&lt;22,$BC654=(Elig_MatchAll_Ct-1),AU654=0),R654,0)</f>
        <v>0</v>
      </c>
      <c r="BX654" s="272">
        <f>IF(AND(Input_Product=Elig!$C654,Elig_MatchAll_Ct&lt;22,$BC654=(Elig_MatchAll_Ct-1),AU654=0),S654,0)</f>
        <v>0</v>
      </c>
      <c r="BY654" s="271">
        <f>IF(AND(Input_Product=Elig!$C654,Elig_MatchAll_Ct&lt;22,$BC654=(Elig_MatchAll_Ct-1),AV654=0),T654,0)</f>
        <v>0</v>
      </c>
      <c r="BZ654" s="272">
        <f>IF(AND(Input_Product=Elig!$C654,Elig_MatchAll_Ct&lt;22,$BC654=(Elig_MatchAll_Ct-1),AV654=0),U654,0)</f>
        <v>0</v>
      </c>
      <c r="CA654" s="271">
        <f>IF(AND(Input_Product=Elig!$C654,Elig_MatchAll_Ct&lt;22,$BC654=(Elig_MatchAll_Ct-1),AW654=0),V654,0)</f>
        <v>0</v>
      </c>
      <c r="CB654" s="272">
        <f>IF(AND(Input_Product=Elig!$C654,Elig_MatchAll_Ct&lt;22,$BC654=(Elig_MatchAll_Ct-1),AW654=0),W654,0)</f>
        <v>0</v>
      </c>
      <c r="CC654" s="271">
        <f>IF(AND(Input_Product=Elig!$C654,Elig_MatchAll_Ct&lt;22,$BC654=(Elig_MatchAll_Ct-1),AX654=0),X654,0)</f>
        <v>0</v>
      </c>
      <c r="CD654" s="272">
        <f>IF(AND(Input_Product=Elig!$C654,Elig_MatchAll_Ct&lt;22,$BC654=(Elig_MatchAll_Ct-1),AX654=0),Y654,0)</f>
        <v>0</v>
      </c>
      <c r="CE654" s="271">
        <f>IF(AND(Input_LTV&lt;=AE654,Input_Product=Elig!$C654,Elig_MatchAll_Ct&lt;22,$BC654=(Elig_MatchAll_Ct-1),AY654=0),Z654,0)</f>
        <v>0</v>
      </c>
      <c r="CF654" s="272">
        <f>IF(AND(Input_LTV&lt;=AE654,Input_Product=Elig!$C654,Elig_MatchAll_Ct&lt;22,$BC654=(Elig_MatchAll_Ct-1),AY654=0),AA654,0)</f>
        <v>0</v>
      </c>
      <c r="CG654" s="271">
        <f>IF(AND(Input_Product=Elig!$C654,Elig_MatchAll_Ct&lt;22,$BC654=(Elig_MatchAll_Ct-1),AZ654=0),AB654,0)</f>
        <v>0</v>
      </c>
      <c r="CH654" s="272">
        <f>IF(AND(Input_Product=Elig!$C654,Elig_MatchAll_Ct&lt;22,$BC654=(Elig_MatchAll_Ct-1),AZ654=0),AC654,0)</f>
        <v>0</v>
      </c>
      <c r="CI654" s="271">
        <f>IF(AND(Input_Product=Elig!$C654,Elig_MatchAll_Ct&lt;22,$BC654=(Elig_MatchAll_Ct-1),BA654=0),AD654,0)</f>
        <v>0</v>
      </c>
      <c r="CJ654" s="272">
        <f>IF(AND(Input_Product=Elig!$C654,Elig_MatchAll_Ct&lt;22,$BC654=(Elig_MatchAll_Ct-1),BA654=0),AE654,0)</f>
        <v>0</v>
      </c>
    </row>
    <row r="655" spans="1:88" ht="10.15" customHeight="1" x14ac:dyDescent="0.25">
      <c r="A655" s="1476" t="s">
        <v>76</v>
      </c>
      <c r="B655" s="1476" t="s">
        <v>1979</v>
      </c>
      <c r="C655" s="1473" t="str">
        <f t="shared" si="204"/>
        <v>Second OO</v>
      </c>
      <c r="D655" s="1474" t="s">
        <v>1338</v>
      </c>
      <c r="E655" s="1474" t="s">
        <v>98</v>
      </c>
      <c r="F655" s="1474" t="s">
        <v>327</v>
      </c>
      <c r="G655" s="1537" t="s">
        <v>174</v>
      </c>
      <c r="H655" s="1474" t="s">
        <v>444</v>
      </c>
      <c r="I655" s="1472" t="s">
        <v>1141</v>
      </c>
      <c r="J655" s="1472" t="s">
        <v>1130</v>
      </c>
      <c r="K655" s="1474" t="s">
        <v>2464</v>
      </c>
      <c r="L655" s="1472" t="s">
        <v>428</v>
      </c>
      <c r="M655" s="1472" t="s">
        <v>1835</v>
      </c>
      <c r="N655" s="1474" t="s">
        <v>82</v>
      </c>
      <c r="O655" s="1472" t="s">
        <v>309</v>
      </c>
      <c r="P655" s="1472" t="s">
        <v>2433</v>
      </c>
      <c r="Q655" s="1472" t="s">
        <v>293</v>
      </c>
      <c r="R655" s="276">
        <v>500000.01</v>
      </c>
      <c r="S655" s="276">
        <v>750000</v>
      </c>
      <c r="T655" s="1472">
        <v>0</v>
      </c>
      <c r="U655" s="1472">
        <f t="shared" si="225"/>
        <v>750000</v>
      </c>
      <c r="V655" s="1472">
        <v>0</v>
      </c>
      <c r="W655" s="1472">
        <v>50</v>
      </c>
      <c r="X655" s="1472">
        <v>0</v>
      </c>
      <c r="Y655" s="1472">
        <v>999</v>
      </c>
      <c r="Z655" s="1475">
        <v>720</v>
      </c>
      <c r="AA655" s="1475">
        <v>999</v>
      </c>
      <c r="AB655" s="1475">
        <v>0</v>
      </c>
      <c r="AC655" s="1475">
        <v>999999</v>
      </c>
      <c r="AD655" s="1472">
        <v>0</v>
      </c>
      <c r="AE655" s="1538">
        <v>80</v>
      </c>
      <c r="AF655" s="144">
        <v>0</v>
      </c>
      <c r="AG655" s="145">
        <v>1</v>
      </c>
      <c r="AH655" s="145">
        <v>1</v>
      </c>
      <c r="AI655" s="145">
        <v>0</v>
      </c>
      <c r="AJ655" s="145">
        <v>0</v>
      </c>
      <c r="AK655" s="145">
        <v>0</v>
      </c>
      <c r="AL655" s="145">
        <v>1</v>
      </c>
      <c r="AM655" s="145">
        <v>1</v>
      </c>
      <c r="AN655" s="145">
        <v>1</v>
      </c>
      <c r="AO655" s="145">
        <v>1</v>
      </c>
      <c r="AP655" s="145">
        <v>1</v>
      </c>
      <c r="AQ655" s="145">
        <v>0</v>
      </c>
      <c r="AR655" s="145">
        <v>1</v>
      </c>
      <c r="AS655" s="145">
        <v>1</v>
      </c>
      <c r="AT655" s="145">
        <v>1</v>
      </c>
      <c r="AU655" s="145">
        <f t="shared" si="219"/>
        <v>0</v>
      </c>
      <c r="AV655" s="145">
        <f t="shared" si="220"/>
        <v>1</v>
      </c>
      <c r="AW655" s="145">
        <f t="shared" si="221"/>
        <v>1</v>
      </c>
      <c r="AX655" s="145">
        <f t="shared" si="226"/>
        <v>1</v>
      </c>
      <c r="AY655" s="145">
        <f t="shared" si="222"/>
        <v>1</v>
      </c>
      <c r="AZ655" s="145">
        <f t="shared" si="223"/>
        <v>1</v>
      </c>
      <c r="BA655" s="146">
        <f t="shared" si="224"/>
        <v>1</v>
      </c>
      <c r="BB655" s="149">
        <f t="shared" si="228"/>
        <v>16</v>
      </c>
      <c r="BC655" s="150">
        <f t="shared" si="229"/>
        <v>15</v>
      </c>
      <c r="BD655" s="150">
        <f t="shared" si="230"/>
        <v>16</v>
      </c>
      <c r="BE655" s="211" t="str">
        <f t="shared" si="231"/>
        <v/>
      </c>
      <c r="BF655" s="194"/>
      <c r="BG655" s="194"/>
      <c r="BH655" s="190">
        <f>IF(AND(Input_Product=Elig!$C655,Elig_MatchAll_Ct&lt;22,$BC655=(Elig_MatchAll_Ct-1),AF655=0),C655,0)</f>
        <v>0</v>
      </c>
      <c r="BI655" s="190">
        <f>IF(AND(Input_Product=Elig!$C655,Elig_MatchAll_Ct&lt;22,$BC655=(Elig_MatchAll_Ct-1),AG655=0),D655,0)</f>
        <v>0</v>
      </c>
      <c r="BJ655" s="190">
        <f>IF(AND(Input_Product=Elig!$C655,Elig_MatchAll_Ct&lt;22,$BC655=(Elig_MatchAll_Ct-1),AH655=0),E655,0)</f>
        <v>0</v>
      </c>
      <c r="BK655" s="190">
        <f>IF(AND(Input_Product=Elig!$C655,Elig_MatchAll_Ct&lt;22,$BC655=(Elig_MatchAll_Ct-1),AI655=0),F655,0)</f>
        <v>0</v>
      </c>
      <c r="BL655" s="190">
        <f>IF(AND(Input_Product=Elig!$C655,Elig_MatchAll_Ct&lt;22,$BC655=(Elig_MatchAll_Ct-1),AJ655=0),G655,0)</f>
        <v>0</v>
      </c>
      <c r="BM655" s="190">
        <f>IF(AND(Input_Product=Elig!$C655,Elig_MatchAll_Ct&lt;22,$BC655=(Elig_MatchAll_Ct-1),AK655=0),H655,0)</f>
        <v>0</v>
      </c>
      <c r="BN655" s="190">
        <f>IF(AND(Input_Product=Elig!$C655,Elig_MatchAll_Ct&lt;22,$BC655=(Elig_MatchAll_Ct-1),AL655=0),I655,0)</f>
        <v>0</v>
      </c>
      <c r="BO655" s="190">
        <f>IF(AND(Input_Product=Elig!$C655,Elig_MatchAll_Ct&lt;22,$BC655=(Elig_MatchAll_Ct-1),AM655=0),J655,0)</f>
        <v>0</v>
      </c>
      <c r="BP655" s="190">
        <f>IF(AND(Input_Product=Elig!$C655,Elig_MatchAll_Ct&lt;22,$BC655=(Elig_MatchAll_Ct-1),AN655=0),K655,0)</f>
        <v>0</v>
      </c>
      <c r="BQ655" s="190">
        <f>IF(AND(Input_Product=Elig!$C655,Elig_MatchAll_Ct&lt;22,$BC655=(Elig_MatchAll_Ct-1),AP655=0),L655,0)</f>
        <v>0</v>
      </c>
      <c r="BR655" s="190">
        <f>IF(AND(Input_Product=Elig!$C655,Elig_MatchAll_Ct&lt;22,$BC655=(Elig_MatchAll_Ct-1),AO655=0),M655,0)</f>
        <v>0</v>
      </c>
      <c r="BS655" s="190">
        <f>IF(AND(Input_Product=Elig!$C655,Elig_MatchAll_Ct&lt;22,$BC655=(Elig_MatchAll_Ct-1),AQ655=0),N655,0)</f>
        <v>0</v>
      </c>
      <c r="BT655" s="190">
        <f>IF(AND(Input_Product=Elig!$C655,Elig_MatchAll_Ct&lt;22,$BC655=(Elig_MatchAll_Ct-1),AR655=0),O655,0)</f>
        <v>0</v>
      </c>
      <c r="BU655" s="190">
        <f>IF(AND(Input_Product=Elig!$C655,Elig_MatchAll_Ct&lt;22,$BC655=(Elig_MatchAll_Ct-1),AS655=0),P655,0)</f>
        <v>0</v>
      </c>
      <c r="BV655" s="191">
        <f>IF(AND(Input_Product=Elig!$C655,Elig_MatchAll_Ct&lt;22,$BC655=(Elig_MatchAll_Ct-1),AT655=0),Q655,0)</f>
        <v>0</v>
      </c>
      <c r="BW655" s="273">
        <f>IF(AND(Input_Product=Elig!$C655,Elig_MatchAll_Ct&lt;22,$BC655=(Elig_MatchAll_Ct-1),AU655=0),R655,0)</f>
        <v>0</v>
      </c>
      <c r="BX655" s="274">
        <f>IF(AND(Input_Product=Elig!$C655,Elig_MatchAll_Ct&lt;22,$BC655=(Elig_MatchAll_Ct-1),AU655=0),S655,0)</f>
        <v>0</v>
      </c>
      <c r="BY655" s="273">
        <f>IF(AND(Input_Product=Elig!$C655,Elig_MatchAll_Ct&lt;22,$BC655=(Elig_MatchAll_Ct-1),AV655=0),T655,0)</f>
        <v>0</v>
      </c>
      <c r="BZ655" s="274">
        <f>IF(AND(Input_Product=Elig!$C655,Elig_MatchAll_Ct&lt;22,$BC655=(Elig_MatchAll_Ct-1),AV655=0),U655,0)</f>
        <v>0</v>
      </c>
      <c r="CA655" s="273">
        <f>IF(AND(Input_Product=Elig!$C655,Elig_MatchAll_Ct&lt;22,$BC655=(Elig_MatchAll_Ct-1),AW655=0),V655,0)</f>
        <v>0</v>
      </c>
      <c r="CB655" s="274">
        <f>IF(AND(Input_Product=Elig!$C655,Elig_MatchAll_Ct&lt;22,$BC655=(Elig_MatchAll_Ct-1),AW655=0),W655,0)</f>
        <v>0</v>
      </c>
      <c r="CC655" s="273">
        <f>IF(AND(Input_Product=Elig!$C655,Elig_MatchAll_Ct&lt;22,$BC655=(Elig_MatchAll_Ct-1),AX655=0),X655,0)</f>
        <v>0</v>
      </c>
      <c r="CD655" s="274">
        <f>IF(AND(Input_Product=Elig!$C655,Elig_MatchAll_Ct&lt;22,$BC655=(Elig_MatchAll_Ct-1),AX655=0),Y655,0)</f>
        <v>0</v>
      </c>
      <c r="CE655" s="273">
        <f>IF(AND(Input_LTV&lt;=AE655,Input_Product=Elig!$C655,Elig_MatchAll_Ct&lt;22,$BC655=(Elig_MatchAll_Ct-1),AY655=0),Z655,0)</f>
        <v>0</v>
      </c>
      <c r="CF655" s="274">
        <f>IF(AND(Input_LTV&lt;=AE655,Input_Product=Elig!$C655,Elig_MatchAll_Ct&lt;22,$BC655=(Elig_MatchAll_Ct-1),AY655=0),AA655,0)</f>
        <v>0</v>
      </c>
      <c r="CG655" s="273">
        <f>IF(AND(Input_Product=Elig!$C655,Elig_MatchAll_Ct&lt;22,$BC655=(Elig_MatchAll_Ct-1),AZ655=0),AB655,0)</f>
        <v>0</v>
      </c>
      <c r="CH655" s="274">
        <f>IF(AND(Input_Product=Elig!$C655,Elig_MatchAll_Ct&lt;22,$BC655=(Elig_MatchAll_Ct-1),AZ655=0),AC655,0)</f>
        <v>0</v>
      </c>
      <c r="CI655" s="273">
        <f>IF(AND(Input_Product=Elig!$C655,Elig_MatchAll_Ct&lt;22,$BC655=(Elig_MatchAll_Ct-1),BA655=0),AD655,0)</f>
        <v>0</v>
      </c>
      <c r="CJ655" s="274">
        <f>IF(AND(Input_Product=Elig!$C655,Elig_MatchAll_Ct&lt;22,$BC655=(Elig_MatchAll_Ct-1),BA655=0),AE655,0)</f>
        <v>0</v>
      </c>
    </row>
    <row r="656" spans="1:88" ht="10.15" customHeight="1" x14ac:dyDescent="0.25">
      <c r="A656" s="1476" t="s">
        <v>76</v>
      </c>
      <c r="B656" s="1476" t="s">
        <v>1980</v>
      </c>
      <c r="C656" s="1477" t="str">
        <f t="shared" si="204"/>
        <v>Second OO</v>
      </c>
      <c r="D656" s="1476" t="s">
        <v>1338</v>
      </c>
      <c r="E656" s="1476" t="s">
        <v>98</v>
      </c>
      <c r="F656" s="1476" t="s">
        <v>327</v>
      </c>
      <c r="G656" s="1544" t="s">
        <v>174</v>
      </c>
      <c r="H656" s="1478" t="s">
        <v>444</v>
      </c>
      <c r="I656" s="1476" t="s">
        <v>1141</v>
      </c>
      <c r="J656" s="1476" t="s">
        <v>1130</v>
      </c>
      <c r="K656" s="1478" t="s">
        <v>2464</v>
      </c>
      <c r="L656" s="1476" t="s">
        <v>428</v>
      </c>
      <c r="M656" s="1476" t="s">
        <v>1835</v>
      </c>
      <c r="N656" s="1478" t="s">
        <v>82</v>
      </c>
      <c r="O656" s="1476" t="s">
        <v>309</v>
      </c>
      <c r="P656" s="1476" t="s">
        <v>2433</v>
      </c>
      <c r="Q656" s="1476" t="s">
        <v>293</v>
      </c>
      <c r="R656" s="261">
        <v>500000.01</v>
      </c>
      <c r="S656" s="261">
        <v>750000</v>
      </c>
      <c r="T656" s="1476">
        <v>0</v>
      </c>
      <c r="U656" s="1476">
        <f t="shared" si="225"/>
        <v>750000</v>
      </c>
      <c r="V656" s="1476">
        <v>0</v>
      </c>
      <c r="W656" s="1476">
        <v>50</v>
      </c>
      <c r="X656" s="1476">
        <v>0</v>
      </c>
      <c r="Y656" s="1476">
        <v>999</v>
      </c>
      <c r="Z656" s="1479">
        <v>700</v>
      </c>
      <c r="AA656" s="1479">
        <v>719</v>
      </c>
      <c r="AB656" s="1479">
        <v>0</v>
      </c>
      <c r="AC656" s="1479">
        <v>999999</v>
      </c>
      <c r="AD656" s="1476">
        <v>0</v>
      </c>
      <c r="AE656" s="1539">
        <v>75</v>
      </c>
      <c r="AF656" s="144">
        <v>0</v>
      </c>
      <c r="AG656" s="145">
        <v>1</v>
      </c>
      <c r="AH656" s="145">
        <v>1</v>
      </c>
      <c r="AI656" s="145">
        <v>0</v>
      </c>
      <c r="AJ656" s="145">
        <v>0</v>
      </c>
      <c r="AK656" s="145">
        <v>0</v>
      </c>
      <c r="AL656" s="145">
        <v>1</v>
      </c>
      <c r="AM656" s="145">
        <v>1</v>
      </c>
      <c r="AN656" s="145">
        <v>1</v>
      </c>
      <c r="AO656" s="145">
        <v>1</v>
      </c>
      <c r="AP656" s="145">
        <v>1</v>
      </c>
      <c r="AQ656" s="145">
        <v>0</v>
      </c>
      <c r="AR656" s="145">
        <v>1</v>
      </c>
      <c r="AS656" s="145">
        <v>1</v>
      </c>
      <c r="AT656" s="145">
        <v>1</v>
      </c>
      <c r="AU656" s="145">
        <f t="shared" si="219"/>
        <v>0</v>
      </c>
      <c r="AV656" s="145">
        <f t="shared" si="220"/>
        <v>1</v>
      </c>
      <c r="AW656" s="145">
        <f t="shared" si="221"/>
        <v>1</v>
      </c>
      <c r="AX656" s="145">
        <f t="shared" si="226"/>
        <v>1</v>
      </c>
      <c r="AY656" s="145">
        <f t="shared" si="222"/>
        <v>0</v>
      </c>
      <c r="AZ656" s="145">
        <f t="shared" si="223"/>
        <v>1</v>
      </c>
      <c r="BA656" s="146">
        <f t="shared" si="224"/>
        <v>1</v>
      </c>
      <c r="BB656" s="149">
        <f t="shared" si="228"/>
        <v>15</v>
      </c>
      <c r="BC656" s="150">
        <f t="shared" si="229"/>
        <v>14</v>
      </c>
      <c r="BD656" s="150">
        <f t="shared" si="230"/>
        <v>15</v>
      </c>
      <c r="BE656" s="211" t="str">
        <f t="shared" si="231"/>
        <v/>
      </c>
      <c r="BF656" s="205"/>
      <c r="BG656" s="205"/>
      <c r="BH656" s="173">
        <f>IF(AND(Input_Product=Elig!$C656,Elig_MatchAll_Ct&lt;22,$BC656=(Elig_MatchAll_Ct-1),AF656=0),C656,0)</f>
        <v>0</v>
      </c>
      <c r="BI656" s="173">
        <f>IF(AND(Input_Product=Elig!$C656,Elig_MatchAll_Ct&lt;22,$BC656=(Elig_MatchAll_Ct-1),AG656=0),D656,0)</f>
        <v>0</v>
      </c>
      <c r="BJ656" s="173">
        <f>IF(AND(Input_Product=Elig!$C656,Elig_MatchAll_Ct&lt;22,$BC656=(Elig_MatchAll_Ct-1),AH656=0),E656,0)</f>
        <v>0</v>
      </c>
      <c r="BK656" s="173">
        <f>IF(AND(Input_Product=Elig!$C656,Elig_MatchAll_Ct&lt;22,$BC656=(Elig_MatchAll_Ct-1),AI656=0),F656,0)</f>
        <v>0</v>
      </c>
      <c r="BL656" s="173">
        <f>IF(AND(Input_Product=Elig!$C656,Elig_MatchAll_Ct&lt;22,$BC656=(Elig_MatchAll_Ct-1),AJ656=0),G656,0)</f>
        <v>0</v>
      </c>
      <c r="BM656" s="173">
        <f>IF(AND(Input_Product=Elig!$C656,Elig_MatchAll_Ct&lt;22,$BC656=(Elig_MatchAll_Ct-1),AK656=0),H656,0)</f>
        <v>0</v>
      </c>
      <c r="BN656" s="173">
        <f>IF(AND(Input_Product=Elig!$C656,Elig_MatchAll_Ct&lt;22,$BC656=(Elig_MatchAll_Ct-1),AL656=0),I656,0)</f>
        <v>0</v>
      </c>
      <c r="BO656" s="173">
        <f>IF(AND(Input_Product=Elig!$C656,Elig_MatchAll_Ct&lt;22,$BC656=(Elig_MatchAll_Ct-1),AM656=0),J656,0)</f>
        <v>0</v>
      </c>
      <c r="BP656" s="173">
        <f>IF(AND(Input_Product=Elig!$C656,Elig_MatchAll_Ct&lt;22,$BC656=(Elig_MatchAll_Ct-1),AN656=0),K656,0)</f>
        <v>0</v>
      </c>
      <c r="BQ656" s="173">
        <f>IF(AND(Input_Product=Elig!$C656,Elig_MatchAll_Ct&lt;22,$BC656=(Elig_MatchAll_Ct-1),AP656=0),L656,0)</f>
        <v>0</v>
      </c>
      <c r="BR656" s="173">
        <f>IF(AND(Input_Product=Elig!$C656,Elig_MatchAll_Ct&lt;22,$BC656=(Elig_MatchAll_Ct-1),AO656=0),M656,0)</f>
        <v>0</v>
      </c>
      <c r="BS656" s="173">
        <f>IF(AND(Input_Product=Elig!$C656,Elig_MatchAll_Ct&lt;22,$BC656=(Elig_MatchAll_Ct-1),AQ656=0),N656,0)</f>
        <v>0</v>
      </c>
      <c r="BT656" s="173">
        <f>IF(AND(Input_Product=Elig!$C656,Elig_MatchAll_Ct&lt;22,$BC656=(Elig_MatchAll_Ct-1),AR656=0),O656,0)</f>
        <v>0</v>
      </c>
      <c r="BU656" s="173">
        <f>IF(AND(Input_Product=Elig!$C656,Elig_MatchAll_Ct&lt;22,$BC656=(Elig_MatchAll_Ct-1),AS656=0),P656,0)</f>
        <v>0</v>
      </c>
      <c r="BV656" s="174">
        <f>IF(AND(Input_Product=Elig!$C656,Elig_MatchAll_Ct&lt;22,$BC656=(Elig_MatchAll_Ct-1),AT656=0),Q656,0)</f>
        <v>0</v>
      </c>
      <c r="BW656" s="175">
        <f>IF(AND(Input_Product=Elig!$C656,Elig_MatchAll_Ct&lt;22,$BC656=(Elig_MatchAll_Ct-1),AU656=0),R656,0)</f>
        <v>0</v>
      </c>
      <c r="BX656" s="176">
        <f>IF(AND(Input_Product=Elig!$C656,Elig_MatchAll_Ct&lt;22,$BC656=(Elig_MatchAll_Ct-1),AU656=0),S656,0)</f>
        <v>0</v>
      </c>
      <c r="BY656" s="175">
        <f>IF(AND(Input_Product=Elig!$C656,Elig_MatchAll_Ct&lt;22,$BC656=(Elig_MatchAll_Ct-1),AV656=0),T656,0)</f>
        <v>0</v>
      </c>
      <c r="BZ656" s="176">
        <f>IF(AND(Input_Product=Elig!$C656,Elig_MatchAll_Ct&lt;22,$BC656=(Elig_MatchAll_Ct-1),AV656=0),U656,0)</f>
        <v>0</v>
      </c>
      <c r="CA656" s="175">
        <f>IF(AND(Input_Product=Elig!$C656,Elig_MatchAll_Ct&lt;22,$BC656=(Elig_MatchAll_Ct-1),AW656=0),V656,0)</f>
        <v>0</v>
      </c>
      <c r="CB656" s="176">
        <f>IF(AND(Input_Product=Elig!$C656,Elig_MatchAll_Ct&lt;22,$BC656=(Elig_MatchAll_Ct-1),AW656=0),W656,0)</f>
        <v>0</v>
      </c>
      <c r="CC656" s="175">
        <f>IF(AND(Input_Product=Elig!$C656,Elig_MatchAll_Ct&lt;22,$BC656=(Elig_MatchAll_Ct-1),AX656=0),X656,0)</f>
        <v>0</v>
      </c>
      <c r="CD656" s="176">
        <f>IF(AND(Input_Product=Elig!$C656,Elig_MatchAll_Ct&lt;22,$BC656=(Elig_MatchAll_Ct-1),AX656=0),Y656,0)</f>
        <v>0</v>
      </c>
      <c r="CE656" s="175">
        <f>IF(AND(Input_LTV&lt;=AE656,Input_Product=Elig!$C656,Elig_MatchAll_Ct&lt;22,$BC656=(Elig_MatchAll_Ct-1),AY656=0),Z656,0)</f>
        <v>0</v>
      </c>
      <c r="CF656" s="176">
        <f>IF(AND(Input_LTV&lt;=AE656,Input_Product=Elig!$C656,Elig_MatchAll_Ct&lt;22,$BC656=(Elig_MatchAll_Ct-1),AY656=0),AA656,0)</f>
        <v>0</v>
      </c>
      <c r="CG656" s="175">
        <f>IF(AND(Input_Product=Elig!$C656,Elig_MatchAll_Ct&lt;22,$BC656=(Elig_MatchAll_Ct-1),AZ656=0),AB656,0)</f>
        <v>0</v>
      </c>
      <c r="CH656" s="176">
        <f>IF(AND(Input_Product=Elig!$C656,Elig_MatchAll_Ct&lt;22,$BC656=(Elig_MatchAll_Ct-1),AZ656=0),AC656,0)</f>
        <v>0</v>
      </c>
      <c r="CI656" s="175">
        <f>IF(AND(Input_Product=Elig!$C656,Elig_MatchAll_Ct&lt;22,$BC656=(Elig_MatchAll_Ct-1),BA656=0),AD656,0)</f>
        <v>0</v>
      </c>
      <c r="CJ656" s="176">
        <f>IF(AND(Input_Product=Elig!$C656,Elig_MatchAll_Ct&lt;22,$BC656=(Elig_MatchAll_Ct-1),BA656=0),AE656,0)</f>
        <v>0</v>
      </c>
    </row>
    <row r="657" spans="1:88" ht="10.15" customHeight="1" x14ac:dyDescent="0.25">
      <c r="A657" s="1476" t="s">
        <v>76</v>
      </c>
      <c r="B657" s="1476" t="s">
        <v>1981</v>
      </c>
      <c r="C657" s="1477" t="str">
        <f t="shared" si="204"/>
        <v>Second OO</v>
      </c>
      <c r="D657" s="1476" t="s">
        <v>1338</v>
      </c>
      <c r="E657" s="1476" t="s">
        <v>98</v>
      </c>
      <c r="F657" s="1476" t="s">
        <v>327</v>
      </c>
      <c r="G657" s="1544" t="s">
        <v>174</v>
      </c>
      <c r="H657" s="1478" t="s">
        <v>444</v>
      </c>
      <c r="I657" s="1476" t="s">
        <v>1141</v>
      </c>
      <c r="J657" s="1476" t="s">
        <v>1130</v>
      </c>
      <c r="K657" s="1478" t="s">
        <v>2464</v>
      </c>
      <c r="L657" s="1476" t="s">
        <v>428</v>
      </c>
      <c r="M657" s="1476" t="s">
        <v>1835</v>
      </c>
      <c r="N657" s="1478" t="s">
        <v>82</v>
      </c>
      <c r="O657" s="1476" t="s">
        <v>309</v>
      </c>
      <c r="P657" s="1476" t="s">
        <v>2433</v>
      </c>
      <c r="Q657" s="1476" t="s">
        <v>293</v>
      </c>
      <c r="R657" s="261">
        <v>500000.01</v>
      </c>
      <c r="S657" s="261">
        <v>750000</v>
      </c>
      <c r="T657" s="1476">
        <v>0</v>
      </c>
      <c r="U657" s="1476">
        <f t="shared" si="225"/>
        <v>750000</v>
      </c>
      <c r="V657" s="1476">
        <v>0</v>
      </c>
      <c r="W657" s="1476">
        <v>50</v>
      </c>
      <c r="X657" s="1476">
        <v>0</v>
      </c>
      <c r="Y657" s="1476">
        <v>999</v>
      </c>
      <c r="Z657" s="1479">
        <v>680</v>
      </c>
      <c r="AA657" s="1479">
        <v>699</v>
      </c>
      <c r="AB657" s="1479">
        <v>0</v>
      </c>
      <c r="AC657" s="1479">
        <v>999999</v>
      </c>
      <c r="AD657" s="1476">
        <v>0</v>
      </c>
      <c r="AE657" s="1219">
        <v>65</v>
      </c>
      <c r="AF657" s="144">
        <v>0</v>
      </c>
      <c r="AG657" s="145">
        <v>1</v>
      </c>
      <c r="AH657" s="145">
        <v>1</v>
      </c>
      <c r="AI657" s="145">
        <v>0</v>
      </c>
      <c r="AJ657" s="145">
        <v>0</v>
      </c>
      <c r="AK657" s="145">
        <v>0</v>
      </c>
      <c r="AL657" s="145">
        <v>1</v>
      </c>
      <c r="AM657" s="145">
        <v>1</v>
      </c>
      <c r="AN657" s="145">
        <v>1</v>
      </c>
      <c r="AO657" s="145">
        <v>1</v>
      </c>
      <c r="AP657" s="145">
        <v>1</v>
      </c>
      <c r="AQ657" s="145">
        <v>0</v>
      </c>
      <c r="AR657" s="145">
        <v>1</v>
      </c>
      <c r="AS657" s="145">
        <v>1</v>
      </c>
      <c r="AT657" s="145">
        <v>1</v>
      </c>
      <c r="AU657" s="145">
        <f t="shared" si="219"/>
        <v>0</v>
      </c>
      <c r="AV657" s="145">
        <f t="shared" si="220"/>
        <v>1</v>
      </c>
      <c r="AW657" s="145">
        <f t="shared" si="221"/>
        <v>1</v>
      </c>
      <c r="AX657" s="145">
        <f t="shared" si="226"/>
        <v>1</v>
      </c>
      <c r="AY657" s="145">
        <f t="shared" si="222"/>
        <v>0</v>
      </c>
      <c r="AZ657" s="145">
        <f t="shared" si="223"/>
        <v>1</v>
      </c>
      <c r="BA657" s="146">
        <f t="shared" si="224"/>
        <v>0</v>
      </c>
      <c r="BB657" s="149">
        <f t="shared" si="228"/>
        <v>14</v>
      </c>
      <c r="BC657" s="150">
        <f t="shared" si="229"/>
        <v>14</v>
      </c>
      <c r="BD657" s="150">
        <f t="shared" si="230"/>
        <v>14</v>
      </c>
      <c r="BE657" s="211" t="str">
        <f t="shared" si="231"/>
        <v/>
      </c>
      <c r="BF657" s="205"/>
      <c r="BG657" s="205"/>
      <c r="BH657" s="173">
        <f>IF(AND(Input_Product=Elig!$C657,Elig_MatchAll_Ct&lt;22,$BC657=(Elig_MatchAll_Ct-1),AF657=0),C657,0)</f>
        <v>0</v>
      </c>
      <c r="BI657" s="173">
        <f>IF(AND(Input_Product=Elig!$C657,Elig_MatchAll_Ct&lt;22,$BC657=(Elig_MatchAll_Ct-1),AG657=0),D657,0)</f>
        <v>0</v>
      </c>
      <c r="BJ657" s="173">
        <f>IF(AND(Input_Product=Elig!$C657,Elig_MatchAll_Ct&lt;22,$BC657=(Elig_MatchAll_Ct-1),AH657=0),E657,0)</f>
        <v>0</v>
      </c>
      <c r="BK657" s="173">
        <f>IF(AND(Input_Product=Elig!$C657,Elig_MatchAll_Ct&lt;22,$BC657=(Elig_MatchAll_Ct-1),AI657=0),F657,0)</f>
        <v>0</v>
      </c>
      <c r="BL657" s="173">
        <f>IF(AND(Input_Product=Elig!$C657,Elig_MatchAll_Ct&lt;22,$BC657=(Elig_MatchAll_Ct-1),AJ657=0),G657,0)</f>
        <v>0</v>
      </c>
      <c r="BM657" s="173">
        <f>IF(AND(Input_Product=Elig!$C657,Elig_MatchAll_Ct&lt;22,$BC657=(Elig_MatchAll_Ct-1),AK657=0),H657,0)</f>
        <v>0</v>
      </c>
      <c r="BN657" s="173">
        <f>IF(AND(Input_Product=Elig!$C657,Elig_MatchAll_Ct&lt;22,$BC657=(Elig_MatchAll_Ct-1),AL657=0),I657,0)</f>
        <v>0</v>
      </c>
      <c r="BO657" s="173">
        <f>IF(AND(Input_Product=Elig!$C657,Elig_MatchAll_Ct&lt;22,$BC657=(Elig_MatchAll_Ct-1),AM657=0),J657,0)</f>
        <v>0</v>
      </c>
      <c r="BP657" s="173">
        <f>IF(AND(Input_Product=Elig!$C657,Elig_MatchAll_Ct&lt;22,$BC657=(Elig_MatchAll_Ct-1),AN657=0),K657,0)</f>
        <v>0</v>
      </c>
      <c r="BQ657" s="173">
        <f>IF(AND(Input_Product=Elig!$C657,Elig_MatchAll_Ct&lt;22,$BC657=(Elig_MatchAll_Ct-1),AP657=0),L657,0)</f>
        <v>0</v>
      </c>
      <c r="BR657" s="173">
        <f>IF(AND(Input_Product=Elig!$C657,Elig_MatchAll_Ct&lt;22,$BC657=(Elig_MatchAll_Ct-1),AO657=0),M657,0)</f>
        <v>0</v>
      </c>
      <c r="BS657" s="173">
        <f>IF(AND(Input_Product=Elig!$C657,Elig_MatchAll_Ct&lt;22,$BC657=(Elig_MatchAll_Ct-1),AQ657=0),N657,0)</f>
        <v>0</v>
      </c>
      <c r="BT657" s="173">
        <f>IF(AND(Input_Product=Elig!$C657,Elig_MatchAll_Ct&lt;22,$BC657=(Elig_MatchAll_Ct-1),AR657=0),O657,0)</f>
        <v>0</v>
      </c>
      <c r="BU657" s="173">
        <f>IF(AND(Input_Product=Elig!$C657,Elig_MatchAll_Ct&lt;22,$BC657=(Elig_MatchAll_Ct-1),AS657=0),P657,0)</f>
        <v>0</v>
      </c>
      <c r="BV657" s="174">
        <f>IF(AND(Input_Product=Elig!$C657,Elig_MatchAll_Ct&lt;22,$BC657=(Elig_MatchAll_Ct-1),AT657=0),Q657,0)</f>
        <v>0</v>
      </c>
      <c r="BW657" s="175">
        <f>IF(AND(Input_Product=Elig!$C657,Elig_MatchAll_Ct&lt;22,$BC657=(Elig_MatchAll_Ct-1),AU657=0),R657,0)</f>
        <v>0</v>
      </c>
      <c r="BX657" s="176">
        <f>IF(AND(Input_Product=Elig!$C657,Elig_MatchAll_Ct&lt;22,$BC657=(Elig_MatchAll_Ct-1),AU657=0),S657,0)</f>
        <v>0</v>
      </c>
      <c r="BY657" s="175">
        <f>IF(AND(Input_Product=Elig!$C657,Elig_MatchAll_Ct&lt;22,$BC657=(Elig_MatchAll_Ct-1),AV657=0),T657,0)</f>
        <v>0</v>
      </c>
      <c r="BZ657" s="176">
        <f>IF(AND(Input_Product=Elig!$C657,Elig_MatchAll_Ct&lt;22,$BC657=(Elig_MatchAll_Ct-1),AV657=0),U657,0)</f>
        <v>0</v>
      </c>
      <c r="CA657" s="175">
        <f>IF(AND(Input_Product=Elig!$C657,Elig_MatchAll_Ct&lt;22,$BC657=(Elig_MatchAll_Ct-1),AW657=0),V657,0)</f>
        <v>0</v>
      </c>
      <c r="CB657" s="176">
        <f>IF(AND(Input_Product=Elig!$C657,Elig_MatchAll_Ct&lt;22,$BC657=(Elig_MatchAll_Ct-1),AW657=0),W657,0)</f>
        <v>0</v>
      </c>
      <c r="CC657" s="175">
        <f>IF(AND(Input_Product=Elig!$C657,Elig_MatchAll_Ct&lt;22,$BC657=(Elig_MatchAll_Ct-1),AX657=0),X657,0)</f>
        <v>0</v>
      </c>
      <c r="CD657" s="176">
        <f>IF(AND(Input_Product=Elig!$C657,Elig_MatchAll_Ct&lt;22,$BC657=(Elig_MatchAll_Ct-1),AX657=0),Y657,0)</f>
        <v>0</v>
      </c>
      <c r="CE657" s="175">
        <f>IF(AND(Input_LTV&lt;=AE657,Input_Product=Elig!$C657,Elig_MatchAll_Ct&lt;22,$BC657=(Elig_MatchAll_Ct-1),AY657=0),Z657,0)</f>
        <v>0</v>
      </c>
      <c r="CF657" s="176">
        <f>IF(AND(Input_LTV&lt;=AE657,Input_Product=Elig!$C657,Elig_MatchAll_Ct&lt;22,$BC657=(Elig_MatchAll_Ct-1),AY657=0),AA657,0)</f>
        <v>0</v>
      </c>
      <c r="CG657" s="175">
        <f>IF(AND(Input_Product=Elig!$C657,Elig_MatchAll_Ct&lt;22,$BC657=(Elig_MatchAll_Ct-1),AZ657=0),AB657,0)</f>
        <v>0</v>
      </c>
      <c r="CH657" s="176">
        <f>IF(AND(Input_Product=Elig!$C657,Elig_MatchAll_Ct&lt;22,$BC657=(Elig_MatchAll_Ct-1),AZ657=0),AC657,0)</f>
        <v>0</v>
      </c>
      <c r="CI657" s="175">
        <f>IF(AND(Input_Product=Elig!$C657,Elig_MatchAll_Ct&lt;22,$BC657=(Elig_MatchAll_Ct-1),BA657=0),AD657,0)</f>
        <v>0</v>
      </c>
      <c r="CJ657" s="176">
        <f>IF(AND(Input_Product=Elig!$C657,Elig_MatchAll_Ct&lt;22,$BC657=(Elig_MatchAll_Ct-1),BA657=0),AE657,0)</f>
        <v>0</v>
      </c>
    </row>
    <row r="658" spans="1:88" ht="10.15" customHeight="1" x14ac:dyDescent="0.25">
      <c r="A658" s="1476" t="s">
        <v>76</v>
      </c>
      <c r="B658" s="1476" t="s">
        <v>1982</v>
      </c>
      <c r="C658" s="1481" t="str">
        <f t="shared" si="204"/>
        <v>Second OO</v>
      </c>
      <c r="D658" s="1480" t="s">
        <v>1338</v>
      </c>
      <c r="E658" s="1480" t="s">
        <v>98</v>
      </c>
      <c r="F658" s="1480" t="s">
        <v>327</v>
      </c>
      <c r="G658" s="1545" t="s">
        <v>174</v>
      </c>
      <c r="H658" s="1482" t="s">
        <v>444</v>
      </c>
      <c r="I658" s="1480" t="s">
        <v>1141</v>
      </c>
      <c r="J658" s="1480" t="s">
        <v>1130</v>
      </c>
      <c r="K658" s="1482" t="s">
        <v>2464</v>
      </c>
      <c r="L658" s="1480" t="s">
        <v>428</v>
      </c>
      <c r="M658" s="1480" t="s">
        <v>1835</v>
      </c>
      <c r="N658" s="1482" t="s">
        <v>82</v>
      </c>
      <c r="O658" s="1480" t="s">
        <v>309</v>
      </c>
      <c r="P658" s="1480" t="s">
        <v>2433</v>
      </c>
      <c r="Q658" s="1480" t="s">
        <v>293</v>
      </c>
      <c r="R658" s="277">
        <v>500000.01</v>
      </c>
      <c r="S658" s="277">
        <v>750000</v>
      </c>
      <c r="T658" s="1480">
        <v>0</v>
      </c>
      <c r="U658" s="1480">
        <f t="shared" si="225"/>
        <v>750000</v>
      </c>
      <c r="V658" s="1480">
        <v>0</v>
      </c>
      <c r="W658" s="1480">
        <v>50</v>
      </c>
      <c r="X658" s="1480">
        <v>0</v>
      </c>
      <c r="Y658" s="1480">
        <v>999</v>
      </c>
      <c r="Z658" s="1483">
        <v>660</v>
      </c>
      <c r="AA658" s="1483">
        <v>679</v>
      </c>
      <c r="AB658" s="1483">
        <v>0</v>
      </c>
      <c r="AC658" s="1483">
        <v>999999</v>
      </c>
      <c r="AD658" s="1480">
        <v>0</v>
      </c>
      <c r="AE658" s="1220">
        <v>60</v>
      </c>
      <c r="AF658" s="144">
        <v>0</v>
      </c>
      <c r="AG658" s="145">
        <v>1</v>
      </c>
      <c r="AH658" s="145">
        <v>1</v>
      </c>
      <c r="AI658" s="145">
        <v>0</v>
      </c>
      <c r="AJ658" s="145">
        <v>0</v>
      </c>
      <c r="AK658" s="145">
        <v>0</v>
      </c>
      <c r="AL658" s="145">
        <v>1</v>
      </c>
      <c r="AM658" s="145">
        <v>1</v>
      </c>
      <c r="AN658" s="145">
        <v>1</v>
      </c>
      <c r="AO658" s="145">
        <v>1</v>
      </c>
      <c r="AP658" s="145">
        <v>1</v>
      </c>
      <c r="AQ658" s="145">
        <v>0</v>
      </c>
      <c r="AR658" s="145">
        <v>1</v>
      </c>
      <c r="AS658" s="145">
        <v>1</v>
      </c>
      <c r="AT658" s="145">
        <v>1</v>
      </c>
      <c r="AU658" s="145">
        <f t="shared" si="219"/>
        <v>0</v>
      </c>
      <c r="AV658" s="145">
        <f t="shared" si="220"/>
        <v>1</v>
      </c>
      <c r="AW658" s="145">
        <f t="shared" si="221"/>
        <v>1</v>
      </c>
      <c r="AX658" s="145">
        <f t="shared" si="226"/>
        <v>1</v>
      </c>
      <c r="AY658" s="145">
        <f t="shared" si="222"/>
        <v>0</v>
      </c>
      <c r="AZ658" s="145">
        <f t="shared" si="223"/>
        <v>1</v>
      </c>
      <c r="BA658" s="146">
        <f t="shared" si="224"/>
        <v>0</v>
      </c>
      <c r="BB658" s="149">
        <f t="shared" si="228"/>
        <v>14</v>
      </c>
      <c r="BC658" s="150">
        <f t="shared" si="229"/>
        <v>14</v>
      </c>
      <c r="BD658" s="150">
        <f t="shared" si="230"/>
        <v>14</v>
      </c>
      <c r="BE658" s="211" t="str">
        <f t="shared" si="231"/>
        <v/>
      </c>
      <c r="BF658" s="205"/>
      <c r="BG658" s="205"/>
      <c r="BH658" s="188">
        <f>IF(AND(Input_Product=Elig!$C658,Elig_MatchAll_Ct&lt;22,$BC658=(Elig_MatchAll_Ct-1),AF658=0),C658,0)</f>
        <v>0</v>
      </c>
      <c r="BI658" s="188">
        <f>IF(AND(Input_Product=Elig!$C658,Elig_MatchAll_Ct&lt;22,$BC658=(Elig_MatchAll_Ct-1),AG658=0),D658,0)</f>
        <v>0</v>
      </c>
      <c r="BJ658" s="188">
        <f>IF(AND(Input_Product=Elig!$C658,Elig_MatchAll_Ct&lt;22,$BC658=(Elig_MatchAll_Ct-1),AH658=0),E658,0)</f>
        <v>0</v>
      </c>
      <c r="BK658" s="188">
        <f>IF(AND(Input_Product=Elig!$C658,Elig_MatchAll_Ct&lt;22,$BC658=(Elig_MatchAll_Ct-1),AI658=0),F658,0)</f>
        <v>0</v>
      </c>
      <c r="BL658" s="188">
        <f>IF(AND(Input_Product=Elig!$C658,Elig_MatchAll_Ct&lt;22,$BC658=(Elig_MatchAll_Ct-1),AJ658=0),G658,0)</f>
        <v>0</v>
      </c>
      <c r="BM658" s="188">
        <f>IF(AND(Input_Product=Elig!$C658,Elig_MatchAll_Ct&lt;22,$BC658=(Elig_MatchAll_Ct-1),AK658=0),H658,0)</f>
        <v>0</v>
      </c>
      <c r="BN658" s="188">
        <f>IF(AND(Input_Product=Elig!$C658,Elig_MatchAll_Ct&lt;22,$BC658=(Elig_MatchAll_Ct-1),AL658=0),I658,0)</f>
        <v>0</v>
      </c>
      <c r="BO658" s="188">
        <f>IF(AND(Input_Product=Elig!$C658,Elig_MatchAll_Ct&lt;22,$BC658=(Elig_MatchAll_Ct-1),AM658=0),J658,0)</f>
        <v>0</v>
      </c>
      <c r="BP658" s="188">
        <f>IF(AND(Input_Product=Elig!$C658,Elig_MatchAll_Ct&lt;22,$BC658=(Elig_MatchAll_Ct-1),AN658=0),K658,0)</f>
        <v>0</v>
      </c>
      <c r="BQ658" s="188">
        <f>IF(AND(Input_Product=Elig!$C658,Elig_MatchAll_Ct&lt;22,$BC658=(Elig_MatchAll_Ct-1),AP658=0),L658,0)</f>
        <v>0</v>
      </c>
      <c r="BR658" s="188">
        <f>IF(AND(Input_Product=Elig!$C658,Elig_MatchAll_Ct&lt;22,$BC658=(Elig_MatchAll_Ct-1),AO658=0),M658,0)</f>
        <v>0</v>
      </c>
      <c r="BS658" s="188">
        <f>IF(AND(Input_Product=Elig!$C658,Elig_MatchAll_Ct&lt;22,$BC658=(Elig_MatchAll_Ct-1),AQ658=0),N658,0)</f>
        <v>0</v>
      </c>
      <c r="BT658" s="188">
        <f>IF(AND(Input_Product=Elig!$C658,Elig_MatchAll_Ct&lt;22,$BC658=(Elig_MatchAll_Ct-1),AR658=0),O658,0)</f>
        <v>0</v>
      </c>
      <c r="BU658" s="188">
        <f>IF(AND(Input_Product=Elig!$C658,Elig_MatchAll_Ct&lt;22,$BC658=(Elig_MatchAll_Ct-1),AS658=0),P658,0)</f>
        <v>0</v>
      </c>
      <c r="BV658" s="189">
        <f>IF(AND(Input_Product=Elig!$C658,Elig_MatchAll_Ct&lt;22,$BC658=(Elig_MatchAll_Ct-1),AT658=0),Q658,0)</f>
        <v>0</v>
      </c>
      <c r="BW658" s="271">
        <f>IF(AND(Input_Product=Elig!$C658,Elig_MatchAll_Ct&lt;22,$BC658=(Elig_MatchAll_Ct-1),AU658=0),R658,0)</f>
        <v>0</v>
      </c>
      <c r="BX658" s="272">
        <f>IF(AND(Input_Product=Elig!$C658,Elig_MatchAll_Ct&lt;22,$BC658=(Elig_MatchAll_Ct-1),AU658=0),S658,0)</f>
        <v>0</v>
      </c>
      <c r="BY658" s="271">
        <f>IF(AND(Input_Product=Elig!$C658,Elig_MatchAll_Ct&lt;22,$BC658=(Elig_MatchAll_Ct-1),AV658=0),T658,0)</f>
        <v>0</v>
      </c>
      <c r="BZ658" s="272">
        <f>IF(AND(Input_Product=Elig!$C658,Elig_MatchAll_Ct&lt;22,$BC658=(Elig_MatchAll_Ct-1),AV658=0),U658,0)</f>
        <v>0</v>
      </c>
      <c r="CA658" s="271">
        <f>IF(AND(Input_Product=Elig!$C658,Elig_MatchAll_Ct&lt;22,$BC658=(Elig_MatchAll_Ct-1),AW658=0),V658,0)</f>
        <v>0</v>
      </c>
      <c r="CB658" s="272">
        <f>IF(AND(Input_Product=Elig!$C658,Elig_MatchAll_Ct&lt;22,$BC658=(Elig_MatchAll_Ct-1),AW658=0),W658,0)</f>
        <v>0</v>
      </c>
      <c r="CC658" s="271">
        <f>IF(AND(Input_Product=Elig!$C658,Elig_MatchAll_Ct&lt;22,$BC658=(Elig_MatchAll_Ct-1),AX658=0),X658,0)</f>
        <v>0</v>
      </c>
      <c r="CD658" s="272">
        <f>IF(AND(Input_Product=Elig!$C658,Elig_MatchAll_Ct&lt;22,$BC658=(Elig_MatchAll_Ct-1),AX658=0),Y658,0)</f>
        <v>0</v>
      </c>
      <c r="CE658" s="271">
        <f>IF(AND(Input_LTV&lt;=AE658,Input_Product=Elig!$C658,Elig_MatchAll_Ct&lt;22,$BC658=(Elig_MatchAll_Ct-1),AY658=0),Z658,0)</f>
        <v>0</v>
      </c>
      <c r="CF658" s="272">
        <f>IF(AND(Input_LTV&lt;=AE658,Input_Product=Elig!$C658,Elig_MatchAll_Ct&lt;22,$BC658=(Elig_MatchAll_Ct-1),AY658=0),AA658,0)</f>
        <v>0</v>
      </c>
      <c r="CG658" s="271">
        <f>IF(AND(Input_Product=Elig!$C658,Elig_MatchAll_Ct&lt;22,$BC658=(Elig_MatchAll_Ct-1),AZ658=0),AB658,0)</f>
        <v>0</v>
      </c>
      <c r="CH658" s="272">
        <f>IF(AND(Input_Product=Elig!$C658,Elig_MatchAll_Ct&lt;22,$BC658=(Elig_MatchAll_Ct-1),AZ658=0),AC658,0)</f>
        <v>0</v>
      </c>
      <c r="CI658" s="271">
        <f>IF(AND(Input_Product=Elig!$C658,Elig_MatchAll_Ct&lt;22,$BC658=(Elig_MatchAll_Ct-1),BA658=0),AD658,0)</f>
        <v>0</v>
      </c>
      <c r="CJ658" s="272">
        <f>IF(AND(Input_Product=Elig!$C658,Elig_MatchAll_Ct&lt;22,$BC658=(Elig_MatchAll_Ct-1),BA658=0),AE658,0)</f>
        <v>0</v>
      </c>
    </row>
    <row r="659" spans="1:88" ht="10.15" customHeight="1" x14ac:dyDescent="0.25">
      <c r="A659" s="1476" t="s">
        <v>76</v>
      </c>
      <c r="B659" s="1476" t="s">
        <v>2149</v>
      </c>
      <c r="C659" s="1473" t="str">
        <f t="shared" si="204"/>
        <v>Second OO</v>
      </c>
      <c r="D659" s="1474" t="s">
        <v>1338</v>
      </c>
      <c r="E659" s="1474" t="s">
        <v>98</v>
      </c>
      <c r="F659" s="1474" t="s">
        <v>327</v>
      </c>
      <c r="G659" s="1537" t="s">
        <v>465</v>
      </c>
      <c r="H659" s="1474" t="s">
        <v>135</v>
      </c>
      <c r="I659" s="1472" t="s">
        <v>1141</v>
      </c>
      <c r="J659" s="1472" t="s">
        <v>1130</v>
      </c>
      <c r="K659" s="1474" t="s">
        <v>2464</v>
      </c>
      <c r="L659" s="1472" t="s">
        <v>428</v>
      </c>
      <c r="M659" s="1472" t="s">
        <v>1835</v>
      </c>
      <c r="N659" s="1474" t="s">
        <v>82</v>
      </c>
      <c r="O659" s="1472" t="s">
        <v>309</v>
      </c>
      <c r="P659" s="1472" t="s">
        <v>2433</v>
      </c>
      <c r="Q659" s="1472" t="s">
        <v>293</v>
      </c>
      <c r="R659" s="276">
        <v>500000.01</v>
      </c>
      <c r="S659" s="276">
        <v>750000</v>
      </c>
      <c r="T659" s="1472">
        <v>0</v>
      </c>
      <c r="U659" s="1472">
        <f t="shared" ref="U659:U662" si="233">S659</f>
        <v>750000</v>
      </c>
      <c r="V659" s="1472">
        <v>0</v>
      </c>
      <c r="W659" s="1472">
        <v>50</v>
      </c>
      <c r="X659" s="1472">
        <v>0</v>
      </c>
      <c r="Y659" s="1472">
        <v>999</v>
      </c>
      <c r="Z659" s="1475">
        <v>720</v>
      </c>
      <c r="AA659" s="1475">
        <v>999</v>
      </c>
      <c r="AB659" s="1475">
        <v>0</v>
      </c>
      <c r="AC659" s="1475">
        <v>999999</v>
      </c>
      <c r="AD659" s="1472">
        <v>0</v>
      </c>
      <c r="AE659" s="1538">
        <v>80</v>
      </c>
      <c r="AF659" s="144">
        <v>0</v>
      </c>
      <c r="AG659" s="145">
        <v>1</v>
      </c>
      <c r="AH659" s="145">
        <v>1</v>
      </c>
      <c r="AI659" s="145">
        <v>0</v>
      </c>
      <c r="AJ659" s="145">
        <v>0</v>
      </c>
      <c r="AK659" s="145">
        <v>1</v>
      </c>
      <c r="AL659" s="145">
        <v>1</v>
      </c>
      <c r="AM659" s="145">
        <v>1</v>
      </c>
      <c r="AN659" s="145">
        <v>1</v>
      </c>
      <c r="AO659" s="145">
        <v>1</v>
      </c>
      <c r="AP659" s="145">
        <v>1</v>
      </c>
      <c r="AQ659" s="145">
        <v>0</v>
      </c>
      <c r="AR659" s="145">
        <v>1</v>
      </c>
      <c r="AS659" s="145">
        <v>1</v>
      </c>
      <c r="AT659" s="145">
        <v>1</v>
      </c>
      <c r="AU659" s="145">
        <f t="shared" si="219"/>
        <v>0</v>
      </c>
      <c r="AV659" s="145">
        <f t="shared" si="220"/>
        <v>1</v>
      </c>
      <c r="AW659" s="145">
        <f t="shared" si="221"/>
        <v>1</v>
      </c>
      <c r="AX659" s="145">
        <f t="shared" si="226"/>
        <v>1</v>
      </c>
      <c r="AY659" s="145">
        <f t="shared" si="222"/>
        <v>1</v>
      </c>
      <c r="AZ659" s="145">
        <f t="shared" si="223"/>
        <v>1</v>
      </c>
      <c r="BA659" s="146">
        <f t="shared" si="224"/>
        <v>1</v>
      </c>
      <c r="BB659" s="149">
        <f t="shared" si="228"/>
        <v>17</v>
      </c>
      <c r="BC659" s="150">
        <f t="shared" si="229"/>
        <v>16</v>
      </c>
      <c r="BD659" s="150">
        <f t="shared" si="230"/>
        <v>17</v>
      </c>
      <c r="BE659" s="211" t="str">
        <f t="shared" si="231"/>
        <v/>
      </c>
      <c r="BF659" s="194"/>
      <c r="BG659" s="194"/>
      <c r="BH659" s="190">
        <f>IF(AND(Input_Product=Elig!$C659,Elig_MatchAll_Ct&lt;22,$BC659=(Elig_MatchAll_Ct-1),AF659=0),C659,0)</f>
        <v>0</v>
      </c>
      <c r="BI659" s="190">
        <f>IF(AND(Input_Product=Elig!$C659,Elig_MatchAll_Ct&lt;22,$BC659=(Elig_MatchAll_Ct-1),AG659=0),D659,0)</f>
        <v>0</v>
      </c>
      <c r="BJ659" s="190">
        <f>IF(AND(Input_Product=Elig!$C659,Elig_MatchAll_Ct&lt;22,$BC659=(Elig_MatchAll_Ct-1),AH659=0),E659,0)</f>
        <v>0</v>
      </c>
      <c r="BK659" s="190">
        <f>IF(AND(Input_Product=Elig!$C659,Elig_MatchAll_Ct&lt;22,$BC659=(Elig_MatchAll_Ct-1),AI659=0),F659,0)</f>
        <v>0</v>
      </c>
      <c r="BL659" s="190">
        <f>IF(AND(Input_Product=Elig!$C659,Elig_MatchAll_Ct&lt;22,$BC659=(Elig_MatchAll_Ct-1),AJ659=0),G659,0)</f>
        <v>0</v>
      </c>
      <c r="BM659" s="190">
        <f>IF(AND(Input_Product=Elig!$C659,Elig_MatchAll_Ct&lt;22,$BC659=(Elig_MatchAll_Ct-1),AK659=0),H659,0)</f>
        <v>0</v>
      </c>
      <c r="BN659" s="190">
        <f>IF(AND(Input_Product=Elig!$C659,Elig_MatchAll_Ct&lt;22,$BC659=(Elig_MatchAll_Ct-1),AL659=0),I659,0)</f>
        <v>0</v>
      </c>
      <c r="BO659" s="190">
        <f>IF(AND(Input_Product=Elig!$C659,Elig_MatchAll_Ct&lt;22,$BC659=(Elig_MatchAll_Ct-1),AM659=0),J659,0)</f>
        <v>0</v>
      </c>
      <c r="BP659" s="190">
        <f>IF(AND(Input_Product=Elig!$C659,Elig_MatchAll_Ct&lt;22,$BC659=(Elig_MatchAll_Ct-1),AN659=0),K659,0)</f>
        <v>0</v>
      </c>
      <c r="BQ659" s="190">
        <f>IF(AND(Input_Product=Elig!$C659,Elig_MatchAll_Ct&lt;22,$BC659=(Elig_MatchAll_Ct-1),AP659=0),L659,0)</f>
        <v>0</v>
      </c>
      <c r="BR659" s="190">
        <f>IF(AND(Input_Product=Elig!$C659,Elig_MatchAll_Ct&lt;22,$BC659=(Elig_MatchAll_Ct-1),AO659=0),M659,0)</f>
        <v>0</v>
      </c>
      <c r="BS659" s="190">
        <f>IF(AND(Input_Product=Elig!$C659,Elig_MatchAll_Ct&lt;22,$BC659=(Elig_MatchAll_Ct-1),AQ659=0),N659,0)</f>
        <v>0</v>
      </c>
      <c r="BT659" s="190">
        <f>IF(AND(Input_Product=Elig!$C659,Elig_MatchAll_Ct&lt;22,$BC659=(Elig_MatchAll_Ct-1),AR659=0),O659,0)</f>
        <v>0</v>
      </c>
      <c r="BU659" s="190">
        <f>IF(AND(Input_Product=Elig!$C659,Elig_MatchAll_Ct&lt;22,$BC659=(Elig_MatchAll_Ct-1),AS659=0),P659,0)</f>
        <v>0</v>
      </c>
      <c r="BV659" s="191">
        <f>IF(AND(Input_Product=Elig!$C659,Elig_MatchAll_Ct&lt;22,$BC659=(Elig_MatchAll_Ct-1),AT659=0),Q659,0)</f>
        <v>0</v>
      </c>
      <c r="BW659" s="273">
        <f>IF(AND(Input_Product=Elig!$C659,Elig_MatchAll_Ct&lt;22,$BC659=(Elig_MatchAll_Ct-1),AU659=0),R659,0)</f>
        <v>0</v>
      </c>
      <c r="BX659" s="274">
        <f>IF(AND(Input_Product=Elig!$C659,Elig_MatchAll_Ct&lt;22,$BC659=(Elig_MatchAll_Ct-1),AU659=0),S659,0)</f>
        <v>0</v>
      </c>
      <c r="BY659" s="273">
        <f>IF(AND(Input_Product=Elig!$C659,Elig_MatchAll_Ct&lt;22,$BC659=(Elig_MatchAll_Ct-1),AV659=0),T659,0)</f>
        <v>0</v>
      </c>
      <c r="BZ659" s="274">
        <f>IF(AND(Input_Product=Elig!$C659,Elig_MatchAll_Ct&lt;22,$BC659=(Elig_MatchAll_Ct-1),AV659=0),U659,0)</f>
        <v>0</v>
      </c>
      <c r="CA659" s="273">
        <f>IF(AND(Input_Product=Elig!$C659,Elig_MatchAll_Ct&lt;22,$BC659=(Elig_MatchAll_Ct-1),AW659=0),V659,0)</f>
        <v>0</v>
      </c>
      <c r="CB659" s="274">
        <f>IF(AND(Input_Product=Elig!$C659,Elig_MatchAll_Ct&lt;22,$BC659=(Elig_MatchAll_Ct-1),AW659=0),W659,0)</f>
        <v>0</v>
      </c>
      <c r="CC659" s="273">
        <f>IF(AND(Input_Product=Elig!$C659,Elig_MatchAll_Ct&lt;22,$BC659=(Elig_MatchAll_Ct-1),AX659=0),X659,0)</f>
        <v>0</v>
      </c>
      <c r="CD659" s="274">
        <f>IF(AND(Input_Product=Elig!$C659,Elig_MatchAll_Ct&lt;22,$BC659=(Elig_MatchAll_Ct-1),AX659=0),Y659,0)</f>
        <v>0</v>
      </c>
      <c r="CE659" s="273">
        <f>IF(AND(Input_LTV&lt;=AE659,Input_Product=Elig!$C659,Elig_MatchAll_Ct&lt;22,$BC659=(Elig_MatchAll_Ct-1),AY659=0),Z659,0)</f>
        <v>0</v>
      </c>
      <c r="CF659" s="274">
        <f>IF(AND(Input_LTV&lt;=AE659,Input_Product=Elig!$C659,Elig_MatchAll_Ct&lt;22,$BC659=(Elig_MatchAll_Ct-1),AY659=0),AA659,0)</f>
        <v>0</v>
      </c>
      <c r="CG659" s="273">
        <f>IF(AND(Input_Product=Elig!$C659,Elig_MatchAll_Ct&lt;22,$BC659=(Elig_MatchAll_Ct-1),AZ659=0),AB659,0)</f>
        <v>0</v>
      </c>
      <c r="CH659" s="274">
        <f>IF(AND(Input_Product=Elig!$C659,Elig_MatchAll_Ct&lt;22,$BC659=(Elig_MatchAll_Ct-1),AZ659=0),AC659,0)</f>
        <v>0</v>
      </c>
      <c r="CI659" s="273">
        <f>IF(AND(Input_Product=Elig!$C659,Elig_MatchAll_Ct&lt;22,$BC659=(Elig_MatchAll_Ct-1),BA659=0),AD659,0)</f>
        <v>0</v>
      </c>
      <c r="CJ659" s="274">
        <f>IF(AND(Input_Product=Elig!$C659,Elig_MatchAll_Ct&lt;22,$BC659=(Elig_MatchAll_Ct-1),BA659=0),AE659,0)</f>
        <v>0</v>
      </c>
    </row>
    <row r="660" spans="1:88" ht="10.15" customHeight="1" x14ac:dyDescent="0.25">
      <c r="A660" s="1476" t="s">
        <v>76</v>
      </c>
      <c r="B660" s="1476" t="s">
        <v>2150</v>
      </c>
      <c r="C660" s="1477" t="str">
        <f t="shared" si="204"/>
        <v>Second OO</v>
      </c>
      <c r="D660" s="1476" t="s">
        <v>1338</v>
      </c>
      <c r="E660" s="1476" t="s">
        <v>98</v>
      </c>
      <c r="F660" s="1476" t="s">
        <v>327</v>
      </c>
      <c r="G660" s="1544" t="s">
        <v>465</v>
      </c>
      <c r="H660" s="1478" t="s">
        <v>135</v>
      </c>
      <c r="I660" s="1476" t="s">
        <v>1141</v>
      </c>
      <c r="J660" s="1476" t="s">
        <v>1130</v>
      </c>
      <c r="K660" s="1478" t="s">
        <v>2464</v>
      </c>
      <c r="L660" s="1476" t="s">
        <v>428</v>
      </c>
      <c r="M660" s="1476" t="s">
        <v>1835</v>
      </c>
      <c r="N660" s="1478" t="s">
        <v>82</v>
      </c>
      <c r="O660" s="1476" t="s">
        <v>309</v>
      </c>
      <c r="P660" s="1476" t="s">
        <v>2433</v>
      </c>
      <c r="Q660" s="1476" t="s">
        <v>293</v>
      </c>
      <c r="R660" s="261">
        <v>500000.01</v>
      </c>
      <c r="S660" s="261">
        <v>750000</v>
      </c>
      <c r="T660" s="1476">
        <v>0</v>
      </c>
      <c r="U660" s="1476">
        <f t="shared" si="233"/>
        <v>750000</v>
      </c>
      <c r="V660" s="1476">
        <v>0</v>
      </c>
      <c r="W660" s="1476">
        <v>50</v>
      </c>
      <c r="X660" s="1476">
        <v>0</v>
      </c>
      <c r="Y660" s="1476">
        <v>999</v>
      </c>
      <c r="Z660" s="1479">
        <v>700</v>
      </c>
      <c r="AA660" s="1479">
        <v>719</v>
      </c>
      <c r="AB660" s="1479">
        <v>0</v>
      </c>
      <c r="AC660" s="1479">
        <v>999999</v>
      </c>
      <c r="AD660" s="1476">
        <v>0</v>
      </c>
      <c r="AE660" s="1539">
        <v>75</v>
      </c>
      <c r="AF660" s="144">
        <v>0</v>
      </c>
      <c r="AG660" s="145">
        <v>1</v>
      </c>
      <c r="AH660" s="145">
        <v>1</v>
      </c>
      <c r="AI660" s="145">
        <v>0</v>
      </c>
      <c r="AJ660" s="145">
        <v>0</v>
      </c>
      <c r="AK660" s="145">
        <v>1</v>
      </c>
      <c r="AL660" s="145">
        <v>1</v>
      </c>
      <c r="AM660" s="145">
        <v>1</v>
      </c>
      <c r="AN660" s="145">
        <v>1</v>
      </c>
      <c r="AO660" s="145">
        <v>1</v>
      </c>
      <c r="AP660" s="145">
        <v>1</v>
      </c>
      <c r="AQ660" s="145">
        <v>0</v>
      </c>
      <c r="AR660" s="145">
        <v>1</v>
      </c>
      <c r="AS660" s="145">
        <v>1</v>
      </c>
      <c r="AT660" s="145">
        <v>1</v>
      </c>
      <c r="AU660" s="145">
        <f t="shared" si="219"/>
        <v>0</v>
      </c>
      <c r="AV660" s="145">
        <f t="shared" si="220"/>
        <v>1</v>
      </c>
      <c r="AW660" s="145">
        <f t="shared" si="221"/>
        <v>1</v>
      </c>
      <c r="AX660" s="145">
        <f t="shared" si="226"/>
        <v>1</v>
      </c>
      <c r="AY660" s="145">
        <f t="shared" si="222"/>
        <v>0</v>
      </c>
      <c r="AZ660" s="145">
        <f t="shared" si="223"/>
        <v>1</v>
      </c>
      <c r="BA660" s="146">
        <f t="shared" si="224"/>
        <v>1</v>
      </c>
      <c r="BB660" s="149">
        <f t="shared" si="228"/>
        <v>16</v>
      </c>
      <c r="BC660" s="150">
        <f t="shared" si="229"/>
        <v>15</v>
      </c>
      <c r="BD660" s="150">
        <f t="shared" si="230"/>
        <v>16</v>
      </c>
      <c r="BE660" s="211" t="str">
        <f t="shared" si="231"/>
        <v/>
      </c>
      <c r="BF660" s="205"/>
      <c r="BG660" s="205"/>
      <c r="BH660" s="173">
        <f>IF(AND(Input_Product=Elig!$C660,Elig_MatchAll_Ct&lt;22,$BC660=(Elig_MatchAll_Ct-1),AF660=0),C660,0)</f>
        <v>0</v>
      </c>
      <c r="BI660" s="173">
        <f>IF(AND(Input_Product=Elig!$C660,Elig_MatchAll_Ct&lt;22,$BC660=(Elig_MatchAll_Ct-1),AG660=0),D660,0)</f>
        <v>0</v>
      </c>
      <c r="BJ660" s="173">
        <f>IF(AND(Input_Product=Elig!$C660,Elig_MatchAll_Ct&lt;22,$BC660=(Elig_MatchAll_Ct-1),AH660=0),E660,0)</f>
        <v>0</v>
      </c>
      <c r="BK660" s="173">
        <f>IF(AND(Input_Product=Elig!$C660,Elig_MatchAll_Ct&lt;22,$BC660=(Elig_MatchAll_Ct-1),AI660=0),F660,0)</f>
        <v>0</v>
      </c>
      <c r="BL660" s="173">
        <f>IF(AND(Input_Product=Elig!$C660,Elig_MatchAll_Ct&lt;22,$BC660=(Elig_MatchAll_Ct-1),AJ660=0),G660,0)</f>
        <v>0</v>
      </c>
      <c r="BM660" s="173">
        <f>IF(AND(Input_Product=Elig!$C660,Elig_MatchAll_Ct&lt;22,$BC660=(Elig_MatchAll_Ct-1),AK660=0),H660,0)</f>
        <v>0</v>
      </c>
      <c r="BN660" s="173">
        <f>IF(AND(Input_Product=Elig!$C660,Elig_MatchAll_Ct&lt;22,$BC660=(Elig_MatchAll_Ct-1),AL660=0),I660,0)</f>
        <v>0</v>
      </c>
      <c r="BO660" s="173">
        <f>IF(AND(Input_Product=Elig!$C660,Elig_MatchAll_Ct&lt;22,$BC660=(Elig_MatchAll_Ct-1),AM660=0),J660,0)</f>
        <v>0</v>
      </c>
      <c r="BP660" s="173">
        <f>IF(AND(Input_Product=Elig!$C660,Elig_MatchAll_Ct&lt;22,$BC660=(Elig_MatchAll_Ct-1),AN660=0),K660,0)</f>
        <v>0</v>
      </c>
      <c r="BQ660" s="173">
        <f>IF(AND(Input_Product=Elig!$C660,Elig_MatchAll_Ct&lt;22,$BC660=(Elig_MatchAll_Ct-1),AP660=0),L660,0)</f>
        <v>0</v>
      </c>
      <c r="BR660" s="173">
        <f>IF(AND(Input_Product=Elig!$C660,Elig_MatchAll_Ct&lt;22,$BC660=(Elig_MatchAll_Ct-1),AO660=0),M660,0)</f>
        <v>0</v>
      </c>
      <c r="BS660" s="173">
        <f>IF(AND(Input_Product=Elig!$C660,Elig_MatchAll_Ct&lt;22,$BC660=(Elig_MatchAll_Ct-1),AQ660=0),N660,0)</f>
        <v>0</v>
      </c>
      <c r="BT660" s="173">
        <f>IF(AND(Input_Product=Elig!$C660,Elig_MatchAll_Ct&lt;22,$BC660=(Elig_MatchAll_Ct-1),AR660=0),O660,0)</f>
        <v>0</v>
      </c>
      <c r="BU660" s="173">
        <f>IF(AND(Input_Product=Elig!$C660,Elig_MatchAll_Ct&lt;22,$BC660=(Elig_MatchAll_Ct-1),AS660=0),P660,0)</f>
        <v>0</v>
      </c>
      <c r="BV660" s="174">
        <f>IF(AND(Input_Product=Elig!$C660,Elig_MatchAll_Ct&lt;22,$BC660=(Elig_MatchAll_Ct-1),AT660=0),Q660,0)</f>
        <v>0</v>
      </c>
      <c r="BW660" s="175">
        <f>IF(AND(Input_Product=Elig!$C660,Elig_MatchAll_Ct&lt;22,$BC660=(Elig_MatchAll_Ct-1),AU660=0),R660,0)</f>
        <v>0</v>
      </c>
      <c r="BX660" s="176">
        <f>IF(AND(Input_Product=Elig!$C660,Elig_MatchAll_Ct&lt;22,$BC660=(Elig_MatchAll_Ct-1),AU660=0),S660,0)</f>
        <v>0</v>
      </c>
      <c r="BY660" s="175">
        <f>IF(AND(Input_Product=Elig!$C660,Elig_MatchAll_Ct&lt;22,$BC660=(Elig_MatchAll_Ct-1),AV660=0),T660,0)</f>
        <v>0</v>
      </c>
      <c r="BZ660" s="176">
        <f>IF(AND(Input_Product=Elig!$C660,Elig_MatchAll_Ct&lt;22,$BC660=(Elig_MatchAll_Ct-1),AV660=0),U660,0)</f>
        <v>0</v>
      </c>
      <c r="CA660" s="175">
        <f>IF(AND(Input_Product=Elig!$C660,Elig_MatchAll_Ct&lt;22,$BC660=(Elig_MatchAll_Ct-1),AW660=0),V660,0)</f>
        <v>0</v>
      </c>
      <c r="CB660" s="176">
        <f>IF(AND(Input_Product=Elig!$C660,Elig_MatchAll_Ct&lt;22,$BC660=(Elig_MatchAll_Ct-1),AW660=0),W660,0)</f>
        <v>0</v>
      </c>
      <c r="CC660" s="175">
        <f>IF(AND(Input_Product=Elig!$C660,Elig_MatchAll_Ct&lt;22,$BC660=(Elig_MatchAll_Ct-1),AX660=0),X660,0)</f>
        <v>0</v>
      </c>
      <c r="CD660" s="176">
        <f>IF(AND(Input_Product=Elig!$C660,Elig_MatchAll_Ct&lt;22,$BC660=(Elig_MatchAll_Ct-1),AX660=0),Y660,0)</f>
        <v>0</v>
      </c>
      <c r="CE660" s="175">
        <f>IF(AND(Input_LTV&lt;=AE660,Input_Product=Elig!$C660,Elig_MatchAll_Ct&lt;22,$BC660=(Elig_MatchAll_Ct-1),AY660=0),Z660,0)</f>
        <v>0</v>
      </c>
      <c r="CF660" s="176">
        <f>IF(AND(Input_LTV&lt;=AE660,Input_Product=Elig!$C660,Elig_MatchAll_Ct&lt;22,$BC660=(Elig_MatchAll_Ct-1),AY660=0),AA660,0)</f>
        <v>0</v>
      </c>
      <c r="CG660" s="175">
        <f>IF(AND(Input_Product=Elig!$C660,Elig_MatchAll_Ct&lt;22,$BC660=(Elig_MatchAll_Ct-1),AZ660=0),AB660,0)</f>
        <v>0</v>
      </c>
      <c r="CH660" s="176">
        <f>IF(AND(Input_Product=Elig!$C660,Elig_MatchAll_Ct&lt;22,$BC660=(Elig_MatchAll_Ct-1),AZ660=0),AC660,0)</f>
        <v>0</v>
      </c>
      <c r="CI660" s="175">
        <f>IF(AND(Input_Product=Elig!$C660,Elig_MatchAll_Ct&lt;22,$BC660=(Elig_MatchAll_Ct-1),BA660=0),AD660,0)</f>
        <v>0</v>
      </c>
      <c r="CJ660" s="176">
        <f>IF(AND(Input_Product=Elig!$C660,Elig_MatchAll_Ct&lt;22,$BC660=(Elig_MatchAll_Ct-1),BA660=0),AE660,0)</f>
        <v>0</v>
      </c>
    </row>
    <row r="661" spans="1:88" ht="10.15" customHeight="1" x14ac:dyDescent="0.25">
      <c r="A661" s="1476" t="s">
        <v>76</v>
      </c>
      <c r="B661" s="1476" t="s">
        <v>2151</v>
      </c>
      <c r="C661" s="1477" t="str">
        <f t="shared" si="204"/>
        <v>Second OO</v>
      </c>
      <c r="D661" s="1476" t="s">
        <v>1338</v>
      </c>
      <c r="E661" s="1476" t="s">
        <v>98</v>
      </c>
      <c r="F661" s="1476" t="s">
        <v>327</v>
      </c>
      <c r="G661" s="1544" t="s">
        <v>465</v>
      </c>
      <c r="H661" s="1478" t="s">
        <v>135</v>
      </c>
      <c r="I661" s="1476" t="s">
        <v>1141</v>
      </c>
      <c r="J661" s="1476" t="s">
        <v>1130</v>
      </c>
      <c r="K661" s="1478" t="s">
        <v>2464</v>
      </c>
      <c r="L661" s="1476" t="s">
        <v>428</v>
      </c>
      <c r="M661" s="1476" t="s">
        <v>1835</v>
      </c>
      <c r="N661" s="1478" t="s">
        <v>82</v>
      </c>
      <c r="O661" s="1476" t="s">
        <v>309</v>
      </c>
      <c r="P661" s="1476" t="s">
        <v>2433</v>
      </c>
      <c r="Q661" s="1476" t="s">
        <v>293</v>
      </c>
      <c r="R661" s="261">
        <v>500000.01</v>
      </c>
      <c r="S661" s="261">
        <v>750000</v>
      </c>
      <c r="T661" s="1476">
        <v>0</v>
      </c>
      <c r="U661" s="1476">
        <f t="shared" si="233"/>
        <v>750000</v>
      </c>
      <c r="V661" s="1476">
        <v>0</v>
      </c>
      <c r="W661" s="1476">
        <v>50</v>
      </c>
      <c r="X661" s="1476">
        <v>0</v>
      </c>
      <c r="Y661" s="1476">
        <v>999</v>
      </c>
      <c r="Z661" s="1479">
        <v>680</v>
      </c>
      <c r="AA661" s="1479">
        <v>699</v>
      </c>
      <c r="AB661" s="1479">
        <v>0</v>
      </c>
      <c r="AC661" s="1479">
        <v>999999</v>
      </c>
      <c r="AD661" s="1476">
        <v>0</v>
      </c>
      <c r="AE661" s="1219">
        <v>65</v>
      </c>
      <c r="AF661" s="144">
        <v>0</v>
      </c>
      <c r="AG661" s="145">
        <v>1</v>
      </c>
      <c r="AH661" s="145">
        <v>1</v>
      </c>
      <c r="AI661" s="145">
        <v>0</v>
      </c>
      <c r="AJ661" s="145">
        <v>0</v>
      </c>
      <c r="AK661" s="145">
        <v>1</v>
      </c>
      <c r="AL661" s="145">
        <v>1</v>
      </c>
      <c r="AM661" s="145">
        <v>1</v>
      </c>
      <c r="AN661" s="145">
        <v>1</v>
      </c>
      <c r="AO661" s="145">
        <v>1</v>
      </c>
      <c r="AP661" s="145">
        <v>1</v>
      </c>
      <c r="AQ661" s="145">
        <v>0</v>
      </c>
      <c r="AR661" s="145">
        <v>1</v>
      </c>
      <c r="AS661" s="145">
        <v>1</v>
      </c>
      <c r="AT661" s="145">
        <v>1</v>
      </c>
      <c r="AU661" s="145">
        <f t="shared" si="219"/>
        <v>0</v>
      </c>
      <c r="AV661" s="145">
        <f t="shared" si="220"/>
        <v>1</v>
      </c>
      <c r="AW661" s="145">
        <f t="shared" si="221"/>
        <v>1</v>
      </c>
      <c r="AX661" s="145">
        <f t="shared" si="226"/>
        <v>1</v>
      </c>
      <c r="AY661" s="145">
        <f t="shared" si="222"/>
        <v>0</v>
      </c>
      <c r="AZ661" s="145">
        <f t="shared" si="223"/>
        <v>1</v>
      </c>
      <c r="BA661" s="146">
        <f t="shared" si="224"/>
        <v>0</v>
      </c>
      <c r="BB661" s="149">
        <f t="shared" si="228"/>
        <v>15</v>
      </c>
      <c r="BC661" s="150">
        <f t="shared" si="229"/>
        <v>15</v>
      </c>
      <c r="BD661" s="150">
        <f t="shared" si="230"/>
        <v>15</v>
      </c>
      <c r="BE661" s="211" t="str">
        <f t="shared" si="231"/>
        <v/>
      </c>
      <c r="BF661" s="205"/>
      <c r="BG661" s="205"/>
      <c r="BH661" s="173">
        <f>IF(AND(Input_Product=Elig!$C661,Elig_MatchAll_Ct&lt;22,$BC661=(Elig_MatchAll_Ct-1),AF661=0),C661,0)</f>
        <v>0</v>
      </c>
      <c r="BI661" s="173">
        <f>IF(AND(Input_Product=Elig!$C661,Elig_MatchAll_Ct&lt;22,$BC661=(Elig_MatchAll_Ct-1),AG661=0),D661,0)</f>
        <v>0</v>
      </c>
      <c r="BJ661" s="173">
        <f>IF(AND(Input_Product=Elig!$C661,Elig_MatchAll_Ct&lt;22,$BC661=(Elig_MatchAll_Ct-1),AH661=0),E661,0)</f>
        <v>0</v>
      </c>
      <c r="BK661" s="173">
        <f>IF(AND(Input_Product=Elig!$C661,Elig_MatchAll_Ct&lt;22,$BC661=(Elig_MatchAll_Ct-1),AI661=0),F661,0)</f>
        <v>0</v>
      </c>
      <c r="BL661" s="173">
        <f>IF(AND(Input_Product=Elig!$C661,Elig_MatchAll_Ct&lt;22,$BC661=(Elig_MatchAll_Ct-1),AJ661=0),G661,0)</f>
        <v>0</v>
      </c>
      <c r="BM661" s="173">
        <f>IF(AND(Input_Product=Elig!$C661,Elig_MatchAll_Ct&lt;22,$BC661=(Elig_MatchAll_Ct-1),AK661=0),H661,0)</f>
        <v>0</v>
      </c>
      <c r="BN661" s="173">
        <f>IF(AND(Input_Product=Elig!$C661,Elig_MatchAll_Ct&lt;22,$BC661=(Elig_MatchAll_Ct-1),AL661=0),I661,0)</f>
        <v>0</v>
      </c>
      <c r="BO661" s="173">
        <f>IF(AND(Input_Product=Elig!$C661,Elig_MatchAll_Ct&lt;22,$BC661=(Elig_MatchAll_Ct-1),AM661=0),J661,0)</f>
        <v>0</v>
      </c>
      <c r="BP661" s="173">
        <f>IF(AND(Input_Product=Elig!$C661,Elig_MatchAll_Ct&lt;22,$BC661=(Elig_MatchAll_Ct-1),AN661=0),K661,0)</f>
        <v>0</v>
      </c>
      <c r="BQ661" s="173">
        <f>IF(AND(Input_Product=Elig!$C661,Elig_MatchAll_Ct&lt;22,$BC661=(Elig_MatchAll_Ct-1),AP661=0),L661,0)</f>
        <v>0</v>
      </c>
      <c r="BR661" s="173">
        <f>IF(AND(Input_Product=Elig!$C661,Elig_MatchAll_Ct&lt;22,$BC661=(Elig_MatchAll_Ct-1),AO661=0),M661,0)</f>
        <v>0</v>
      </c>
      <c r="BS661" s="173">
        <f>IF(AND(Input_Product=Elig!$C661,Elig_MatchAll_Ct&lt;22,$BC661=(Elig_MatchAll_Ct-1),AQ661=0),N661,0)</f>
        <v>0</v>
      </c>
      <c r="BT661" s="173">
        <f>IF(AND(Input_Product=Elig!$C661,Elig_MatchAll_Ct&lt;22,$BC661=(Elig_MatchAll_Ct-1),AR661=0),O661,0)</f>
        <v>0</v>
      </c>
      <c r="BU661" s="173">
        <f>IF(AND(Input_Product=Elig!$C661,Elig_MatchAll_Ct&lt;22,$BC661=(Elig_MatchAll_Ct-1),AS661=0),P661,0)</f>
        <v>0</v>
      </c>
      <c r="BV661" s="174">
        <f>IF(AND(Input_Product=Elig!$C661,Elig_MatchAll_Ct&lt;22,$BC661=(Elig_MatchAll_Ct-1),AT661=0),Q661,0)</f>
        <v>0</v>
      </c>
      <c r="BW661" s="175">
        <f>IF(AND(Input_Product=Elig!$C661,Elig_MatchAll_Ct&lt;22,$BC661=(Elig_MatchAll_Ct-1),AU661=0),R661,0)</f>
        <v>0</v>
      </c>
      <c r="BX661" s="176">
        <f>IF(AND(Input_Product=Elig!$C661,Elig_MatchAll_Ct&lt;22,$BC661=(Elig_MatchAll_Ct-1),AU661=0),S661,0)</f>
        <v>0</v>
      </c>
      <c r="BY661" s="175">
        <f>IF(AND(Input_Product=Elig!$C661,Elig_MatchAll_Ct&lt;22,$BC661=(Elig_MatchAll_Ct-1),AV661=0),T661,0)</f>
        <v>0</v>
      </c>
      <c r="BZ661" s="176">
        <f>IF(AND(Input_Product=Elig!$C661,Elig_MatchAll_Ct&lt;22,$BC661=(Elig_MatchAll_Ct-1),AV661=0),U661,0)</f>
        <v>0</v>
      </c>
      <c r="CA661" s="175">
        <f>IF(AND(Input_Product=Elig!$C661,Elig_MatchAll_Ct&lt;22,$BC661=(Elig_MatchAll_Ct-1),AW661=0),V661,0)</f>
        <v>0</v>
      </c>
      <c r="CB661" s="176">
        <f>IF(AND(Input_Product=Elig!$C661,Elig_MatchAll_Ct&lt;22,$BC661=(Elig_MatchAll_Ct-1),AW661=0),W661,0)</f>
        <v>0</v>
      </c>
      <c r="CC661" s="175">
        <f>IF(AND(Input_Product=Elig!$C661,Elig_MatchAll_Ct&lt;22,$BC661=(Elig_MatchAll_Ct-1),AX661=0),X661,0)</f>
        <v>0</v>
      </c>
      <c r="CD661" s="176">
        <f>IF(AND(Input_Product=Elig!$C661,Elig_MatchAll_Ct&lt;22,$BC661=(Elig_MatchAll_Ct-1),AX661=0),Y661,0)</f>
        <v>0</v>
      </c>
      <c r="CE661" s="175">
        <f>IF(AND(Input_LTV&lt;=AE661,Input_Product=Elig!$C661,Elig_MatchAll_Ct&lt;22,$BC661=(Elig_MatchAll_Ct-1),AY661=0),Z661,0)</f>
        <v>0</v>
      </c>
      <c r="CF661" s="176">
        <f>IF(AND(Input_LTV&lt;=AE661,Input_Product=Elig!$C661,Elig_MatchAll_Ct&lt;22,$BC661=(Elig_MatchAll_Ct-1),AY661=0),AA661,0)</f>
        <v>0</v>
      </c>
      <c r="CG661" s="175">
        <f>IF(AND(Input_Product=Elig!$C661,Elig_MatchAll_Ct&lt;22,$BC661=(Elig_MatchAll_Ct-1),AZ661=0),AB661,0)</f>
        <v>0</v>
      </c>
      <c r="CH661" s="176">
        <f>IF(AND(Input_Product=Elig!$C661,Elig_MatchAll_Ct&lt;22,$BC661=(Elig_MatchAll_Ct-1),AZ661=0),AC661,0)</f>
        <v>0</v>
      </c>
      <c r="CI661" s="175">
        <f>IF(AND(Input_Product=Elig!$C661,Elig_MatchAll_Ct&lt;22,$BC661=(Elig_MatchAll_Ct-1),BA661=0),AD661,0)</f>
        <v>0</v>
      </c>
      <c r="CJ661" s="176">
        <f>IF(AND(Input_Product=Elig!$C661,Elig_MatchAll_Ct&lt;22,$BC661=(Elig_MatchAll_Ct-1),BA661=0),AE661,0)</f>
        <v>0</v>
      </c>
    </row>
    <row r="662" spans="1:88" ht="10.15" customHeight="1" x14ac:dyDescent="0.25">
      <c r="A662" s="1476" t="s">
        <v>76</v>
      </c>
      <c r="B662" s="1476" t="s">
        <v>2152</v>
      </c>
      <c r="C662" s="1481" t="str">
        <f t="shared" si="204"/>
        <v>Second OO</v>
      </c>
      <c r="D662" s="1480" t="s">
        <v>1338</v>
      </c>
      <c r="E662" s="1480" t="s">
        <v>98</v>
      </c>
      <c r="F662" s="1480" t="s">
        <v>327</v>
      </c>
      <c r="G662" s="1545" t="s">
        <v>465</v>
      </c>
      <c r="H662" s="1482" t="s">
        <v>135</v>
      </c>
      <c r="I662" s="1480" t="s">
        <v>1141</v>
      </c>
      <c r="J662" s="1480" t="s">
        <v>1130</v>
      </c>
      <c r="K662" s="1482" t="s">
        <v>2464</v>
      </c>
      <c r="L662" s="1480" t="s">
        <v>428</v>
      </c>
      <c r="M662" s="1480" t="s">
        <v>1835</v>
      </c>
      <c r="N662" s="1482" t="s">
        <v>82</v>
      </c>
      <c r="O662" s="1480" t="s">
        <v>309</v>
      </c>
      <c r="P662" s="1480" t="s">
        <v>2433</v>
      </c>
      <c r="Q662" s="1480" t="s">
        <v>293</v>
      </c>
      <c r="R662" s="277">
        <v>500000.01</v>
      </c>
      <c r="S662" s="277">
        <v>750000</v>
      </c>
      <c r="T662" s="1480">
        <v>0</v>
      </c>
      <c r="U662" s="1480">
        <f t="shared" si="233"/>
        <v>750000</v>
      </c>
      <c r="V662" s="1480">
        <v>0</v>
      </c>
      <c r="W662" s="1480">
        <v>50</v>
      </c>
      <c r="X662" s="1480">
        <v>0</v>
      </c>
      <c r="Y662" s="1480">
        <v>999</v>
      </c>
      <c r="Z662" s="1483">
        <v>660</v>
      </c>
      <c r="AA662" s="1483">
        <v>679</v>
      </c>
      <c r="AB662" s="1483">
        <v>0</v>
      </c>
      <c r="AC662" s="1483">
        <v>999999</v>
      </c>
      <c r="AD662" s="1480">
        <v>0</v>
      </c>
      <c r="AE662" s="1220">
        <v>60</v>
      </c>
      <c r="AF662" s="144">
        <v>0</v>
      </c>
      <c r="AG662" s="145">
        <v>1</v>
      </c>
      <c r="AH662" s="145">
        <v>1</v>
      </c>
      <c r="AI662" s="145">
        <v>0</v>
      </c>
      <c r="AJ662" s="145">
        <v>0</v>
      </c>
      <c r="AK662" s="145">
        <v>1</v>
      </c>
      <c r="AL662" s="145">
        <v>1</v>
      </c>
      <c r="AM662" s="145">
        <v>1</v>
      </c>
      <c r="AN662" s="145">
        <v>1</v>
      </c>
      <c r="AO662" s="145">
        <v>1</v>
      </c>
      <c r="AP662" s="145">
        <v>1</v>
      </c>
      <c r="AQ662" s="145">
        <v>0</v>
      </c>
      <c r="AR662" s="145">
        <v>1</v>
      </c>
      <c r="AS662" s="145">
        <v>1</v>
      </c>
      <c r="AT662" s="145">
        <v>1</v>
      </c>
      <c r="AU662" s="145">
        <f t="shared" si="219"/>
        <v>0</v>
      </c>
      <c r="AV662" s="145">
        <f t="shared" si="220"/>
        <v>1</v>
      </c>
      <c r="AW662" s="145">
        <f t="shared" si="221"/>
        <v>1</v>
      </c>
      <c r="AX662" s="145">
        <f t="shared" si="226"/>
        <v>1</v>
      </c>
      <c r="AY662" s="145">
        <f t="shared" si="222"/>
        <v>0</v>
      </c>
      <c r="AZ662" s="145">
        <f t="shared" si="223"/>
        <v>1</v>
      </c>
      <c r="BA662" s="146">
        <f t="shared" si="224"/>
        <v>0</v>
      </c>
      <c r="BB662" s="149">
        <f t="shared" si="228"/>
        <v>15</v>
      </c>
      <c r="BC662" s="150">
        <f t="shared" si="229"/>
        <v>15</v>
      </c>
      <c r="BD662" s="150">
        <f t="shared" si="230"/>
        <v>15</v>
      </c>
      <c r="BE662" s="211" t="str">
        <f t="shared" si="231"/>
        <v/>
      </c>
      <c r="BF662" s="205"/>
      <c r="BG662" s="205"/>
      <c r="BH662" s="188">
        <f>IF(AND(Input_Product=Elig!$C662,Elig_MatchAll_Ct&lt;22,$BC662=(Elig_MatchAll_Ct-1),AF662=0),C662,0)</f>
        <v>0</v>
      </c>
      <c r="BI662" s="188">
        <f>IF(AND(Input_Product=Elig!$C662,Elig_MatchAll_Ct&lt;22,$BC662=(Elig_MatchAll_Ct-1),AG662=0),D662,0)</f>
        <v>0</v>
      </c>
      <c r="BJ662" s="188">
        <f>IF(AND(Input_Product=Elig!$C662,Elig_MatchAll_Ct&lt;22,$BC662=(Elig_MatchAll_Ct-1),AH662=0),E662,0)</f>
        <v>0</v>
      </c>
      <c r="BK662" s="188">
        <f>IF(AND(Input_Product=Elig!$C662,Elig_MatchAll_Ct&lt;22,$BC662=(Elig_MatchAll_Ct-1),AI662=0),F662,0)</f>
        <v>0</v>
      </c>
      <c r="BL662" s="188">
        <f>IF(AND(Input_Product=Elig!$C662,Elig_MatchAll_Ct&lt;22,$BC662=(Elig_MatchAll_Ct-1),AJ662=0),G662,0)</f>
        <v>0</v>
      </c>
      <c r="BM662" s="188">
        <f>IF(AND(Input_Product=Elig!$C662,Elig_MatchAll_Ct&lt;22,$BC662=(Elig_MatchAll_Ct-1),AK662=0),H662,0)</f>
        <v>0</v>
      </c>
      <c r="BN662" s="188">
        <f>IF(AND(Input_Product=Elig!$C662,Elig_MatchAll_Ct&lt;22,$BC662=(Elig_MatchAll_Ct-1),AL662=0),I662,0)</f>
        <v>0</v>
      </c>
      <c r="BO662" s="188">
        <f>IF(AND(Input_Product=Elig!$C662,Elig_MatchAll_Ct&lt;22,$BC662=(Elig_MatchAll_Ct-1),AM662=0),J662,0)</f>
        <v>0</v>
      </c>
      <c r="BP662" s="188">
        <f>IF(AND(Input_Product=Elig!$C662,Elig_MatchAll_Ct&lt;22,$BC662=(Elig_MatchAll_Ct-1),AN662=0),K662,0)</f>
        <v>0</v>
      </c>
      <c r="BQ662" s="188">
        <f>IF(AND(Input_Product=Elig!$C662,Elig_MatchAll_Ct&lt;22,$BC662=(Elig_MatchAll_Ct-1),AP662=0),L662,0)</f>
        <v>0</v>
      </c>
      <c r="BR662" s="188">
        <f>IF(AND(Input_Product=Elig!$C662,Elig_MatchAll_Ct&lt;22,$BC662=(Elig_MatchAll_Ct-1),AO662=0),M662,0)</f>
        <v>0</v>
      </c>
      <c r="BS662" s="188">
        <f>IF(AND(Input_Product=Elig!$C662,Elig_MatchAll_Ct&lt;22,$BC662=(Elig_MatchAll_Ct-1),AQ662=0),N662,0)</f>
        <v>0</v>
      </c>
      <c r="BT662" s="188">
        <f>IF(AND(Input_Product=Elig!$C662,Elig_MatchAll_Ct&lt;22,$BC662=(Elig_MatchAll_Ct-1),AR662=0),O662,0)</f>
        <v>0</v>
      </c>
      <c r="BU662" s="188">
        <f>IF(AND(Input_Product=Elig!$C662,Elig_MatchAll_Ct&lt;22,$BC662=(Elig_MatchAll_Ct-1),AS662=0),P662,0)</f>
        <v>0</v>
      </c>
      <c r="BV662" s="189">
        <f>IF(AND(Input_Product=Elig!$C662,Elig_MatchAll_Ct&lt;22,$BC662=(Elig_MatchAll_Ct-1),AT662=0),Q662,0)</f>
        <v>0</v>
      </c>
      <c r="BW662" s="271">
        <f>IF(AND(Input_Product=Elig!$C662,Elig_MatchAll_Ct&lt;22,$BC662=(Elig_MatchAll_Ct-1),AU662=0),R662,0)</f>
        <v>0</v>
      </c>
      <c r="BX662" s="272">
        <f>IF(AND(Input_Product=Elig!$C662,Elig_MatchAll_Ct&lt;22,$BC662=(Elig_MatchAll_Ct-1),AU662=0),S662,0)</f>
        <v>0</v>
      </c>
      <c r="BY662" s="271">
        <f>IF(AND(Input_Product=Elig!$C662,Elig_MatchAll_Ct&lt;22,$BC662=(Elig_MatchAll_Ct-1),AV662=0),T662,0)</f>
        <v>0</v>
      </c>
      <c r="BZ662" s="272">
        <f>IF(AND(Input_Product=Elig!$C662,Elig_MatchAll_Ct&lt;22,$BC662=(Elig_MatchAll_Ct-1),AV662=0),U662,0)</f>
        <v>0</v>
      </c>
      <c r="CA662" s="271">
        <f>IF(AND(Input_Product=Elig!$C662,Elig_MatchAll_Ct&lt;22,$BC662=(Elig_MatchAll_Ct-1),AW662=0),V662,0)</f>
        <v>0</v>
      </c>
      <c r="CB662" s="272">
        <f>IF(AND(Input_Product=Elig!$C662,Elig_MatchAll_Ct&lt;22,$BC662=(Elig_MatchAll_Ct-1),AW662=0),W662,0)</f>
        <v>0</v>
      </c>
      <c r="CC662" s="271">
        <f>IF(AND(Input_Product=Elig!$C662,Elig_MatchAll_Ct&lt;22,$BC662=(Elig_MatchAll_Ct-1),AX662=0),X662,0)</f>
        <v>0</v>
      </c>
      <c r="CD662" s="272">
        <f>IF(AND(Input_Product=Elig!$C662,Elig_MatchAll_Ct&lt;22,$BC662=(Elig_MatchAll_Ct-1),AX662=0),Y662,0)</f>
        <v>0</v>
      </c>
      <c r="CE662" s="271">
        <f>IF(AND(Input_LTV&lt;=AE662,Input_Product=Elig!$C662,Elig_MatchAll_Ct&lt;22,$BC662=(Elig_MatchAll_Ct-1),AY662=0),Z662,0)</f>
        <v>0</v>
      </c>
      <c r="CF662" s="272">
        <f>IF(AND(Input_LTV&lt;=AE662,Input_Product=Elig!$C662,Elig_MatchAll_Ct&lt;22,$BC662=(Elig_MatchAll_Ct-1),AY662=0),AA662,0)</f>
        <v>0</v>
      </c>
      <c r="CG662" s="271">
        <f>IF(AND(Input_Product=Elig!$C662,Elig_MatchAll_Ct&lt;22,$BC662=(Elig_MatchAll_Ct-1),AZ662=0),AB662,0)</f>
        <v>0</v>
      </c>
      <c r="CH662" s="272">
        <f>IF(AND(Input_Product=Elig!$C662,Elig_MatchAll_Ct&lt;22,$BC662=(Elig_MatchAll_Ct-1),AZ662=0),AC662,0)</f>
        <v>0</v>
      </c>
      <c r="CI662" s="271">
        <f>IF(AND(Input_Product=Elig!$C662,Elig_MatchAll_Ct&lt;22,$BC662=(Elig_MatchAll_Ct-1),BA662=0),AD662,0)</f>
        <v>0</v>
      </c>
      <c r="CJ662" s="272">
        <f>IF(AND(Input_Product=Elig!$C662,Elig_MatchAll_Ct&lt;22,$BC662=(Elig_MatchAll_Ct-1),BA662=0),AE662,0)</f>
        <v>0</v>
      </c>
    </row>
    <row r="663" spans="1:88" ht="10.15" customHeight="1" x14ac:dyDescent="0.25">
      <c r="A663" s="1476" t="s">
        <v>76</v>
      </c>
      <c r="B663" s="1476" t="s">
        <v>2153</v>
      </c>
      <c r="C663" s="1473" t="str">
        <f t="shared" si="204"/>
        <v>Second OO</v>
      </c>
      <c r="D663" s="1474" t="s">
        <v>1338</v>
      </c>
      <c r="E663" s="1474" t="s">
        <v>98</v>
      </c>
      <c r="F663" s="1474" t="s">
        <v>327</v>
      </c>
      <c r="G663" s="1537" t="s">
        <v>469</v>
      </c>
      <c r="H663" s="1474" t="s">
        <v>135</v>
      </c>
      <c r="I663" s="1472" t="s">
        <v>1141</v>
      </c>
      <c r="J663" s="1472" t="s">
        <v>1130</v>
      </c>
      <c r="K663" s="1474" t="s">
        <v>2464</v>
      </c>
      <c r="L663" s="1472" t="s">
        <v>428</v>
      </c>
      <c r="M663" s="1472" t="s">
        <v>1835</v>
      </c>
      <c r="N663" s="1474" t="s">
        <v>82</v>
      </c>
      <c r="O663" s="1472" t="s">
        <v>309</v>
      </c>
      <c r="P663" s="1472" t="s">
        <v>2433</v>
      </c>
      <c r="Q663" s="1472" t="s">
        <v>293</v>
      </c>
      <c r="R663" s="276">
        <v>500000.01</v>
      </c>
      <c r="S663" s="276">
        <v>750000</v>
      </c>
      <c r="T663" s="1472">
        <v>0</v>
      </c>
      <c r="U663" s="1472">
        <f t="shared" si="225"/>
        <v>750000</v>
      </c>
      <c r="V663" s="1472">
        <v>0</v>
      </c>
      <c r="W663" s="1472">
        <v>50</v>
      </c>
      <c r="X663" s="1472">
        <v>0</v>
      </c>
      <c r="Y663" s="1472">
        <v>999</v>
      </c>
      <c r="Z663" s="1475">
        <v>720</v>
      </c>
      <c r="AA663" s="1475">
        <v>999</v>
      </c>
      <c r="AB663" s="1475">
        <v>0</v>
      </c>
      <c r="AC663" s="1475">
        <v>999999</v>
      </c>
      <c r="AD663" s="1472">
        <v>0</v>
      </c>
      <c r="AE663" s="1218">
        <v>75</v>
      </c>
      <c r="AF663" s="144">
        <v>0</v>
      </c>
      <c r="AG663" s="145">
        <v>1</v>
      </c>
      <c r="AH663" s="145">
        <v>1</v>
      </c>
      <c r="AI663" s="145">
        <v>0</v>
      </c>
      <c r="AJ663" s="145">
        <v>0</v>
      </c>
      <c r="AK663" s="145">
        <v>1</v>
      </c>
      <c r="AL663" s="145">
        <v>1</v>
      </c>
      <c r="AM663" s="145">
        <v>1</v>
      </c>
      <c r="AN663" s="145">
        <v>1</v>
      </c>
      <c r="AO663" s="145">
        <v>1</v>
      </c>
      <c r="AP663" s="145">
        <v>1</v>
      </c>
      <c r="AQ663" s="145">
        <v>0</v>
      </c>
      <c r="AR663" s="145">
        <v>1</v>
      </c>
      <c r="AS663" s="145">
        <v>1</v>
      </c>
      <c r="AT663" s="145">
        <v>1</v>
      </c>
      <c r="AU663" s="145">
        <f t="shared" si="219"/>
        <v>0</v>
      </c>
      <c r="AV663" s="145">
        <f t="shared" si="220"/>
        <v>1</v>
      </c>
      <c r="AW663" s="145">
        <f t="shared" si="221"/>
        <v>1</v>
      </c>
      <c r="AX663" s="145">
        <f t="shared" si="226"/>
        <v>1</v>
      </c>
      <c r="AY663" s="145">
        <f t="shared" si="222"/>
        <v>1</v>
      </c>
      <c r="AZ663" s="145">
        <f t="shared" si="223"/>
        <v>1</v>
      </c>
      <c r="BA663" s="146">
        <f t="shared" si="224"/>
        <v>1</v>
      </c>
      <c r="BB663" s="149">
        <f t="shared" si="228"/>
        <v>17</v>
      </c>
      <c r="BC663" s="150">
        <f t="shared" si="229"/>
        <v>16</v>
      </c>
      <c r="BD663" s="150">
        <f t="shared" si="230"/>
        <v>17</v>
      </c>
      <c r="BE663" s="211" t="str">
        <f t="shared" si="231"/>
        <v/>
      </c>
      <c r="BF663" s="194"/>
      <c r="BG663" s="194"/>
      <c r="BH663" s="190">
        <f>IF(AND(Input_Product=Elig!$C663,Elig_MatchAll_Ct&lt;22,$BC663=(Elig_MatchAll_Ct-1),AF663=0),C663,0)</f>
        <v>0</v>
      </c>
      <c r="BI663" s="190">
        <f>IF(AND(Input_Product=Elig!$C663,Elig_MatchAll_Ct&lt;22,$BC663=(Elig_MatchAll_Ct-1),AG663=0),D663,0)</f>
        <v>0</v>
      </c>
      <c r="BJ663" s="190">
        <f>IF(AND(Input_Product=Elig!$C663,Elig_MatchAll_Ct&lt;22,$BC663=(Elig_MatchAll_Ct-1),AH663=0),E663,0)</f>
        <v>0</v>
      </c>
      <c r="BK663" s="190">
        <f>IF(AND(Input_Product=Elig!$C663,Elig_MatchAll_Ct&lt;22,$BC663=(Elig_MatchAll_Ct-1),AI663=0),F663,0)</f>
        <v>0</v>
      </c>
      <c r="BL663" s="190">
        <f>IF(AND(Input_Product=Elig!$C663,Elig_MatchAll_Ct&lt;22,$BC663=(Elig_MatchAll_Ct-1),AJ663=0),G663,0)</f>
        <v>0</v>
      </c>
      <c r="BM663" s="190">
        <f>IF(AND(Input_Product=Elig!$C663,Elig_MatchAll_Ct&lt;22,$BC663=(Elig_MatchAll_Ct-1),AK663=0),H663,0)</f>
        <v>0</v>
      </c>
      <c r="BN663" s="190">
        <f>IF(AND(Input_Product=Elig!$C663,Elig_MatchAll_Ct&lt;22,$BC663=(Elig_MatchAll_Ct-1),AL663=0),I663,0)</f>
        <v>0</v>
      </c>
      <c r="BO663" s="190">
        <f>IF(AND(Input_Product=Elig!$C663,Elig_MatchAll_Ct&lt;22,$BC663=(Elig_MatchAll_Ct-1),AM663=0),J663,0)</f>
        <v>0</v>
      </c>
      <c r="BP663" s="190">
        <f>IF(AND(Input_Product=Elig!$C663,Elig_MatchAll_Ct&lt;22,$BC663=(Elig_MatchAll_Ct-1),AN663=0),K663,0)</f>
        <v>0</v>
      </c>
      <c r="BQ663" s="190">
        <f>IF(AND(Input_Product=Elig!$C663,Elig_MatchAll_Ct&lt;22,$BC663=(Elig_MatchAll_Ct-1),AP663=0),L663,0)</f>
        <v>0</v>
      </c>
      <c r="BR663" s="190">
        <f>IF(AND(Input_Product=Elig!$C663,Elig_MatchAll_Ct&lt;22,$BC663=(Elig_MatchAll_Ct-1),AO663=0),M663,0)</f>
        <v>0</v>
      </c>
      <c r="BS663" s="190">
        <f>IF(AND(Input_Product=Elig!$C663,Elig_MatchAll_Ct&lt;22,$BC663=(Elig_MatchAll_Ct-1),AQ663=0),N663,0)</f>
        <v>0</v>
      </c>
      <c r="BT663" s="190">
        <f>IF(AND(Input_Product=Elig!$C663,Elig_MatchAll_Ct&lt;22,$BC663=(Elig_MatchAll_Ct-1),AR663=0),O663,0)</f>
        <v>0</v>
      </c>
      <c r="BU663" s="190">
        <f>IF(AND(Input_Product=Elig!$C663,Elig_MatchAll_Ct&lt;22,$BC663=(Elig_MatchAll_Ct-1),AS663=0),P663,0)</f>
        <v>0</v>
      </c>
      <c r="BV663" s="191">
        <f>IF(AND(Input_Product=Elig!$C663,Elig_MatchAll_Ct&lt;22,$BC663=(Elig_MatchAll_Ct-1),AT663=0),Q663,0)</f>
        <v>0</v>
      </c>
      <c r="BW663" s="273">
        <f>IF(AND(Input_Product=Elig!$C663,Elig_MatchAll_Ct&lt;22,$BC663=(Elig_MatchAll_Ct-1),AU663=0),R663,0)</f>
        <v>0</v>
      </c>
      <c r="BX663" s="274">
        <f>IF(AND(Input_Product=Elig!$C663,Elig_MatchAll_Ct&lt;22,$BC663=(Elig_MatchAll_Ct-1),AU663=0),S663,0)</f>
        <v>0</v>
      </c>
      <c r="BY663" s="273">
        <f>IF(AND(Input_Product=Elig!$C663,Elig_MatchAll_Ct&lt;22,$BC663=(Elig_MatchAll_Ct-1),AV663=0),T663,0)</f>
        <v>0</v>
      </c>
      <c r="BZ663" s="274">
        <f>IF(AND(Input_Product=Elig!$C663,Elig_MatchAll_Ct&lt;22,$BC663=(Elig_MatchAll_Ct-1),AV663=0),U663,0)</f>
        <v>0</v>
      </c>
      <c r="CA663" s="273">
        <f>IF(AND(Input_Product=Elig!$C663,Elig_MatchAll_Ct&lt;22,$BC663=(Elig_MatchAll_Ct-1),AW663=0),V663,0)</f>
        <v>0</v>
      </c>
      <c r="CB663" s="274">
        <f>IF(AND(Input_Product=Elig!$C663,Elig_MatchAll_Ct&lt;22,$BC663=(Elig_MatchAll_Ct-1),AW663=0),W663,0)</f>
        <v>0</v>
      </c>
      <c r="CC663" s="273">
        <f>IF(AND(Input_Product=Elig!$C663,Elig_MatchAll_Ct&lt;22,$BC663=(Elig_MatchAll_Ct-1),AX663=0),X663,0)</f>
        <v>0</v>
      </c>
      <c r="CD663" s="274">
        <f>IF(AND(Input_Product=Elig!$C663,Elig_MatchAll_Ct&lt;22,$BC663=(Elig_MatchAll_Ct-1),AX663=0),Y663,0)</f>
        <v>0</v>
      </c>
      <c r="CE663" s="273">
        <f>IF(AND(Input_LTV&lt;=AE663,Input_Product=Elig!$C663,Elig_MatchAll_Ct&lt;22,$BC663=(Elig_MatchAll_Ct-1),AY663=0),Z663,0)</f>
        <v>0</v>
      </c>
      <c r="CF663" s="274">
        <f>IF(AND(Input_LTV&lt;=AE663,Input_Product=Elig!$C663,Elig_MatchAll_Ct&lt;22,$BC663=(Elig_MatchAll_Ct-1),AY663=0),AA663,0)</f>
        <v>0</v>
      </c>
      <c r="CG663" s="273">
        <f>IF(AND(Input_Product=Elig!$C663,Elig_MatchAll_Ct&lt;22,$BC663=(Elig_MatchAll_Ct-1),AZ663=0),AB663,0)</f>
        <v>0</v>
      </c>
      <c r="CH663" s="274">
        <f>IF(AND(Input_Product=Elig!$C663,Elig_MatchAll_Ct&lt;22,$BC663=(Elig_MatchAll_Ct-1),AZ663=0),AC663,0)</f>
        <v>0</v>
      </c>
      <c r="CI663" s="273">
        <f>IF(AND(Input_Product=Elig!$C663,Elig_MatchAll_Ct&lt;22,$BC663=(Elig_MatchAll_Ct-1),BA663=0),AD663,0)</f>
        <v>0</v>
      </c>
      <c r="CJ663" s="274">
        <f>IF(AND(Input_Product=Elig!$C663,Elig_MatchAll_Ct&lt;22,$BC663=(Elig_MatchAll_Ct-1),BA663=0),AE663,0)</f>
        <v>0</v>
      </c>
    </row>
    <row r="664" spans="1:88" ht="10.15" customHeight="1" x14ac:dyDescent="0.25">
      <c r="A664" s="1476" t="s">
        <v>76</v>
      </c>
      <c r="B664" s="1476" t="s">
        <v>2154</v>
      </c>
      <c r="C664" s="1477" t="str">
        <f t="shared" si="204"/>
        <v>Second OO</v>
      </c>
      <c r="D664" s="1476" t="s">
        <v>1338</v>
      </c>
      <c r="E664" s="1476" t="s">
        <v>98</v>
      </c>
      <c r="F664" s="1476" t="s">
        <v>327</v>
      </c>
      <c r="G664" s="1544" t="s">
        <v>469</v>
      </c>
      <c r="H664" s="1478" t="s">
        <v>135</v>
      </c>
      <c r="I664" s="1476" t="s">
        <v>1141</v>
      </c>
      <c r="J664" s="1476" t="s">
        <v>1130</v>
      </c>
      <c r="K664" s="1478" t="s">
        <v>2464</v>
      </c>
      <c r="L664" s="1476" t="s">
        <v>428</v>
      </c>
      <c r="M664" s="1476" t="s">
        <v>1835</v>
      </c>
      <c r="N664" s="1478" t="s">
        <v>82</v>
      </c>
      <c r="O664" s="1476" t="s">
        <v>309</v>
      </c>
      <c r="P664" s="1476" t="s">
        <v>2433</v>
      </c>
      <c r="Q664" s="1476" t="s">
        <v>293</v>
      </c>
      <c r="R664" s="261">
        <v>500000.01</v>
      </c>
      <c r="S664" s="261">
        <v>750000</v>
      </c>
      <c r="T664" s="1476">
        <v>0</v>
      </c>
      <c r="U664" s="1476">
        <f t="shared" si="225"/>
        <v>750000</v>
      </c>
      <c r="V664" s="1476">
        <v>0</v>
      </c>
      <c r="W664" s="1476">
        <v>50</v>
      </c>
      <c r="X664" s="1476">
        <v>0</v>
      </c>
      <c r="Y664" s="1476">
        <v>999</v>
      </c>
      <c r="Z664" s="1479">
        <v>700</v>
      </c>
      <c r="AA664" s="1479">
        <v>719</v>
      </c>
      <c r="AB664" s="1479">
        <v>0</v>
      </c>
      <c r="AC664" s="1479">
        <v>999999</v>
      </c>
      <c r="AD664" s="1476">
        <v>0</v>
      </c>
      <c r="AE664" s="1219">
        <v>70</v>
      </c>
      <c r="AF664" s="144">
        <v>0</v>
      </c>
      <c r="AG664" s="145">
        <v>1</v>
      </c>
      <c r="AH664" s="145">
        <v>1</v>
      </c>
      <c r="AI664" s="145">
        <v>0</v>
      </c>
      <c r="AJ664" s="145">
        <v>0</v>
      </c>
      <c r="AK664" s="145">
        <v>1</v>
      </c>
      <c r="AL664" s="145">
        <v>1</v>
      </c>
      <c r="AM664" s="145">
        <v>1</v>
      </c>
      <c r="AN664" s="145">
        <v>1</v>
      </c>
      <c r="AO664" s="145">
        <v>1</v>
      </c>
      <c r="AP664" s="145">
        <v>1</v>
      </c>
      <c r="AQ664" s="145">
        <v>0</v>
      </c>
      <c r="AR664" s="145">
        <v>1</v>
      </c>
      <c r="AS664" s="145">
        <v>1</v>
      </c>
      <c r="AT664" s="145">
        <v>1</v>
      </c>
      <c r="AU664" s="145">
        <f t="shared" si="219"/>
        <v>0</v>
      </c>
      <c r="AV664" s="145">
        <f t="shared" si="220"/>
        <v>1</v>
      </c>
      <c r="AW664" s="145">
        <f t="shared" si="221"/>
        <v>1</v>
      </c>
      <c r="AX664" s="145">
        <f t="shared" si="226"/>
        <v>1</v>
      </c>
      <c r="AY664" s="145">
        <f t="shared" si="222"/>
        <v>0</v>
      </c>
      <c r="AZ664" s="145">
        <f t="shared" si="223"/>
        <v>1</v>
      </c>
      <c r="BA664" s="146">
        <f t="shared" si="224"/>
        <v>1</v>
      </c>
      <c r="BB664" s="149">
        <f t="shared" si="228"/>
        <v>16</v>
      </c>
      <c r="BC664" s="150">
        <f t="shared" si="229"/>
        <v>15</v>
      </c>
      <c r="BD664" s="150">
        <f t="shared" si="230"/>
        <v>16</v>
      </c>
      <c r="BE664" s="211" t="str">
        <f t="shared" si="231"/>
        <v/>
      </c>
      <c r="BF664" s="205"/>
      <c r="BG664" s="205"/>
      <c r="BH664" s="173">
        <f>IF(AND(Input_Product=Elig!$C664,Elig_MatchAll_Ct&lt;22,$BC664=(Elig_MatchAll_Ct-1),AF664=0),C664,0)</f>
        <v>0</v>
      </c>
      <c r="BI664" s="173">
        <f>IF(AND(Input_Product=Elig!$C664,Elig_MatchAll_Ct&lt;22,$BC664=(Elig_MatchAll_Ct-1),AG664=0),D664,0)</f>
        <v>0</v>
      </c>
      <c r="BJ664" s="173">
        <f>IF(AND(Input_Product=Elig!$C664,Elig_MatchAll_Ct&lt;22,$BC664=(Elig_MatchAll_Ct-1),AH664=0),E664,0)</f>
        <v>0</v>
      </c>
      <c r="BK664" s="173">
        <f>IF(AND(Input_Product=Elig!$C664,Elig_MatchAll_Ct&lt;22,$BC664=(Elig_MatchAll_Ct-1),AI664=0),F664,0)</f>
        <v>0</v>
      </c>
      <c r="BL664" s="173">
        <f>IF(AND(Input_Product=Elig!$C664,Elig_MatchAll_Ct&lt;22,$BC664=(Elig_MatchAll_Ct-1),AJ664=0),G664,0)</f>
        <v>0</v>
      </c>
      <c r="BM664" s="173">
        <f>IF(AND(Input_Product=Elig!$C664,Elig_MatchAll_Ct&lt;22,$BC664=(Elig_MatchAll_Ct-1),AK664=0),H664,0)</f>
        <v>0</v>
      </c>
      <c r="BN664" s="173">
        <f>IF(AND(Input_Product=Elig!$C664,Elig_MatchAll_Ct&lt;22,$BC664=(Elig_MatchAll_Ct-1),AL664=0),I664,0)</f>
        <v>0</v>
      </c>
      <c r="BO664" s="173">
        <f>IF(AND(Input_Product=Elig!$C664,Elig_MatchAll_Ct&lt;22,$BC664=(Elig_MatchAll_Ct-1),AM664=0),J664,0)</f>
        <v>0</v>
      </c>
      <c r="BP664" s="173">
        <f>IF(AND(Input_Product=Elig!$C664,Elig_MatchAll_Ct&lt;22,$BC664=(Elig_MatchAll_Ct-1),AN664=0),K664,0)</f>
        <v>0</v>
      </c>
      <c r="BQ664" s="173">
        <f>IF(AND(Input_Product=Elig!$C664,Elig_MatchAll_Ct&lt;22,$BC664=(Elig_MatchAll_Ct-1),AP664=0),L664,0)</f>
        <v>0</v>
      </c>
      <c r="BR664" s="173">
        <f>IF(AND(Input_Product=Elig!$C664,Elig_MatchAll_Ct&lt;22,$BC664=(Elig_MatchAll_Ct-1),AO664=0),M664,0)</f>
        <v>0</v>
      </c>
      <c r="BS664" s="173">
        <f>IF(AND(Input_Product=Elig!$C664,Elig_MatchAll_Ct&lt;22,$BC664=(Elig_MatchAll_Ct-1),AQ664=0),N664,0)</f>
        <v>0</v>
      </c>
      <c r="BT664" s="173">
        <f>IF(AND(Input_Product=Elig!$C664,Elig_MatchAll_Ct&lt;22,$BC664=(Elig_MatchAll_Ct-1),AR664=0),O664,0)</f>
        <v>0</v>
      </c>
      <c r="BU664" s="173">
        <f>IF(AND(Input_Product=Elig!$C664,Elig_MatchAll_Ct&lt;22,$BC664=(Elig_MatchAll_Ct-1),AS664=0),P664,0)</f>
        <v>0</v>
      </c>
      <c r="BV664" s="174">
        <f>IF(AND(Input_Product=Elig!$C664,Elig_MatchAll_Ct&lt;22,$BC664=(Elig_MatchAll_Ct-1),AT664=0),Q664,0)</f>
        <v>0</v>
      </c>
      <c r="BW664" s="175">
        <f>IF(AND(Input_Product=Elig!$C664,Elig_MatchAll_Ct&lt;22,$BC664=(Elig_MatchAll_Ct-1),AU664=0),R664,0)</f>
        <v>0</v>
      </c>
      <c r="BX664" s="176">
        <f>IF(AND(Input_Product=Elig!$C664,Elig_MatchAll_Ct&lt;22,$BC664=(Elig_MatchAll_Ct-1),AU664=0),S664,0)</f>
        <v>0</v>
      </c>
      <c r="BY664" s="175">
        <f>IF(AND(Input_Product=Elig!$C664,Elig_MatchAll_Ct&lt;22,$BC664=(Elig_MatchAll_Ct-1),AV664=0),T664,0)</f>
        <v>0</v>
      </c>
      <c r="BZ664" s="176">
        <f>IF(AND(Input_Product=Elig!$C664,Elig_MatchAll_Ct&lt;22,$BC664=(Elig_MatchAll_Ct-1),AV664=0),U664,0)</f>
        <v>0</v>
      </c>
      <c r="CA664" s="175">
        <f>IF(AND(Input_Product=Elig!$C664,Elig_MatchAll_Ct&lt;22,$BC664=(Elig_MatchAll_Ct-1),AW664=0),V664,0)</f>
        <v>0</v>
      </c>
      <c r="CB664" s="176">
        <f>IF(AND(Input_Product=Elig!$C664,Elig_MatchAll_Ct&lt;22,$BC664=(Elig_MatchAll_Ct-1),AW664=0),W664,0)</f>
        <v>0</v>
      </c>
      <c r="CC664" s="175">
        <f>IF(AND(Input_Product=Elig!$C664,Elig_MatchAll_Ct&lt;22,$BC664=(Elig_MatchAll_Ct-1),AX664=0),X664,0)</f>
        <v>0</v>
      </c>
      <c r="CD664" s="176">
        <f>IF(AND(Input_Product=Elig!$C664,Elig_MatchAll_Ct&lt;22,$BC664=(Elig_MatchAll_Ct-1),AX664=0),Y664,0)</f>
        <v>0</v>
      </c>
      <c r="CE664" s="175">
        <f>IF(AND(Input_LTV&lt;=AE664,Input_Product=Elig!$C664,Elig_MatchAll_Ct&lt;22,$BC664=(Elig_MatchAll_Ct-1),AY664=0),Z664,0)</f>
        <v>0</v>
      </c>
      <c r="CF664" s="176">
        <f>IF(AND(Input_LTV&lt;=AE664,Input_Product=Elig!$C664,Elig_MatchAll_Ct&lt;22,$BC664=(Elig_MatchAll_Ct-1),AY664=0),AA664,0)</f>
        <v>0</v>
      </c>
      <c r="CG664" s="175">
        <f>IF(AND(Input_Product=Elig!$C664,Elig_MatchAll_Ct&lt;22,$BC664=(Elig_MatchAll_Ct-1),AZ664=0),AB664,0)</f>
        <v>0</v>
      </c>
      <c r="CH664" s="176">
        <f>IF(AND(Input_Product=Elig!$C664,Elig_MatchAll_Ct&lt;22,$BC664=(Elig_MatchAll_Ct-1),AZ664=0),AC664,0)</f>
        <v>0</v>
      </c>
      <c r="CI664" s="175">
        <f>IF(AND(Input_Product=Elig!$C664,Elig_MatchAll_Ct&lt;22,$BC664=(Elig_MatchAll_Ct-1),BA664=0),AD664,0)</f>
        <v>0</v>
      </c>
      <c r="CJ664" s="176">
        <f>IF(AND(Input_Product=Elig!$C664,Elig_MatchAll_Ct&lt;22,$BC664=(Elig_MatchAll_Ct-1),BA664=0),AE664,0)</f>
        <v>0</v>
      </c>
    </row>
    <row r="665" spans="1:88" ht="10.15" customHeight="1" x14ac:dyDescent="0.25">
      <c r="A665" s="1476" t="s">
        <v>76</v>
      </c>
      <c r="B665" s="1476" t="s">
        <v>2155</v>
      </c>
      <c r="C665" s="1477" t="str">
        <f t="shared" si="204"/>
        <v>Second OO</v>
      </c>
      <c r="D665" s="1476" t="s">
        <v>1338</v>
      </c>
      <c r="E665" s="1476" t="s">
        <v>98</v>
      </c>
      <c r="F665" s="1476" t="s">
        <v>327</v>
      </c>
      <c r="G665" s="1544" t="s">
        <v>469</v>
      </c>
      <c r="H665" s="1478" t="s">
        <v>135</v>
      </c>
      <c r="I665" s="1476" t="s">
        <v>1141</v>
      </c>
      <c r="J665" s="1476" t="s">
        <v>1130</v>
      </c>
      <c r="K665" s="1478" t="s">
        <v>2464</v>
      </c>
      <c r="L665" s="1476" t="s">
        <v>428</v>
      </c>
      <c r="M665" s="1476" t="s">
        <v>1835</v>
      </c>
      <c r="N665" s="1478" t="s">
        <v>82</v>
      </c>
      <c r="O665" s="1476" t="s">
        <v>309</v>
      </c>
      <c r="P665" s="1476" t="s">
        <v>2433</v>
      </c>
      <c r="Q665" s="1476" t="s">
        <v>293</v>
      </c>
      <c r="R665" s="261">
        <v>500000.01</v>
      </c>
      <c r="S665" s="261">
        <v>750000</v>
      </c>
      <c r="T665" s="1476">
        <v>0</v>
      </c>
      <c r="U665" s="1476">
        <f t="shared" si="225"/>
        <v>750000</v>
      </c>
      <c r="V665" s="1476">
        <v>0</v>
      </c>
      <c r="W665" s="1476">
        <v>50</v>
      </c>
      <c r="X665" s="1476">
        <v>0</v>
      </c>
      <c r="Y665" s="1476">
        <v>999</v>
      </c>
      <c r="Z665" s="1479">
        <v>680</v>
      </c>
      <c r="AA665" s="1479">
        <v>699</v>
      </c>
      <c r="AB665" s="1479">
        <v>0</v>
      </c>
      <c r="AC665" s="1479">
        <v>999999</v>
      </c>
      <c r="AD665" s="1476">
        <v>0</v>
      </c>
      <c r="AE665" s="1219">
        <v>65</v>
      </c>
      <c r="AF665" s="144">
        <v>0</v>
      </c>
      <c r="AG665" s="145">
        <v>1</v>
      </c>
      <c r="AH665" s="145">
        <v>1</v>
      </c>
      <c r="AI665" s="145">
        <v>0</v>
      </c>
      <c r="AJ665" s="145">
        <v>0</v>
      </c>
      <c r="AK665" s="145">
        <v>1</v>
      </c>
      <c r="AL665" s="145">
        <v>1</v>
      </c>
      <c r="AM665" s="145">
        <v>1</v>
      </c>
      <c r="AN665" s="145">
        <v>1</v>
      </c>
      <c r="AO665" s="145">
        <v>1</v>
      </c>
      <c r="AP665" s="145">
        <v>1</v>
      </c>
      <c r="AQ665" s="145">
        <v>0</v>
      </c>
      <c r="AR665" s="145">
        <v>1</v>
      </c>
      <c r="AS665" s="145">
        <v>1</v>
      </c>
      <c r="AT665" s="145">
        <v>1</v>
      </c>
      <c r="AU665" s="145">
        <f t="shared" si="219"/>
        <v>0</v>
      </c>
      <c r="AV665" s="145">
        <f t="shared" si="220"/>
        <v>1</v>
      </c>
      <c r="AW665" s="145">
        <f t="shared" si="221"/>
        <v>1</v>
      </c>
      <c r="AX665" s="145">
        <f t="shared" si="226"/>
        <v>1</v>
      </c>
      <c r="AY665" s="145">
        <f t="shared" si="222"/>
        <v>0</v>
      </c>
      <c r="AZ665" s="145">
        <f t="shared" si="223"/>
        <v>1</v>
      </c>
      <c r="BA665" s="146">
        <f t="shared" si="224"/>
        <v>0</v>
      </c>
      <c r="BB665" s="149">
        <f t="shared" si="228"/>
        <v>15</v>
      </c>
      <c r="BC665" s="150">
        <f t="shared" si="229"/>
        <v>15</v>
      </c>
      <c r="BD665" s="150">
        <f t="shared" si="230"/>
        <v>15</v>
      </c>
      <c r="BE665" s="211" t="str">
        <f t="shared" si="231"/>
        <v/>
      </c>
      <c r="BF665" s="205"/>
      <c r="BG665" s="205"/>
      <c r="BH665" s="173">
        <f>IF(AND(Input_Product=Elig!$C665,Elig_MatchAll_Ct&lt;22,$BC665=(Elig_MatchAll_Ct-1),AF665=0),C665,0)</f>
        <v>0</v>
      </c>
      <c r="BI665" s="173">
        <f>IF(AND(Input_Product=Elig!$C665,Elig_MatchAll_Ct&lt;22,$BC665=(Elig_MatchAll_Ct-1),AG665=0),D665,0)</f>
        <v>0</v>
      </c>
      <c r="BJ665" s="173">
        <f>IF(AND(Input_Product=Elig!$C665,Elig_MatchAll_Ct&lt;22,$BC665=(Elig_MatchAll_Ct-1),AH665=0),E665,0)</f>
        <v>0</v>
      </c>
      <c r="BK665" s="173">
        <f>IF(AND(Input_Product=Elig!$C665,Elig_MatchAll_Ct&lt;22,$BC665=(Elig_MatchAll_Ct-1),AI665=0),F665,0)</f>
        <v>0</v>
      </c>
      <c r="BL665" s="173">
        <f>IF(AND(Input_Product=Elig!$C665,Elig_MatchAll_Ct&lt;22,$BC665=(Elig_MatchAll_Ct-1),AJ665=0),G665,0)</f>
        <v>0</v>
      </c>
      <c r="BM665" s="173">
        <f>IF(AND(Input_Product=Elig!$C665,Elig_MatchAll_Ct&lt;22,$BC665=(Elig_MatchAll_Ct-1),AK665=0),H665,0)</f>
        <v>0</v>
      </c>
      <c r="BN665" s="173">
        <f>IF(AND(Input_Product=Elig!$C665,Elig_MatchAll_Ct&lt;22,$BC665=(Elig_MatchAll_Ct-1),AL665=0),I665,0)</f>
        <v>0</v>
      </c>
      <c r="BO665" s="173">
        <f>IF(AND(Input_Product=Elig!$C665,Elig_MatchAll_Ct&lt;22,$BC665=(Elig_MatchAll_Ct-1),AM665=0),J665,0)</f>
        <v>0</v>
      </c>
      <c r="BP665" s="173">
        <f>IF(AND(Input_Product=Elig!$C665,Elig_MatchAll_Ct&lt;22,$BC665=(Elig_MatchAll_Ct-1),AN665=0),K665,0)</f>
        <v>0</v>
      </c>
      <c r="BQ665" s="173">
        <f>IF(AND(Input_Product=Elig!$C665,Elig_MatchAll_Ct&lt;22,$BC665=(Elig_MatchAll_Ct-1),AP665=0),L665,0)</f>
        <v>0</v>
      </c>
      <c r="BR665" s="173">
        <f>IF(AND(Input_Product=Elig!$C665,Elig_MatchAll_Ct&lt;22,$BC665=(Elig_MatchAll_Ct-1),AO665=0),M665,0)</f>
        <v>0</v>
      </c>
      <c r="BS665" s="173">
        <f>IF(AND(Input_Product=Elig!$C665,Elig_MatchAll_Ct&lt;22,$BC665=(Elig_MatchAll_Ct-1),AQ665=0),N665,0)</f>
        <v>0</v>
      </c>
      <c r="BT665" s="173">
        <f>IF(AND(Input_Product=Elig!$C665,Elig_MatchAll_Ct&lt;22,$BC665=(Elig_MatchAll_Ct-1),AR665=0),O665,0)</f>
        <v>0</v>
      </c>
      <c r="BU665" s="173">
        <f>IF(AND(Input_Product=Elig!$C665,Elig_MatchAll_Ct&lt;22,$BC665=(Elig_MatchAll_Ct-1),AS665=0),P665,0)</f>
        <v>0</v>
      </c>
      <c r="BV665" s="174">
        <f>IF(AND(Input_Product=Elig!$C665,Elig_MatchAll_Ct&lt;22,$BC665=(Elig_MatchAll_Ct-1),AT665=0),Q665,0)</f>
        <v>0</v>
      </c>
      <c r="BW665" s="175">
        <f>IF(AND(Input_Product=Elig!$C665,Elig_MatchAll_Ct&lt;22,$BC665=(Elig_MatchAll_Ct-1),AU665=0),R665,0)</f>
        <v>0</v>
      </c>
      <c r="BX665" s="176">
        <f>IF(AND(Input_Product=Elig!$C665,Elig_MatchAll_Ct&lt;22,$BC665=(Elig_MatchAll_Ct-1),AU665=0),S665,0)</f>
        <v>0</v>
      </c>
      <c r="BY665" s="175">
        <f>IF(AND(Input_Product=Elig!$C665,Elig_MatchAll_Ct&lt;22,$BC665=(Elig_MatchAll_Ct-1),AV665=0),T665,0)</f>
        <v>0</v>
      </c>
      <c r="BZ665" s="176">
        <f>IF(AND(Input_Product=Elig!$C665,Elig_MatchAll_Ct&lt;22,$BC665=(Elig_MatchAll_Ct-1),AV665=0),U665,0)</f>
        <v>0</v>
      </c>
      <c r="CA665" s="175">
        <f>IF(AND(Input_Product=Elig!$C665,Elig_MatchAll_Ct&lt;22,$BC665=(Elig_MatchAll_Ct-1),AW665=0),V665,0)</f>
        <v>0</v>
      </c>
      <c r="CB665" s="176">
        <f>IF(AND(Input_Product=Elig!$C665,Elig_MatchAll_Ct&lt;22,$BC665=(Elig_MatchAll_Ct-1),AW665=0),W665,0)</f>
        <v>0</v>
      </c>
      <c r="CC665" s="175">
        <f>IF(AND(Input_Product=Elig!$C665,Elig_MatchAll_Ct&lt;22,$BC665=(Elig_MatchAll_Ct-1),AX665=0),X665,0)</f>
        <v>0</v>
      </c>
      <c r="CD665" s="176">
        <f>IF(AND(Input_Product=Elig!$C665,Elig_MatchAll_Ct&lt;22,$BC665=(Elig_MatchAll_Ct-1),AX665=0),Y665,0)</f>
        <v>0</v>
      </c>
      <c r="CE665" s="175">
        <f>IF(AND(Input_LTV&lt;=AE665,Input_Product=Elig!$C665,Elig_MatchAll_Ct&lt;22,$BC665=(Elig_MatchAll_Ct-1),AY665=0),Z665,0)</f>
        <v>0</v>
      </c>
      <c r="CF665" s="176">
        <f>IF(AND(Input_LTV&lt;=AE665,Input_Product=Elig!$C665,Elig_MatchAll_Ct&lt;22,$BC665=(Elig_MatchAll_Ct-1),AY665=0),AA665,0)</f>
        <v>0</v>
      </c>
      <c r="CG665" s="175">
        <f>IF(AND(Input_Product=Elig!$C665,Elig_MatchAll_Ct&lt;22,$BC665=(Elig_MatchAll_Ct-1),AZ665=0),AB665,0)</f>
        <v>0</v>
      </c>
      <c r="CH665" s="176">
        <f>IF(AND(Input_Product=Elig!$C665,Elig_MatchAll_Ct&lt;22,$BC665=(Elig_MatchAll_Ct-1),AZ665=0),AC665,0)</f>
        <v>0</v>
      </c>
      <c r="CI665" s="175">
        <f>IF(AND(Input_Product=Elig!$C665,Elig_MatchAll_Ct&lt;22,$BC665=(Elig_MatchAll_Ct-1),BA665=0),AD665,0)</f>
        <v>0</v>
      </c>
      <c r="CJ665" s="176">
        <f>IF(AND(Input_Product=Elig!$C665,Elig_MatchAll_Ct&lt;22,$BC665=(Elig_MatchAll_Ct-1),BA665=0),AE665,0)</f>
        <v>0</v>
      </c>
    </row>
    <row r="666" spans="1:88" ht="10.15" customHeight="1" x14ac:dyDescent="0.25">
      <c r="A666" s="1476" t="s">
        <v>76</v>
      </c>
      <c r="B666" s="1476" t="s">
        <v>2156</v>
      </c>
      <c r="C666" s="1481" t="str">
        <f t="shared" si="204"/>
        <v>Second OO</v>
      </c>
      <c r="D666" s="1480" t="s">
        <v>1338</v>
      </c>
      <c r="E666" s="1480" t="s">
        <v>98</v>
      </c>
      <c r="F666" s="1480" t="s">
        <v>327</v>
      </c>
      <c r="G666" s="1545" t="s">
        <v>469</v>
      </c>
      <c r="H666" s="1482" t="s">
        <v>135</v>
      </c>
      <c r="I666" s="1480" t="s">
        <v>1141</v>
      </c>
      <c r="J666" s="1480" t="s">
        <v>1130</v>
      </c>
      <c r="K666" s="1482" t="s">
        <v>2464</v>
      </c>
      <c r="L666" s="1480" t="s">
        <v>428</v>
      </c>
      <c r="M666" s="1480" t="s">
        <v>1835</v>
      </c>
      <c r="N666" s="1482" t="s">
        <v>82</v>
      </c>
      <c r="O666" s="1480" t="s">
        <v>309</v>
      </c>
      <c r="P666" s="1480" t="s">
        <v>2433</v>
      </c>
      <c r="Q666" s="1480" t="s">
        <v>293</v>
      </c>
      <c r="R666" s="277">
        <v>500000.01</v>
      </c>
      <c r="S666" s="277">
        <v>750000</v>
      </c>
      <c r="T666" s="1480">
        <v>0</v>
      </c>
      <c r="U666" s="1480">
        <f t="shared" si="225"/>
        <v>750000</v>
      </c>
      <c r="V666" s="1480">
        <v>0</v>
      </c>
      <c r="W666" s="1480">
        <v>50</v>
      </c>
      <c r="X666" s="1480">
        <v>0</v>
      </c>
      <c r="Y666" s="1480">
        <v>999</v>
      </c>
      <c r="Z666" s="1483">
        <v>660</v>
      </c>
      <c r="AA666" s="1483">
        <v>679</v>
      </c>
      <c r="AB666" s="1483">
        <v>0</v>
      </c>
      <c r="AC666" s="1483">
        <v>999999</v>
      </c>
      <c r="AD666" s="1480">
        <v>0</v>
      </c>
      <c r="AE666" s="1220">
        <v>60</v>
      </c>
      <c r="AF666" s="144">
        <v>0</v>
      </c>
      <c r="AG666" s="145">
        <v>1</v>
      </c>
      <c r="AH666" s="145">
        <v>1</v>
      </c>
      <c r="AI666" s="145">
        <v>0</v>
      </c>
      <c r="AJ666" s="145">
        <v>0</v>
      </c>
      <c r="AK666" s="145">
        <v>1</v>
      </c>
      <c r="AL666" s="145">
        <v>1</v>
      </c>
      <c r="AM666" s="145">
        <v>1</v>
      </c>
      <c r="AN666" s="145">
        <v>1</v>
      </c>
      <c r="AO666" s="145">
        <v>1</v>
      </c>
      <c r="AP666" s="145">
        <v>1</v>
      </c>
      <c r="AQ666" s="145">
        <v>0</v>
      </c>
      <c r="AR666" s="145">
        <v>1</v>
      </c>
      <c r="AS666" s="145">
        <v>1</v>
      </c>
      <c r="AT666" s="145">
        <v>1</v>
      </c>
      <c r="AU666" s="145">
        <f t="shared" si="219"/>
        <v>0</v>
      </c>
      <c r="AV666" s="145">
        <f t="shared" si="220"/>
        <v>1</v>
      </c>
      <c r="AW666" s="145">
        <f t="shared" si="221"/>
        <v>1</v>
      </c>
      <c r="AX666" s="145">
        <f t="shared" si="226"/>
        <v>1</v>
      </c>
      <c r="AY666" s="145">
        <f t="shared" si="222"/>
        <v>0</v>
      </c>
      <c r="AZ666" s="145">
        <f t="shared" si="223"/>
        <v>1</v>
      </c>
      <c r="BA666" s="146">
        <f t="shared" si="224"/>
        <v>0</v>
      </c>
      <c r="BB666" s="149">
        <f t="shared" si="228"/>
        <v>15</v>
      </c>
      <c r="BC666" s="150">
        <f t="shared" si="229"/>
        <v>15</v>
      </c>
      <c r="BD666" s="150">
        <f t="shared" si="230"/>
        <v>15</v>
      </c>
      <c r="BE666" s="211" t="str">
        <f t="shared" si="231"/>
        <v/>
      </c>
      <c r="BF666" s="205"/>
      <c r="BG666" s="205"/>
      <c r="BH666" s="188">
        <f>IF(AND(Input_Product=Elig!$C666,Elig_MatchAll_Ct&lt;22,$BC666=(Elig_MatchAll_Ct-1),AF666=0),C666,0)</f>
        <v>0</v>
      </c>
      <c r="BI666" s="188">
        <f>IF(AND(Input_Product=Elig!$C666,Elig_MatchAll_Ct&lt;22,$BC666=(Elig_MatchAll_Ct-1),AG666=0),D666,0)</f>
        <v>0</v>
      </c>
      <c r="BJ666" s="188">
        <f>IF(AND(Input_Product=Elig!$C666,Elig_MatchAll_Ct&lt;22,$BC666=(Elig_MatchAll_Ct-1),AH666=0),E666,0)</f>
        <v>0</v>
      </c>
      <c r="BK666" s="188">
        <f>IF(AND(Input_Product=Elig!$C666,Elig_MatchAll_Ct&lt;22,$BC666=(Elig_MatchAll_Ct-1),AI666=0),F666,0)</f>
        <v>0</v>
      </c>
      <c r="BL666" s="188">
        <f>IF(AND(Input_Product=Elig!$C666,Elig_MatchAll_Ct&lt;22,$BC666=(Elig_MatchAll_Ct-1),AJ666=0),G666,0)</f>
        <v>0</v>
      </c>
      <c r="BM666" s="188">
        <f>IF(AND(Input_Product=Elig!$C666,Elig_MatchAll_Ct&lt;22,$BC666=(Elig_MatchAll_Ct-1),AK666=0),H666,0)</f>
        <v>0</v>
      </c>
      <c r="BN666" s="188">
        <f>IF(AND(Input_Product=Elig!$C666,Elig_MatchAll_Ct&lt;22,$BC666=(Elig_MatchAll_Ct-1),AL666=0),I666,0)</f>
        <v>0</v>
      </c>
      <c r="BO666" s="188">
        <f>IF(AND(Input_Product=Elig!$C666,Elig_MatchAll_Ct&lt;22,$BC666=(Elig_MatchAll_Ct-1),AM666=0),J666,0)</f>
        <v>0</v>
      </c>
      <c r="BP666" s="188">
        <f>IF(AND(Input_Product=Elig!$C666,Elig_MatchAll_Ct&lt;22,$BC666=(Elig_MatchAll_Ct-1),AN666=0),K666,0)</f>
        <v>0</v>
      </c>
      <c r="BQ666" s="188">
        <f>IF(AND(Input_Product=Elig!$C666,Elig_MatchAll_Ct&lt;22,$BC666=(Elig_MatchAll_Ct-1),AP666=0),L666,0)</f>
        <v>0</v>
      </c>
      <c r="BR666" s="188">
        <f>IF(AND(Input_Product=Elig!$C666,Elig_MatchAll_Ct&lt;22,$BC666=(Elig_MatchAll_Ct-1),AO666=0),M666,0)</f>
        <v>0</v>
      </c>
      <c r="BS666" s="188">
        <f>IF(AND(Input_Product=Elig!$C666,Elig_MatchAll_Ct&lt;22,$BC666=(Elig_MatchAll_Ct-1),AQ666=0),N666,0)</f>
        <v>0</v>
      </c>
      <c r="BT666" s="188">
        <f>IF(AND(Input_Product=Elig!$C666,Elig_MatchAll_Ct&lt;22,$BC666=(Elig_MatchAll_Ct-1),AR666=0),O666,0)</f>
        <v>0</v>
      </c>
      <c r="BU666" s="188">
        <f>IF(AND(Input_Product=Elig!$C666,Elig_MatchAll_Ct&lt;22,$BC666=(Elig_MatchAll_Ct-1),AS666=0),P666,0)</f>
        <v>0</v>
      </c>
      <c r="BV666" s="189">
        <f>IF(AND(Input_Product=Elig!$C666,Elig_MatchAll_Ct&lt;22,$BC666=(Elig_MatchAll_Ct-1),AT666=0),Q666,0)</f>
        <v>0</v>
      </c>
      <c r="BW666" s="271">
        <f>IF(AND(Input_Product=Elig!$C666,Elig_MatchAll_Ct&lt;22,$BC666=(Elig_MatchAll_Ct-1),AU666=0),R666,0)</f>
        <v>0</v>
      </c>
      <c r="BX666" s="272">
        <f>IF(AND(Input_Product=Elig!$C666,Elig_MatchAll_Ct&lt;22,$BC666=(Elig_MatchAll_Ct-1),AU666=0),S666,0)</f>
        <v>0</v>
      </c>
      <c r="BY666" s="271">
        <f>IF(AND(Input_Product=Elig!$C666,Elig_MatchAll_Ct&lt;22,$BC666=(Elig_MatchAll_Ct-1),AV666=0),T666,0)</f>
        <v>0</v>
      </c>
      <c r="BZ666" s="272">
        <f>IF(AND(Input_Product=Elig!$C666,Elig_MatchAll_Ct&lt;22,$BC666=(Elig_MatchAll_Ct-1),AV666=0),U666,0)</f>
        <v>0</v>
      </c>
      <c r="CA666" s="271">
        <f>IF(AND(Input_Product=Elig!$C666,Elig_MatchAll_Ct&lt;22,$BC666=(Elig_MatchAll_Ct-1),AW666=0),V666,0)</f>
        <v>0</v>
      </c>
      <c r="CB666" s="272">
        <f>IF(AND(Input_Product=Elig!$C666,Elig_MatchAll_Ct&lt;22,$BC666=(Elig_MatchAll_Ct-1),AW666=0),W666,0)</f>
        <v>0</v>
      </c>
      <c r="CC666" s="271">
        <f>IF(AND(Input_Product=Elig!$C666,Elig_MatchAll_Ct&lt;22,$BC666=(Elig_MatchAll_Ct-1),AX666=0),X666,0)</f>
        <v>0</v>
      </c>
      <c r="CD666" s="272">
        <f>IF(AND(Input_Product=Elig!$C666,Elig_MatchAll_Ct&lt;22,$BC666=(Elig_MatchAll_Ct-1),AX666=0),Y666,0)</f>
        <v>0</v>
      </c>
      <c r="CE666" s="271">
        <f>IF(AND(Input_LTV&lt;=AE666,Input_Product=Elig!$C666,Elig_MatchAll_Ct&lt;22,$BC666=(Elig_MatchAll_Ct-1),AY666=0),Z666,0)</f>
        <v>0</v>
      </c>
      <c r="CF666" s="272">
        <f>IF(AND(Input_LTV&lt;=AE666,Input_Product=Elig!$C666,Elig_MatchAll_Ct&lt;22,$BC666=(Elig_MatchAll_Ct-1),AY666=0),AA666,0)</f>
        <v>0</v>
      </c>
      <c r="CG666" s="271">
        <f>IF(AND(Input_Product=Elig!$C666,Elig_MatchAll_Ct&lt;22,$BC666=(Elig_MatchAll_Ct-1),AZ666=0),AB666,0)</f>
        <v>0</v>
      </c>
      <c r="CH666" s="272">
        <f>IF(AND(Input_Product=Elig!$C666,Elig_MatchAll_Ct&lt;22,$BC666=(Elig_MatchAll_Ct-1),AZ666=0),AC666,0)</f>
        <v>0</v>
      </c>
      <c r="CI666" s="271">
        <f>IF(AND(Input_Product=Elig!$C666,Elig_MatchAll_Ct&lt;22,$BC666=(Elig_MatchAll_Ct-1),BA666=0),AD666,0)</f>
        <v>0</v>
      </c>
      <c r="CJ666" s="272">
        <f>IF(AND(Input_Product=Elig!$C666,Elig_MatchAll_Ct&lt;22,$BC666=(Elig_MatchAll_Ct-1),BA666=0),AE666,0)</f>
        <v>0</v>
      </c>
    </row>
    <row r="667" spans="1:88" ht="10.15" customHeight="1" x14ac:dyDescent="0.25">
      <c r="A667" s="1476" t="s">
        <v>76</v>
      </c>
      <c r="B667" s="1476" t="s">
        <v>2157</v>
      </c>
      <c r="C667" s="1473" t="str">
        <f t="shared" si="204"/>
        <v>Second OO</v>
      </c>
      <c r="D667" s="1474" t="s">
        <v>1338</v>
      </c>
      <c r="E667" s="1474" t="s">
        <v>98</v>
      </c>
      <c r="F667" s="1474" t="s">
        <v>327</v>
      </c>
      <c r="G667" s="1474" t="s">
        <v>178</v>
      </c>
      <c r="H667" s="1474" t="s">
        <v>135</v>
      </c>
      <c r="I667" s="1472" t="s">
        <v>1141</v>
      </c>
      <c r="J667" s="1472" t="s">
        <v>1130</v>
      </c>
      <c r="K667" s="1474" t="s">
        <v>2464</v>
      </c>
      <c r="L667" s="1472" t="s">
        <v>428</v>
      </c>
      <c r="M667" s="1472" t="s">
        <v>1835</v>
      </c>
      <c r="N667" s="1474" t="s">
        <v>82</v>
      </c>
      <c r="O667" s="1472" t="s">
        <v>309</v>
      </c>
      <c r="P667" s="1472" t="s">
        <v>2433</v>
      </c>
      <c r="Q667" s="1472" t="s">
        <v>293</v>
      </c>
      <c r="R667" s="276">
        <v>500000.01</v>
      </c>
      <c r="S667" s="276">
        <v>750000</v>
      </c>
      <c r="T667" s="1472">
        <v>0</v>
      </c>
      <c r="U667" s="1472">
        <f t="shared" si="225"/>
        <v>750000</v>
      </c>
      <c r="V667" s="1472">
        <v>0</v>
      </c>
      <c r="W667" s="1472">
        <v>50</v>
      </c>
      <c r="X667" s="1472">
        <v>0</v>
      </c>
      <c r="Y667" s="1472">
        <v>999</v>
      </c>
      <c r="Z667" s="1475">
        <v>720</v>
      </c>
      <c r="AA667" s="1475">
        <v>999</v>
      </c>
      <c r="AB667" s="1475">
        <v>0</v>
      </c>
      <c r="AC667" s="1475">
        <v>999999</v>
      </c>
      <c r="AD667" s="1472">
        <v>0</v>
      </c>
      <c r="AE667" s="1218">
        <v>70</v>
      </c>
      <c r="AF667" s="144">
        <v>0</v>
      </c>
      <c r="AG667" s="145">
        <v>1</v>
      </c>
      <c r="AH667" s="145">
        <v>1</v>
      </c>
      <c r="AI667" s="145">
        <v>0</v>
      </c>
      <c r="AJ667" s="145">
        <v>0</v>
      </c>
      <c r="AK667" s="145">
        <v>1</v>
      </c>
      <c r="AL667" s="145">
        <v>1</v>
      </c>
      <c r="AM667" s="145">
        <v>1</v>
      </c>
      <c r="AN667" s="145">
        <v>1</v>
      </c>
      <c r="AO667" s="145">
        <v>1</v>
      </c>
      <c r="AP667" s="145">
        <v>1</v>
      </c>
      <c r="AQ667" s="145">
        <v>0</v>
      </c>
      <c r="AR667" s="145">
        <v>1</v>
      </c>
      <c r="AS667" s="145">
        <v>1</v>
      </c>
      <c r="AT667" s="145">
        <v>1</v>
      </c>
      <c r="AU667" s="145">
        <f t="shared" si="219"/>
        <v>0</v>
      </c>
      <c r="AV667" s="145">
        <f t="shared" si="220"/>
        <v>1</v>
      </c>
      <c r="AW667" s="145">
        <f t="shared" si="221"/>
        <v>1</v>
      </c>
      <c r="AX667" s="145">
        <f t="shared" si="226"/>
        <v>1</v>
      </c>
      <c r="AY667" s="145">
        <f t="shared" si="222"/>
        <v>1</v>
      </c>
      <c r="AZ667" s="145">
        <f t="shared" si="223"/>
        <v>1</v>
      </c>
      <c r="BA667" s="146">
        <f t="shared" si="224"/>
        <v>1</v>
      </c>
      <c r="BB667" s="149">
        <f t="shared" si="228"/>
        <v>17</v>
      </c>
      <c r="BC667" s="150">
        <f t="shared" si="229"/>
        <v>16</v>
      </c>
      <c r="BD667" s="150">
        <f t="shared" si="230"/>
        <v>17</v>
      </c>
      <c r="BE667" s="211" t="str">
        <f t="shared" si="231"/>
        <v/>
      </c>
      <c r="BF667" s="194"/>
      <c r="BG667" s="194"/>
      <c r="BH667" s="190">
        <f>IF(AND(Input_Product=Elig!$C667,Elig_MatchAll_Ct&lt;22,$BC667=(Elig_MatchAll_Ct-1),AF667=0),C667,0)</f>
        <v>0</v>
      </c>
      <c r="BI667" s="190">
        <f>IF(AND(Input_Product=Elig!$C667,Elig_MatchAll_Ct&lt;22,$BC667=(Elig_MatchAll_Ct-1),AG667=0),D667,0)</f>
        <v>0</v>
      </c>
      <c r="BJ667" s="190">
        <f>IF(AND(Input_Product=Elig!$C667,Elig_MatchAll_Ct&lt;22,$BC667=(Elig_MatchAll_Ct-1),AH667=0),E667,0)</f>
        <v>0</v>
      </c>
      <c r="BK667" s="190">
        <f>IF(AND(Input_Product=Elig!$C667,Elig_MatchAll_Ct&lt;22,$BC667=(Elig_MatchAll_Ct-1),AI667=0),F667,0)</f>
        <v>0</v>
      </c>
      <c r="BL667" s="190">
        <f>IF(AND(Input_Product=Elig!$C667,Elig_MatchAll_Ct&lt;22,$BC667=(Elig_MatchAll_Ct-1),AJ667=0),G667,0)</f>
        <v>0</v>
      </c>
      <c r="BM667" s="190">
        <f>IF(AND(Input_Product=Elig!$C667,Elig_MatchAll_Ct&lt;22,$BC667=(Elig_MatchAll_Ct-1),AK667=0),H667,0)</f>
        <v>0</v>
      </c>
      <c r="BN667" s="190">
        <f>IF(AND(Input_Product=Elig!$C667,Elig_MatchAll_Ct&lt;22,$BC667=(Elig_MatchAll_Ct-1),AL667=0),I667,0)</f>
        <v>0</v>
      </c>
      <c r="BO667" s="190">
        <f>IF(AND(Input_Product=Elig!$C667,Elig_MatchAll_Ct&lt;22,$BC667=(Elig_MatchAll_Ct-1),AM667=0),J667,0)</f>
        <v>0</v>
      </c>
      <c r="BP667" s="190">
        <f>IF(AND(Input_Product=Elig!$C667,Elig_MatchAll_Ct&lt;22,$BC667=(Elig_MatchAll_Ct-1),AN667=0),K667,0)</f>
        <v>0</v>
      </c>
      <c r="BQ667" s="190">
        <f>IF(AND(Input_Product=Elig!$C667,Elig_MatchAll_Ct&lt;22,$BC667=(Elig_MatchAll_Ct-1),AP667=0),L667,0)</f>
        <v>0</v>
      </c>
      <c r="BR667" s="190">
        <f>IF(AND(Input_Product=Elig!$C667,Elig_MatchAll_Ct&lt;22,$BC667=(Elig_MatchAll_Ct-1),AO667=0),M667,0)</f>
        <v>0</v>
      </c>
      <c r="BS667" s="190">
        <f>IF(AND(Input_Product=Elig!$C667,Elig_MatchAll_Ct&lt;22,$BC667=(Elig_MatchAll_Ct-1),AQ667=0),N667,0)</f>
        <v>0</v>
      </c>
      <c r="BT667" s="190">
        <f>IF(AND(Input_Product=Elig!$C667,Elig_MatchAll_Ct&lt;22,$BC667=(Elig_MatchAll_Ct-1),AR667=0),O667,0)</f>
        <v>0</v>
      </c>
      <c r="BU667" s="190">
        <f>IF(AND(Input_Product=Elig!$C667,Elig_MatchAll_Ct&lt;22,$BC667=(Elig_MatchAll_Ct-1),AS667=0),P667,0)</f>
        <v>0</v>
      </c>
      <c r="BV667" s="191">
        <f>IF(AND(Input_Product=Elig!$C667,Elig_MatchAll_Ct&lt;22,$BC667=(Elig_MatchAll_Ct-1),AT667=0),Q667,0)</f>
        <v>0</v>
      </c>
      <c r="BW667" s="273">
        <f>IF(AND(Input_Product=Elig!$C667,Elig_MatchAll_Ct&lt;22,$BC667=(Elig_MatchAll_Ct-1),AU667=0),R667,0)</f>
        <v>0</v>
      </c>
      <c r="BX667" s="274">
        <f>IF(AND(Input_Product=Elig!$C667,Elig_MatchAll_Ct&lt;22,$BC667=(Elig_MatchAll_Ct-1),AU667=0),S667,0)</f>
        <v>0</v>
      </c>
      <c r="BY667" s="273">
        <f>IF(AND(Input_Product=Elig!$C667,Elig_MatchAll_Ct&lt;22,$BC667=(Elig_MatchAll_Ct-1),AV667=0),T667,0)</f>
        <v>0</v>
      </c>
      <c r="BZ667" s="274">
        <f>IF(AND(Input_Product=Elig!$C667,Elig_MatchAll_Ct&lt;22,$BC667=(Elig_MatchAll_Ct-1),AV667=0),U667,0)</f>
        <v>0</v>
      </c>
      <c r="CA667" s="273">
        <f>IF(AND(Input_Product=Elig!$C667,Elig_MatchAll_Ct&lt;22,$BC667=(Elig_MatchAll_Ct-1),AW667=0),V667,0)</f>
        <v>0</v>
      </c>
      <c r="CB667" s="274">
        <f>IF(AND(Input_Product=Elig!$C667,Elig_MatchAll_Ct&lt;22,$BC667=(Elig_MatchAll_Ct-1),AW667=0),W667,0)</f>
        <v>0</v>
      </c>
      <c r="CC667" s="273">
        <f>IF(AND(Input_Product=Elig!$C667,Elig_MatchAll_Ct&lt;22,$BC667=(Elig_MatchAll_Ct-1),AX667=0),X667,0)</f>
        <v>0</v>
      </c>
      <c r="CD667" s="274">
        <f>IF(AND(Input_Product=Elig!$C667,Elig_MatchAll_Ct&lt;22,$BC667=(Elig_MatchAll_Ct-1),AX667=0),Y667,0)</f>
        <v>0</v>
      </c>
      <c r="CE667" s="273">
        <f>IF(AND(Input_LTV&lt;=AE667,Input_Product=Elig!$C667,Elig_MatchAll_Ct&lt;22,$BC667=(Elig_MatchAll_Ct-1),AY667=0),Z667,0)</f>
        <v>0</v>
      </c>
      <c r="CF667" s="274">
        <f>IF(AND(Input_LTV&lt;=AE667,Input_Product=Elig!$C667,Elig_MatchAll_Ct&lt;22,$BC667=(Elig_MatchAll_Ct-1),AY667=0),AA667,0)</f>
        <v>0</v>
      </c>
      <c r="CG667" s="273">
        <f>IF(AND(Input_Product=Elig!$C667,Elig_MatchAll_Ct&lt;22,$BC667=(Elig_MatchAll_Ct-1),AZ667=0),AB667,0)</f>
        <v>0</v>
      </c>
      <c r="CH667" s="274">
        <f>IF(AND(Input_Product=Elig!$C667,Elig_MatchAll_Ct&lt;22,$BC667=(Elig_MatchAll_Ct-1),AZ667=0),AC667,0)</f>
        <v>0</v>
      </c>
      <c r="CI667" s="273">
        <f>IF(AND(Input_Product=Elig!$C667,Elig_MatchAll_Ct&lt;22,$BC667=(Elig_MatchAll_Ct-1),BA667=0),AD667,0)</f>
        <v>0</v>
      </c>
      <c r="CJ667" s="274">
        <f>IF(AND(Input_Product=Elig!$C667,Elig_MatchAll_Ct&lt;22,$BC667=(Elig_MatchAll_Ct-1),BA667=0),AE667,0)</f>
        <v>0</v>
      </c>
    </row>
    <row r="668" spans="1:88" ht="10.15" customHeight="1" x14ac:dyDescent="0.25">
      <c r="A668" s="1476" t="s">
        <v>76</v>
      </c>
      <c r="B668" s="1476" t="s">
        <v>2158</v>
      </c>
      <c r="C668" s="1477" t="str">
        <f t="shared" si="204"/>
        <v>Second OO</v>
      </c>
      <c r="D668" s="1476" t="s">
        <v>1338</v>
      </c>
      <c r="E668" s="1476" t="s">
        <v>98</v>
      </c>
      <c r="F668" s="1476" t="s">
        <v>327</v>
      </c>
      <c r="G668" s="1478" t="s">
        <v>178</v>
      </c>
      <c r="H668" s="1478" t="s">
        <v>135</v>
      </c>
      <c r="I668" s="1476" t="s">
        <v>1141</v>
      </c>
      <c r="J668" s="1476" t="s">
        <v>1130</v>
      </c>
      <c r="K668" s="1478" t="s">
        <v>2464</v>
      </c>
      <c r="L668" s="1476" t="s">
        <v>428</v>
      </c>
      <c r="M668" s="1476" t="s">
        <v>1835</v>
      </c>
      <c r="N668" s="1478" t="s">
        <v>82</v>
      </c>
      <c r="O668" s="1476" t="s">
        <v>309</v>
      </c>
      <c r="P668" s="1476" t="s">
        <v>2433</v>
      </c>
      <c r="Q668" s="1476" t="s">
        <v>293</v>
      </c>
      <c r="R668" s="261">
        <v>500000.01</v>
      </c>
      <c r="S668" s="261">
        <v>750000</v>
      </c>
      <c r="T668" s="1476">
        <v>0</v>
      </c>
      <c r="U668" s="1476">
        <f t="shared" si="225"/>
        <v>750000</v>
      </c>
      <c r="V668" s="1476">
        <v>0</v>
      </c>
      <c r="W668" s="1476">
        <v>50</v>
      </c>
      <c r="X668" s="1476">
        <v>0</v>
      </c>
      <c r="Y668" s="1476">
        <v>999</v>
      </c>
      <c r="Z668" s="1479">
        <v>700</v>
      </c>
      <c r="AA668" s="1479">
        <v>719</v>
      </c>
      <c r="AB668" s="1479">
        <v>0</v>
      </c>
      <c r="AC668" s="1479">
        <v>999999</v>
      </c>
      <c r="AD668" s="1476">
        <v>0</v>
      </c>
      <c r="AE668" s="1219">
        <v>65</v>
      </c>
      <c r="AF668" s="144">
        <v>0</v>
      </c>
      <c r="AG668" s="145">
        <v>1</v>
      </c>
      <c r="AH668" s="145">
        <v>1</v>
      </c>
      <c r="AI668" s="145">
        <v>0</v>
      </c>
      <c r="AJ668" s="145">
        <v>0</v>
      </c>
      <c r="AK668" s="145">
        <v>1</v>
      </c>
      <c r="AL668" s="145">
        <v>1</v>
      </c>
      <c r="AM668" s="145">
        <v>1</v>
      </c>
      <c r="AN668" s="145">
        <v>1</v>
      </c>
      <c r="AO668" s="145">
        <v>1</v>
      </c>
      <c r="AP668" s="145">
        <v>1</v>
      </c>
      <c r="AQ668" s="145">
        <v>0</v>
      </c>
      <c r="AR668" s="145">
        <v>1</v>
      </c>
      <c r="AS668" s="145">
        <v>1</v>
      </c>
      <c r="AT668" s="145">
        <v>1</v>
      </c>
      <c r="AU668" s="145">
        <f t="shared" si="219"/>
        <v>0</v>
      </c>
      <c r="AV668" s="145">
        <f t="shared" si="220"/>
        <v>1</v>
      </c>
      <c r="AW668" s="145">
        <f t="shared" si="221"/>
        <v>1</v>
      </c>
      <c r="AX668" s="145">
        <f t="shared" si="226"/>
        <v>1</v>
      </c>
      <c r="AY668" s="145">
        <f t="shared" si="222"/>
        <v>0</v>
      </c>
      <c r="AZ668" s="145">
        <f t="shared" si="223"/>
        <v>1</v>
      </c>
      <c r="BA668" s="146">
        <f t="shared" si="224"/>
        <v>0</v>
      </c>
      <c r="BB668" s="149">
        <f t="shared" si="228"/>
        <v>15</v>
      </c>
      <c r="BC668" s="150">
        <f t="shared" si="229"/>
        <v>15</v>
      </c>
      <c r="BD668" s="150">
        <f t="shared" si="230"/>
        <v>15</v>
      </c>
      <c r="BE668" s="211" t="str">
        <f t="shared" si="231"/>
        <v/>
      </c>
      <c r="BF668" s="205"/>
      <c r="BG668" s="205"/>
      <c r="BH668" s="173">
        <f>IF(AND(Input_Product=Elig!$C668,Elig_MatchAll_Ct&lt;22,$BC668=(Elig_MatchAll_Ct-1),AF668=0),C668,0)</f>
        <v>0</v>
      </c>
      <c r="BI668" s="173">
        <f>IF(AND(Input_Product=Elig!$C668,Elig_MatchAll_Ct&lt;22,$BC668=(Elig_MatchAll_Ct-1),AG668=0),D668,0)</f>
        <v>0</v>
      </c>
      <c r="BJ668" s="173">
        <f>IF(AND(Input_Product=Elig!$C668,Elig_MatchAll_Ct&lt;22,$BC668=(Elig_MatchAll_Ct-1),AH668=0),E668,0)</f>
        <v>0</v>
      </c>
      <c r="BK668" s="173">
        <f>IF(AND(Input_Product=Elig!$C668,Elig_MatchAll_Ct&lt;22,$BC668=(Elig_MatchAll_Ct-1),AI668=0),F668,0)</f>
        <v>0</v>
      </c>
      <c r="BL668" s="173">
        <f>IF(AND(Input_Product=Elig!$C668,Elig_MatchAll_Ct&lt;22,$BC668=(Elig_MatchAll_Ct-1),AJ668=0),G668,0)</f>
        <v>0</v>
      </c>
      <c r="BM668" s="173">
        <f>IF(AND(Input_Product=Elig!$C668,Elig_MatchAll_Ct&lt;22,$BC668=(Elig_MatchAll_Ct-1),AK668=0),H668,0)</f>
        <v>0</v>
      </c>
      <c r="BN668" s="173">
        <f>IF(AND(Input_Product=Elig!$C668,Elig_MatchAll_Ct&lt;22,$BC668=(Elig_MatchAll_Ct-1),AL668=0),I668,0)</f>
        <v>0</v>
      </c>
      <c r="BO668" s="173">
        <f>IF(AND(Input_Product=Elig!$C668,Elig_MatchAll_Ct&lt;22,$BC668=(Elig_MatchAll_Ct-1),AM668=0),J668,0)</f>
        <v>0</v>
      </c>
      <c r="BP668" s="173">
        <f>IF(AND(Input_Product=Elig!$C668,Elig_MatchAll_Ct&lt;22,$BC668=(Elig_MatchAll_Ct-1),AN668=0),K668,0)</f>
        <v>0</v>
      </c>
      <c r="BQ668" s="173">
        <f>IF(AND(Input_Product=Elig!$C668,Elig_MatchAll_Ct&lt;22,$BC668=(Elig_MatchAll_Ct-1),AP668=0),L668,0)</f>
        <v>0</v>
      </c>
      <c r="BR668" s="173">
        <f>IF(AND(Input_Product=Elig!$C668,Elig_MatchAll_Ct&lt;22,$BC668=(Elig_MatchAll_Ct-1),AO668=0),M668,0)</f>
        <v>0</v>
      </c>
      <c r="BS668" s="173">
        <f>IF(AND(Input_Product=Elig!$C668,Elig_MatchAll_Ct&lt;22,$BC668=(Elig_MatchAll_Ct-1),AQ668=0),N668,0)</f>
        <v>0</v>
      </c>
      <c r="BT668" s="173">
        <f>IF(AND(Input_Product=Elig!$C668,Elig_MatchAll_Ct&lt;22,$BC668=(Elig_MatchAll_Ct-1),AR668=0),O668,0)</f>
        <v>0</v>
      </c>
      <c r="BU668" s="173">
        <f>IF(AND(Input_Product=Elig!$C668,Elig_MatchAll_Ct&lt;22,$BC668=(Elig_MatchAll_Ct-1),AS668=0),P668,0)</f>
        <v>0</v>
      </c>
      <c r="BV668" s="174">
        <f>IF(AND(Input_Product=Elig!$C668,Elig_MatchAll_Ct&lt;22,$BC668=(Elig_MatchAll_Ct-1),AT668=0),Q668,0)</f>
        <v>0</v>
      </c>
      <c r="BW668" s="175">
        <f>IF(AND(Input_Product=Elig!$C668,Elig_MatchAll_Ct&lt;22,$BC668=(Elig_MatchAll_Ct-1),AU668=0),R668,0)</f>
        <v>0</v>
      </c>
      <c r="BX668" s="176">
        <f>IF(AND(Input_Product=Elig!$C668,Elig_MatchAll_Ct&lt;22,$BC668=(Elig_MatchAll_Ct-1),AU668=0),S668,0)</f>
        <v>0</v>
      </c>
      <c r="BY668" s="175">
        <f>IF(AND(Input_Product=Elig!$C668,Elig_MatchAll_Ct&lt;22,$BC668=(Elig_MatchAll_Ct-1),AV668=0),T668,0)</f>
        <v>0</v>
      </c>
      <c r="BZ668" s="176">
        <f>IF(AND(Input_Product=Elig!$C668,Elig_MatchAll_Ct&lt;22,$BC668=(Elig_MatchAll_Ct-1),AV668=0),U668,0)</f>
        <v>0</v>
      </c>
      <c r="CA668" s="175">
        <f>IF(AND(Input_Product=Elig!$C668,Elig_MatchAll_Ct&lt;22,$BC668=(Elig_MatchAll_Ct-1),AW668=0),V668,0)</f>
        <v>0</v>
      </c>
      <c r="CB668" s="176">
        <f>IF(AND(Input_Product=Elig!$C668,Elig_MatchAll_Ct&lt;22,$BC668=(Elig_MatchAll_Ct-1),AW668=0),W668,0)</f>
        <v>0</v>
      </c>
      <c r="CC668" s="175">
        <f>IF(AND(Input_Product=Elig!$C668,Elig_MatchAll_Ct&lt;22,$BC668=(Elig_MatchAll_Ct-1),AX668=0),X668,0)</f>
        <v>0</v>
      </c>
      <c r="CD668" s="176">
        <f>IF(AND(Input_Product=Elig!$C668,Elig_MatchAll_Ct&lt;22,$BC668=(Elig_MatchAll_Ct-1),AX668=0),Y668,0)</f>
        <v>0</v>
      </c>
      <c r="CE668" s="175">
        <f>IF(AND(Input_LTV&lt;=AE668,Input_Product=Elig!$C668,Elig_MatchAll_Ct&lt;22,$BC668=(Elig_MatchAll_Ct-1),AY668=0),Z668,0)</f>
        <v>0</v>
      </c>
      <c r="CF668" s="176">
        <f>IF(AND(Input_LTV&lt;=AE668,Input_Product=Elig!$C668,Elig_MatchAll_Ct&lt;22,$BC668=(Elig_MatchAll_Ct-1),AY668=0),AA668,0)</f>
        <v>0</v>
      </c>
      <c r="CG668" s="175">
        <f>IF(AND(Input_Product=Elig!$C668,Elig_MatchAll_Ct&lt;22,$BC668=(Elig_MatchAll_Ct-1),AZ668=0),AB668,0)</f>
        <v>0</v>
      </c>
      <c r="CH668" s="176">
        <f>IF(AND(Input_Product=Elig!$C668,Elig_MatchAll_Ct&lt;22,$BC668=(Elig_MatchAll_Ct-1),AZ668=0),AC668,0)</f>
        <v>0</v>
      </c>
      <c r="CI668" s="175">
        <f>IF(AND(Input_Product=Elig!$C668,Elig_MatchAll_Ct&lt;22,$BC668=(Elig_MatchAll_Ct-1),BA668=0),AD668,0)</f>
        <v>0</v>
      </c>
      <c r="CJ668" s="176">
        <f>IF(AND(Input_Product=Elig!$C668,Elig_MatchAll_Ct&lt;22,$BC668=(Elig_MatchAll_Ct-1),BA668=0),AE668,0)</f>
        <v>0</v>
      </c>
    </row>
    <row r="669" spans="1:88" ht="10.15" customHeight="1" x14ac:dyDescent="0.25">
      <c r="A669" s="1476" t="s">
        <v>76</v>
      </c>
      <c r="B669" s="1476" t="s">
        <v>2159</v>
      </c>
      <c r="C669" s="1477" t="str">
        <f t="shared" si="204"/>
        <v>Second OO</v>
      </c>
      <c r="D669" s="1476" t="s">
        <v>1338</v>
      </c>
      <c r="E669" s="1476" t="s">
        <v>98</v>
      </c>
      <c r="F669" s="1476" t="s">
        <v>327</v>
      </c>
      <c r="G669" s="1478" t="s">
        <v>178</v>
      </c>
      <c r="H669" s="1478" t="s">
        <v>135</v>
      </c>
      <c r="I669" s="1476" t="s">
        <v>1141</v>
      </c>
      <c r="J669" s="1476" t="s">
        <v>1130</v>
      </c>
      <c r="K669" s="1478" t="s">
        <v>2464</v>
      </c>
      <c r="L669" s="1476" t="s">
        <v>428</v>
      </c>
      <c r="M669" s="1476" t="s">
        <v>1835</v>
      </c>
      <c r="N669" s="1478" t="s">
        <v>82</v>
      </c>
      <c r="O669" s="1476" t="s">
        <v>309</v>
      </c>
      <c r="P669" s="1476" t="s">
        <v>2433</v>
      </c>
      <c r="Q669" s="1476" t="s">
        <v>293</v>
      </c>
      <c r="R669" s="261">
        <v>500000.01</v>
      </c>
      <c r="S669" s="261">
        <v>750000</v>
      </c>
      <c r="T669" s="1476">
        <v>0</v>
      </c>
      <c r="U669" s="1476">
        <f t="shared" si="225"/>
        <v>750000</v>
      </c>
      <c r="V669" s="1476">
        <v>0</v>
      </c>
      <c r="W669" s="1476">
        <v>50</v>
      </c>
      <c r="X669" s="1476">
        <v>0</v>
      </c>
      <c r="Y669" s="1476">
        <v>999</v>
      </c>
      <c r="Z669" s="1479">
        <v>680</v>
      </c>
      <c r="AA669" s="1479">
        <v>699</v>
      </c>
      <c r="AB669" s="1479">
        <v>0</v>
      </c>
      <c r="AC669" s="1479">
        <v>999999</v>
      </c>
      <c r="AD669" s="1476">
        <v>0</v>
      </c>
      <c r="AE669" s="1219">
        <v>60</v>
      </c>
      <c r="AF669" s="144">
        <v>0</v>
      </c>
      <c r="AG669" s="145">
        <v>1</v>
      </c>
      <c r="AH669" s="145">
        <v>1</v>
      </c>
      <c r="AI669" s="145">
        <v>0</v>
      </c>
      <c r="AJ669" s="145">
        <v>0</v>
      </c>
      <c r="AK669" s="145">
        <v>1</v>
      </c>
      <c r="AL669" s="145">
        <v>1</v>
      </c>
      <c r="AM669" s="145">
        <v>1</v>
      </c>
      <c r="AN669" s="145">
        <v>1</v>
      </c>
      <c r="AO669" s="145">
        <v>1</v>
      </c>
      <c r="AP669" s="145">
        <v>1</v>
      </c>
      <c r="AQ669" s="145">
        <v>0</v>
      </c>
      <c r="AR669" s="145">
        <v>1</v>
      </c>
      <c r="AS669" s="145">
        <v>1</v>
      </c>
      <c r="AT669" s="145">
        <v>1</v>
      </c>
      <c r="AU669" s="145">
        <f t="shared" si="219"/>
        <v>0</v>
      </c>
      <c r="AV669" s="145">
        <f t="shared" si="220"/>
        <v>1</v>
      </c>
      <c r="AW669" s="145">
        <f t="shared" si="221"/>
        <v>1</v>
      </c>
      <c r="AX669" s="145">
        <f t="shared" si="226"/>
        <v>1</v>
      </c>
      <c r="AY669" s="145">
        <f t="shared" si="222"/>
        <v>0</v>
      </c>
      <c r="AZ669" s="145">
        <f t="shared" si="223"/>
        <v>1</v>
      </c>
      <c r="BA669" s="146">
        <f t="shared" si="224"/>
        <v>0</v>
      </c>
      <c r="BB669" s="149">
        <f t="shared" si="228"/>
        <v>15</v>
      </c>
      <c r="BC669" s="150">
        <f t="shared" si="229"/>
        <v>15</v>
      </c>
      <c r="BD669" s="150">
        <f t="shared" si="230"/>
        <v>15</v>
      </c>
      <c r="BE669" s="211" t="str">
        <f t="shared" si="231"/>
        <v/>
      </c>
      <c r="BF669" s="205"/>
      <c r="BG669" s="205"/>
      <c r="BH669" s="173">
        <f>IF(AND(Input_Product=Elig!$C669,Elig_MatchAll_Ct&lt;22,$BC669=(Elig_MatchAll_Ct-1),AF669=0),C669,0)</f>
        <v>0</v>
      </c>
      <c r="BI669" s="173">
        <f>IF(AND(Input_Product=Elig!$C669,Elig_MatchAll_Ct&lt;22,$BC669=(Elig_MatchAll_Ct-1),AG669=0),D669,0)</f>
        <v>0</v>
      </c>
      <c r="BJ669" s="173">
        <f>IF(AND(Input_Product=Elig!$C669,Elig_MatchAll_Ct&lt;22,$BC669=(Elig_MatchAll_Ct-1),AH669=0),E669,0)</f>
        <v>0</v>
      </c>
      <c r="BK669" s="173">
        <f>IF(AND(Input_Product=Elig!$C669,Elig_MatchAll_Ct&lt;22,$BC669=(Elig_MatchAll_Ct-1),AI669=0),F669,0)</f>
        <v>0</v>
      </c>
      <c r="BL669" s="173">
        <f>IF(AND(Input_Product=Elig!$C669,Elig_MatchAll_Ct&lt;22,$BC669=(Elig_MatchAll_Ct-1),AJ669=0),G669,0)</f>
        <v>0</v>
      </c>
      <c r="BM669" s="173">
        <f>IF(AND(Input_Product=Elig!$C669,Elig_MatchAll_Ct&lt;22,$BC669=(Elig_MatchAll_Ct-1),AK669=0),H669,0)</f>
        <v>0</v>
      </c>
      <c r="BN669" s="173">
        <f>IF(AND(Input_Product=Elig!$C669,Elig_MatchAll_Ct&lt;22,$BC669=(Elig_MatchAll_Ct-1),AL669=0),I669,0)</f>
        <v>0</v>
      </c>
      <c r="BO669" s="173">
        <f>IF(AND(Input_Product=Elig!$C669,Elig_MatchAll_Ct&lt;22,$BC669=(Elig_MatchAll_Ct-1),AM669=0),J669,0)</f>
        <v>0</v>
      </c>
      <c r="BP669" s="173">
        <f>IF(AND(Input_Product=Elig!$C669,Elig_MatchAll_Ct&lt;22,$BC669=(Elig_MatchAll_Ct-1),AN669=0),K669,0)</f>
        <v>0</v>
      </c>
      <c r="BQ669" s="173">
        <f>IF(AND(Input_Product=Elig!$C669,Elig_MatchAll_Ct&lt;22,$BC669=(Elig_MatchAll_Ct-1),AP669=0),L669,0)</f>
        <v>0</v>
      </c>
      <c r="BR669" s="173">
        <f>IF(AND(Input_Product=Elig!$C669,Elig_MatchAll_Ct&lt;22,$BC669=(Elig_MatchAll_Ct-1),AO669=0),M669,0)</f>
        <v>0</v>
      </c>
      <c r="BS669" s="173">
        <f>IF(AND(Input_Product=Elig!$C669,Elig_MatchAll_Ct&lt;22,$BC669=(Elig_MatchAll_Ct-1),AQ669=0),N669,0)</f>
        <v>0</v>
      </c>
      <c r="BT669" s="173">
        <f>IF(AND(Input_Product=Elig!$C669,Elig_MatchAll_Ct&lt;22,$BC669=(Elig_MatchAll_Ct-1),AR669=0),O669,0)</f>
        <v>0</v>
      </c>
      <c r="BU669" s="173">
        <f>IF(AND(Input_Product=Elig!$C669,Elig_MatchAll_Ct&lt;22,$BC669=(Elig_MatchAll_Ct-1),AS669=0),P669,0)</f>
        <v>0</v>
      </c>
      <c r="BV669" s="174">
        <f>IF(AND(Input_Product=Elig!$C669,Elig_MatchAll_Ct&lt;22,$BC669=(Elig_MatchAll_Ct-1),AT669=0),Q669,0)</f>
        <v>0</v>
      </c>
      <c r="BW669" s="175">
        <f>IF(AND(Input_Product=Elig!$C669,Elig_MatchAll_Ct&lt;22,$BC669=(Elig_MatchAll_Ct-1),AU669=0),R669,0)</f>
        <v>0</v>
      </c>
      <c r="BX669" s="176">
        <f>IF(AND(Input_Product=Elig!$C669,Elig_MatchAll_Ct&lt;22,$BC669=(Elig_MatchAll_Ct-1),AU669=0),S669,0)</f>
        <v>0</v>
      </c>
      <c r="BY669" s="175">
        <f>IF(AND(Input_Product=Elig!$C669,Elig_MatchAll_Ct&lt;22,$BC669=(Elig_MatchAll_Ct-1),AV669=0),T669,0)</f>
        <v>0</v>
      </c>
      <c r="BZ669" s="176">
        <f>IF(AND(Input_Product=Elig!$C669,Elig_MatchAll_Ct&lt;22,$BC669=(Elig_MatchAll_Ct-1),AV669=0),U669,0)</f>
        <v>0</v>
      </c>
      <c r="CA669" s="175">
        <f>IF(AND(Input_Product=Elig!$C669,Elig_MatchAll_Ct&lt;22,$BC669=(Elig_MatchAll_Ct-1),AW669=0),V669,0)</f>
        <v>0</v>
      </c>
      <c r="CB669" s="176">
        <f>IF(AND(Input_Product=Elig!$C669,Elig_MatchAll_Ct&lt;22,$BC669=(Elig_MatchAll_Ct-1),AW669=0),W669,0)</f>
        <v>0</v>
      </c>
      <c r="CC669" s="175">
        <f>IF(AND(Input_Product=Elig!$C669,Elig_MatchAll_Ct&lt;22,$BC669=(Elig_MatchAll_Ct-1),AX669=0),X669,0)</f>
        <v>0</v>
      </c>
      <c r="CD669" s="176">
        <f>IF(AND(Input_Product=Elig!$C669,Elig_MatchAll_Ct&lt;22,$BC669=(Elig_MatchAll_Ct-1),AX669=0),Y669,0)</f>
        <v>0</v>
      </c>
      <c r="CE669" s="175">
        <f>IF(AND(Input_LTV&lt;=AE669,Input_Product=Elig!$C669,Elig_MatchAll_Ct&lt;22,$BC669=(Elig_MatchAll_Ct-1),AY669=0),Z669,0)</f>
        <v>0</v>
      </c>
      <c r="CF669" s="176">
        <f>IF(AND(Input_LTV&lt;=AE669,Input_Product=Elig!$C669,Elig_MatchAll_Ct&lt;22,$BC669=(Elig_MatchAll_Ct-1),AY669=0),AA669,0)</f>
        <v>0</v>
      </c>
      <c r="CG669" s="175">
        <f>IF(AND(Input_Product=Elig!$C669,Elig_MatchAll_Ct&lt;22,$BC669=(Elig_MatchAll_Ct-1),AZ669=0),AB669,0)</f>
        <v>0</v>
      </c>
      <c r="CH669" s="176">
        <f>IF(AND(Input_Product=Elig!$C669,Elig_MatchAll_Ct&lt;22,$BC669=(Elig_MatchAll_Ct-1),AZ669=0),AC669,0)</f>
        <v>0</v>
      </c>
      <c r="CI669" s="175">
        <f>IF(AND(Input_Product=Elig!$C669,Elig_MatchAll_Ct&lt;22,$BC669=(Elig_MatchAll_Ct-1),BA669=0),AD669,0)</f>
        <v>0</v>
      </c>
      <c r="CJ669" s="176">
        <f>IF(AND(Input_Product=Elig!$C669,Elig_MatchAll_Ct&lt;22,$BC669=(Elig_MatchAll_Ct-1),BA669=0),AE669,0)</f>
        <v>0</v>
      </c>
    </row>
    <row r="670" spans="1:88" ht="10.15" customHeight="1" x14ac:dyDescent="0.25">
      <c r="A670" s="1476" t="s">
        <v>76</v>
      </c>
      <c r="B670" s="1476" t="s">
        <v>2160</v>
      </c>
      <c r="C670" s="1481" t="str">
        <f t="shared" si="204"/>
        <v>Second OO</v>
      </c>
      <c r="D670" s="1480" t="s">
        <v>1338</v>
      </c>
      <c r="E670" s="1480" t="s">
        <v>98</v>
      </c>
      <c r="F670" s="1480" t="s">
        <v>327</v>
      </c>
      <c r="G670" s="1482" t="s">
        <v>178</v>
      </c>
      <c r="H670" s="1482" t="s">
        <v>135</v>
      </c>
      <c r="I670" s="1480" t="s">
        <v>1141</v>
      </c>
      <c r="J670" s="1480" t="s">
        <v>1130</v>
      </c>
      <c r="K670" s="1482" t="s">
        <v>2464</v>
      </c>
      <c r="L670" s="1480" t="s">
        <v>428</v>
      </c>
      <c r="M670" s="1480" t="s">
        <v>1835</v>
      </c>
      <c r="N670" s="1482" t="s">
        <v>82</v>
      </c>
      <c r="O670" s="1480" t="s">
        <v>309</v>
      </c>
      <c r="P670" s="1480" t="s">
        <v>2433</v>
      </c>
      <c r="Q670" s="1480" t="s">
        <v>293</v>
      </c>
      <c r="R670" s="277">
        <v>500000.01</v>
      </c>
      <c r="S670" s="277">
        <v>750000</v>
      </c>
      <c r="T670" s="1480">
        <v>0</v>
      </c>
      <c r="U670" s="1480">
        <f t="shared" si="225"/>
        <v>750000</v>
      </c>
      <c r="V670" s="1480">
        <v>0</v>
      </c>
      <c r="W670" s="1480">
        <v>50</v>
      </c>
      <c r="X670" s="1480">
        <v>0</v>
      </c>
      <c r="Y670" s="1480">
        <v>999</v>
      </c>
      <c r="Z670" s="1483">
        <v>660</v>
      </c>
      <c r="AA670" s="1483">
        <v>679</v>
      </c>
      <c r="AB670" s="1483">
        <v>0</v>
      </c>
      <c r="AC670" s="1483">
        <v>999999</v>
      </c>
      <c r="AD670" s="1480">
        <v>0</v>
      </c>
      <c r="AE670" s="1220">
        <v>55</v>
      </c>
      <c r="AF670" s="144">
        <v>0</v>
      </c>
      <c r="AG670" s="145">
        <v>1</v>
      </c>
      <c r="AH670" s="145">
        <v>1</v>
      </c>
      <c r="AI670" s="145">
        <v>0</v>
      </c>
      <c r="AJ670" s="145">
        <v>0</v>
      </c>
      <c r="AK670" s="145">
        <v>1</v>
      </c>
      <c r="AL670" s="145">
        <v>1</v>
      </c>
      <c r="AM670" s="145">
        <v>1</v>
      </c>
      <c r="AN670" s="145">
        <v>1</v>
      </c>
      <c r="AO670" s="145">
        <v>1</v>
      </c>
      <c r="AP670" s="145">
        <v>1</v>
      </c>
      <c r="AQ670" s="145">
        <v>0</v>
      </c>
      <c r="AR670" s="145">
        <v>1</v>
      </c>
      <c r="AS670" s="145">
        <v>1</v>
      </c>
      <c r="AT670" s="145">
        <v>1</v>
      </c>
      <c r="AU670" s="145">
        <f t="shared" si="219"/>
        <v>0</v>
      </c>
      <c r="AV670" s="145">
        <f t="shared" si="220"/>
        <v>1</v>
      </c>
      <c r="AW670" s="145">
        <f t="shared" si="221"/>
        <v>1</v>
      </c>
      <c r="AX670" s="145">
        <f t="shared" si="226"/>
        <v>1</v>
      </c>
      <c r="AY670" s="145">
        <f t="shared" si="222"/>
        <v>0</v>
      </c>
      <c r="AZ670" s="145">
        <f t="shared" si="223"/>
        <v>1</v>
      </c>
      <c r="BA670" s="146">
        <f t="shared" si="224"/>
        <v>0</v>
      </c>
      <c r="BB670" s="149">
        <f t="shared" si="228"/>
        <v>15</v>
      </c>
      <c r="BC670" s="150">
        <f t="shared" si="229"/>
        <v>15</v>
      </c>
      <c r="BD670" s="150">
        <f t="shared" si="230"/>
        <v>15</v>
      </c>
      <c r="BE670" s="211" t="str">
        <f t="shared" si="231"/>
        <v/>
      </c>
      <c r="BF670" s="205"/>
      <c r="BG670" s="205"/>
      <c r="BH670" s="188">
        <f>IF(AND(Input_Product=Elig!$C670,Elig_MatchAll_Ct&lt;22,$BC670=(Elig_MatchAll_Ct-1),AF670=0),C670,0)</f>
        <v>0</v>
      </c>
      <c r="BI670" s="188">
        <f>IF(AND(Input_Product=Elig!$C670,Elig_MatchAll_Ct&lt;22,$BC670=(Elig_MatchAll_Ct-1),AG670=0),D670,0)</f>
        <v>0</v>
      </c>
      <c r="BJ670" s="188">
        <f>IF(AND(Input_Product=Elig!$C670,Elig_MatchAll_Ct&lt;22,$BC670=(Elig_MatchAll_Ct-1),AH670=0),E670,0)</f>
        <v>0</v>
      </c>
      <c r="BK670" s="188">
        <f>IF(AND(Input_Product=Elig!$C670,Elig_MatchAll_Ct&lt;22,$BC670=(Elig_MatchAll_Ct-1),AI670=0),F670,0)</f>
        <v>0</v>
      </c>
      <c r="BL670" s="188">
        <f>IF(AND(Input_Product=Elig!$C670,Elig_MatchAll_Ct&lt;22,$BC670=(Elig_MatchAll_Ct-1),AJ670=0),G670,0)</f>
        <v>0</v>
      </c>
      <c r="BM670" s="188">
        <f>IF(AND(Input_Product=Elig!$C670,Elig_MatchAll_Ct&lt;22,$BC670=(Elig_MatchAll_Ct-1),AK670=0),H670,0)</f>
        <v>0</v>
      </c>
      <c r="BN670" s="188">
        <f>IF(AND(Input_Product=Elig!$C670,Elig_MatchAll_Ct&lt;22,$BC670=(Elig_MatchAll_Ct-1),AL670=0),I670,0)</f>
        <v>0</v>
      </c>
      <c r="BO670" s="188">
        <f>IF(AND(Input_Product=Elig!$C670,Elig_MatchAll_Ct&lt;22,$BC670=(Elig_MatchAll_Ct-1),AM670=0),J670,0)</f>
        <v>0</v>
      </c>
      <c r="BP670" s="188">
        <f>IF(AND(Input_Product=Elig!$C670,Elig_MatchAll_Ct&lt;22,$BC670=(Elig_MatchAll_Ct-1),AN670=0),K670,0)</f>
        <v>0</v>
      </c>
      <c r="BQ670" s="188">
        <f>IF(AND(Input_Product=Elig!$C670,Elig_MatchAll_Ct&lt;22,$BC670=(Elig_MatchAll_Ct-1),AP670=0),L670,0)</f>
        <v>0</v>
      </c>
      <c r="BR670" s="188">
        <f>IF(AND(Input_Product=Elig!$C670,Elig_MatchAll_Ct&lt;22,$BC670=(Elig_MatchAll_Ct-1),AO670=0),M670,0)</f>
        <v>0</v>
      </c>
      <c r="BS670" s="188">
        <f>IF(AND(Input_Product=Elig!$C670,Elig_MatchAll_Ct&lt;22,$BC670=(Elig_MatchAll_Ct-1),AQ670=0),N670,0)</f>
        <v>0</v>
      </c>
      <c r="BT670" s="188">
        <f>IF(AND(Input_Product=Elig!$C670,Elig_MatchAll_Ct&lt;22,$BC670=(Elig_MatchAll_Ct-1),AR670=0),O670,0)</f>
        <v>0</v>
      </c>
      <c r="BU670" s="188">
        <f>IF(AND(Input_Product=Elig!$C670,Elig_MatchAll_Ct&lt;22,$BC670=(Elig_MatchAll_Ct-1),AS670=0),P670,0)</f>
        <v>0</v>
      </c>
      <c r="BV670" s="189">
        <f>IF(AND(Input_Product=Elig!$C670,Elig_MatchAll_Ct&lt;22,$BC670=(Elig_MatchAll_Ct-1),AT670=0),Q670,0)</f>
        <v>0</v>
      </c>
      <c r="BW670" s="271">
        <f>IF(AND(Input_Product=Elig!$C670,Elig_MatchAll_Ct&lt;22,$BC670=(Elig_MatchAll_Ct-1),AU670=0),R670,0)</f>
        <v>0</v>
      </c>
      <c r="BX670" s="272">
        <f>IF(AND(Input_Product=Elig!$C670,Elig_MatchAll_Ct&lt;22,$BC670=(Elig_MatchAll_Ct-1),AU670=0),S670,0)</f>
        <v>0</v>
      </c>
      <c r="BY670" s="271">
        <f>IF(AND(Input_Product=Elig!$C670,Elig_MatchAll_Ct&lt;22,$BC670=(Elig_MatchAll_Ct-1),AV670=0),T670,0)</f>
        <v>0</v>
      </c>
      <c r="BZ670" s="272">
        <f>IF(AND(Input_Product=Elig!$C670,Elig_MatchAll_Ct&lt;22,$BC670=(Elig_MatchAll_Ct-1),AV670=0),U670,0)</f>
        <v>0</v>
      </c>
      <c r="CA670" s="271">
        <f>IF(AND(Input_Product=Elig!$C670,Elig_MatchAll_Ct&lt;22,$BC670=(Elig_MatchAll_Ct-1),AW670=0),V670,0)</f>
        <v>0</v>
      </c>
      <c r="CB670" s="272">
        <f>IF(AND(Input_Product=Elig!$C670,Elig_MatchAll_Ct&lt;22,$BC670=(Elig_MatchAll_Ct-1),AW670=0),W670,0)</f>
        <v>0</v>
      </c>
      <c r="CC670" s="271">
        <f>IF(AND(Input_Product=Elig!$C670,Elig_MatchAll_Ct&lt;22,$BC670=(Elig_MatchAll_Ct-1),AX670=0),X670,0)</f>
        <v>0</v>
      </c>
      <c r="CD670" s="272">
        <f>IF(AND(Input_Product=Elig!$C670,Elig_MatchAll_Ct&lt;22,$BC670=(Elig_MatchAll_Ct-1),AX670=0),Y670,0)</f>
        <v>0</v>
      </c>
      <c r="CE670" s="271">
        <f>IF(AND(Input_LTV&lt;=AE670,Input_Product=Elig!$C670,Elig_MatchAll_Ct&lt;22,$BC670=(Elig_MatchAll_Ct-1),AY670=0),Z670,0)</f>
        <v>0</v>
      </c>
      <c r="CF670" s="272">
        <f>IF(AND(Input_LTV&lt;=AE670,Input_Product=Elig!$C670,Elig_MatchAll_Ct&lt;22,$BC670=(Elig_MatchAll_Ct-1),AY670=0),AA670,0)</f>
        <v>0</v>
      </c>
      <c r="CG670" s="271">
        <f>IF(AND(Input_Product=Elig!$C670,Elig_MatchAll_Ct&lt;22,$BC670=(Elig_MatchAll_Ct-1),AZ670=0),AB670,0)</f>
        <v>0</v>
      </c>
      <c r="CH670" s="272">
        <f>IF(AND(Input_Product=Elig!$C670,Elig_MatchAll_Ct&lt;22,$BC670=(Elig_MatchAll_Ct-1),AZ670=0),AC670,0)</f>
        <v>0</v>
      </c>
      <c r="CI670" s="271">
        <f>IF(AND(Input_Product=Elig!$C670,Elig_MatchAll_Ct&lt;22,$BC670=(Elig_MatchAll_Ct-1),BA670=0),AD670,0)</f>
        <v>0</v>
      </c>
      <c r="CJ670" s="272">
        <f>IF(AND(Input_Product=Elig!$C670,Elig_MatchAll_Ct&lt;22,$BC670=(Elig_MatchAll_Ct-1),BA670=0),AE670,0)</f>
        <v>0</v>
      </c>
    </row>
    <row r="671" spans="1:88" ht="10.15" customHeight="1" x14ac:dyDescent="0.25">
      <c r="A671" s="1476" t="s">
        <v>76</v>
      </c>
      <c r="B671" s="1476" t="s">
        <v>2161</v>
      </c>
      <c r="C671" s="1473" t="str">
        <f t="shared" si="204"/>
        <v>Second OO</v>
      </c>
      <c r="D671" s="1474" t="s">
        <v>1338</v>
      </c>
      <c r="E671" s="1474" t="s">
        <v>98</v>
      </c>
      <c r="F671" s="1474" t="s">
        <v>328</v>
      </c>
      <c r="G671" s="1474" t="s">
        <v>302</v>
      </c>
      <c r="H671" s="1474" t="s">
        <v>135</v>
      </c>
      <c r="I671" s="1472" t="s">
        <v>1141</v>
      </c>
      <c r="J671" s="1472" t="s">
        <v>1130</v>
      </c>
      <c r="K671" s="1474" t="s">
        <v>2464</v>
      </c>
      <c r="L671" s="1472" t="s">
        <v>428</v>
      </c>
      <c r="M671" s="1472" t="s">
        <v>1835</v>
      </c>
      <c r="N671" s="1474" t="s">
        <v>82</v>
      </c>
      <c r="O671" s="1472" t="s">
        <v>309</v>
      </c>
      <c r="P671" s="1472" t="s">
        <v>2433</v>
      </c>
      <c r="Q671" s="1472" t="s">
        <v>293</v>
      </c>
      <c r="R671" s="276">
        <v>500000.01</v>
      </c>
      <c r="S671" s="276">
        <v>750000</v>
      </c>
      <c r="T671" s="1472">
        <v>0</v>
      </c>
      <c r="U671" s="1472">
        <f t="shared" si="225"/>
        <v>750000</v>
      </c>
      <c r="V671" s="1472">
        <v>0</v>
      </c>
      <c r="W671" s="1472">
        <v>50</v>
      </c>
      <c r="X671" s="1472">
        <v>0</v>
      </c>
      <c r="Y671" s="1472">
        <v>999</v>
      </c>
      <c r="Z671" s="1475">
        <v>720</v>
      </c>
      <c r="AA671" s="1475">
        <v>999</v>
      </c>
      <c r="AB671" s="1475">
        <v>0</v>
      </c>
      <c r="AC671" s="1475">
        <v>999999</v>
      </c>
      <c r="AD671" s="1472">
        <v>0</v>
      </c>
      <c r="AE671" s="1218">
        <v>75</v>
      </c>
      <c r="AF671" s="144">
        <v>0</v>
      </c>
      <c r="AG671" s="145">
        <v>1</v>
      </c>
      <c r="AH671" s="145">
        <v>1</v>
      </c>
      <c r="AI671" s="145">
        <v>0</v>
      </c>
      <c r="AJ671" s="145">
        <v>0</v>
      </c>
      <c r="AK671" s="145">
        <v>1</v>
      </c>
      <c r="AL671" s="145">
        <v>1</v>
      </c>
      <c r="AM671" s="145">
        <v>1</v>
      </c>
      <c r="AN671" s="145">
        <v>1</v>
      </c>
      <c r="AO671" s="145">
        <v>1</v>
      </c>
      <c r="AP671" s="145">
        <v>1</v>
      </c>
      <c r="AQ671" s="145">
        <v>0</v>
      </c>
      <c r="AR671" s="145">
        <v>1</v>
      </c>
      <c r="AS671" s="145">
        <v>1</v>
      </c>
      <c r="AT671" s="145">
        <v>1</v>
      </c>
      <c r="AU671" s="145">
        <f t="shared" si="219"/>
        <v>0</v>
      </c>
      <c r="AV671" s="145">
        <f t="shared" si="220"/>
        <v>1</v>
      </c>
      <c r="AW671" s="145">
        <f t="shared" si="221"/>
        <v>1</v>
      </c>
      <c r="AX671" s="145">
        <f t="shared" si="226"/>
        <v>1</v>
      </c>
      <c r="AY671" s="145">
        <f t="shared" si="222"/>
        <v>1</v>
      </c>
      <c r="AZ671" s="145">
        <f t="shared" si="223"/>
        <v>1</v>
      </c>
      <c r="BA671" s="146">
        <f t="shared" si="224"/>
        <v>1</v>
      </c>
      <c r="BB671" s="149">
        <f t="shared" si="228"/>
        <v>17</v>
      </c>
      <c r="BC671" s="150">
        <f t="shared" si="229"/>
        <v>16</v>
      </c>
      <c r="BD671" s="150">
        <f t="shared" si="230"/>
        <v>17</v>
      </c>
      <c r="BE671" s="211" t="str">
        <f t="shared" si="231"/>
        <v/>
      </c>
      <c r="BF671" s="194"/>
      <c r="BG671" s="194"/>
      <c r="BH671" s="190">
        <f>IF(AND(Input_Product=Elig!$C671,Elig_MatchAll_Ct&lt;22,$BC671=(Elig_MatchAll_Ct-1),AF671=0),C671,0)</f>
        <v>0</v>
      </c>
      <c r="BI671" s="190">
        <f>IF(AND(Input_Product=Elig!$C671,Elig_MatchAll_Ct&lt;22,$BC671=(Elig_MatchAll_Ct-1),AG671=0),D671,0)</f>
        <v>0</v>
      </c>
      <c r="BJ671" s="190">
        <f>IF(AND(Input_Product=Elig!$C671,Elig_MatchAll_Ct&lt;22,$BC671=(Elig_MatchAll_Ct-1),AH671=0),E671,0)</f>
        <v>0</v>
      </c>
      <c r="BK671" s="190">
        <f>IF(AND(Input_Product=Elig!$C671,Elig_MatchAll_Ct&lt;22,$BC671=(Elig_MatchAll_Ct-1),AI671=0),F671,0)</f>
        <v>0</v>
      </c>
      <c r="BL671" s="190">
        <f>IF(AND(Input_Product=Elig!$C671,Elig_MatchAll_Ct&lt;22,$BC671=(Elig_MatchAll_Ct-1),AJ671=0),G671,0)</f>
        <v>0</v>
      </c>
      <c r="BM671" s="190">
        <f>IF(AND(Input_Product=Elig!$C671,Elig_MatchAll_Ct&lt;22,$BC671=(Elig_MatchAll_Ct-1),AK671=0),H671,0)</f>
        <v>0</v>
      </c>
      <c r="BN671" s="190">
        <f>IF(AND(Input_Product=Elig!$C671,Elig_MatchAll_Ct&lt;22,$BC671=(Elig_MatchAll_Ct-1),AL671=0),I671,0)</f>
        <v>0</v>
      </c>
      <c r="BO671" s="190">
        <f>IF(AND(Input_Product=Elig!$C671,Elig_MatchAll_Ct&lt;22,$BC671=(Elig_MatchAll_Ct-1),AM671=0),J671,0)</f>
        <v>0</v>
      </c>
      <c r="BP671" s="190">
        <f>IF(AND(Input_Product=Elig!$C671,Elig_MatchAll_Ct&lt;22,$BC671=(Elig_MatchAll_Ct-1),AN671=0),K671,0)</f>
        <v>0</v>
      </c>
      <c r="BQ671" s="190">
        <f>IF(AND(Input_Product=Elig!$C671,Elig_MatchAll_Ct&lt;22,$BC671=(Elig_MatchAll_Ct-1),AP671=0),L671,0)</f>
        <v>0</v>
      </c>
      <c r="BR671" s="190">
        <f>IF(AND(Input_Product=Elig!$C671,Elig_MatchAll_Ct&lt;22,$BC671=(Elig_MatchAll_Ct-1),AO671=0),M671,0)</f>
        <v>0</v>
      </c>
      <c r="BS671" s="190">
        <f>IF(AND(Input_Product=Elig!$C671,Elig_MatchAll_Ct&lt;22,$BC671=(Elig_MatchAll_Ct-1),AQ671=0),N671,0)</f>
        <v>0</v>
      </c>
      <c r="BT671" s="190">
        <f>IF(AND(Input_Product=Elig!$C671,Elig_MatchAll_Ct&lt;22,$BC671=(Elig_MatchAll_Ct-1),AR671=0),O671,0)</f>
        <v>0</v>
      </c>
      <c r="BU671" s="190">
        <f>IF(AND(Input_Product=Elig!$C671,Elig_MatchAll_Ct&lt;22,$BC671=(Elig_MatchAll_Ct-1),AS671=0),P671,0)</f>
        <v>0</v>
      </c>
      <c r="BV671" s="191">
        <f>IF(AND(Input_Product=Elig!$C671,Elig_MatchAll_Ct&lt;22,$BC671=(Elig_MatchAll_Ct-1),AT671=0),Q671,0)</f>
        <v>0</v>
      </c>
      <c r="BW671" s="273">
        <f>IF(AND(Input_Product=Elig!$C671,Elig_MatchAll_Ct&lt;22,$BC671=(Elig_MatchAll_Ct-1),AU671=0),R671,0)</f>
        <v>0</v>
      </c>
      <c r="BX671" s="274">
        <f>IF(AND(Input_Product=Elig!$C671,Elig_MatchAll_Ct&lt;22,$BC671=(Elig_MatchAll_Ct-1),AU671=0),S671,0)</f>
        <v>0</v>
      </c>
      <c r="BY671" s="273">
        <f>IF(AND(Input_Product=Elig!$C671,Elig_MatchAll_Ct&lt;22,$BC671=(Elig_MatchAll_Ct-1),AV671=0),T671,0)</f>
        <v>0</v>
      </c>
      <c r="BZ671" s="274">
        <f>IF(AND(Input_Product=Elig!$C671,Elig_MatchAll_Ct&lt;22,$BC671=(Elig_MatchAll_Ct-1),AV671=0),U671,0)</f>
        <v>0</v>
      </c>
      <c r="CA671" s="273">
        <f>IF(AND(Input_Product=Elig!$C671,Elig_MatchAll_Ct&lt;22,$BC671=(Elig_MatchAll_Ct-1),AW671=0),V671,0)</f>
        <v>0</v>
      </c>
      <c r="CB671" s="274">
        <f>IF(AND(Input_Product=Elig!$C671,Elig_MatchAll_Ct&lt;22,$BC671=(Elig_MatchAll_Ct-1),AW671=0),W671,0)</f>
        <v>0</v>
      </c>
      <c r="CC671" s="273">
        <f>IF(AND(Input_Product=Elig!$C671,Elig_MatchAll_Ct&lt;22,$BC671=(Elig_MatchAll_Ct-1),AX671=0),X671,0)</f>
        <v>0</v>
      </c>
      <c r="CD671" s="274">
        <f>IF(AND(Input_Product=Elig!$C671,Elig_MatchAll_Ct&lt;22,$BC671=(Elig_MatchAll_Ct-1),AX671=0),Y671,0)</f>
        <v>0</v>
      </c>
      <c r="CE671" s="273">
        <f>IF(AND(Input_LTV&lt;=AE671,Input_Product=Elig!$C671,Elig_MatchAll_Ct&lt;22,$BC671=(Elig_MatchAll_Ct-1),AY671=0),Z671,0)</f>
        <v>0</v>
      </c>
      <c r="CF671" s="274">
        <f>IF(AND(Input_LTV&lt;=AE671,Input_Product=Elig!$C671,Elig_MatchAll_Ct&lt;22,$BC671=(Elig_MatchAll_Ct-1),AY671=0),AA671,0)</f>
        <v>0</v>
      </c>
      <c r="CG671" s="273">
        <f>IF(AND(Input_Product=Elig!$C671,Elig_MatchAll_Ct&lt;22,$BC671=(Elig_MatchAll_Ct-1),AZ671=0),AB671,0)</f>
        <v>0</v>
      </c>
      <c r="CH671" s="274">
        <f>IF(AND(Input_Product=Elig!$C671,Elig_MatchAll_Ct&lt;22,$BC671=(Elig_MatchAll_Ct-1),AZ671=0),AC671,0)</f>
        <v>0</v>
      </c>
      <c r="CI671" s="273">
        <f>IF(AND(Input_Product=Elig!$C671,Elig_MatchAll_Ct&lt;22,$BC671=(Elig_MatchAll_Ct-1),BA671=0),AD671,0)</f>
        <v>0</v>
      </c>
      <c r="CJ671" s="274">
        <f>IF(AND(Input_Product=Elig!$C671,Elig_MatchAll_Ct&lt;22,$BC671=(Elig_MatchAll_Ct-1),BA671=0),AE671,0)</f>
        <v>0</v>
      </c>
    </row>
    <row r="672" spans="1:88" ht="10.15" customHeight="1" x14ac:dyDescent="0.25">
      <c r="A672" s="1476" t="s">
        <v>76</v>
      </c>
      <c r="B672" s="1476" t="s">
        <v>2162</v>
      </c>
      <c r="C672" s="1477" t="str">
        <f t="shared" si="204"/>
        <v>Second OO</v>
      </c>
      <c r="D672" s="1476" t="s">
        <v>1338</v>
      </c>
      <c r="E672" s="1476" t="s">
        <v>98</v>
      </c>
      <c r="F672" s="1476" t="s">
        <v>328</v>
      </c>
      <c r="G672" s="1478" t="s">
        <v>302</v>
      </c>
      <c r="H672" s="1478" t="s">
        <v>135</v>
      </c>
      <c r="I672" s="1476" t="s">
        <v>1141</v>
      </c>
      <c r="J672" s="1476" t="s">
        <v>1130</v>
      </c>
      <c r="K672" s="1478" t="s">
        <v>2464</v>
      </c>
      <c r="L672" s="1476" t="s">
        <v>428</v>
      </c>
      <c r="M672" s="1476" t="s">
        <v>1835</v>
      </c>
      <c r="N672" s="1478" t="s">
        <v>82</v>
      </c>
      <c r="O672" s="1476" t="s">
        <v>309</v>
      </c>
      <c r="P672" s="1476" t="s">
        <v>2433</v>
      </c>
      <c r="Q672" s="1476" t="s">
        <v>293</v>
      </c>
      <c r="R672" s="261">
        <v>500000.01</v>
      </c>
      <c r="S672" s="261">
        <v>750000</v>
      </c>
      <c r="T672" s="1476">
        <v>0</v>
      </c>
      <c r="U672" s="1476">
        <f t="shared" si="225"/>
        <v>750000</v>
      </c>
      <c r="V672" s="1476">
        <v>0</v>
      </c>
      <c r="W672" s="1476">
        <v>50</v>
      </c>
      <c r="X672" s="1476">
        <v>0</v>
      </c>
      <c r="Y672" s="1476">
        <v>999</v>
      </c>
      <c r="Z672" s="1479">
        <v>700</v>
      </c>
      <c r="AA672" s="1479">
        <v>719</v>
      </c>
      <c r="AB672" s="1479">
        <v>0</v>
      </c>
      <c r="AC672" s="1479">
        <v>999999</v>
      </c>
      <c r="AD672" s="1476">
        <v>0</v>
      </c>
      <c r="AE672" s="1219">
        <v>70</v>
      </c>
      <c r="AF672" s="144">
        <v>0</v>
      </c>
      <c r="AG672" s="145">
        <v>1</v>
      </c>
      <c r="AH672" s="145">
        <v>1</v>
      </c>
      <c r="AI672" s="145">
        <v>0</v>
      </c>
      <c r="AJ672" s="145">
        <v>0</v>
      </c>
      <c r="AK672" s="145">
        <v>1</v>
      </c>
      <c r="AL672" s="145">
        <v>1</v>
      </c>
      <c r="AM672" s="145">
        <v>1</v>
      </c>
      <c r="AN672" s="145">
        <v>1</v>
      </c>
      <c r="AO672" s="145">
        <v>1</v>
      </c>
      <c r="AP672" s="145">
        <v>1</v>
      </c>
      <c r="AQ672" s="145">
        <v>0</v>
      </c>
      <c r="AR672" s="145">
        <v>1</v>
      </c>
      <c r="AS672" s="145">
        <v>1</v>
      </c>
      <c r="AT672" s="145">
        <v>1</v>
      </c>
      <c r="AU672" s="145">
        <f t="shared" si="219"/>
        <v>0</v>
      </c>
      <c r="AV672" s="145">
        <f t="shared" si="220"/>
        <v>1</v>
      </c>
      <c r="AW672" s="145">
        <f t="shared" si="221"/>
        <v>1</v>
      </c>
      <c r="AX672" s="145">
        <f t="shared" si="226"/>
        <v>1</v>
      </c>
      <c r="AY672" s="145">
        <f t="shared" si="222"/>
        <v>0</v>
      </c>
      <c r="AZ672" s="145">
        <f t="shared" si="223"/>
        <v>1</v>
      </c>
      <c r="BA672" s="146">
        <f t="shared" si="224"/>
        <v>1</v>
      </c>
      <c r="BB672" s="149">
        <f t="shared" si="228"/>
        <v>16</v>
      </c>
      <c r="BC672" s="150">
        <f t="shared" si="229"/>
        <v>15</v>
      </c>
      <c r="BD672" s="150">
        <f t="shared" si="230"/>
        <v>16</v>
      </c>
      <c r="BE672" s="211" t="str">
        <f t="shared" si="231"/>
        <v/>
      </c>
      <c r="BF672" s="205"/>
      <c r="BG672" s="205"/>
      <c r="BH672" s="173">
        <f>IF(AND(Input_Product=Elig!$C672,Elig_MatchAll_Ct&lt;22,$BC672=(Elig_MatchAll_Ct-1),AF672=0),C672,0)</f>
        <v>0</v>
      </c>
      <c r="BI672" s="173">
        <f>IF(AND(Input_Product=Elig!$C672,Elig_MatchAll_Ct&lt;22,$BC672=(Elig_MatchAll_Ct-1),AG672=0),D672,0)</f>
        <v>0</v>
      </c>
      <c r="BJ672" s="173">
        <f>IF(AND(Input_Product=Elig!$C672,Elig_MatchAll_Ct&lt;22,$BC672=(Elig_MatchAll_Ct-1),AH672=0),E672,0)</f>
        <v>0</v>
      </c>
      <c r="BK672" s="173">
        <f>IF(AND(Input_Product=Elig!$C672,Elig_MatchAll_Ct&lt;22,$BC672=(Elig_MatchAll_Ct-1),AI672=0),F672,0)</f>
        <v>0</v>
      </c>
      <c r="BL672" s="173">
        <f>IF(AND(Input_Product=Elig!$C672,Elig_MatchAll_Ct&lt;22,$BC672=(Elig_MatchAll_Ct-1),AJ672=0),G672,0)</f>
        <v>0</v>
      </c>
      <c r="BM672" s="173">
        <f>IF(AND(Input_Product=Elig!$C672,Elig_MatchAll_Ct&lt;22,$BC672=(Elig_MatchAll_Ct-1),AK672=0),H672,0)</f>
        <v>0</v>
      </c>
      <c r="BN672" s="173">
        <f>IF(AND(Input_Product=Elig!$C672,Elig_MatchAll_Ct&lt;22,$BC672=(Elig_MatchAll_Ct-1),AL672=0),I672,0)</f>
        <v>0</v>
      </c>
      <c r="BO672" s="173">
        <f>IF(AND(Input_Product=Elig!$C672,Elig_MatchAll_Ct&lt;22,$BC672=(Elig_MatchAll_Ct-1),AM672=0),J672,0)</f>
        <v>0</v>
      </c>
      <c r="BP672" s="173">
        <f>IF(AND(Input_Product=Elig!$C672,Elig_MatchAll_Ct&lt;22,$BC672=(Elig_MatchAll_Ct-1),AN672=0),K672,0)</f>
        <v>0</v>
      </c>
      <c r="BQ672" s="173">
        <f>IF(AND(Input_Product=Elig!$C672,Elig_MatchAll_Ct&lt;22,$BC672=(Elig_MatchAll_Ct-1),AP672=0),L672,0)</f>
        <v>0</v>
      </c>
      <c r="BR672" s="173">
        <f>IF(AND(Input_Product=Elig!$C672,Elig_MatchAll_Ct&lt;22,$BC672=(Elig_MatchAll_Ct-1),AO672=0),M672,0)</f>
        <v>0</v>
      </c>
      <c r="BS672" s="173">
        <f>IF(AND(Input_Product=Elig!$C672,Elig_MatchAll_Ct&lt;22,$BC672=(Elig_MatchAll_Ct-1),AQ672=0),N672,0)</f>
        <v>0</v>
      </c>
      <c r="BT672" s="173">
        <f>IF(AND(Input_Product=Elig!$C672,Elig_MatchAll_Ct&lt;22,$BC672=(Elig_MatchAll_Ct-1),AR672=0),O672,0)</f>
        <v>0</v>
      </c>
      <c r="BU672" s="173">
        <f>IF(AND(Input_Product=Elig!$C672,Elig_MatchAll_Ct&lt;22,$BC672=(Elig_MatchAll_Ct-1),AS672=0),P672,0)</f>
        <v>0</v>
      </c>
      <c r="BV672" s="174">
        <f>IF(AND(Input_Product=Elig!$C672,Elig_MatchAll_Ct&lt;22,$BC672=(Elig_MatchAll_Ct-1),AT672=0),Q672,0)</f>
        <v>0</v>
      </c>
      <c r="BW672" s="175">
        <f>IF(AND(Input_Product=Elig!$C672,Elig_MatchAll_Ct&lt;22,$BC672=(Elig_MatchAll_Ct-1),AU672=0),R672,0)</f>
        <v>0</v>
      </c>
      <c r="BX672" s="176">
        <f>IF(AND(Input_Product=Elig!$C672,Elig_MatchAll_Ct&lt;22,$BC672=(Elig_MatchAll_Ct-1),AU672=0),S672,0)</f>
        <v>0</v>
      </c>
      <c r="BY672" s="175">
        <f>IF(AND(Input_Product=Elig!$C672,Elig_MatchAll_Ct&lt;22,$BC672=(Elig_MatchAll_Ct-1),AV672=0),T672,0)</f>
        <v>0</v>
      </c>
      <c r="BZ672" s="176">
        <f>IF(AND(Input_Product=Elig!$C672,Elig_MatchAll_Ct&lt;22,$BC672=(Elig_MatchAll_Ct-1),AV672=0),U672,0)</f>
        <v>0</v>
      </c>
      <c r="CA672" s="175">
        <f>IF(AND(Input_Product=Elig!$C672,Elig_MatchAll_Ct&lt;22,$BC672=(Elig_MatchAll_Ct-1),AW672=0),V672,0)</f>
        <v>0</v>
      </c>
      <c r="CB672" s="176">
        <f>IF(AND(Input_Product=Elig!$C672,Elig_MatchAll_Ct&lt;22,$BC672=(Elig_MatchAll_Ct-1),AW672=0),W672,0)</f>
        <v>0</v>
      </c>
      <c r="CC672" s="175">
        <f>IF(AND(Input_Product=Elig!$C672,Elig_MatchAll_Ct&lt;22,$BC672=(Elig_MatchAll_Ct-1),AX672=0),X672,0)</f>
        <v>0</v>
      </c>
      <c r="CD672" s="176">
        <f>IF(AND(Input_Product=Elig!$C672,Elig_MatchAll_Ct&lt;22,$BC672=(Elig_MatchAll_Ct-1),AX672=0),Y672,0)</f>
        <v>0</v>
      </c>
      <c r="CE672" s="175">
        <f>IF(AND(Input_LTV&lt;=AE672,Input_Product=Elig!$C672,Elig_MatchAll_Ct&lt;22,$BC672=(Elig_MatchAll_Ct-1),AY672=0),Z672,0)</f>
        <v>0</v>
      </c>
      <c r="CF672" s="176">
        <f>IF(AND(Input_LTV&lt;=AE672,Input_Product=Elig!$C672,Elig_MatchAll_Ct&lt;22,$BC672=(Elig_MatchAll_Ct-1),AY672=0),AA672,0)</f>
        <v>0</v>
      </c>
      <c r="CG672" s="175">
        <f>IF(AND(Input_Product=Elig!$C672,Elig_MatchAll_Ct&lt;22,$BC672=(Elig_MatchAll_Ct-1),AZ672=0),AB672,0)</f>
        <v>0</v>
      </c>
      <c r="CH672" s="176">
        <f>IF(AND(Input_Product=Elig!$C672,Elig_MatchAll_Ct&lt;22,$BC672=(Elig_MatchAll_Ct-1),AZ672=0),AC672,0)</f>
        <v>0</v>
      </c>
      <c r="CI672" s="175">
        <f>IF(AND(Input_Product=Elig!$C672,Elig_MatchAll_Ct&lt;22,$BC672=(Elig_MatchAll_Ct-1),BA672=0),AD672,0)</f>
        <v>0</v>
      </c>
      <c r="CJ672" s="176">
        <f>IF(AND(Input_Product=Elig!$C672,Elig_MatchAll_Ct&lt;22,$BC672=(Elig_MatchAll_Ct-1),BA672=0),AE672,0)</f>
        <v>0</v>
      </c>
    </row>
    <row r="673" spans="1:88" ht="10.15" customHeight="1" x14ac:dyDescent="0.25">
      <c r="A673" s="1476" t="s">
        <v>76</v>
      </c>
      <c r="B673" s="1476" t="s">
        <v>2163</v>
      </c>
      <c r="C673" s="1477" t="str">
        <f t="shared" si="204"/>
        <v>Second OO</v>
      </c>
      <c r="D673" s="1476" t="s">
        <v>1338</v>
      </c>
      <c r="E673" s="1476" t="s">
        <v>98</v>
      </c>
      <c r="F673" s="1476" t="s">
        <v>328</v>
      </c>
      <c r="G673" s="1478" t="s">
        <v>302</v>
      </c>
      <c r="H673" s="1478" t="s">
        <v>135</v>
      </c>
      <c r="I673" s="1476" t="s">
        <v>1141</v>
      </c>
      <c r="J673" s="1476" t="s">
        <v>1130</v>
      </c>
      <c r="K673" s="1478" t="s">
        <v>2464</v>
      </c>
      <c r="L673" s="1476" t="s">
        <v>428</v>
      </c>
      <c r="M673" s="1476" t="s">
        <v>1835</v>
      </c>
      <c r="N673" s="1478" t="s">
        <v>82</v>
      </c>
      <c r="O673" s="1476" t="s">
        <v>309</v>
      </c>
      <c r="P673" s="1476" t="s">
        <v>2433</v>
      </c>
      <c r="Q673" s="1476" t="s">
        <v>293</v>
      </c>
      <c r="R673" s="261">
        <v>500000.01</v>
      </c>
      <c r="S673" s="261">
        <v>750000</v>
      </c>
      <c r="T673" s="1476">
        <v>0</v>
      </c>
      <c r="U673" s="1476">
        <f t="shared" si="225"/>
        <v>750000</v>
      </c>
      <c r="V673" s="1476">
        <v>0</v>
      </c>
      <c r="W673" s="1476">
        <v>50</v>
      </c>
      <c r="X673" s="1476">
        <v>0</v>
      </c>
      <c r="Y673" s="1476">
        <v>999</v>
      </c>
      <c r="Z673" s="1479">
        <v>680</v>
      </c>
      <c r="AA673" s="1479">
        <v>699</v>
      </c>
      <c r="AB673" s="1479">
        <v>0</v>
      </c>
      <c r="AC673" s="1479">
        <v>999999</v>
      </c>
      <c r="AD673" s="1476">
        <v>0</v>
      </c>
      <c r="AE673" s="1219">
        <v>65</v>
      </c>
      <c r="AF673" s="144">
        <v>0</v>
      </c>
      <c r="AG673" s="145">
        <v>1</v>
      </c>
      <c r="AH673" s="145">
        <v>1</v>
      </c>
      <c r="AI673" s="145">
        <v>0</v>
      </c>
      <c r="AJ673" s="145">
        <v>0</v>
      </c>
      <c r="AK673" s="145">
        <v>1</v>
      </c>
      <c r="AL673" s="145">
        <v>1</v>
      </c>
      <c r="AM673" s="145">
        <v>1</v>
      </c>
      <c r="AN673" s="145">
        <v>1</v>
      </c>
      <c r="AO673" s="145">
        <v>1</v>
      </c>
      <c r="AP673" s="145">
        <v>1</v>
      </c>
      <c r="AQ673" s="145">
        <v>0</v>
      </c>
      <c r="AR673" s="145">
        <v>1</v>
      </c>
      <c r="AS673" s="145">
        <v>1</v>
      </c>
      <c r="AT673" s="145">
        <v>1</v>
      </c>
      <c r="AU673" s="145">
        <f t="shared" si="219"/>
        <v>0</v>
      </c>
      <c r="AV673" s="145">
        <f t="shared" si="220"/>
        <v>1</v>
      </c>
      <c r="AW673" s="145">
        <f t="shared" si="221"/>
        <v>1</v>
      </c>
      <c r="AX673" s="145">
        <f t="shared" si="226"/>
        <v>1</v>
      </c>
      <c r="AY673" s="145">
        <f t="shared" si="222"/>
        <v>0</v>
      </c>
      <c r="AZ673" s="145">
        <f t="shared" si="223"/>
        <v>1</v>
      </c>
      <c r="BA673" s="146">
        <f t="shared" si="224"/>
        <v>0</v>
      </c>
      <c r="BB673" s="149">
        <f t="shared" si="228"/>
        <v>15</v>
      </c>
      <c r="BC673" s="150">
        <f t="shared" si="229"/>
        <v>15</v>
      </c>
      <c r="BD673" s="150">
        <f t="shared" si="230"/>
        <v>15</v>
      </c>
      <c r="BE673" s="211" t="str">
        <f t="shared" si="231"/>
        <v/>
      </c>
      <c r="BF673" s="205"/>
      <c r="BG673" s="205"/>
      <c r="BH673" s="173">
        <f>IF(AND(Input_Product=Elig!$C673,Elig_MatchAll_Ct&lt;22,$BC673=(Elig_MatchAll_Ct-1),AF673=0),C673,0)</f>
        <v>0</v>
      </c>
      <c r="BI673" s="173">
        <f>IF(AND(Input_Product=Elig!$C673,Elig_MatchAll_Ct&lt;22,$BC673=(Elig_MatchAll_Ct-1),AG673=0),D673,0)</f>
        <v>0</v>
      </c>
      <c r="BJ673" s="173">
        <f>IF(AND(Input_Product=Elig!$C673,Elig_MatchAll_Ct&lt;22,$BC673=(Elig_MatchAll_Ct-1),AH673=0),E673,0)</f>
        <v>0</v>
      </c>
      <c r="BK673" s="173">
        <f>IF(AND(Input_Product=Elig!$C673,Elig_MatchAll_Ct&lt;22,$BC673=(Elig_MatchAll_Ct-1),AI673=0),F673,0)</f>
        <v>0</v>
      </c>
      <c r="BL673" s="173">
        <f>IF(AND(Input_Product=Elig!$C673,Elig_MatchAll_Ct&lt;22,$BC673=(Elig_MatchAll_Ct-1),AJ673=0),G673,0)</f>
        <v>0</v>
      </c>
      <c r="BM673" s="173">
        <f>IF(AND(Input_Product=Elig!$C673,Elig_MatchAll_Ct&lt;22,$BC673=(Elig_MatchAll_Ct-1),AK673=0),H673,0)</f>
        <v>0</v>
      </c>
      <c r="BN673" s="173">
        <f>IF(AND(Input_Product=Elig!$C673,Elig_MatchAll_Ct&lt;22,$BC673=(Elig_MatchAll_Ct-1),AL673=0),I673,0)</f>
        <v>0</v>
      </c>
      <c r="BO673" s="173">
        <f>IF(AND(Input_Product=Elig!$C673,Elig_MatchAll_Ct&lt;22,$BC673=(Elig_MatchAll_Ct-1),AM673=0),J673,0)</f>
        <v>0</v>
      </c>
      <c r="BP673" s="173">
        <f>IF(AND(Input_Product=Elig!$C673,Elig_MatchAll_Ct&lt;22,$BC673=(Elig_MatchAll_Ct-1),AN673=0),K673,0)</f>
        <v>0</v>
      </c>
      <c r="BQ673" s="173">
        <f>IF(AND(Input_Product=Elig!$C673,Elig_MatchAll_Ct&lt;22,$BC673=(Elig_MatchAll_Ct-1),AP673=0),L673,0)</f>
        <v>0</v>
      </c>
      <c r="BR673" s="173">
        <f>IF(AND(Input_Product=Elig!$C673,Elig_MatchAll_Ct&lt;22,$BC673=(Elig_MatchAll_Ct-1),AO673=0),M673,0)</f>
        <v>0</v>
      </c>
      <c r="BS673" s="173">
        <f>IF(AND(Input_Product=Elig!$C673,Elig_MatchAll_Ct&lt;22,$BC673=(Elig_MatchAll_Ct-1),AQ673=0),N673,0)</f>
        <v>0</v>
      </c>
      <c r="BT673" s="173">
        <f>IF(AND(Input_Product=Elig!$C673,Elig_MatchAll_Ct&lt;22,$BC673=(Elig_MatchAll_Ct-1),AR673=0),O673,0)</f>
        <v>0</v>
      </c>
      <c r="BU673" s="173">
        <f>IF(AND(Input_Product=Elig!$C673,Elig_MatchAll_Ct&lt;22,$BC673=(Elig_MatchAll_Ct-1),AS673=0),P673,0)</f>
        <v>0</v>
      </c>
      <c r="BV673" s="174">
        <f>IF(AND(Input_Product=Elig!$C673,Elig_MatchAll_Ct&lt;22,$BC673=(Elig_MatchAll_Ct-1),AT673=0),Q673,0)</f>
        <v>0</v>
      </c>
      <c r="BW673" s="175">
        <f>IF(AND(Input_Product=Elig!$C673,Elig_MatchAll_Ct&lt;22,$BC673=(Elig_MatchAll_Ct-1),AU673=0),R673,0)</f>
        <v>0</v>
      </c>
      <c r="BX673" s="176">
        <f>IF(AND(Input_Product=Elig!$C673,Elig_MatchAll_Ct&lt;22,$BC673=(Elig_MatchAll_Ct-1),AU673=0),S673,0)</f>
        <v>0</v>
      </c>
      <c r="BY673" s="175">
        <f>IF(AND(Input_Product=Elig!$C673,Elig_MatchAll_Ct&lt;22,$BC673=(Elig_MatchAll_Ct-1),AV673=0),T673,0)</f>
        <v>0</v>
      </c>
      <c r="BZ673" s="176">
        <f>IF(AND(Input_Product=Elig!$C673,Elig_MatchAll_Ct&lt;22,$BC673=(Elig_MatchAll_Ct-1),AV673=0),U673,0)</f>
        <v>0</v>
      </c>
      <c r="CA673" s="175">
        <f>IF(AND(Input_Product=Elig!$C673,Elig_MatchAll_Ct&lt;22,$BC673=(Elig_MatchAll_Ct-1),AW673=0),V673,0)</f>
        <v>0</v>
      </c>
      <c r="CB673" s="176">
        <f>IF(AND(Input_Product=Elig!$C673,Elig_MatchAll_Ct&lt;22,$BC673=(Elig_MatchAll_Ct-1),AW673=0),W673,0)</f>
        <v>0</v>
      </c>
      <c r="CC673" s="175">
        <f>IF(AND(Input_Product=Elig!$C673,Elig_MatchAll_Ct&lt;22,$BC673=(Elig_MatchAll_Ct-1),AX673=0),X673,0)</f>
        <v>0</v>
      </c>
      <c r="CD673" s="176">
        <f>IF(AND(Input_Product=Elig!$C673,Elig_MatchAll_Ct&lt;22,$BC673=(Elig_MatchAll_Ct-1),AX673=0),Y673,0)</f>
        <v>0</v>
      </c>
      <c r="CE673" s="175">
        <f>IF(AND(Input_LTV&lt;=AE673,Input_Product=Elig!$C673,Elig_MatchAll_Ct&lt;22,$BC673=(Elig_MatchAll_Ct-1),AY673=0),Z673,0)</f>
        <v>0</v>
      </c>
      <c r="CF673" s="176">
        <f>IF(AND(Input_LTV&lt;=AE673,Input_Product=Elig!$C673,Elig_MatchAll_Ct&lt;22,$BC673=(Elig_MatchAll_Ct-1),AY673=0),AA673,0)</f>
        <v>0</v>
      </c>
      <c r="CG673" s="175">
        <f>IF(AND(Input_Product=Elig!$C673,Elig_MatchAll_Ct&lt;22,$BC673=(Elig_MatchAll_Ct-1),AZ673=0),AB673,0)</f>
        <v>0</v>
      </c>
      <c r="CH673" s="176">
        <f>IF(AND(Input_Product=Elig!$C673,Elig_MatchAll_Ct&lt;22,$BC673=(Elig_MatchAll_Ct-1),AZ673=0),AC673,0)</f>
        <v>0</v>
      </c>
      <c r="CI673" s="175">
        <f>IF(AND(Input_Product=Elig!$C673,Elig_MatchAll_Ct&lt;22,$BC673=(Elig_MatchAll_Ct-1),BA673=0),AD673,0)</f>
        <v>0</v>
      </c>
      <c r="CJ673" s="176">
        <f>IF(AND(Input_Product=Elig!$C673,Elig_MatchAll_Ct&lt;22,$BC673=(Elig_MatchAll_Ct-1),BA673=0),AE673,0)</f>
        <v>0</v>
      </c>
    </row>
    <row r="674" spans="1:88" ht="10.15" customHeight="1" x14ac:dyDescent="0.25">
      <c r="A674" s="1476" t="s">
        <v>76</v>
      </c>
      <c r="B674" s="1476" t="s">
        <v>2164</v>
      </c>
      <c r="C674" s="1481" t="str">
        <f t="shared" si="204"/>
        <v>Second OO</v>
      </c>
      <c r="D674" s="1480" t="s">
        <v>1338</v>
      </c>
      <c r="E674" s="1480" t="s">
        <v>98</v>
      </c>
      <c r="F674" s="1480" t="s">
        <v>328</v>
      </c>
      <c r="G674" s="1482" t="s">
        <v>302</v>
      </c>
      <c r="H674" s="1482" t="s">
        <v>135</v>
      </c>
      <c r="I674" s="1480" t="s">
        <v>1141</v>
      </c>
      <c r="J674" s="1480" t="s">
        <v>1130</v>
      </c>
      <c r="K674" s="1482" t="s">
        <v>2464</v>
      </c>
      <c r="L674" s="1480" t="s">
        <v>428</v>
      </c>
      <c r="M674" s="1480" t="s">
        <v>1835</v>
      </c>
      <c r="N674" s="1482" t="s">
        <v>82</v>
      </c>
      <c r="O674" s="1480" t="s">
        <v>309</v>
      </c>
      <c r="P674" s="1480" t="s">
        <v>2433</v>
      </c>
      <c r="Q674" s="1480" t="s">
        <v>293</v>
      </c>
      <c r="R674" s="277">
        <v>500000.01</v>
      </c>
      <c r="S674" s="277">
        <v>750000</v>
      </c>
      <c r="T674" s="1480">
        <v>0</v>
      </c>
      <c r="U674" s="1480">
        <f t="shared" si="225"/>
        <v>750000</v>
      </c>
      <c r="V674" s="1480">
        <v>0</v>
      </c>
      <c r="W674" s="1480">
        <v>50</v>
      </c>
      <c r="X674" s="1480">
        <v>0</v>
      </c>
      <c r="Y674" s="1480">
        <v>999</v>
      </c>
      <c r="Z674" s="1483">
        <v>660</v>
      </c>
      <c r="AA674" s="1483">
        <v>679</v>
      </c>
      <c r="AB674" s="1483">
        <v>0</v>
      </c>
      <c r="AC674" s="1483">
        <v>999999</v>
      </c>
      <c r="AD674" s="1480">
        <v>0</v>
      </c>
      <c r="AE674" s="1220">
        <v>60</v>
      </c>
      <c r="AF674" s="144">
        <v>0</v>
      </c>
      <c r="AG674" s="145">
        <v>1</v>
      </c>
      <c r="AH674" s="145">
        <v>1</v>
      </c>
      <c r="AI674" s="145">
        <v>0</v>
      </c>
      <c r="AJ674" s="145">
        <v>0</v>
      </c>
      <c r="AK674" s="145">
        <v>1</v>
      </c>
      <c r="AL674" s="145">
        <v>1</v>
      </c>
      <c r="AM674" s="145">
        <v>1</v>
      </c>
      <c r="AN674" s="145">
        <v>1</v>
      </c>
      <c r="AO674" s="145">
        <v>1</v>
      </c>
      <c r="AP674" s="145">
        <v>1</v>
      </c>
      <c r="AQ674" s="145">
        <v>0</v>
      </c>
      <c r="AR674" s="145">
        <v>1</v>
      </c>
      <c r="AS674" s="145">
        <v>1</v>
      </c>
      <c r="AT674" s="145">
        <v>1</v>
      </c>
      <c r="AU674" s="145">
        <f t="shared" si="219"/>
        <v>0</v>
      </c>
      <c r="AV674" s="145">
        <f t="shared" si="220"/>
        <v>1</v>
      </c>
      <c r="AW674" s="145">
        <f t="shared" si="221"/>
        <v>1</v>
      </c>
      <c r="AX674" s="145">
        <f t="shared" si="226"/>
        <v>1</v>
      </c>
      <c r="AY674" s="145">
        <f t="shared" si="222"/>
        <v>0</v>
      </c>
      <c r="AZ674" s="145">
        <f t="shared" si="223"/>
        <v>1</v>
      </c>
      <c r="BA674" s="146">
        <f t="shared" si="224"/>
        <v>0</v>
      </c>
      <c r="BB674" s="149">
        <f t="shared" si="228"/>
        <v>15</v>
      </c>
      <c r="BC674" s="150">
        <f t="shared" si="229"/>
        <v>15</v>
      </c>
      <c r="BD674" s="150">
        <f t="shared" si="230"/>
        <v>15</v>
      </c>
      <c r="BE674" s="211" t="str">
        <f t="shared" si="231"/>
        <v/>
      </c>
      <c r="BF674" s="205"/>
      <c r="BG674" s="205"/>
      <c r="BH674" s="188">
        <f>IF(AND(Input_Product=Elig!$C674,Elig_MatchAll_Ct&lt;22,$BC674=(Elig_MatchAll_Ct-1),AF674=0),C674,0)</f>
        <v>0</v>
      </c>
      <c r="BI674" s="188">
        <f>IF(AND(Input_Product=Elig!$C674,Elig_MatchAll_Ct&lt;22,$BC674=(Elig_MatchAll_Ct-1),AG674=0),D674,0)</f>
        <v>0</v>
      </c>
      <c r="BJ674" s="188">
        <f>IF(AND(Input_Product=Elig!$C674,Elig_MatchAll_Ct&lt;22,$BC674=(Elig_MatchAll_Ct-1),AH674=0),E674,0)</f>
        <v>0</v>
      </c>
      <c r="BK674" s="188">
        <f>IF(AND(Input_Product=Elig!$C674,Elig_MatchAll_Ct&lt;22,$BC674=(Elig_MatchAll_Ct-1),AI674=0),F674,0)</f>
        <v>0</v>
      </c>
      <c r="BL674" s="188">
        <f>IF(AND(Input_Product=Elig!$C674,Elig_MatchAll_Ct&lt;22,$BC674=(Elig_MatchAll_Ct-1),AJ674=0),G674,0)</f>
        <v>0</v>
      </c>
      <c r="BM674" s="188">
        <f>IF(AND(Input_Product=Elig!$C674,Elig_MatchAll_Ct&lt;22,$BC674=(Elig_MatchAll_Ct-1),AK674=0),H674,0)</f>
        <v>0</v>
      </c>
      <c r="BN674" s="188">
        <f>IF(AND(Input_Product=Elig!$C674,Elig_MatchAll_Ct&lt;22,$BC674=(Elig_MatchAll_Ct-1),AL674=0),I674,0)</f>
        <v>0</v>
      </c>
      <c r="BO674" s="188">
        <f>IF(AND(Input_Product=Elig!$C674,Elig_MatchAll_Ct&lt;22,$BC674=(Elig_MatchAll_Ct-1),AM674=0),J674,0)</f>
        <v>0</v>
      </c>
      <c r="BP674" s="188">
        <f>IF(AND(Input_Product=Elig!$C674,Elig_MatchAll_Ct&lt;22,$BC674=(Elig_MatchAll_Ct-1),AN674=0),K674,0)</f>
        <v>0</v>
      </c>
      <c r="BQ674" s="188">
        <f>IF(AND(Input_Product=Elig!$C674,Elig_MatchAll_Ct&lt;22,$BC674=(Elig_MatchAll_Ct-1),AP674=0),L674,0)</f>
        <v>0</v>
      </c>
      <c r="BR674" s="188">
        <f>IF(AND(Input_Product=Elig!$C674,Elig_MatchAll_Ct&lt;22,$BC674=(Elig_MatchAll_Ct-1),AO674=0),M674,0)</f>
        <v>0</v>
      </c>
      <c r="BS674" s="188">
        <f>IF(AND(Input_Product=Elig!$C674,Elig_MatchAll_Ct&lt;22,$BC674=(Elig_MatchAll_Ct-1),AQ674=0),N674,0)</f>
        <v>0</v>
      </c>
      <c r="BT674" s="188">
        <f>IF(AND(Input_Product=Elig!$C674,Elig_MatchAll_Ct&lt;22,$BC674=(Elig_MatchAll_Ct-1),AR674=0),O674,0)</f>
        <v>0</v>
      </c>
      <c r="BU674" s="188">
        <f>IF(AND(Input_Product=Elig!$C674,Elig_MatchAll_Ct&lt;22,$BC674=(Elig_MatchAll_Ct-1),AS674=0),P674,0)</f>
        <v>0</v>
      </c>
      <c r="BV674" s="189">
        <f>IF(AND(Input_Product=Elig!$C674,Elig_MatchAll_Ct&lt;22,$BC674=(Elig_MatchAll_Ct-1),AT674=0),Q674,0)</f>
        <v>0</v>
      </c>
      <c r="BW674" s="271">
        <f>IF(AND(Input_Product=Elig!$C674,Elig_MatchAll_Ct&lt;22,$BC674=(Elig_MatchAll_Ct-1),AU674=0),R674,0)</f>
        <v>0</v>
      </c>
      <c r="BX674" s="272">
        <f>IF(AND(Input_Product=Elig!$C674,Elig_MatchAll_Ct&lt;22,$BC674=(Elig_MatchAll_Ct-1),AU674=0),S674,0)</f>
        <v>0</v>
      </c>
      <c r="BY674" s="271">
        <f>IF(AND(Input_Product=Elig!$C674,Elig_MatchAll_Ct&lt;22,$BC674=(Elig_MatchAll_Ct-1),AV674=0),T674,0)</f>
        <v>0</v>
      </c>
      <c r="BZ674" s="272">
        <f>IF(AND(Input_Product=Elig!$C674,Elig_MatchAll_Ct&lt;22,$BC674=(Elig_MatchAll_Ct-1),AV674=0),U674,0)</f>
        <v>0</v>
      </c>
      <c r="CA674" s="271">
        <f>IF(AND(Input_Product=Elig!$C674,Elig_MatchAll_Ct&lt;22,$BC674=(Elig_MatchAll_Ct-1),AW674=0),V674,0)</f>
        <v>0</v>
      </c>
      <c r="CB674" s="272">
        <f>IF(AND(Input_Product=Elig!$C674,Elig_MatchAll_Ct&lt;22,$BC674=(Elig_MatchAll_Ct-1),AW674=0),W674,0)</f>
        <v>0</v>
      </c>
      <c r="CC674" s="271">
        <f>IF(AND(Input_Product=Elig!$C674,Elig_MatchAll_Ct&lt;22,$BC674=(Elig_MatchAll_Ct-1),AX674=0),X674,0)</f>
        <v>0</v>
      </c>
      <c r="CD674" s="272">
        <f>IF(AND(Input_Product=Elig!$C674,Elig_MatchAll_Ct&lt;22,$BC674=(Elig_MatchAll_Ct-1),AX674=0),Y674,0)</f>
        <v>0</v>
      </c>
      <c r="CE674" s="271">
        <f>IF(AND(Input_LTV&lt;=AE674,Input_Product=Elig!$C674,Elig_MatchAll_Ct&lt;22,$BC674=(Elig_MatchAll_Ct-1),AY674=0),Z674,0)</f>
        <v>0</v>
      </c>
      <c r="CF674" s="272">
        <f>IF(AND(Input_LTV&lt;=AE674,Input_Product=Elig!$C674,Elig_MatchAll_Ct&lt;22,$BC674=(Elig_MatchAll_Ct-1),AY674=0),AA674,0)</f>
        <v>0</v>
      </c>
      <c r="CG674" s="271">
        <f>IF(AND(Input_Product=Elig!$C674,Elig_MatchAll_Ct&lt;22,$BC674=(Elig_MatchAll_Ct-1),AZ674=0),AB674,0)</f>
        <v>0</v>
      </c>
      <c r="CH674" s="272">
        <f>IF(AND(Input_Product=Elig!$C674,Elig_MatchAll_Ct&lt;22,$BC674=(Elig_MatchAll_Ct-1),AZ674=0),AC674,0)</f>
        <v>0</v>
      </c>
      <c r="CI674" s="271">
        <f>IF(AND(Input_Product=Elig!$C674,Elig_MatchAll_Ct&lt;22,$BC674=(Elig_MatchAll_Ct-1),BA674=0),AD674,0)</f>
        <v>0</v>
      </c>
      <c r="CJ674" s="272">
        <f>IF(AND(Input_Product=Elig!$C674,Elig_MatchAll_Ct&lt;22,$BC674=(Elig_MatchAll_Ct-1),BA674=0),AE674,0)</f>
        <v>0</v>
      </c>
    </row>
    <row r="675" spans="1:88" ht="10.15" customHeight="1" x14ac:dyDescent="0.25">
      <c r="A675" s="1476" t="s">
        <v>76</v>
      </c>
      <c r="B675" s="1476" t="s">
        <v>2165</v>
      </c>
      <c r="C675" s="1473" t="str">
        <f t="shared" si="204"/>
        <v>Second OO</v>
      </c>
      <c r="D675" s="1474" t="s">
        <v>1338</v>
      </c>
      <c r="E675" s="1474" t="s">
        <v>98</v>
      </c>
      <c r="F675" s="1474" t="s">
        <v>328</v>
      </c>
      <c r="G675" s="1537" t="s">
        <v>174</v>
      </c>
      <c r="H675" s="1474" t="s">
        <v>444</v>
      </c>
      <c r="I675" s="1472" t="s">
        <v>1141</v>
      </c>
      <c r="J675" s="1472" t="s">
        <v>1130</v>
      </c>
      <c r="K675" s="1474" t="s">
        <v>2464</v>
      </c>
      <c r="L675" s="1472" t="s">
        <v>428</v>
      </c>
      <c r="M675" s="1472" t="s">
        <v>1835</v>
      </c>
      <c r="N675" s="1474" t="s">
        <v>82</v>
      </c>
      <c r="O675" s="1472" t="s">
        <v>309</v>
      </c>
      <c r="P675" s="1472" t="s">
        <v>2433</v>
      </c>
      <c r="Q675" s="1472" t="s">
        <v>293</v>
      </c>
      <c r="R675" s="276">
        <v>500000.01</v>
      </c>
      <c r="S675" s="276">
        <v>750000</v>
      </c>
      <c r="T675" s="1472">
        <v>0</v>
      </c>
      <c r="U675" s="1472">
        <f t="shared" si="225"/>
        <v>750000</v>
      </c>
      <c r="V675" s="1472">
        <v>0</v>
      </c>
      <c r="W675" s="1472">
        <v>50</v>
      </c>
      <c r="X675" s="1472">
        <v>0</v>
      </c>
      <c r="Y675" s="1472">
        <v>999</v>
      </c>
      <c r="Z675" s="1475">
        <v>720</v>
      </c>
      <c r="AA675" s="1475">
        <v>999</v>
      </c>
      <c r="AB675" s="1475">
        <v>0</v>
      </c>
      <c r="AC675" s="1475">
        <v>999999</v>
      </c>
      <c r="AD675" s="1472">
        <v>0</v>
      </c>
      <c r="AE675" s="1538">
        <v>70</v>
      </c>
      <c r="AF675" s="144">
        <v>0</v>
      </c>
      <c r="AG675" s="145">
        <v>1</v>
      </c>
      <c r="AH675" s="145">
        <v>1</v>
      </c>
      <c r="AI675" s="145">
        <v>0</v>
      </c>
      <c r="AJ675" s="145">
        <v>0</v>
      </c>
      <c r="AK675" s="145">
        <v>0</v>
      </c>
      <c r="AL675" s="145">
        <v>1</v>
      </c>
      <c r="AM675" s="145">
        <v>1</v>
      </c>
      <c r="AN675" s="145">
        <v>1</v>
      </c>
      <c r="AO675" s="145">
        <v>1</v>
      </c>
      <c r="AP675" s="145">
        <v>1</v>
      </c>
      <c r="AQ675" s="145">
        <v>0</v>
      </c>
      <c r="AR675" s="145">
        <v>1</v>
      </c>
      <c r="AS675" s="145">
        <v>1</v>
      </c>
      <c r="AT675" s="145">
        <v>1</v>
      </c>
      <c r="AU675" s="145">
        <f t="shared" si="219"/>
        <v>0</v>
      </c>
      <c r="AV675" s="145">
        <f t="shared" si="220"/>
        <v>1</v>
      </c>
      <c r="AW675" s="145">
        <f t="shared" si="221"/>
        <v>1</v>
      </c>
      <c r="AX675" s="145">
        <f t="shared" si="226"/>
        <v>1</v>
      </c>
      <c r="AY675" s="145">
        <f t="shared" si="222"/>
        <v>1</v>
      </c>
      <c r="AZ675" s="145">
        <f t="shared" si="223"/>
        <v>1</v>
      </c>
      <c r="BA675" s="146">
        <f t="shared" si="224"/>
        <v>1</v>
      </c>
      <c r="BB675" s="149">
        <f t="shared" si="228"/>
        <v>16</v>
      </c>
      <c r="BC675" s="150">
        <f t="shared" si="229"/>
        <v>15</v>
      </c>
      <c r="BD675" s="150">
        <f t="shared" si="230"/>
        <v>16</v>
      </c>
      <c r="BE675" s="211" t="str">
        <f t="shared" si="231"/>
        <v/>
      </c>
      <c r="BF675" s="194"/>
      <c r="BG675" s="194"/>
      <c r="BH675" s="190">
        <f>IF(AND(Input_Product=Elig!$C675,Elig_MatchAll_Ct&lt;22,$BC675=(Elig_MatchAll_Ct-1),AF675=0),C675,0)</f>
        <v>0</v>
      </c>
      <c r="BI675" s="190">
        <f>IF(AND(Input_Product=Elig!$C675,Elig_MatchAll_Ct&lt;22,$BC675=(Elig_MatchAll_Ct-1),AG675=0),D675,0)</f>
        <v>0</v>
      </c>
      <c r="BJ675" s="190">
        <f>IF(AND(Input_Product=Elig!$C675,Elig_MatchAll_Ct&lt;22,$BC675=(Elig_MatchAll_Ct-1),AH675=0),E675,0)</f>
        <v>0</v>
      </c>
      <c r="BK675" s="190">
        <f>IF(AND(Input_Product=Elig!$C675,Elig_MatchAll_Ct&lt;22,$BC675=(Elig_MatchAll_Ct-1),AI675=0),F675,0)</f>
        <v>0</v>
      </c>
      <c r="BL675" s="190">
        <f>IF(AND(Input_Product=Elig!$C675,Elig_MatchAll_Ct&lt;22,$BC675=(Elig_MatchAll_Ct-1),AJ675=0),G675,0)</f>
        <v>0</v>
      </c>
      <c r="BM675" s="190">
        <f>IF(AND(Input_Product=Elig!$C675,Elig_MatchAll_Ct&lt;22,$BC675=(Elig_MatchAll_Ct-1),AK675=0),H675,0)</f>
        <v>0</v>
      </c>
      <c r="BN675" s="190">
        <f>IF(AND(Input_Product=Elig!$C675,Elig_MatchAll_Ct&lt;22,$BC675=(Elig_MatchAll_Ct-1),AL675=0),I675,0)</f>
        <v>0</v>
      </c>
      <c r="BO675" s="190">
        <f>IF(AND(Input_Product=Elig!$C675,Elig_MatchAll_Ct&lt;22,$BC675=(Elig_MatchAll_Ct-1),AM675=0),J675,0)</f>
        <v>0</v>
      </c>
      <c r="BP675" s="190">
        <f>IF(AND(Input_Product=Elig!$C675,Elig_MatchAll_Ct&lt;22,$BC675=(Elig_MatchAll_Ct-1),AN675=0),K675,0)</f>
        <v>0</v>
      </c>
      <c r="BQ675" s="190">
        <f>IF(AND(Input_Product=Elig!$C675,Elig_MatchAll_Ct&lt;22,$BC675=(Elig_MatchAll_Ct-1),AP675=0),L675,0)</f>
        <v>0</v>
      </c>
      <c r="BR675" s="190">
        <f>IF(AND(Input_Product=Elig!$C675,Elig_MatchAll_Ct&lt;22,$BC675=(Elig_MatchAll_Ct-1),AO675=0),M675,0)</f>
        <v>0</v>
      </c>
      <c r="BS675" s="190">
        <f>IF(AND(Input_Product=Elig!$C675,Elig_MatchAll_Ct&lt;22,$BC675=(Elig_MatchAll_Ct-1),AQ675=0),N675,0)</f>
        <v>0</v>
      </c>
      <c r="BT675" s="190">
        <f>IF(AND(Input_Product=Elig!$C675,Elig_MatchAll_Ct&lt;22,$BC675=(Elig_MatchAll_Ct-1),AR675=0),O675,0)</f>
        <v>0</v>
      </c>
      <c r="BU675" s="190">
        <f>IF(AND(Input_Product=Elig!$C675,Elig_MatchAll_Ct&lt;22,$BC675=(Elig_MatchAll_Ct-1),AS675=0),P675,0)</f>
        <v>0</v>
      </c>
      <c r="BV675" s="191">
        <f>IF(AND(Input_Product=Elig!$C675,Elig_MatchAll_Ct&lt;22,$BC675=(Elig_MatchAll_Ct-1),AT675=0),Q675,0)</f>
        <v>0</v>
      </c>
      <c r="BW675" s="273">
        <f>IF(AND(Input_Product=Elig!$C675,Elig_MatchAll_Ct&lt;22,$BC675=(Elig_MatchAll_Ct-1),AU675=0),R675,0)</f>
        <v>0</v>
      </c>
      <c r="BX675" s="274">
        <f>IF(AND(Input_Product=Elig!$C675,Elig_MatchAll_Ct&lt;22,$BC675=(Elig_MatchAll_Ct-1),AU675=0),S675,0)</f>
        <v>0</v>
      </c>
      <c r="BY675" s="273">
        <f>IF(AND(Input_Product=Elig!$C675,Elig_MatchAll_Ct&lt;22,$BC675=(Elig_MatchAll_Ct-1),AV675=0),T675,0)</f>
        <v>0</v>
      </c>
      <c r="BZ675" s="274">
        <f>IF(AND(Input_Product=Elig!$C675,Elig_MatchAll_Ct&lt;22,$BC675=(Elig_MatchAll_Ct-1),AV675=0),U675,0)</f>
        <v>0</v>
      </c>
      <c r="CA675" s="273">
        <f>IF(AND(Input_Product=Elig!$C675,Elig_MatchAll_Ct&lt;22,$BC675=(Elig_MatchAll_Ct-1),AW675=0),V675,0)</f>
        <v>0</v>
      </c>
      <c r="CB675" s="274">
        <f>IF(AND(Input_Product=Elig!$C675,Elig_MatchAll_Ct&lt;22,$BC675=(Elig_MatchAll_Ct-1),AW675=0),W675,0)</f>
        <v>0</v>
      </c>
      <c r="CC675" s="273">
        <f>IF(AND(Input_Product=Elig!$C675,Elig_MatchAll_Ct&lt;22,$BC675=(Elig_MatchAll_Ct-1),AX675=0),X675,0)</f>
        <v>0</v>
      </c>
      <c r="CD675" s="274">
        <f>IF(AND(Input_Product=Elig!$C675,Elig_MatchAll_Ct&lt;22,$BC675=(Elig_MatchAll_Ct-1),AX675=0),Y675,0)</f>
        <v>0</v>
      </c>
      <c r="CE675" s="273">
        <f>IF(AND(Input_LTV&lt;=AE675,Input_Product=Elig!$C675,Elig_MatchAll_Ct&lt;22,$BC675=(Elig_MatchAll_Ct-1),AY675=0),Z675,0)</f>
        <v>0</v>
      </c>
      <c r="CF675" s="274">
        <f>IF(AND(Input_LTV&lt;=AE675,Input_Product=Elig!$C675,Elig_MatchAll_Ct&lt;22,$BC675=(Elig_MatchAll_Ct-1),AY675=0),AA675,0)</f>
        <v>0</v>
      </c>
      <c r="CG675" s="273">
        <f>IF(AND(Input_Product=Elig!$C675,Elig_MatchAll_Ct&lt;22,$BC675=(Elig_MatchAll_Ct-1),AZ675=0),AB675,0)</f>
        <v>0</v>
      </c>
      <c r="CH675" s="274">
        <f>IF(AND(Input_Product=Elig!$C675,Elig_MatchAll_Ct&lt;22,$BC675=(Elig_MatchAll_Ct-1),AZ675=0),AC675,0)</f>
        <v>0</v>
      </c>
      <c r="CI675" s="273">
        <f>IF(AND(Input_Product=Elig!$C675,Elig_MatchAll_Ct&lt;22,$BC675=(Elig_MatchAll_Ct-1),BA675=0),AD675,0)</f>
        <v>0</v>
      </c>
      <c r="CJ675" s="274">
        <f>IF(AND(Input_Product=Elig!$C675,Elig_MatchAll_Ct&lt;22,$BC675=(Elig_MatchAll_Ct-1),BA675=0),AE675,0)</f>
        <v>0</v>
      </c>
    </row>
    <row r="676" spans="1:88" ht="10.15" customHeight="1" x14ac:dyDescent="0.25">
      <c r="A676" s="1476" t="s">
        <v>76</v>
      </c>
      <c r="B676" s="1476" t="s">
        <v>2166</v>
      </c>
      <c r="C676" s="1477" t="str">
        <f t="shared" si="204"/>
        <v>Second OO</v>
      </c>
      <c r="D676" s="1476" t="s">
        <v>1338</v>
      </c>
      <c r="E676" s="1476" t="s">
        <v>98</v>
      </c>
      <c r="F676" s="1476" t="s">
        <v>328</v>
      </c>
      <c r="G676" s="1544" t="s">
        <v>174</v>
      </c>
      <c r="H676" s="1478" t="s">
        <v>444</v>
      </c>
      <c r="I676" s="1476" t="s">
        <v>1141</v>
      </c>
      <c r="J676" s="1476" t="s">
        <v>1130</v>
      </c>
      <c r="K676" s="1478" t="s">
        <v>2464</v>
      </c>
      <c r="L676" s="1476" t="s">
        <v>428</v>
      </c>
      <c r="M676" s="1476" t="s">
        <v>1835</v>
      </c>
      <c r="N676" s="1478" t="s">
        <v>82</v>
      </c>
      <c r="O676" s="1476" t="s">
        <v>309</v>
      </c>
      <c r="P676" s="1476" t="s">
        <v>2433</v>
      </c>
      <c r="Q676" s="1476" t="s">
        <v>293</v>
      </c>
      <c r="R676" s="261">
        <v>500000.01</v>
      </c>
      <c r="S676" s="261">
        <v>750000</v>
      </c>
      <c r="T676" s="1476">
        <v>0</v>
      </c>
      <c r="U676" s="1476">
        <f t="shared" si="225"/>
        <v>750000</v>
      </c>
      <c r="V676" s="1476">
        <v>0</v>
      </c>
      <c r="W676" s="1476">
        <v>50</v>
      </c>
      <c r="X676" s="1476">
        <v>0</v>
      </c>
      <c r="Y676" s="1476">
        <v>999</v>
      </c>
      <c r="Z676" s="1479">
        <v>700</v>
      </c>
      <c r="AA676" s="1479">
        <v>719</v>
      </c>
      <c r="AB676" s="1479">
        <v>0</v>
      </c>
      <c r="AC676" s="1479">
        <v>999999</v>
      </c>
      <c r="AD676" s="1476">
        <v>0</v>
      </c>
      <c r="AE676" s="1539">
        <v>65</v>
      </c>
      <c r="AF676" s="144">
        <v>0</v>
      </c>
      <c r="AG676" s="145">
        <v>1</v>
      </c>
      <c r="AH676" s="145">
        <v>1</v>
      </c>
      <c r="AI676" s="145">
        <v>0</v>
      </c>
      <c r="AJ676" s="145">
        <v>0</v>
      </c>
      <c r="AK676" s="145">
        <v>0</v>
      </c>
      <c r="AL676" s="145">
        <v>1</v>
      </c>
      <c r="AM676" s="145">
        <v>1</v>
      </c>
      <c r="AN676" s="145">
        <v>1</v>
      </c>
      <c r="AO676" s="145">
        <v>1</v>
      </c>
      <c r="AP676" s="145">
        <v>1</v>
      </c>
      <c r="AQ676" s="145">
        <v>0</v>
      </c>
      <c r="AR676" s="145">
        <v>1</v>
      </c>
      <c r="AS676" s="145">
        <v>1</v>
      </c>
      <c r="AT676" s="145">
        <v>1</v>
      </c>
      <c r="AU676" s="145">
        <f t="shared" si="219"/>
        <v>0</v>
      </c>
      <c r="AV676" s="145">
        <f t="shared" si="220"/>
        <v>1</v>
      </c>
      <c r="AW676" s="145">
        <f t="shared" si="221"/>
        <v>1</v>
      </c>
      <c r="AX676" s="145">
        <f t="shared" si="226"/>
        <v>1</v>
      </c>
      <c r="AY676" s="145">
        <f t="shared" si="222"/>
        <v>0</v>
      </c>
      <c r="AZ676" s="145">
        <f t="shared" si="223"/>
        <v>1</v>
      </c>
      <c r="BA676" s="146">
        <f t="shared" si="224"/>
        <v>0</v>
      </c>
      <c r="BB676" s="149">
        <f t="shared" si="228"/>
        <v>14</v>
      </c>
      <c r="BC676" s="150">
        <f t="shared" si="229"/>
        <v>14</v>
      </c>
      <c r="BD676" s="150">
        <f t="shared" si="230"/>
        <v>14</v>
      </c>
      <c r="BE676" s="211" t="str">
        <f t="shared" si="231"/>
        <v/>
      </c>
      <c r="BF676" s="205"/>
      <c r="BG676" s="205"/>
      <c r="BH676" s="173">
        <f>IF(AND(Input_Product=Elig!$C676,Elig_MatchAll_Ct&lt;22,$BC676=(Elig_MatchAll_Ct-1),AF676=0),C676,0)</f>
        <v>0</v>
      </c>
      <c r="BI676" s="173">
        <f>IF(AND(Input_Product=Elig!$C676,Elig_MatchAll_Ct&lt;22,$BC676=(Elig_MatchAll_Ct-1),AG676=0),D676,0)</f>
        <v>0</v>
      </c>
      <c r="BJ676" s="173">
        <f>IF(AND(Input_Product=Elig!$C676,Elig_MatchAll_Ct&lt;22,$BC676=(Elig_MatchAll_Ct-1),AH676=0),E676,0)</f>
        <v>0</v>
      </c>
      <c r="BK676" s="173">
        <f>IF(AND(Input_Product=Elig!$C676,Elig_MatchAll_Ct&lt;22,$BC676=(Elig_MatchAll_Ct-1),AI676=0),F676,0)</f>
        <v>0</v>
      </c>
      <c r="BL676" s="173">
        <f>IF(AND(Input_Product=Elig!$C676,Elig_MatchAll_Ct&lt;22,$BC676=(Elig_MatchAll_Ct-1),AJ676=0),G676,0)</f>
        <v>0</v>
      </c>
      <c r="BM676" s="173">
        <f>IF(AND(Input_Product=Elig!$C676,Elig_MatchAll_Ct&lt;22,$BC676=(Elig_MatchAll_Ct-1),AK676=0),H676,0)</f>
        <v>0</v>
      </c>
      <c r="BN676" s="173">
        <f>IF(AND(Input_Product=Elig!$C676,Elig_MatchAll_Ct&lt;22,$BC676=(Elig_MatchAll_Ct-1),AL676=0),I676,0)</f>
        <v>0</v>
      </c>
      <c r="BO676" s="173">
        <f>IF(AND(Input_Product=Elig!$C676,Elig_MatchAll_Ct&lt;22,$BC676=(Elig_MatchAll_Ct-1),AM676=0),J676,0)</f>
        <v>0</v>
      </c>
      <c r="BP676" s="173">
        <f>IF(AND(Input_Product=Elig!$C676,Elig_MatchAll_Ct&lt;22,$BC676=(Elig_MatchAll_Ct-1),AN676=0),K676,0)</f>
        <v>0</v>
      </c>
      <c r="BQ676" s="173">
        <f>IF(AND(Input_Product=Elig!$C676,Elig_MatchAll_Ct&lt;22,$BC676=(Elig_MatchAll_Ct-1),AP676=0),L676,0)</f>
        <v>0</v>
      </c>
      <c r="BR676" s="173">
        <f>IF(AND(Input_Product=Elig!$C676,Elig_MatchAll_Ct&lt;22,$BC676=(Elig_MatchAll_Ct-1),AO676=0),M676,0)</f>
        <v>0</v>
      </c>
      <c r="BS676" s="173">
        <f>IF(AND(Input_Product=Elig!$C676,Elig_MatchAll_Ct&lt;22,$BC676=(Elig_MatchAll_Ct-1),AQ676=0),N676,0)</f>
        <v>0</v>
      </c>
      <c r="BT676" s="173">
        <f>IF(AND(Input_Product=Elig!$C676,Elig_MatchAll_Ct&lt;22,$BC676=(Elig_MatchAll_Ct-1),AR676=0),O676,0)</f>
        <v>0</v>
      </c>
      <c r="BU676" s="173">
        <f>IF(AND(Input_Product=Elig!$C676,Elig_MatchAll_Ct&lt;22,$BC676=(Elig_MatchAll_Ct-1),AS676=0),P676,0)</f>
        <v>0</v>
      </c>
      <c r="BV676" s="174">
        <f>IF(AND(Input_Product=Elig!$C676,Elig_MatchAll_Ct&lt;22,$BC676=(Elig_MatchAll_Ct-1),AT676=0),Q676,0)</f>
        <v>0</v>
      </c>
      <c r="BW676" s="175">
        <f>IF(AND(Input_Product=Elig!$C676,Elig_MatchAll_Ct&lt;22,$BC676=(Elig_MatchAll_Ct-1),AU676=0),R676,0)</f>
        <v>0</v>
      </c>
      <c r="BX676" s="176">
        <f>IF(AND(Input_Product=Elig!$C676,Elig_MatchAll_Ct&lt;22,$BC676=(Elig_MatchAll_Ct-1),AU676=0),S676,0)</f>
        <v>0</v>
      </c>
      <c r="BY676" s="175">
        <f>IF(AND(Input_Product=Elig!$C676,Elig_MatchAll_Ct&lt;22,$BC676=(Elig_MatchAll_Ct-1),AV676=0),T676,0)</f>
        <v>0</v>
      </c>
      <c r="BZ676" s="176">
        <f>IF(AND(Input_Product=Elig!$C676,Elig_MatchAll_Ct&lt;22,$BC676=(Elig_MatchAll_Ct-1),AV676=0),U676,0)</f>
        <v>0</v>
      </c>
      <c r="CA676" s="175">
        <f>IF(AND(Input_Product=Elig!$C676,Elig_MatchAll_Ct&lt;22,$BC676=(Elig_MatchAll_Ct-1),AW676=0),V676,0)</f>
        <v>0</v>
      </c>
      <c r="CB676" s="176">
        <f>IF(AND(Input_Product=Elig!$C676,Elig_MatchAll_Ct&lt;22,$BC676=(Elig_MatchAll_Ct-1),AW676=0),W676,0)</f>
        <v>0</v>
      </c>
      <c r="CC676" s="175">
        <f>IF(AND(Input_Product=Elig!$C676,Elig_MatchAll_Ct&lt;22,$BC676=(Elig_MatchAll_Ct-1),AX676=0),X676,0)</f>
        <v>0</v>
      </c>
      <c r="CD676" s="176">
        <f>IF(AND(Input_Product=Elig!$C676,Elig_MatchAll_Ct&lt;22,$BC676=(Elig_MatchAll_Ct-1),AX676=0),Y676,0)</f>
        <v>0</v>
      </c>
      <c r="CE676" s="175">
        <f>IF(AND(Input_LTV&lt;=AE676,Input_Product=Elig!$C676,Elig_MatchAll_Ct&lt;22,$BC676=(Elig_MatchAll_Ct-1),AY676=0),Z676,0)</f>
        <v>0</v>
      </c>
      <c r="CF676" s="176">
        <f>IF(AND(Input_LTV&lt;=AE676,Input_Product=Elig!$C676,Elig_MatchAll_Ct&lt;22,$BC676=(Elig_MatchAll_Ct-1),AY676=0),AA676,0)</f>
        <v>0</v>
      </c>
      <c r="CG676" s="175">
        <f>IF(AND(Input_Product=Elig!$C676,Elig_MatchAll_Ct&lt;22,$BC676=(Elig_MatchAll_Ct-1),AZ676=0),AB676,0)</f>
        <v>0</v>
      </c>
      <c r="CH676" s="176">
        <f>IF(AND(Input_Product=Elig!$C676,Elig_MatchAll_Ct&lt;22,$BC676=(Elig_MatchAll_Ct-1),AZ676=0),AC676,0)</f>
        <v>0</v>
      </c>
      <c r="CI676" s="175">
        <f>IF(AND(Input_Product=Elig!$C676,Elig_MatchAll_Ct&lt;22,$BC676=(Elig_MatchAll_Ct-1),BA676=0),AD676,0)</f>
        <v>0</v>
      </c>
      <c r="CJ676" s="176">
        <f>IF(AND(Input_Product=Elig!$C676,Elig_MatchAll_Ct&lt;22,$BC676=(Elig_MatchAll_Ct-1),BA676=0),AE676,0)</f>
        <v>0</v>
      </c>
    </row>
    <row r="677" spans="1:88" ht="10.15" customHeight="1" x14ac:dyDescent="0.25">
      <c r="A677" s="1476" t="s">
        <v>76</v>
      </c>
      <c r="B677" s="1476" t="s">
        <v>2167</v>
      </c>
      <c r="C677" s="1477" t="str">
        <f t="shared" si="204"/>
        <v>Second OO</v>
      </c>
      <c r="D677" s="1476" t="s">
        <v>1338</v>
      </c>
      <c r="E677" s="1476" t="s">
        <v>98</v>
      </c>
      <c r="F677" s="1476" t="s">
        <v>328</v>
      </c>
      <c r="G677" s="1544" t="s">
        <v>174</v>
      </c>
      <c r="H677" s="1478" t="s">
        <v>444</v>
      </c>
      <c r="I677" s="1476" t="s">
        <v>1141</v>
      </c>
      <c r="J677" s="1476" t="s">
        <v>1130</v>
      </c>
      <c r="K677" s="1478" t="s">
        <v>2464</v>
      </c>
      <c r="L677" s="1476" t="s">
        <v>428</v>
      </c>
      <c r="M677" s="1476" t="s">
        <v>1835</v>
      </c>
      <c r="N677" s="1478" t="s">
        <v>82</v>
      </c>
      <c r="O677" s="1476" t="s">
        <v>309</v>
      </c>
      <c r="P677" s="1476" t="s">
        <v>2433</v>
      </c>
      <c r="Q677" s="1476" t="s">
        <v>293</v>
      </c>
      <c r="R677" s="261">
        <v>500000.01</v>
      </c>
      <c r="S677" s="261">
        <v>750000</v>
      </c>
      <c r="T677" s="1476">
        <v>0</v>
      </c>
      <c r="U677" s="1476">
        <f t="shared" si="225"/>
        <v>750000</v>
      </c>
      <c r="V677" s="1476">
        <v>0</v>
      </c>
      <c r="W677" s="1476">
        <v>50</v>
      </c>
      <c r="X677" s="1476">
        <v>0</v>
      </c>
      <c r="Y677" s="1476">
        <v>999</v>
      </c>
      <c r="Z677" s="1479">
        <v>680</v>
      </c>
      <c r="AA677" s="1479">
        <v>699</v>
      </c>
      <c r="AB677" s="1479">
        <v>0</v>
      </c>
      <c r="AC677" s="1479">
        <v>999999</v>
      </c>
      <c r="AD677" s="1476">
        <v>0</v>
      </c>
      <c r="AE677" s="1219">
        <v>55</v>
      </c>
      <c r="AF677" s="144">
        <v>0</v>
      </c>
      <c r="AG677" s="145">
        <v>1</v>
      </c>
      <c r="AH677" s="145">
        <v>1</v>
      </c>
      <c r="AI677" s="145">
        <v>0</v>
      </c>
      <c r="AJ677" s="145">
        <v>0</v>
      </c>
      <c r="AK677" s="145">
        <v>0</v>
      </c>
      <c r="AL677" s="145">
        <v>1</v>
      </c>
      <c r="AM677" s="145">
        <v>1</v>
      </c>
      <c r="AN677" s="145">
        <v>1</v>
      </c>
      <c r="AO677" s="145">
        <v>1</v>
      </c>
      <c r="AP677" s="145">
        <v>1</v>
      </c>
      <c r="AQ677" s="145">
        <v>0</v>
      </c>
      <c r="AR677" s="145">
        <v>1</v>
      </c>
      <c r="AS677" s="145">
        <v>1</v>
      </c>
      <c r="AT677" s="145">
        <v>1</v>
      </c>
      <c r="AU677" s="145">
        <f t="shared" si="219"/>
        <v>0</v>
      </c>
      <c r="AV677" s="145">
        <f t="shared" si="220"/>
        <v>1</v>
      </c>
      <c r="AW677" s="145">
        <f t="shared" si="221"/>
        <v>1</v>
      </c>
      <c r="AX677" s="145">
        <f t="shared" si="226"/>
        <v>1</v>
      </c>
      <c r="AY677" s="145">
        <f t="shared" si="222"/>
        <v>0</v>
      </c>
      <c r="AZ677" s="145">
        <f t="shared" si="223"/>
        <v>1</v>
      </c>
      <c r="BA677" s="146">
        <f t="shared" si="224"/>
        <v>0</v>
      </c>
      <c r="BB677" s="149">
        <f t="shared" si="228"/>
        <v>14</v>
      </c>
      <c r="BC677" s="150">
        <f t="shared" si="229"/>
        <v>14</v>
      </c>
      <c r="BD677" s="150">
        <f t="shared" si="230"/>
        <v>14</v>
      </c>
      <c r="BE677" s="211" t="str">
        <f t="shared" si="231"/>
        <v/>
      </c>
      <c r="BF677" s="205"/>
      <c r="BG677" s="205"/>
      <c r="BH677" s="173">
        <f>IF(AND(Input_Product=Elig!$C677,Elig_MatchAll_Ct&lt;22,$BC677=(Elig_MatchAll_Ct-1),AF677=0),C677,0)</f>
        <v>0</v>
      </c>
      <c r="BI677" s="173">
        <f>IF(AND(Input_Product=Elig!$C677,Elig_MatchAll_Ct&lt;22,$BC677=(Elig_MatchAll_Ct-1),AG677=0),D677,0)</f>
        <v>0</v>
      </c>
      <c r="BJ677" s="173">
        <f>IF(AND(Input_Product=Elig!$C677,Elig_MatchAll_Ct&lt;22,$BC677=(Elig_MatchAll_Ct-1),AH677=0),E677,0)</f>
        <v>0</v>
      </c>
      <c r="BK677" s="173">
        <f>IF(AND(Input_Product=Elig!$C677,Elig_MatchAll_Ct&lt;22,$BC677=(Elig_MatchAll_Ct-1),AI677=0),F677,0)</f>
        <v>0</v>
      </c>
      <c r="BL677" s="173">
        <f>IF(AND(Input_Product=Elig!$C677,Elig_MatchAll_Ct&lt;22,$BC677=(Elig_MatchAll_Ct-1),AJ677=0),G677,0)</f>
        <v>0</v>
      </c>
      <c r="BM677" s="173">
        <f>IF(AND(Input_Product=Elig!$C677,Elig_MatchAll_Ct&lt;22,$BC677=(Elig_MatchAll_Ct-1),AK677=0),H677,0)</f>
        <v>0</v>
      </c>
      <c r="BN677" s="173">
        <f>IF(AND(Input_Product=Elig!$C677,Elig_MatchAll_Ct&lt;22,$BC677=(Elig_MatchAll_Ct-1),AL677=0),I677,0)</f>
        <v>0</v>
      </c>
      <c r="BO677" s="173">
        <f>IF(AND(Input_Product=Elig!$C677,Elig_MatchAll_Ct&lt;22,$BC677=(Elig_MatchAll_Ct-1),AM677=0),J677,0)</f>
        <v>0</v>
      </c>
      <c r="BP677" s="173">
        <f>IF(AND(Input_Product=Elig!$C677,Elig_MatchAll_Ct&lt;22,$BC677=(Elig_MatchAll_Ct-1),AN677=0),K677,0)</f>
        <v>0</v>
      </c>
      <c r="BQ677" s="173">
        <f>IF(AND(Input_Product=Elig!$C677,Elig_MatchAll_Ct&lt;22,$BC677=(Elig_MatchAll_Ct-1),AP677=0),L677,0)</f>
        <v>0</v>
      </c>
      <c r="BR677" s="173">
        <f>IF(AND(Input_Product=Elig!$C677,Elig_MatchAll_Ct&lt;22,$BC677=(Elig_MatchAll_Ct-1),AO677=0),M677,0)</f>
        <v>0</v>
      </c>
      <c r="BS677" s="173">
        <f>IF(AND(Input_Product=Elig!$C677,Elig_MatchAll_Ct&lt;22,$BC677=(Elig_MatchAll_Ct-1),AQ677=0),N677,0)</f>
        <v>0</v>
      </c>
      <c r="BT677" s="173">
        <f>IF(AND(Input_Product=Elig!$C677,Elig_MatchAll_Ct&lt;22,$BC677=(Elig_MatchAll_Ct-1),AR677=0),O677,0)</f>
        <v>0</v>
      </c>
      <c r="BU677" s="173">
        <f>IF(AND(Input_Product=Elig!$C677,Elig_MatchAll_Ct&lt;22,$BC677=(Elig_MatchAll_Ct-1),AS677=0),P677,0)</f>
        <v>0</v>
      </c>
      <c r="BV677" s="174">
        <f>IF(AND(Input_Product=Elig!$C677,Elig_MatchAll_Ct&lt;22,$BC677=(Elig_MatchAll_Ct-1),AT677=0),Q677,0)</f>
        <v>0</v>
      </c>
      <c r="BW677" s="175">
        <f>IF(AND(Input_Product=Elig!$C677,Elig_MatchAll_Ct&lt;22,$BC677=(Elig_MatchAll_Ct-1),AU677=0),R677,0)</f>
        <v>0</v>
      </c>
      <c r="BX677" s="176">
        <f>IF(AND(Input_Product=Elig!$C677,Elig_MatchAll_Ct&lt;22,$BC677=(Elig_MatchAll_Ct-1),AU677=0),S677,0)</f>
        <v>0</v>
      </c>
      <c r="BY677" s="175">
        <f>IF(AND(Input_Product=Elig!$C677,Elig_MatchAll_Ct&lt;22,$BC677=(Elig_MatchAll_Ct-1),AV677=0),T677,0)</f>
        <v>0</v>
      </c>
      <c r="BZ677" s="176">
        <f>IF(AND(Input_Product=Elig!$C677,Elig_MatchAll_Ct&lt;22,$BC677=(Elig_MatchAll_Ct-1),AV677=0),U677,0)</f>
        <v>0</v>
      </c>
      <c r="CA677" s="175">
        <f>IF(AND(Input_Product=Elig!$C677,Elig_MatchAll_Ct&lt;22,$BC677=(Elig_MatchAll_Ct-1),AW677=0),V677,0)</f>
        <v>0</v>
      </c>
      <c r="CB677" s="176">
        <f>IF(AND(Input_Product=Elig!$C677,Elig_MatchAll_Ct&lt;22,$BC677=(Elig_MatchAll_Ct-1),AW677=0),W677,0)</f>
        <v>0</v>
      </c>
      <c r="CC677" s="175">
        <f>IF(AND(Input_Product=Elig!$C677,Elig_MatchAll_Ct&lt;22,$BC677=(Elig_MatchAll_Ct-1),AX677=0),X677,0)</f>
        <v>0</v>
      </c>
      <c r="CD677" s="176">
        <f>IF(AND(Input_Product=Elig!$C677,Elig_MatchAll_Ct&lt;22,$BC677=(Elig_MatchAll_Ct-1),AX677=0),Y677,0)</f>
        <v>0</v>
      </c>
      <c r="CE677" s="175">
        <f>IF(AND(Input_LTV&lt;=AE677,Input_Product=Elig!$C677,Elig_MatchAll_Ct&lt;22,$BC677=(Elig_MatchAll_Ct-1),AY677=0),Z677,0)</f>
        <v>0</v>
      </c>
      <c r="CF677" s="176">
        <f>IF(AND(Input_LTV&lt;=AE677,Input_Product=Elig!$C677,Elig_MatchAll_Ct&lt;22,$BC677=(Elig_MatchAll_Ct-1),AY677=0),AA677,0)</f>
        <v>0</v>
      </c>
      <c r="CG677" s="175">
        <f>IF(AND(Input_Product=Elig!$C677,Elig_MatchAll_Ct&lt;22,$BC677=(Elig_MatchAll_Ct-1),AZ677=0),AB677,0)</f>
        <v>0</v>
      </c>
      <c r="CH677" s="176">
        <f>IF(AND(Input_Product=Elig!$C677,Elig_MatchAll_Ct&lt;22,$BC677=(Elig_MatchAll_Ct-1),AZ677=0),AC677,0)</f>
        <v>0</v>
      </c>
      <c r="CI677" s="175">
        <f>IF(AND(Input_Product=Elig!$C677,Elig_MatchAll_Ct&lt;22,$BC677=(Elig_MatchAll_Ct-1),BA677=0),AD677,0)</f>
        <v>0</v>
      </c>
      <c r="CJ677" s="176">
        <f>IF(AND(Input_Product=Elig!$C677,Elig_MatchAll_Ct&lt;22,$BC677=(Elig_MatchAll_Ct-1),BA677=0),AE677,0)</f>
        <v>0</v>
      </c>
    </row>
    <row r="678" spans="1:88" ht="10.15" customHeight="1" x14ac:dyDescent="0.25">
      <c r="A678" s="1476" t="s">
        <v>76</v>
      </c>
      <c r="B678" s="1476" t="s">
        <v>2168</v>
      </c>
      <c r="C678" s="1481" t="str">
        <f t="shared" si="204"/>
        <v>Second OO</v>
      </c>
      <c r="D678" s="1480" t="s">
        <v>1338</v>
      </c>
      <c r="E678" s="1480" t="s">
        <v>98</v>
      </c>
      <c r="F678" s="1480" t="s">
        <v>328</v>
      </c>
      <c r="G678" s="1545" t="s">
        <v>174</v>
      </c>
      <c r="H678" s="1482" t="s">
        <v>444</v>
      </c>
      <c r="I678" s="1480" t="s">
        <v>1141</v>
      </c>
      <c r="J678" s="1480" t="s">
        <v>1130</v>
      </c>
      <c r="K678" s="1482" t="s">
        <v>2464</v>
      </c>
      <c r="L678" s="1480" t="s">
        <v>428</v>
      </c>
      <c r="M678" s="1480" t="s">
        <v>1835</v>
      </c>
      <c r="N678" s="1482" t="s">
        <v>82</v>
      </c>
      <c r="O678" s="1480" t="s">
        <v>309</v>
      </c>
      <c r="P678" s="1480" t="s">
        <v>2433</v>
      </c>
      <c r="Q678" s="1480" t="s">
        <v>293</v>
      </c>
      <c r="R678" s="277">
        <v>500000.01</v>
      </c>
      <c r="S678" s="277">
        <v>750000</v>
      </c>
      <c r="T678" s="1480">
        <v>0</v>
      </c>
      <c r="U678" s="1480">
        <f t="shared" si="225"/>
        <v>750000</v>
      </c>
      <c r="V678" s="1480">
        <v>0</v>
      </c>
      <c r="W678" s="1480">
        <v>50</v>
      </c>
      <c r="X678" s="1480">
        <v>0</v>
      </c>
      <c r="Y678" s="1480">
        <v>999</v>
      </c>
      <c r="Z678" s="1483">
        <v>660</v>
      </c>
      <c r="AA678" s="1483">
        <v>679</v>
      </c>
      <c r="AB678" s="1483">
        <v>0</v>
      </c>
      <c r="AC678" s="1483">
        <v>999999</v>
      </c>
      <c r="AD678" s="1480">
        <v>0</v>
      </c>
      <c r="AE678" s="1220">
        <v>50</v>
      </c>
      <c r="AF678" s="144">
        <v>0</v>
      </c>
      <c r="AG678" s="145">
        <v>1</v>
      </c>
      <c r="AH678" s="145">
        <v>1</v>
      </c>
      <c r="AI678" s="145">
        <v>0</v>
      </c>
      <c r="AJ678" s="145">
        <v>0</v>
      </c>
      <c r="AK678" s="145">
        <v>0</v>
      </c>
      <c r="AL678" s="145">
        <v>1</v>
      </c>
      <c r="AM678" s="145">
        <v>1</v>
      </c>
      <c r="AN678" s="145">
        <v>1</v>
      </c>
      <c r="AO678" s="145">
        <v>1</v>
      </c>
      <c r="AP678" s="145">
        <v>1</v>
      </c>
      <c r="AQ678" s="145">
        <v>0</v>
      </c>
      <c r="AR678" s="145">
        <v>1</v>
      </c>
      <c r="AS678" s="145">
        <v>1</v>
      </c>
      <c r="AT678" s="145">
        <v>1</v>
      </c>
      <c r="AU678" s="145">
        <f t="shared" si="219"/>
        <v>0</v>
      </c>
      <c r="AV678" s="145">
        <f t="shared" si="220"/>
        <v>1</v>
      </c>
      <c r="AW678" s="145">
        <f t="shared" si="221"/>
        <v>1</v>
      </c>
      <c r="AX678" s="145">
        <f t="shared" si="226"/>
        <v>1</v>
      </c>
      <c r="AY678" s="145">
        <f t="shared" si="222"/>
        <v>0</v>
      </c>
      <c r="AZ678" s="145">
        <f t="shared" si="223"/>
        <v>1</v>
      </c>
      <c r="BA678" s="146">
        <f t="shared" si="224"/>
        <v>0</v>
      </c>
      <c r="BB678" s="149">
        <f t="shared" si="228"/>
        <v>14</v>
      </c>
      <c r="BC678" s="150">
        <f t="shared" si="229"/>
        <v>14</v>
      </c>
      <c r="BD678" s="150">
        <f t="shared" si="230"/>
        <v>14</v>
      </c>
      <c r="BE678" s="211" t="str">
        <f t="shared" si="231"/>
        <v/>
      </c>
      <c r="BF678" s="205"/>
      <c r="BG678" s="205"/>
      <c r="BH678" s="188">
        <f>IF(AND(Input_Product=Elig!$C678,Elig_MatchAll_Ct&lt;22,$BC678=(Elig_MatchAll_Ct-1),AF678=0),C678,0)</f>
        <v>0</v>
      </c>
      <c r="BI678" s="188">
        <f>IF(AND(Input_Product=Elig!$C678,Elig_MatchAll_Ct&lt;22,$BC678=(Elig_MatchAll_Ct-1),AG678=0),D678,0)</f>
        <v>0</v>
      </c>
      <c r="BJ678" s="188">
        <f>IF(AND(Input_Product=Elig!$C678,Elig_MatchAll_Ct&lt;22,$BC678=(Elig_MatchAll_Ct-1),AH678=0),E678,0)</f>
        <v>0</v>
      </c>
      <c r="BK678" s="188">
        <f>IF(AND(Input_Product=Elig!$C678,Elig_MatchAll_Ct&lt;22,$BC678=(Elig_MatchAll_Ct-1),AI678=0),F678,0)</f>
        <v>0</v>
      </c>
      <c r="BL678" s="188">
        <f>IF(AND(Input_Product=Elig!$C678,Elig_MatchAll_Ct&lt;22,$BC678=(Elig_MatchAll_Ct-1),AJ678=0),G678,0)</f>
        <v>0</v>
      </c>
      <c r="BM678" s="188">
        <f>IF(AND(Input_Product=Elig!$C678,Elig_MatchAll_Ct&lt;22,$BC678=(Elig_MatchAll_Ct-1),AK678=0),H678,0)</f>
        <v>0</v>
      </c>
      <c r="BN678" s="188">
        <f>IF(AND(Input_Product=Elig!$C678,Elig_MatchAll_Ct&lt;22,$BC678=(Elig_MatchAll_Ct-1),AL678=0),I678,0)</f>
        <v>0</v>
      </c>
      <c r="BO678" s="188">
        <f>IF(AND(Input_Product=Elig!$C678,Elig_MatchAll_Ct&lt;22,$BC678=(Elig_MatchAll_Ct-1),AM678=0),J678,0)</f>
        <v>0</v>
      </c>
      <c r="BP678" s="188">
        <f>IF(AND(Input_Product=Elig!$C678,Elig_MatchAll_Ct&lt;22,$BC678=(Elig_MatchAll_Ct-1),AN678=0),K678,0)</f>
        <v>0</v>
      </c>
      <c r="BQ678" s="188">
        <f>IF(AND(Input_Product=Elig!$C678,Elig_MatchAll_Ct&lt;22,$BC678=(Elig_MatchAll_Ct-1),AP678=0),L678,0)</f>
        <v>0</v>
      </c>
      <c r="BR678" s="188">
        <f>IF(AND(Input_Product=Elig!$C678,Elig_MatchAll_Ct&lt;22,$BC678=(Elig_MatchAll_Ct-1),AO678=0),M678,0)</f>
        <v>0</v>
      </c>
      <c r="BS678" s="188">
        <f>IF(AND(Input_Product=Elig!$C678,Elig_MatchAll_Ct&lt;22,$BC678=(Elig_MatchAll_Ct-1),AQ678=0),N678,0)</f>
        <v>0</v>
      </c>
      <c r="BT678" s="188">
        <f>IF(AND(Input_Product=Elig!$C678,Elig_MatchAll_Ct&lt;22,$BC678=(Elig_MatchAll_Ct-1),AR678=0),O678,0)</f>
        <v>0</v>
      </c>
      <c r="BU678" s="188">
        <f>IF(AND(Input_Product=Elig!$C678,Elig_MatchAll_Ct&lt;22,$BC678=(Elig_MatchAll_Ct-1),AS678=0),P678,0)</f>
        <v>0</v>
      </c>
      <c r="BV678" s="189">
        <f>IF(AND(Input_Product=Elig!$C678,Elig_MatchAll_Ct&lt;22,$BC678=(Elig_MatchAll_Ct-1),AT678=0),Q678,0)</f>
        <v>0</v>
      </c>
      <c r="BW678" s="271">
        <f>IF(AND(Input_Product=Elig!$C678,Elig_MatchAll_Ct&lt;22,$BC678=(Elig_MatchAll_Ct-1),AU678=0),R678,0)</f>
        <v>0</v>
      </c>
      <c r="BX678" s="272">
        <f>IF(AND(Input_Product=Elig!$C678,Elig_MatchAll_Ct&lt;22,$BC678=(Elig_MatchAll_Ct-1),AU678=0),S678,0)</f>
        <v>0</v>
      </c>
      <c r="BY678" s="271">
        <f>IF(AND(Input_Product=Elig!$C678,Elig_MatchAll_Ct&lt;22,$BC678=(Elig_MatchAll_Ct-1),AV678=0),T678,0)</f>
        <v>0</v>
      </c>
      <c r="BZ678" s="272">
        <f>IF(AND(Input_Product=Elig!$C678,Elig_MatchAll_Ct&lt;22,$BC678=(Elig_MatchAll_Ct-1),AV678=0),U678,0)</f>
        <v>0</v>
      </c>
      <c r="CA678" s="271">
        <f>IF(AND(Input_Product=Elig!$C678,Elig_MatchAll_Ct&lt;22,$BC678=(Elig_MatchAll_Ct-1),AW678=0),V678,0)</f>
        <v>0</v>
      </c>
      <c r="CB678" s="272">
        <f>IF(AND(Input_Product=Elig!$C678,Elig_MatchAll_Ct&lt;22,$BC678=(Elig_MatchAll_Ct-1),AW678=0),W678,0)</f>
        <v>0</v>
      </c>
      <c r="CC678" s="271">
        <f>IF(AND(Input_Product=Elig!$C678,Elig_MatchAll_Ct&lt;22,$BC678=(Elig_MatchAll_Ct-1),AX678=0),X678,0)</f>
        <v>0</v>
      </c>
      <c r="CD678" s="272">
        <f>IF(AND(Input_Product=Elig!$C678,Elig_MatchAll_Ct&lt;22,$BC678=(Elig_MatchAll_Ct-1),AX678=0),Y678,0)</f>
        <v>0</v>
      </c>
      <c r="CE678" s="271">
        <f>IF(AND(Input_LTV&lt;=AE678,Input_Product=Elig!$C678,Elig_MatchAll_Ct&lt;22,$BC678=(Elig_MatchAll_Ct-1),AY678=0),Z678,0)</f>
        <v>0</v>
      </c>
      <c r="CF678" s="272">
        <f>IF(AND(Input_LTV&lt;=AE678,Input_Product=Elig!$C678,Elig_MatchAll_Ct&lt;22,$BC678=(Elig_MatchAll_Ct-1),AY678=0),AA678,0)</f>
        <v>0</v>
      </c>
      <c r="CG678" s="271">
        <f>IF(AND(Input_Product=Elig!$C678,Elig_MatchAll_Ct&lt;22,$BC678=(Elig_MatchAll_Ct-1),AZ678=0),AB678,0)</f>
        <v>0</v>
      </c>
      <c r="CH678" s="272">
        <f>IF(AND(Input_Product=Elig!$C678,Elig_MatchAll_Ct&lt;22,$BC678=(Elig_MatchAll_Ct-1),AZ678=0),AC678,0)</f>
        <v>0</v>
      </c>
      <c r="CI678" s="271">
        <f>IF(AND(Input_Product=Elig!$C678,Elig_MatchAll_Ct&lt;22,$BC678=(Elig_MatchAll_Ct-1),BA678=0),AD678,0)</f>
        <v>0</v>
      </c>
      <c r="CJ678" s="272">
        <f>IF(AND(Input_Product=Elig!$C678,Elig_MatchAll_Ct&lt;22,$BC678=(Elig_MatchAll_Ct-1),BA678=0),AE678,0)</f>
        <v>0</v>
      </c>
    </row>
    <row r="679" spans="1:88" ht="10.15" customHeight="1" x14ac:dyDescent="0.25">
      <c r="A679" s="1476" t="s">
        <v>76</v>
      </c>
      <c r="B679" s="1476" t="s">
        <v>2169</v>
      </c>
      <c r="C679" s="1473" t="str">
        <f t="shared" si="204"/>
        <v>Second OO</v>
      </c>
      <c r="D679" s="1474" t="s">
        <v>1338</v>
      </c>
      <c r="E679" s="1474" t="s">
        <v>98</v>
      </c>
      <c r="F679" s="1474" t="s">
        <v>328</v>
      </c>
      <c r="G679" s="1537" t="s">
        <v>465</v>
      </c>
      <c r="H679" s="1474" t="s">
        <v>135</v>
      </c>
      <c r="I679" s="1472" t="s">
        <v>1141</v>
      </c>
      <c r="J679" s="1472" t="s">
        <v>1130</v>
      </c>
      <c r="K679" s="1474" t="s">
        <v>2464</v>
      </c>
      <c r="L679" s="1472" t="s">
        <v>428</v>
      </c>
      <c r="M679" s="1472" t="s">
        <v>1835</v>
      </c>
      <c r="N679" s="1474" t="s">
        <v>82</v>
      </c>
      <c r="O679" s="1472" t="s">
        <v>309</v>
      </c>
      <c r="P679" s="1472" t="s">
        <v>2433</v>
      </c>
      <c r="Q679" s="1472" t="s">
        <v>293</v>
      </c>
      <c r="R679" s="276">
        <v>500000.01</v>
      </c>
      <c r="S679" s="276">
        <v>750000</v>
      </c>
      <c r="T679" s="1472">
        <v>0</v>
      </c>
      <c r="U679" s="1472">
        <f t="shared" ref="U679:U682" si="234">S679</f>
        <v>750000</v>
      </c>
      <c r="V679" s="1472">
        <v>0</v>
      </c>
      <c r="W679" s="1472">
        <v>50</v>
      </c>
      <c r="X679" s="1472">
        <v>0</v>
      </c>
      <c r="Y679" s="1472">
        <v>999</v>
      </c>
      <c r="Z679" s="1475">
        <v>720</v>
      </c>
      <c r="AA679" s="1475">
        <v>999</v>
      </c>
      <c r="AB679" s="1475">
        <v>0</v>
      </c>
      <c r="AC679" s="1475">
        <v>999999</v>
      </c>
      <c r="AD679" s="1472">
        <v>0</v>
      </c>
      <c r="AE679" s="1538">
        <v>70</v>
      </c>
      <c r="AF679" s="144">
        <v>0</v>
      </c>
      <c r="AG679" s="145">
        <v>1</v>
      </c>
      <c r="AH679" s="145">
        <v>1</v>
      </c>
      <c r="AI679" s="145">
        <v>0</v>
      </c>
      <c r="AJ679" s="145">
        <v>0</v>
      </c>
      <c r="AK679" s="145">
        <v>1</v>
      </c>
      <c r="AL679" s="145">
        <v>1</v>
      </c>
      <c r="AM679" s="145">
        <v>1</v>
      </c>
      <c r="AN679" s="145">
        <v>1</v>
      </c>
      <c r="AO679" s="145">
        <v>1</v>
      </c>
      <c r="AP679" s="145">
        <v>1</v>
      </c>
      <c r="AQ679" s="145">
        <v>0</v>
      </c>
      <c r="AR679" s="145">
        <v>1</v>
      </c>
      <c r="AS679" s="145">
        <v>1</v>
      </c>
      <c r="AT679" s="145">
        <v>1</v>
      </c>
      <c r="AU679" s="145">
        <f t="shared" si="219"/>
        <v>0</v>
      </c>
      <c r="AV679" s="145">
        <f t="shared" si="220"/>
        <v>1</v>
      </c>
      <c r="AW679" s="145">
        <f t="shared" si="221"/>
        <v>1</v>
      </c>
      <c r="AX679" s="145">
        <f t="shared" si="226"/>
        <v>1</v>
      </c>
      <c r="AY679" s="145">
        <f t="shared" si="222"/>
        <v>1</v>
      </c>
      <c r="AZ679" s="145">
        <f t="shared" si="223"/>
        <v>1</v>
      </c>
      <c r="BA679" s="146">
        <f t="shared" si="224"/>
        <v>1</v>
      </c>
      <c r="BB679" s="149">
        <f t="shared" si="228"/>
        <v>17</v>
      </c>
      <c r="BC679" s="150">
        <f t="shared" si="229"/>
        <v>16</v>
      </c>
      <c r="BD679" s="150">
        <f t="shared" si="230"/>
        <v>17</v>
      </c>
      <c r="BE679" s="211" t="str">
        <f t="shared" si="231"/>
        <v/>
      </c>
      <c r="BF679" s="194"/>
      <c r="BG679" s="194"/>
      <c r="BH679" s="190">
        <f>IF(AND(Input_Product=Elig!$C679,Elig_MatchAll_Ct&lt;22,$BC679=(Elig_MatchAll_Ct-1),AF679=0),C679,0)</f>
        <v>0</v>
      </c>
      <c r="BI679" s="190">
        <f>IF(AND(Input_Product=Elig!$C679,Elig_MatchAll_Ct&lt;22,$BC679=(Elig_MatchAll_Ct-1),AG679=0),D679,0)</f>
        <v>0</v>
      </c>
      <c r="BJ679" s="190">
        <f>IF(AND(Input_Product=Elig!$C679,Elig_MatchAll_Ct&lt;22,$BC679=(Elig_MatchAll_Ct-1),AH679=0),E679,0)</f>
        <v>0</v>
      </c>
      <c r="BK679" s="190">
        <f>IF(AND(Input_Product=Elig!$C679,Elig_MatchAll_Ct&lt;22,$BC679=(Elig_MatchAll_Ct-1),AI679=0),F679,0)</f>
        <v>0</v>
      </c>
      <c r="BL679" s="190">
        <f>IF(AND(Input_Product=Elig!$C679,Elig_MatchAll_Ct&lt;22,$BC679=(Elig_MatchAll_Ct-1),AJ679=0),G679,0)</f>
        <v>0</v>
      </c>
      <c r="BM679" s="190">
        <f>IF(AND(Input_Product=Elig!$C679,Elig_MatchAll_Ct&lt;22,$BC679=(Elig_MatchAll_Ct-1),AK679=0),H679,0)</f>
        <v>0</v>
      </c>
      <c r="BN679" s="190">
        <f>IF(AND(Input_Product=Elig!$C679,Elig_MatchAll_Ct&lt;22,$BC679=(Elig_MatchAll_Ct-1),AL679=0),I679,0)</f>
        <v>0</v>
      </c>
      <c r="BO679" s="190">
        <f>IF(AND(Input_Product=Elig!$C679,Elig_MatchAll_Ct&lt;22,$BC679=(Elig_MatchAll_Ct-1),AM679=0),J679,0)</f>
        <v>0</v>
      </c>
      <c r="BP679" s="190">
        <f>IF(AND(Input_Product=Elig!$C679,Elig_MatchAll_Ct&lt;22,$BC679=(Elig_MatchAll_Ct-1),AN679=0),K679,0)</f>
        <v>0</v>
      </c>
      <c r="BQ679" s="190">
        <f>IF(AND(Input_Product=Elig!$C679,Elig_MatchAll_Ct&lt;22,$BC679=(Elig_MatchAll_Ct-1),AP679=0),L679,0)</f>
        <v>0</v>
      </c>
      <c r="BR679" s="190">
        <f>IF(AND(Input_Product=Elig!$C679,Elig_MatchAll_Ct&lt;22,$BC679=(Elig_MatchAll_Ct-1),AO679=0),M679,0)</f>
        <v>0</v>
      </c>
      <c r="BS679" s="190">
        <f>IF(AND(Input_Product=Elig!$C679,Elig_MatchAll_Ct&lt;22,$BC679=(Elig_MatchAll_Ct-1),AQ679=0),N679,0)</f>
        <v>0</v>
      </c>
      <c r="BT679" s="190">
        <f>IF(AND(Input_Product=Elig!$C679,Elig_MatchAll_Ct&lt;22,$BC679=(Elig_MatchAll_Ct-1),AR679=0),O679,0)</f>
        <v>0</v>
      </c>
      <c r="BU679" s="190">
        <f>IF(AND(Input_Product=Elig!$C679,Elig_MatchAll_Ct&lt;22,$BC679=(Elig_MatchAll_Ct-1),AS679=0),P679,0)</f>
        <v>0</v>
      </c>
      <c r="BV679" s="191">
        <f>IF(AND(Input_Product=Elig!$C679,Elig_MatchAll_Ct&lt;22,$BC679=(Elig_MatchAll_Ct-1),AT679=0),Q679,0)</f>
        <v>0</v>
      </c>
      <c r="BW679" s="273">
        <f>IF(AND(Input_Product=Elig!$C679,Elig_MatchAll_Ct&lt;22,$BC679=(Elig_MatchAll_Ct-1),AU679=0),R679,0)</f>
        <v>0</v>
      </c>
      <c r="BX679" s="274">
        <f>IF(AND(Input_Product=Elig!$C679,Elig_MatchAll_Ct&lt;22,$BC679=(Elig_MatchAll_Ct-1),AU679=0),S679,0)</f>
        <v>0</v>
      </c>
      <c r="BY679" s="273">
        <f>IF(AND(Input_Product=Elig!$C679,Elig_MatchAll_Ct&lt;22,$BC679=(Elig_MatchAll_Ct-1),AV679=0),T679,0)</f>
        <v>0</v>
      </c>
      <c r="BZ679" s="274">
        <f>IF(AND(Input_Product=Elig!$C679,Elig_MatchAll_Ct&lt;22,$BC679=(Elig_MatchAll_Ct-1),AV679=0),U679,0)</f>
        <v>0</v>
      </c>
      <c r="CA679" s="273">
        <f>IF(AND(Input_Product=Elig!$C679,Elig_MatchAll_Ct&lt;22,$BC679=(Elig_MatchAll_Ct-1),AW679=0),V679,0)</f>
        <v>0</v>
      </c>
      <c r="CB679" s="274">
        <f>IF(AND(Input_Product=Elig!$C679,Elig_MatchAll_Ct&lt;22,$BC679=(Elig_MatchAll_Ct-1),AW679=0),W679,0)</f>
        <v>0</v>
      </c>
      <c r="CC679" s="273">
        <f>IF(AND(Input_Product=Elig!$C679,Elig_MatchAll_Ct&lt;22,$BC679=(Elig_MatchAll_Ct-1),AX679=0),X679,0)</f>
        <v>0</v>
      </c>
      <c r="CD679" s="274">
        <f>IF(AND(Input_Product=Elig!$C679,Elig_MatchAll_Ct&lt;22,$BC679=(Elig_MatchAll_Ct-1),AX679=0),Y679,0)</f>
        <v>0</v>
      </c>
      <c r="CE679" s="273">
        <f>IF(AND(Input_LTV&lt;=AE679,Input_Product=Elig!$C679,Elig_MatchAll_Ct&lt;22,$BC679=(Elig_MatchAll_Ct-1),AY679=0),Z679,0)</f>
        <v>0</v>
      </c>
      <c r="CF679" s="274">
        <f>IF(AND(Input_LTV&lt;=AE679,Input_Product=Elig!$C679,Elig_MatchAll_Ct&lt;22,$BC679=(Elig_MatchAll_Ct-1),AY679=0),AA679,0)</f>
        <v>0</v>
      </c>
      <c r="CG679" s="273">
        <f>IF(AND(Input_Product=Elig!$C679,Elig_MatchAll_Ct&lt;22,$BC679=(Elig_MatchAll_Ct-1),AZ679=0),AB679,0)</f>
        <v>0</v>
      </c>
      <c r="CH679" s="274">
        <f>IF(AND(Input_Product=Elig!$C679,Elig_MatchAll_Ct&lt;22,$BC679=(Elig_MatchAll_Ct-1),AZ679=0),AC679,0)</f>
        <v>0</v>
      </c>
      <c r="CI679" s="273">
        <f>IF(AND(Input_Product=Elig!$C679,Elig_MatchAll_Ct&lt;22,$BC679=(Elig_MatchAll_Ct-1),BA679=0),AD679,0)</f>
        <v>0</v>
      </c>
      <c r="CJ679" s="274">
        <f>IF(AND(Input_Product=Elig!$C679,Elig_MatchAll_Ct&lt;22,$BC679=(Elig_MatchAll_Ct-1),BA679=0),AE679,0)</f>
        <v>0</v>
      </c>
    </row>
    <row r="680" spans="1:88" ht="10.15" customHeight="1" x14ac:dyDescent="0.25">
      <c r="A680" s="1476" t="s">
        <v>76</v>
      </c>
      <c r="B680" s="1476" t="s">
        <v>2170</v>
      </c>
      <c r="C680" s="1477" t="str">
        <f t="shared" si="204"/>
        <v>Second OO</v>
      </c>
      <c r="D680" s="1476" t="s">
        <v>1338</v>
      </c>
      <c r="E680" s="1476" t="s">
        <v>98</v>
      </c>
      <c r="F680" s="1476" t="s">
        <v>328</v>
      </c>
      <c r="G680" s="1544" t="s">
        <v>465</v>
      </c>
      <c r="H680" s="1478" t="s">
        <v>135</v>
      </c>
      <c r="I680" s="1476" t="s">
        <v>1141</v>
      </c>
      <c r="J680" s="1476" t="s">
        <v>1130</v>
      </c>
      <c r="K680" s="1478" t="s">
        <v>2464</v>
      </c>
      <c r="L680" s="1476" t="s">
        <v>428</v>
      </c>
      <c r="M680" s="1476" t="s">
        <v>1835</v>
      </c>
      <c r="N680" s="1478" t="s">
        <v>82</v>
      </c>
      <c r="O680" s="1476" t="s">
        <v>309</v>
      </c>
      <c r="P680" s="1476" t="s">
        <v>2433</v>
      </c>
      <c r="Q680" s="1476" t="s">
        <v>293</v>
      </c>
      <c r="R680" s="261">
        <v>500000.01</v>
      </c>
      <c r="S680" s="261">
        <v>750000</v>
      </c>
      <c r="T680" s="1476">
        <v>0</v>
      </c>
      <c r="U680" s="1476">
        <f t="shared" si="234"/>
        <v>750000</v>
      </c>
      <c r="V680" s="1476">
        <v>0</v>
      </c>
      <c r="W680" s="1476">
        <v>50</v>
      </c>
      <c r="X680" s="1476">
        <v>0</v>
      </c>
      <c r="Y680" s="1476">
        <v>999</v>
      </c>
      <c r="Z680" s="1479">
        <v>700</v>
      </c>
      <c r="AA680" s="1479">
        <v>719</v>
      </c>
      <c r="AB680" s="1479">
        <v>0</v>
      </c>
      <c r="AC680" s="1479">
        <v>999999</v>
      </c>
      <c r="AD680" s="1476">
        <v>0</v>
      </c>
      <c r="AE680" s="1539">
        <v>65</v>
      </c>
      <c r="AF680" s="144">
        <v>0</v>
      </c>
      <c r="AG680" s="145">
        <v>1</v>
      </c>
      <c r="AH680" s="145">
        <v>1</v>
      </c>
      <c r="AI680" s="145">
        <v>0</v>
      </c>
      <c r="AJ680" s="145">
        <v>0</v>
      </c>
      <c r="AK680" s="145">
        <v>1</v>
      </c>
      <c r="AL680" s="145">
        <v>1</v>
      </c>
      <c r="AM680" s="145">
        <v>1</v>
      </c>
      <c r="AN680" s="145">
        <v>1</v>
      </c>
      <c r="AO680" s="145">
        <v>1</v>
      </c>
      <c r="AP680" s="145">
        <v>1</v>
      </c>
      <c r="AQ680" s="145">
        <v>0</v>
      </c>
      <c r="AR680" s="145">
        <v>1</v>
      </c>
      <c r="AS680" s="145">
        <v>1</v>
      </c>
      <c r="AT680" s="145">
        <v>1</v>
      </c>
      <c r="AU680" s="145">
        <f t="shared" si="219"/>
        <v>0</v>
      </c>
      <c r="AV680" s="145">
        <f t="shared" si="220"/>
        <v>1</v>
      </c>
      <c r="AW680" s="145">
        <f t="shared" si="221"/>
        <v>1</v>
      </c>
      <c r="AX680" s="145">
        <f t="shared" si="226"/>
        <v>1</v>
      </c>
      <c r="AY680" s="145">
        <f t="shared" si="222"/>
        <v>0</v>
      </c>
      <c r="AZ680" s="145">
        <f t="shared" si="223"/>
        <v>1</v>
      </c>
      <c r="BA680" s="146">
        <f t="shared" si="224"/>
        <v>0</v>
      </c>
      <c r="BB680" s="149">
        <f t="shared" si="228"/>
        <v>15</v>
      </c>
      <c r="BC680" s="150">
        <f t="shared" si="229"/>
        <v>15</v>
      </c>
      <c r="BD680" s="150">
        <f t="shared" si="230"/>
        <v>15</v>
      </c>
      <c r="BE680" s="211" t="str">
        <f t="shared" si="231"/>
        <v/>
      </c>
      <c r="BF680" s="205"/>
      <c r="BG680" s="205"/>
      <c r="BH680" s="173">
        <f>IF(AND(Input_Product=Elig!$C680,Elig_MatchAll_Ct&lt;22,$BC680=(Elig_MatchAll_Ct-1),AF680=0),C680,0)</f>
        <v>0</v>
      </c>
      <c r="BI680" s="173">
        <f>IF(AND(Input_Product=Elig!$C680,Elig_MatchAll_Ct&lt;22,$BC680=(Elig_MatchAll_Ct-1),AG680=0),D680,0)</f>
        <v>0</v>
      </c>
      <c r="BJ680" s="173">
        <f>IF(AND(Input_Product=Elig!$C680,Elig_MatchAll_Ct&lt;22,$BC680=(Elig_MatchAll_Ct-1),AH680=0),E680,0)</f>
        <v>0</v>
      </c>
      <c r="BK680" s="173">
        <f>IF(AND(Input_Product=Elig!$C680,Elig_MatchAll_Ct&lt;22,$BC680=(Elig_MatchAll_Ct-1),AI680=0),F680,0)</f>
        <v>0</v>
      </c>
      <c r="BL680" s="173">
        <f>IF(AND(Input_Product=Elig!$C680,Elig_MatchAll_Ct&lt;22,$BC680=(Elig_MatchAll_Ct-1),AJ680=0),G680,0)</f>
        <v>0</v>
      </c>
      <c r="BM680" s="173">
        <f>IF(AND(Input_Product=Elig!$C680,Elig_MatchAll_Ct&lt;22,$BC680=(Elig_MatchAll_Ct-1),AK680=0),H680,0)</f>
        <v>0</v>
      </c>
      <c r="BN680" s="173">
        <f>IF(AND(Input_Product=Elig!$C680,Elig_MatchAll_Ct&lt;22,$BC680=(Elig_MatchAll_Ct-1),AL680=0),I680,0)</f>
        <v>0</v>
      </c>
      <c r="BO680" s="173">
        <f>IF(AND(Input_Product=Elig!$C680,Elig_MatchAll_Ct&lt;22,$BC680=(Elig_MatchAll_Ct-1),AM680=0),J680,0)</f>
        <v>0</v>
      </c>
      <c r="BP680" s="173">
        <f>IF(AND(Input_Product=Elig!$C680,Elig_MatchAll_Ct&lt;22,$BC680=(Elig_MatchAll_Ct-1),AN680=0),K680,0)</f>
        <v>0</v>
      </c>
      <c r="BQ680" s="173">
        <f>IF(AND(Input_Product=Elig!$C680,Elig_MatchAll_Ct&lt;22,$BC680=(Elig_MatchAll_Ct-1),AP680=0),L680,0)</f>
        <v>0</v>
      </c>
      <c r="BR680" s="173">
        <f>IF(AND(Input_Product=Elig!$C680,Elig_MatchAll_Ct&lt;22,$BC680=(Elig_MatchAll_Ct-1),AO680=0),M680,0)</f>
        <v>0</v>
      </c>
      <c r="BS680" s="173">
        <f>IF(AND(Input_Product=Elig!$C680,Elig_MatchAll_Ct&lt;22,$BC680=(Elig_MatchAll_Ct-1),AQ680=0),N680,0)</f>
        <v>0</v>
      </c>
      <c r="BT680" s="173">
        <f>IF(AND(Input_Product=Elig!$C680,Elig_MatchAll_Ct&lt;22,$BC680=(Elig_MatchAll_Ct-1),AR680=0),O680,0)</f>
        <v>0</v>
      </c>
      <c r="BU680" s="173">
        <f>IF(AND(Input_Product=Elig!$C680,Elig_MatchAll_Ct&lt;22,$BC680=(Elig_MatchAll_Ct-1),AS680=0),P680,0)</f>
        <v>0</v>
      </c>
      <c r="BV680" s="174">
        <f>IF(AND(Input_Product=Elig!$C680,Elig_MatchAll_Ct&lt;22,$BC680=(Elig_MatchAll_Ct-1),AT680=0),Q680,0)</f>
        <v>0</v>
      </c>
      <c r="BW680" s="175">
        <f>IF(AND(Input_Product=Elig!$C680,Elig_MatchAll_Ct&lt;22,$BC680=(Elig_MatchAll_Ct-1),AU680=0),R680,0)</f>
        <v>0</v>
      </c>
      <c r="BX680" s="176">
        <f>IF(AND(Input_Product=Elig!$C680,Elig_MatchAll_Ct&lt;22,$BC680=(Elig_MatchAll_Ct-1),AU680=0),S680,0)</f>
        <v>0</v>
      </c>
      <c r="BY680" s="175">
        <f>IF(AND(Input_Product=Elig!$C680,Elig_MatchAll_Ct&lt;22,$BC680=(Elig_MatchAll_Ct-1),AV680=0),T680,0)</f>
        <v>0</v>
      </c>
      <c r="BZ680" s="176">
        <f>IF(AND(Input_Product=Elig!$C680,Elig_MatchAll_Ct&lt;22,$BC680=(Elig_MatchAll_Ct-1),AV680=0),U680,0)</f>
        <v>0</v>
      </c>
      <c r="CA680" s="175">
        <f>IF(AND(Input_Product=Elig!$C680,Elig_MatchAll_Ct&lt;22,$BC680=(Elig_MatchAll_Ct-1),AW680=0),V680,0)</f>
        <v>0</v>
      </c>
      <c r="CB680" s="176">
        <f>IF(AND(Input_Product=Elig!$C680,Elig_MatchAll_Ct&lt;22,$BC680=(Elig_MatchAll_Ct-1),AW680=0),W680,0)</f>
        <v>0</v>
      </c>
      <c r="CC680" s="175">
        <f>IF(AND(Input_Product=Elig!$C680,Elig_MatchAll_Ct&lt;22,$BC680=(Elig_MatchAll_Ct-1),AX680=0),X680,0)</f>
        <v>0</v>
      </c>
      <c r="CD680" s="176">
        <f>IF(AND(Input_Product=Elig!$C680,Elig_MatchAll_Ct&lt;22,$BC680=(Elig_MatchAll_Ct-1),AX680=0),Y680,0)</f>
        <v>0</v>
      </c>
      <c r="CE680" s="175">
        <f>IF(AND(Input_LTV&lt;=AE680,Input_Product=Elig!$C680,Elig_MatchAll_Ct&lt;22,$BC680=(Elig_MatchAll_Ct-1),AY680=0),Z680,0)</f>
        <v>0</v>
      </c>
      <c r="CF680" s="176">
        <f>IF(AND(Input_LTV&lt;=AE680,Input_Product=Elig!$C680,Elig_MatchAll_Ct&lt;22,$BC680=(Elig_MatchAll_Ct-1),AY680=0),AA680,0)</f>
        <v>0</v>
      </c>
      <c r="CG680" s="175">
        <f>IF(AND(Input_Product=Elig!$C680,Elig_MatchAll_Ct&lt;22,$BC680=(Elig_MatchAll_Ct-1),AZ680=0),AB680,0)</f>
        <v>0</v>
      </c>
      <c r="CH680" s="176">
        <f>IF(AND(Input_Product=Elig!$C680,Elig_MatchAll_Ct&lt;22,$BC680=(Elig_MatchAll_Ct-1),AZ680=0),AC680,0)</f>
        <v>0</v>
      </c>
      <c r="CI680" s="175">
        <f>IF(AND(Input_Product=Elig!$C680,Elig_MatchAll_Ct&lt;22,$BC680=(Elig_MatchAll_Ct-1),BA680=0),AD680,0)</f>
        <v>0</v>
      </c>
      <c r="CJ680" s="176">
        <f>IF(AND(Input_Product=Elig!$C680,Elig_MatchAll_Ct&lt;22,$BC680=(Elig_MatchAll_Ct-1),BA680=0),AE680,0)</f>
        <v>0</v>
      </c>
    </row>
    <row r="681" spans="1:88" ht="10.15" customHeight="1" x14ac:dyDescent="0.25">
      <c r="A681" s="1476" t="s">
        <v>76</v>
      </c>
      <c r="B681" s="1476" t="s">
        <v>2171</v>
      </c>
      <c r="C681" s="1477" t="str">
        <f t="shared" si="204"/>
        <v>Second OO</v>
      </c>
      <c r="D681" s="1476" t="s">
        <v>1338</v>
      </c>
      <c r="E681" s="1476" t="s">
        <v>98</v>
      </c>
      <c r="F681" s="1476" t="s">
        <v>328</v>
      </c>
      <c r="G681" s="1544" t="s">
        <v>465</v>
      </c>
      <c r="H681" s="1478" t="s">
        <v>135</v>
      </c>
      <c r="I681" s="1476" t="s">
        <v>1141</v>
      </c>
      <c r="J681" s="1476" t="s">
        <v>1130</v>
      </c>
      <c r="K681" s="1478" t="s">
        <v>2464</v>
      </c>
      <c r="L681" s="1476" t="s">
        <v>428</v>
      </c>
      <c r="M681" s="1476" t="s">
        <v>1835</v>
      </c>
      <c r="N681" s="1478" t="s">
        <v>82</v>
      </c>
      <c r="O681" s="1476" t="s">
        <v>309</v>
      </c>
      <c r="P681" s="1476" t="s">
        <v>2433</v>
      </c>
      <c r="Q681" s="1476" t="s">
        <v>293</v>
      </c>
      <c r="R681" s="261">
        <v>500000.01</v>
      </c>
      <c r="S681" s="261">
        <v>750000</v>
      </c>
      <c r="T681" s="1476">
        <v>0</v>
      </c>
      <c r="U681" s="1476">
        <f t="shared" si="234"/>
        <v>750000</v>
      </c>
      <c r="V681" s="1476">
        <v>0</v>
      </c>
      <c r="W681" s="1476">
        <v>50</v>
      </c>
      <c r="X681" s="1476">
        <v>0</v>
      </c>
      <c r="Y681" s="1476">
        <v>999</v>
      </c>
      <c r="Z681" s="1479">
        <v>680</v>
      </c>
      <c r="AA681" s="1479">
        <v>699</v>
      </c>
      <c r="AB681" s="1479">
        <v>0</v>
      </c>
      <c r="AC681" s="1479">
        <v>999999</v>
      </c>
      <c r="AD681" s="1476">
        <v>0</v>
      </c>
      <c r="AE681" s="1219">
        <v>55</v>
      </c>
      <c r="AF681" s="144">
        <v>0</v>
      </c>
      <c r="AG681" s="145">
        <v>1</v>
      </c>
      <c r="AH681" s="145">
        <v>1</v>
      </c>
      <c r="AI681" s="145">
        <v>0</v>
      </c>
      <c r="AJ681" s="145">
        <v>0</v>
      </c>
      <c r="AK681" s="145">
        <v>1</v>
      </c>
      <c r="AL681" s="145">
        <v>1</v>
      </c>
      <c r="AM681" s="145">
        <v>1</v>
      </c>
      <c r="AN681" s="145">
        <v>1</v>
      </c>
      <c r="AO681" s="145">
        <v>1</v>
      </c>
      <c r="AP681" s="145">
        <v>1</v>
      </c>
      <c r="AQ681" s="145">
        <v>0</v>
      </c>
      <c r="AR681" s="145">
        <v>1</v>
      </c>
      <c r="AS681" s="145">
        <v>1</v>
      </c>
      <c r="AT681" s="145">
        <v>1</v>
      </c>
      <c r="AU681" s="145">
        <f t="shared" si="219"/>
        <v>0</v>
      </c>
      <c r="AV681" s="145">
        <f t="shared" si="220"/>
        <v>1</v>
      </c>
      <c r="AW681" s="145">
        <f t="shared" si="221"/>
        <v>1</v>
      </c>
      <c r="AX681" s="145">
        <f t="shared" si="226"/>
        <v>1</v>
      </c>
      <c r="AY681" s="145">
        <f t="shared" si="222"/>
        <v>0</v>
      </c>
      <c r="AZ681" s="145">
        <f t="shared" si="223"/>
        <v>1</v>
      </c>
      <c r="BA681" s="146">
        <f t="shared" si="224"/>
        <v>0</v>
      </c>
      <c r="BB681" s="149">
        <f t="shared" si="228"/>
        <v>15</v>
      </c>
      <c r="BC681" s="150">
        <f t="shared" si="229"/>
        <v>15</v>
      </c>
      <c r="BD681" s="150">
        <f t="shared" si="230"/>
        <v>15</v>
      </c>
      <c r="BE681" s="211" t="str">
        <f t="shared" si="231"/>
        <v/>
      </c>
      <c r="BF681" s="205"/>
      <c r="BG681" s="205"/>
      <c r="BH681" s="173">
        <f>IF(AND(Input_Product=Elig!$C681,Elig_MatchAll_Ct&lt;22,$BC681=(Elig_MatchAll_Ct-1),AF681=0),C681,0)</f>
        <v>0</v>
      </c>
      <c r="BI681" s="173">
        <f>IF(AND(Input_Product=Elig!$C681,Elig_MatchAll_Ct&lt;22,$BC681=(Elig_MatchAll_Ct-1),AG681=0),D681,0)</f>
        <v>0</v>
      </c>
      <c r="BJ681" s="173">
        <f>IF(AND(Input_Product=Elig!$C681,Elig_MatchAll_Ct&lt;22,$BC681=(Elig_MatchAll_Ct-1),AH681=0),E681,0)</f>
        <v>0</v>
      </c>
      <c r="BK681" s="173">
        <f>IF(AND(Input_Product=Elig!$C681,Elig_MatchAll_Ct&lt;22,$BC681=(Elig_MatchAll_Ct-1),AI681=0),F681,0)</f>
        <v>0</v>
      </c>
      <c r="BL681" s="173">
        <f>IF(AND(Input_Product=Elig!$C681,Elig_MatchAll_Ct&lt;22,$BC681=(Elig_MatchAll_Ct-1),AJ681=0),G681,0)</f>
        <v>0</v>
      </c>
      <c r="BM681" s="173">
        <f>IF(AND(Input_Product=Elig!$C681,Elig_MatchAll_Ct&lt;22,$BC681=(Elig_MatchAll_Ct-1),AK681=0),H681,0)</f>
        <v>0</v>
      </c>
      <c r="BN681" s="173">
        <f>IF(AND(Input_Product=Elig!$C681,Elig_MatchAll_Ct&lt;22,$BC681=(Elig_MatchAll_Ct-1),AL681=0),I681,0)</f>
        <v>0</v>
      </c>
      <c r="BO681" s="173">
        <f>IF(AND(Input_Product=Elig!$C681,Elig_MatchAll_Ct&lt;22,$BC681=(Elig_MatchAll_Ct-1),AM681=0),J681,0)</f>
        <v>0</v>
      </c>
      <c r="BP681" s="173">
        <f>IF(AND(Input_Product=Elig!$C681,Elig_MatchAll_Ct&lt;22,$BC681=(Elig_MatchAll_Ct-1),AN681=0),K681,0)</f>
        <v>0</v>
      </c>
      <c r="BQ681" s="173">
        <f>IF(AND(Input_Product=Elig!$C681,Elig_MatchAll_Ct&lt;22,$BC681=(Elig_MatchAll_Ct-1),AP681=0),L681,0)</f>
        <v>0</v>
      </c>
      <c r="BR681" s="173">
        <f>IF(AND(Input_Product=Elig!$C681,Elig_MatchAll_Ct&lt;22,$BC681=(Elig_MatchAll_Ct-1),AO681=0),M681,0)</f>
        <v>0</v>
      </c>
      <c r="BS681" s="173">
        <f>IF(AND(Input_Product=Elig!$C681,Elig_MatchAll_Ct&lt;22,$BC681=(Elig_MatchAll_Ct-1),AQ681=0),N681,0)</f>
        <v>0</v>
      </c>
      <c r="BT681" s="173">
        <f>IF(AND(Input_Product=Elig!$C681,Elig_MatchAll_Ct&lt;22,$BC681=(Elig_MatchAll_Ct-1),AR681=0),O681,0)</f>
        <v>0</v>
      </c>
      <c r="BU681" s="173">
        <f>IF(AND(Input_Product=Elig!$C681,Elig_MatchAll_Ct&lt;22,$BC681=(Elig_MatchAll_Ct-1),AS681=0),P681,0)</f>
        <v>0</v>
      </c>
      <c r="BV681" s="174">
        <f>IF(AND(Input_Product=Elig!$C681,Elig_MatchAll_Ct&lt;22,$BC681=(Elig_MatchAll_Ct-1),AT681=0),Q681,0)</f>
        <v>0</v>
      </c>
      <c r="BW681" s="175">
        <f>IF(AND(Input_Product=Elig!$C681,Elig_MatchAll_Ct&lt;22,$BC681=(Elig_MatchAll_Ct-1),AU681=0),R681,0)</f>
        <v>0</v>
      </c>
      <c r="BX681" s="176">
        <f>IF(AND(Input_Product=Elig!$C681,Elig_MatchAll_Ct&lt;22,$BC681=(Elig_MatchAll_Ct-1),AU681=0),S681,0)</f>
        <v>0</v>
      </c>
      <c r="BY681" s="175">
        <f>IF(AND(Input_Product=Elig!$C681,Elig_MatchAll_Ct&lt;22,$BC681=(Elig_MatchAll_Ct-1),AV681=0),T681,0)</f>
        <v>0</v>
      </c>
      <c r="BZ681" s="176">
        <f>IF(AND(Input_Product=Elig!$C681,Elig_MatchAll_Ct&lt;22,$BC681=(Elig_MatchAll_Ct-1),AV681=0),U681,0)</f>
        <v>0</v>
      </c>
      <c r="CA681" s="175">
        <f>IF(AND(Input_Product=Elig!$C681,Elig_MatchAll_Ct&lt;22,$BC681=(Elig_MatchAll_Ct-1),AW681=0),V681,0)</f>
        <v>0</v>
      </c>
      <c r="CB681" s="176">
        <f>IF(AND(Input_Product=Elig!$C681,Elig_MatchAll_Ct&lt;22,$BC681=(Elig_MatchAll_Ct-1),AW681=0),W681,0)</f>
        <v>0</v>
      </c>
      <c r="CC681" s="175">
        <f>IF(AND(Input_Product=Elig!$C681,Elig_MatchAll_Ct&lt;22,$BC681=(Elig_MatchAll_Ct-1),AX681=0),X681,0)</f>
        <v>0</v>
      </c>
      <c r="CD681" s="176">
        <f>IF(AND(Input_Product=Elig!$C681,Elig_MatchAll_Ct&lt;22,$BC681=(Elig_MatchAll_Ct-1),AX681=0),Y681,0)</f>
        <v>0</v>
      </c>
      <c r="CE681" s="175">
        <f>IF(AND(Input_LTV&lt;=AE681,Input_Product=Elig!$C681,Elig_MatchAll_Ct&lt;22,$BC681=(Elig_MatchAll_Ct-1),AY681=0),Z681,0)</f>
        <v>0</v>
      </c>
      <c r="CF681" s="176">
        <f>IF(AND(Input_LTV&lt;=AE681,Input_Product=Elig!$C681,Elig_MatchAll_Ct&lt;22,$BC681=(Elig_MatchAll_Ct-1),AY681=0),AA681,0)</f>
        <v>0</v>
      </c>
      <c r="CG681" s="175">
        <f>IF(AND(Input_Product=Elig!$C681,Elig_MatchAll_Ct&lt;22,$BC681=(Elig_MatchAll_Ct-1),AZ681=0),AB681,0)</f>
        <v>0</v>
      </c>
      <c r="CH681" s="176">
        <f>IF(AND(Input_Product=Elig!$C681,Elig_MatchAll_Ct&lt;22,$BC681=(Elig_MatchAll_Ct-1),AZ681=0),AC681,0)</f>
        <v>0</v>
      </c>
      <c r="CI681" s="175">
        <f>IF(AND(Input_Product=Elig!$C681,Elig_MatchAll_Ct&lt;22,$BC681=(Elig_MatchAll_Ct-1),BA681=0),AD681,0)</f>
        <v>0</v>
      </c>
      <c r="CJ681" s="176">
        <f>IF(AND(Input_Product=Elig!$C681,Elig_MatchAll_Ct&lt;22,$BC681=(Elig_MatchAll_Ct-1),BA681=0),AE681,0)</f>
        <v>0</v>
      </c>
    </row>
    <row r="682" spans="1:88" ht="10.15" customHeight="1" x14ac:dyDescent="0.25">
      <c r="A682" s="1476" t="s">
        <v>76</v>
      </c>
      <c r="B682" s="1476" t="s">
        <v>2172</v>
      </c>
      <c r="C682" s="1481" t="str">
        <f t="shared" si="204"/>
        <v>Second OO</v>
      </c>
      <c r="D682" s="1480" t="s">
        <v>1338</v>
      </c>
      <c r="E682" s="1480" t="s">
        <v>98</v>
      </c>
      <c r="F682" s="1480" t="s">
        <v>328</v>
      </c>
      <c r="G682" s="1545" t="s">
        <v>465</v>
      </c>
      <c r="H682" s="1482" t="s">
        <v>135</v>
      </c>
      <c r="I682" s="1480" t="s">
        <v>1141</v>
      </c>
      <c r="J682" s="1480" t="s">
        <v>1130</v>
      </c>
      <c r="K682" s="1482" t="s">
        <v>2464</v>
      </c>
      <c r="L682" s="1480" t="s">
        <v>428</v>
      </c>
      <c r="M682" s="1480" t="s">
        <v>1835</v>
      </c>
      <c r="N682" s="1482" t="s">
        <v>82</v>
      </c>
      <c r="O682" s="1480" t="s">
        <v>309</v>
      </c>
      <c r="P682" s="1480" t="s">
        <v>2433</v>
      </c>
      <c r="Q682" s="1480" t="s">
        <v>293</v>
      </c>
      <c r="R682" s="277">
        <v>500000.01</v>
      </c>
      <c r="S682" s="277">
        <v>750000</v>
      </c>
      <c r="T682" s="1480">
        <v>0</v>
      </c>
      <c r="U682" s="1480">
        <f t="shared" si="234"/>
        <v>750000</v>
      </c>
      <c r="V682" s="1480">
        <v>0</v>
      </c>
      <c r="W682" s="1480">
        <v>50</v>
      </c>
      <c r="X682" s="1480">
        <v>0</v>
      </c>
      <c r="Y682" s="1480">
        <v>999</v>
      </c>
      <c r="Z682" s="1483">
        <v>660</v>
      </c>
      <c r="AA682" s="1483">
        <v>679</v>
      </c>
      <c r="AB682" s="1483">
        <v>0</v>
      </c>
      <c r="AC682" s="1483">
        <v>999999</v>
      </c>
      <c r="AD682" s="1480">
        <v>0</v>
      </c>
      <c r="AE682" s="1220">
        <v>50</v>
      </c>
      <c r="AF682" s="144">
        <v>0</v>
      </c>
      <c r="AG682" s="145">
        <v>1</v>
      </c>
      <c r="AH682" s="145">
        <v>1</v>
      </c>
      <c r="AI682" s="145">
        <v>0</v>
      </c>
      <c r="AJ682" s="145">
        <v>0</v>
      </c>
      <c r="AK682" s="145">
        <v>1</v>
      </c>
      <c r="AL682" s="145">
        <v>1</v>
      </c>
      <c r="AM682" s="145">
        <v>1</v>
      </c>
      <c r="AN682" s="145">
        <v>1</v>
      </c>
      <c r="AO682" s="145">
        <v>1</v>
      </c>
      <c r="AP682" s="145">
        <v>1</v>
      </c>
      <c r="AQ682" s="145">
        <v>0</v>
      </c>
      <c r="AR682" s="145">
        <v>1</v>
      </c>
      <c r="AS682" s="145">
        <v>1</v>
      </c>
      <c r="AT682" s="145">
        <v>1</v>
      </c>
      <c r="AU682" s="145">
        <f t="shared" si="219"/>
        <v>0</v>
      </c>
      <c r="AV682" s="145">
        <f t="shared" si="220"/>
        <v>1</v>
      </c>
      <c r="AW682" s="145">
        <f t="shared" si="221"/>
        <v>1</v>
      </c>
      <c r="AX682" s="145">
        <f t="shared" si="226"/>
        <v>1</v>
      </c>
      <c r="AY682" s="145">
        <f t="shared" si="222"/>
        <v>0</v>
      </c>
      <c r="AZ682" s="145">
        <f t="shared" si="223"/>
        <v>1</v>
      </c>
      <c r="BA682" s="146">
        <f t="shared" si="224"/>
        <v>0</v>
      </c>
      <c r="BB682" s="149">
        <f t="shared" si="228"/>
        <v>15</v>
      </c>
      <c r="BC682" s="150">
        <f t="shared" si="229"/>
        <v>15</v>
      </c>
      <c r="BD682" s="150">
        <f t="shared" si="230"/>
        <v>15</v>
      </c>
      <c r="BE682" s="211" t="str">
        <f t="shared" si="231"/>
        <v/>
      </c>
      <c r="BF682" s="205"/>
      <c r="BG682" s="205"/>
      <c r="BH682" s="188">
        <f>IF(AND(Input_Product=Elig!$C682,Elig_MatchAll_Ct&lt;22,$BC682=(Elig_MatchAll_Ct-1),AF682=0),C682,0)</f>
        <v>0</v>
      </c>
      <c r="BI682" s="188">
        <f>IF(AND(Input_Product=Elig!$C682,Elig_MatchAll_Ct&lt;22,$BC682=(Elig_MatchAll_Ct-1),AG682=0),D682,0)</f>
        <v>0</v>
      </c>
      <c r="BJ682" s="188">
        <f>IF(AND(Input_Product=Elig!$C682,Elig_MatchAll_Ct&lt;22,$BC682=(Elig_MatchAll_Ct-1),AH682=0),E682,0)</f>
        <v>0</v>
      </c>
      <c r="BK682" s="188">
        <f>IF(AND(Input_Product=Elig!$C682,Elig_MatchAll_Ct&lt;22,$BC682=(Elig_MatchAll_Ct-1),AI682=0),F682,0)</f>
        <v>0</v>
      </c>
      <c r="BL682" s="188">
        <f>IF(AND(Input_Product=Elig!$C682,Elig_MatchAll_Ct&lt;22,$BC682=(Elig_MatchAll_Ct-1),AJ682=0),G682,0)</f>
        <v>0</v>
      </c>
      <c r="BM682" s="188">
        <f>IF(AND(Input_Product=Elig!$C682,Elig_MatchAll_Ct&lt;22,$BC682=(Elig_MatchAll_Ct-1),AK682=0),H682,0)</f>
        <v>0</v>
      </c>
      <c r="BN682" s="188">
        <f>IF(AND(Input_Product=Elig!$C682,Elig_MatchAll_Ct&lt;22,$BC682=(Elig_MatchAll_Ct-1),AL682=0),I682,0)</f>
        <v>0</v>
      </c>
      <c r="BO682" s="188">
        <f>IF(AND(Input_Product=Elig!$C682,Elig_MatchAll_Ct&lt;22,$BC682=(Elig_MatchAll_Ct-1),AM682=0),J682,0)</f>
        <v>0</v>
      </c>
      <c r="BP682" s="188">
        <f>IF(AND(Input_Product=Elig!$C682,Elig_MatchAll_Ct&lt;22,$BC682=(Elig_MatchAll_Ct-1),AN682=0),K682,0)</f>
        <v>0</v>
      </c>
      <c r="BQ682" s="188">
        <f>IF(AND(Input_Product=Elig!$C682,Elig_MatchAll_Ct&lt;22,$BC682=(Elig_MatchAll_Ct-1),AP682=0),L682,0)</f>
        <v>0</v>
      </c>
      <c r="BR682" s="188">
        <f>IF(AND(Input_Product=Elig!$C682,Elig_MatchAll_Ct&lt;22,$BC682=(Elig_MatchAll_Ct-1),AO682=0),M682,0)</f>
        <v>0</v>
      </c>
      <c r="BS682" s="188">
        <f>IF(AND(Input_Product=Elig!$C682,Elig_MatchAll_Ct&lt;22,$BC682=(Elig_MatchAll_Ct-1),AQ682=0),N682,0)</f>
        <v>0</v>
      </c>
      <c r="BT682" s="188">
        <f>IF(AND(Input_Product=Elig!$C682,Elig_MatchAll_Ct&lt;22,$BC682=(Elig_MatchAll_Ct-1),AR682=0),O682,0)</f>
        <v>0</v>
      </c>
      <c r="BU682" s="188">
        <f>IF(AND(Input_Product=Elig!$C682,Elig_MatchAll_Ct&lt;22,$BC682=(Elig_MatchAll_Ct-1),AS682=0),P682,0)</f>
        <v>0</v>
      </c>
      <c r="BV682" s="189">
        <f>IF(AND(Input_Product=Elig!$C682,Elig_MatchAll_Ct&lt;22,$BC682=(Elig_MatchAll_Ct-1),AT682=0),Q682,0)</f>
        <v>0</v>
      </c>
      <c r="BW682" s="271">
        <f>IF(AND(Input_Product=Elig!$C682,Elig_MatchAll_Ct&lt;22,$BC682=(Elig_MatchAll_Ct-1),AU682=0),R682,0)</f>
        <v>0</v>
      </c>
      <c r="BX682" s="272">
        <f>IF(AND(Input_Product=Elig!$C682,Elig_MatchAll_Ct&lt;22,$BC682=(Elig_MatchAll_Ct-1),AU682=0),S682,0)</f>
        <v>0</v>
      </c>
      <c r="BY682" s="271">
        <f>IF(AND(Input_Product=Elig!$C682,Elig_MatchAll_Ct&lt;22,$BC682=(Elig_MatchAll_Ct-1),AV682=0),T682,0)</f>
        <v>0</v>
      </c>
      <c r="BZ682" s="272">
        <f>IF(AND(Input_Product=Elig!$C682,Elig_MatchAll_Ct&lt;22,$BC682=(Elig_MatchAll_Ct-1),AV682=0),U682,0)</f>
        <v>0</v>
      </c>
      <c r="CA682" s="271">
        <f>IF(AND(Input_Product=Elig!$C682,Elig_MatchAll_Ct&lt;22,$BC682=(Elig_MatchAll_Ct-1),AW682=0),V682,0)</f>
        <v>0</v>
      </c>
      <c r="CB682" s="272">
        <f>IF(AND(Input_Product=Elig!$C682,Elig_MatchAll_Ct&lt;22,$BC682=(Elig_MatchAll_Ct-1),AW682=0),W682,0)</f>
        <v>0</v>
      </c>
      <c r="CC682" s="271">
        <f>IF(AND(Input_Product=Elig!$C682,Elig_MatchAll_Ct&lt;22,$BC682=(Elig_MatchAll_Ct-1),AX682=0),X682,0)</f>
        <v>0</v>
      </c>
      <c r="CD682" s="272">
        <f>IF(AND(Input_Product=Elig!$C682,Elig_MatchAll_Ct&lt;22,$BC682=(Elig_MatchAll_Ct-1),AX682=0),Y682,0)</f>
        <v>0</v>
      </c>
      <c r="CE682" s="271">
        <f>IF(AND(Input_LTV&lt;=AE682,Input_Product=Elig!$C682,Elig_MatchAll_Ct&lt;22,$BC682=(Elig_MatchAll_Ct-1),AY682=0),Z682,0)</f>
        <v>0</v>
      </c>
      <c r="CF682" s="272">
        <f>IF(AND(Input_LTV&lt;=AE682,Input_Product=Elig!$C682,Elig_MatchAll_Ct&lt;22,$BC682=(Elig_MatchAll_Ct-1),AY682=0),AA682,0)</f>
        <v>0</v>
      </c>
      <c r="CG682" s="271">
        <f>IF(AND(Input_Product=Elig!$C682,Elig_MatchAll_Ct&lt;22,$BC682=(Elig_MatchAll_Ct-1),AZ682=0),AB682,0)</f>
        <v>0</v>
      </c>
      <c r="CH682" s="272">
        <f>IF(AND(Input_Product=Elig!$C682,Elig_MatchAll_Ct&lt;22,$BC682=(Elig_MatchAll_Ct-1),AZ682=0),AC682,0)</f>
        <v>0</v>
      </c>
      <c r="CI682" s="271">
        <f>IF(AND(Input_Product=Elig!$C682,Elig_MatchAll_Ct&lt;22,$BC682=(Elig_MatchAll_Ct-1),BA682=0),AD682,0)</f>
        <v>0</v>
      </c>
      <c r="CJ682" s="272">
        <f>IF(AND(Input_Product=Elig!$C682,Elig_MatchAll_Ct&lt;22,$BC682=(Elig_MatchAll_Ct-1),BA682=0),AE682,0)</f>
        <v>0</v>
      </c>
    </row>
    <row r="683" spans="1:88" ht="10.15" customHeight="1" x14ac:dyDescent="0.25">
      <c r="A683" s="1476" t="s">
        <v>76</v>
      </c>
      <c r="B683" s="1476" t="s">
        <v>2173</v>
      </c>
      <c r="C683" s="1473" t="str">
        <f t="shared" si="204"/>
        <v>Second OO</v>
      </c>
      <c r="D683" s="1474" t="s">
        <v>1338</v>
      </c>
      <c r="E683" s="1474" t="s">
        <v>98</v>
      </c>
      <c r="F683" s="1474" t="s">
        <v>328</v>
      </c>
      <c r="G683" s="1537" t="s">
        <v>469</v>
      </c>
      <c r="H683" s="1474" t="s">
        <v>135</v>
      </c>
      <c r="I683" s="1472" t="s">
        <v>1141</v>
      </c>
      <c r="J683" s="1472" t="s">
        <v>1130</v>
      </c>
      <c r="K683" s="1474" t="s">
        <v>2464</v>
      </c>
      <c r="L683" s="1472" t="s">
        <v>428</v>
      </c>
      <c r="M683" s="1472" t="s">
        <v>1835</v>
      </c>
      <c r="N683" s="1474" t="s">
        <v>82</v>
      </c>
      <c r="O683" s="1472" t="s">
        <v>309</v>
      </c>
      <c r="P683" s="1472" t="s">
        <v>2433</v>
      </c>
      <c r="Q683" s="1472" t="s">
        <v>293</v>
      </c>
      <c r="R683" s="276">
        <v>500000.01</v>
      </c>
      <c r="S683" s="276">
        <v>750000</v>
      </c>
      <c r="T683" s="1472">
        <v>0</v>
      </c>
      <c r="U683" s="1472">
        <f t="shared" si="225"/>
        <v>750000</v>
      </c>
      <c r="V683" s="1472">
        <v>0</v>
      </c>
      <c r="W683" s="1472">
        <v>50</v>
      </c>
      <c r="X683" s="1472">
        <v>0</v>
      </c>
      <c r="Y683" s="1472">
        <v>999</v>
      </c>
      <c r="Z683" s="1475">
        <v>720</v>
      </c>
      <c r="AA683" s="1475">
        <v>999</v>
      </c>
      <c r="AB683" s="1475">
        <v>0</v>
      </c>
      <c r="AC683" s="1475">
        <v>999999</v>
      </c>
      <c r="AD683" s="1472">
        <v>0</v>
      </c>
      <c r="AE683" s="1218">
        <v>65</v>
      </c>
      <c r="AF683" s="144">
        <v>0</v>
      </c>
      <c r="AG683" s="145">
        <v>1</v>
      </c>
      <c r="AH683" s="145">
        <v>1</v>
      </c>
      <c r="AI683" s="145">
        <v>0</v>
      </c>
      <c r="AJ683" s="145">
        <v>0</v>
      </c>
      <c r="AK683" s="145">
        <v>1</v>
      </c>
      <c r="AL683" s="145">
        <v>1</v>
      </c>
      <c r="AM683" s="145">
        <v>1</v>
      </c>
      <c r="AN683" s="145">
        <v>1</v>
      </c>
      <c r="AO683" s="145">
        <v>1</v>
      </c>
      <c r="AP683" s="145">
        <v>1</v>
      </c>
      <c r="AQ683" s="145">
        <v>0</v>
      </c>
      <c r="AR683" s="145">
        <v>1</v>
      </c>
      <c r="AS683" s="145">
        <v>1</v>
      </c>
      <c r="AT683" s="145">
        <v>1</v>
      </c>
      <c r="AU683" s="145">
        <f t="shared" si="219"/>
        <v>0</v>
      </c>
      <c r="AV683" s="145">
        <f t="shared" si="220"/>
        <v>1</v>
      </c>
      <c r="AW683" s="145">
        <f t="shared" si="221"/>
        <v>1</v>
      </c>
      <c r="AX683" s="145">
        <f t="shared" si="226"/>
        <v>1</v>
      </c>
      <c r="AY683" s="145">
        <f t="shared" si="222"/>
        <v>1</v>
      </c>
      <c r="AZ683" s="145">
        <f t="shared" si="223"/>
        <v>1</v>
      </c>
      <c r="BA683" s="146">
        <f t="shared" si="224"/>
        <v>0</v>
      </c>
      <c r="BB683" s="149">
        <f t="shared" si="228"/>
        <v>16</v>
      </c>
      <c r="BC683" s="150">
        <f t="shared" si="229"/>
        <v>16</v>
      </c>
      <c r="BD683" s="150">
        <f t="shared" si="230"/>
        <v>16</v>
      </c>
      <c r="BE683" s="211" t="str">
        <f t="shared" si="231"/>
        <v/>
      </c>
      <c r="BF683" s="194"/>
      <c r="BG683" s="194"/>
      <c r="BH683" s="190">
        <f>IF(AND(Input_Product=Elig!$C683,Elig_MatchAll_Ct&lt;22,$BC683=(Elig_MatchAll_Ct-1),AF683=0),C683,0)</f>
        <v>0</v>
      </c>
      <c r="BI683" s="190">
        <f>IF(AND(Input_Product=Elig!$C683,Elig_MatchAll_Ct&lt;22,$BC683=(Elig_MatchAll_Ct-1),AG683=0),D683,0)</f>
        <v>0</v>
      </c>
      <c r="BJ683" s="190">
        <f>IF(AND(Input_Product=Elig!$C683,Elig_MatchAll_Ct&lt;22,$BC683=(Elig_MatchAll_Ct-1),AH683=0),E683,0)</f>
        <v>0</v>
      </c>
      <c r="BK683" s="190">
        <f>IF(AND(Input_Product=Elig!$C683,Elig_MatchAll_Ct&lt;22,$BC683=(Elig_MatchAll_Ct-1),AI683=0),F683,0)</f>
        <v>0</v>
      </c>
      <c r="BL683" s="190">
        <f>IF(AND(Input_Product=Elig!$C683,Elig_MatchAll_Ct&lt;22,$BC683=(Elig_MatchAll_Ct-1),AJ683=0),G683,0)</f>
        <v>0</v>
      </c>
      <c r="BM683" s="190">
        <f>IF(AND(Input_Product=Elig!$C683,Elig_MatchAll_Ct&lt;22,$BC683=(Elig_MatchAll_Ct-1),AK683=0),H683,0)</f>
        <v>0</v>
      </c>
      <c r="BN683" s="190">
        <f>IF(AND(Input_Product=Elig!$C683,Elig_MatchAll_Ct&lt;22,$BC683=(Elig_MatchAll_Ct-1),AL683=0),I683,0)</f>
        <v>0</v>
      </c>
      <c r="BO683" s="190">
        <f>IF(AND(Input_Product=Elig!$C683,Elig_MatchAll_Ct&lt;22,$BC683=(Elig_MatchAll_Ct-1),AM683=0),J683,0)</f>
        <v>0</v>
      </c>
      <c r="BP683" s="190">
        <f>IF(AND(Input_Product=Elig!$C683,Elig_MatchAll_Ct&lt;22,$BC683=(Elig_MatchAll_Ct-1),AN683=0),K683,0)</f>
        <v>0</v>
      </c>
      <c r="BQ683" s="190">
        <f>IF(AND(Input_Product=Elig!$C683,Elig_MatchAll_Ct&lt;22,$BC683=(Elig_MatchAll_Ct-1),AP683=0),L683,0)</f>
        <v>0</v>
      </c>
      <c r="BR683" s="190">
        <f>IF(AND(Input_Product=Elig!$C683,Elig_MatchAll_Ct&lt;22,$BC683=(Elig_MatchAll_Ct-1),AO683=0),M683,0)</f>
        <v>0</v>
      </c>
      <c r="BS683" s="190">
        <f>IF(AND(Input_Product=Elig!$C683,Elig_MatchAll_Ct&lt;22,$BC683=(Elig_MatchAll_Ct-1),AQ683=0),N683,0)</f>
        <v>0</v>
      </c>
      <c r="BT683" s="190">
        <f>IF(AND(Input_Product=Elig!$C683,Elig_MatchAll_Ct&lt;22,$BC683=(Elig_MatchAll_Ct-1),AR683=0),O683,0)</f>
        <v>0</v>
      </c>
      <c r="BU683" s="190">
        <f>IF(AND(Input_Product=Elig!$C683,Elig_MatchAll_Ct&lt;22,$BC683=(Elig_MatchAll_Ct-1),AS683=0),P683,0)</f>
        <v>0</v>
      </c>
      <c r="BV683" s="191">
        <f>IF(AND(Input_Product=Elig!$C683,Elig_MatchAll_Ct&lt;22,$BC683=(Elig_MatchAll_Ct-1),AT683=0),Q683,0)</f>
        <v>0</v>
      </c>
      <c r="BW683" s="273">
        <f>IF(AND(Input_Product=Elig!$C683,Elig_MatchAll_Ct&lt;22,$BC683=(Elig_MatchAll_Ct-1),AU683=0),R683,0)</f>
        <v>0</v>
      </c>
      <c r="BX683" s="274">
        <f>IF(AND(Input_Product=Elig!$C683,Elig_MatchAll_Ct&lt;22,$BC683=(Elig_MatchAll_Ct-1),AU683=0),S683,0)</f>
        <v>0</v>
      </c>
      <c r="BY683" s="273">
        <f>IF(AND(Input_Product=Elig!$C683,Elig_MatchAll_Ct&lt;22,$BC683=(Elig_MatchAll_Ct-1),AV683=0),T683,0)</f>
        <v>0</v>
      </c>
      <c r="BZ683" s="274">
        <f>IF(AND(Input_Product=Elig!$C683,Elig_MatchAll_Ct&lt;22,$BC683=(Elig_MatchAll_Ct-1),AV683=0),U683,0)</f>
        <v>0</v>
      </c>
      <c r="CA683" s="273">
        <f>IF(AND(Input_Product=Elig!$C683,Elig_MatchAll_Ct&lt;22,$BC683=(Elig_MatchAll_Ct-1),AW683=0),V683,0)</f>
        <v>0</v>
      </c>
      <c r="CB683" s="274">
        <f>IF(AND(Input_Product=Elig!$C683,Elig_MatchAll_Ct&lt;22,$BC683=(Elig_MatchAll_Ct-1),AW683=0),W683,0)</f>
        <v>0</v>
      </c>
      <c r="CC683" s="273">
        <f>IF(AND(Input_Product=Elig!$C683,Elig_MatchAll_Ct&lt;22,$BC683=(Elig_MatchAll_Ct-1),AX683=0),X683,0)</f>
        <v>0</v>
      </c>
      <c r="CD683" s="274">
        <f>IF(AND(Input_Product=Elig!$C683,Elig_MatchAll_Ct&lt;22,$BC683=(Elig_MatchAll_Ct-1),AX683=0),Y683,0)</f>
        <v>0</v>
      </c>
      <c r="CE683" s="273">
        <f>IF(AND(Input_LTV&lt;=AE683,Input_Product=Elig!$C683,Elig_MatchAll_Ct&lt;22,$BC683=(Elig_MatchAll_Ct-1),AY683=0),Z683,0)</f>
        <v>0</v>
      </c>
      <c r="CF683" s="274">
        <f>IF(AND(Input_LTV&lt;=AE683,Input_Product=Elig!$C683,Elig_MatchAll_Ct&lt;22,$BC683=(Elig_MatchAll_Ct-1),AY683=0),AA683,0)</f>
        <v>0</v>
      </c>
      <c r="CG683" s="273">
        <f>IF(AND(Input_Product=Elig!$C683,Elig_MatchAll_Ct&lt;22,$BC683=(Elig_MatchAll_Ct-1),AZ683=0),AB683,0)</f>
        <v>0</v>
      </c>
      <c r="CH683" s="274">
        <f>IF(AND(Input_Product=Elig!$C683,Elig_MatchAll_Ct&lt;22,$BC683=(Elig_MatchAll_Ct-1),AZ683=0),AC683,0)</f>
        <v>0</v>
      </c>
      <c r="CI683" s="273">
        <f>IF(AND(Input_Product=Elig!$C683,Elig_MatchAll_Ct&lt;22,$BC683=(Elig_MatchAll_Ct-1),BA683=0),AD683,0)</f>
        <v>0</v>
      </c>
      <c r="CJ683" s="274">
        <f>IF(AND(Input_Product=Elig!$C683,Elig_MatchAll_Ct&lt;22,$BC683=(Elig_MatchAll_Ct-1),BA683=0),AE683,0)</f>
        <v>0</v>
      </c>
    </row>
    <row r="684" spans="1:88" ht="10.15" customHeight="1" x14ac:dyDescent="0.25">
      <c r="A684" s="1476" t="s">
        <v>76</v>
      </c>
      <c r="B684" s="1476" t="s">
        <v>2174</v>
      </c>
      <c r="C684" s="1477" t="str">
        <f t="shared" si="204"/>
        <v>Second OO</v>
      </c>
      <c r="D684" s="1476" t="s">
        <v>1338</v>
      </c>
      <c r="E684" s="1476" t="s">
        <v>98</v>
      </c>
      <c r="F684" s="1476" t="s">
        <v>328</v>
      </c>
      <c r="G684" s="1544" t="s">
        <v>469</v>
      </c>
      <c r="H684" s="1478" t="s">
        <v>135</v>
      </c>
      <c r="I684" s="1476" t="s">
        <v>1141</v>
      </c>
      <c r="J684" s="1476" t="s">
        <v>1130</v>
      </c>
      <c r="K684" s="1478" t="s">
        <v>2464</v>
      </c>
      <c r="L684" s="1476" t="s">
        <v>428</v>
      </c>
      <c r="M684" s="1476" t="s">
        <v>1835</v>
      </c>
      <c r="N684" s="1478" t="s">
        <v>82</v>
      </c>
      <c r="O684" s="1476" t="s">
        <v>309</v>
      </c>
      <c r="P684" s="1476" t="s">
        <v>2433</v>
      </c>
      <c r="Q684" s="1476" t="s">
        <v>293</v>
      </c>
      <c r="R684" s="261">
        <v>500000.01</v>
      </c>
      <c r="S684" s="261">
        <v>750000</v>
      </c>
      <c r="T684" s="1476">
        <v>0</v>
      </c>
      <c r="U684" s="1476">
        <f t="shared" si="225"/>
        <v>750000</v>
      </c>
      <c r="V684" s="1476">
        <v>0</v>
      </c>
      <c r="W684" s="1476">
        <v>50</v>
      </c>
      <c r="X684" s="1476">
        <v>0</v>
      </c>
      <c r="Y684" s="1476">
        <v>999</v>
      </c>
      <c r="Z684" s="1479">
        <v>700</v>
      </c>
      <c r="AA684" s="1479">
        <v>719</v>
      </c>
      <c r="AB684" s="1479">
        <v>0</v>
      </c>
      <c r="AC684" s="1479">
        <v>999999</v>
      </c>
      <c r="AD684" s="1476">
        <v>0</v>
      </c>
      <c r="AE684" s="1219">
        <v>60</v>
      </c>
      <c r="AF684" s="144">
        <v>0</v>
      </c>
      <c r="AG684" s="145">
        <v>1</v>
      </c>
      <c r="AH684" s="145">
        <v>1</v>
      </c>
      <c r="AI684" s="145">
        <v>0</v>
      </c>
      <c r="AJ684" s="145">
        <v>0</v>
      </c>
      <c r="AK684" s="145">
        <v>1</v>
      </c>
      <c r="AL684" s="145">
        <v>1</v>
      </c>
      <c r="AM684" s="145">
        <v>1</v>
      </c>
      <c r="AN684" s="145">
        <v>1</v>
      </c>
      <c r="AO684" s="145">
        <v>1</v>
      </c>
      <c r="AP684" s="145">
        <v>1</v>
      </c>
      <c r="AQ684" s="145">
        <v>0</v>
      </c>
      <c r="AR684" s="145">
        <v>1</v>
      </c>
      <c r="AS684" s="145">
        <v>1</v>
      </c>
      <c r="AT684" s="145">
        <v>1</v>
      </c>
      <c r="AU684" s="145">
        <f t="shared" si="219"/>
        <v>0</v>
      </c>
      <c r="AV684" s="145">
        <f t="shared" si="220"/>
        <v>1</v>
      </c>
      <c r="AW684" s="145">
        <f t="shared" si="221"/>
        <v>1</v>
      </c>
      <c r="AX684" s="145">
        <f t="shared" si="226"/>
        <v>1</v>
      </c>
      <c r="AY684" s="145">
        <f t="shared" si="222"/>
        <v>0</v>
      </c>
      <c r="AZ684" s="145">
        <f t="shared" si="223"/>
        <v>1</v>
      </c>
      <c r="BA684" s="146">
        <f t="shared" si="224"/>
        <v>0</v>
      </c>
      <c r="BB684" s="149">
        <f t="shared" si="228"/>
        <v>15</v>
      </c>
      <c r="BC684" s="150">
        <f t="shared" si="229"/>
        <v>15</v>
      </c>
      <c r="BD684" s="150">
        <f t="shared" si="230"/>
        <v>15</v>
      </c>
      <c r="BE684" s="211" t="str">
        <f t="shared" si="231"/>
        <v/>
      </c>
      <c r="BF684" s="205"/>
      <c r="BG684" s="205"/>
      <c r="BH684" s="173">
        <f>IF(AND(Input_Product=Elig!$C684,Elig_MatchAll_Ct&lt;22,$BC684=(Elig_MatchAll_Ct-1),AF684=0),C684,0)</f>
        <v>0</v>
      </c>
      <c r="BI684" s="173">
        <f>IF(AND(Input_Product=Elig!$C684,Elig_MatchAll_Ct&lt;22,$BC684=(Elig_MatchAll_Ct-1),AG684=0),D684,0)</f>
        <v>0</v>
      </c>
      <c r="BJ684" s="173">
        <f>IF(AND(Input_Product=Elig!$C684,Elig_MatchAll_Ct&lt;22,$BC684=(Elig_MatchAll_Ct-1),AH684=0),E684,0)</f>
        <v>0</v>
      </c>
      <c r="BK684" s="173">
        <f>IF(AND(Input_Product=Elig!$C684,Elig_MatchAll_Ct&lt;22,$BC684=(Elig_MatchAll_Ct-1),AI684=0),F684,0)</f>
        <v>0</v>
      </c>
      <c r="BL684" s="173">
        <f>IF(AND(Input_Product=Elig!$C684,Elig_MatchAll_Ct&lt;22,$BC684=(Elig_MatchAll_Ct-1),AJ684=0),G684,0)</f>
        <v>0</v>
      </c>
      <c r="BM684" s="173">
        <f>IF(AND(Input_Product=Elig!$C684,Elig_MatchAll_Ct&lt;22,$BC684=(Elig_MatchAll_Ct-1),AK684=0),H684,0)</f>
        <v>0</v>
      </c>
      <c r="BN684" s="173">
        <f>IF(AND(Input_Product=Elig!$C684,Elig_MatchAll_Ct&lt;22,$BC684=(Elig_MatchAll_Ct-1),AL684=0),I684,0)</f>
        <v>0</v>
      </c>
      <c r="BO684" s="173">
        <f>IF(AND(Input_Product=Elig!$C684,Elig_MatchAll_Ct&lt;22,$BC684=(Elig_MatchAll_Ct-1),AM684=0),J684,0)</f>
        <v>0</v>
      </c>
      <c r="BP684" s="173">
        <f>IF(AND(Input_Product=Elig!$C684,Elig_MatchAll_Ct&lt;22,$BC684=(Elig_MatchAll_Ct-1),AN684=0),K684,0)</f>
        <v>0</v>
      </c>
      <c r="BQ684" s="173">
        <f>IF(AND(Input_Product=Elig!$C684,Elig_MatchAll_Ct&lt;22,$BC684=(Elig_MatchAll_Ct-1),AP684=0),L684,0)</f>
        <v>0</v>
      </c>
      <c r="BR684" s="173">
        <f>IF(AND(Input_Product=Elig!$C684,Elig_MatchAll_Ct&lt;22,$BC684=(Elig_MatchAll_Ct-1),AO684=0),M684,0)</f>
        <v>0</v>
      </c>
      <c r="BS684" s="173">
        <f>IF(AND(Input_Product=Elig!$C684,Elig_MatchAll_Ct&lt;22,$BC684=(Elig_MatchAll_Ct-1),AQ684=0),N684,0)</f>
        <v>0</v>
      </c>
      <c r="BT684" s="173">
        <f>IF(AND(Input_Product=Elig!$C684,Elig_MatchAll_Ct&lt;22,$BC684=(Elig_MatchAll_Ct-1),AR684=0),O684,0)</f>
        <v>0</v>
      </c>
      <c r="BU684" s="173">
        <f>IF(AND(Input_Product=Elig!$C684,Elig_MatchAll_Ct&lt;22,$BC684=(Elig_MatchAll_Ct-1),AS684=0),P684,0)</f>
        <v>0</v>
      </c>
      <c r="BV684" s="174">
        <f>IF(AND(Input_Product=Elig!$C684,Elig_MatchAll_Ct&lt;22,$BC684=(Elig_MatchAll_Ct-1),AT684=0),Q684,0)</f>
        <v>0</v>
      </c>
      <c r="BW684" s="175">
        <f>IF(AND(Input_Product=Elig!$C684,Elig_MatchAll_Ct&lt;22,$BC684=(Elig_MatchAll_Ct-1),AU684=0),R684,0)</f>
        <v>0</v>
      </c>
      <c r="BX684" s="176">
        <f>IF(AND(Input_Product=Elig!$C684,Elig_MatchAll_Ct&lt;22,$BC684=(Elig_MatchAll_Ct-1),AU684=0),S684,0)</f>
        <v>0</v>
      </c>
      <c r="BY684" s="175">
        <f>IF(AND(Input_Product=Elig!$C684,Elig_MatchAll_Ct&lt;22,$BC684=(Elig_MatchAll_Ct-1),AV684=0),T684,0)</f>
        <v>0</v>
      </c>
      <c r="BZ684" s="176">
        <f>IF(AND(Input_Product=Elig!$C684,Elig_MatchAll_Ct&lt;22,$BC684=(Elig_MatchAll_Ct-1),AV684=0),U684,0)</f>
        <v>0</v>
      </c>
      <c r="CA684" s="175">
        <f>IF(AND(Input_Product=Elig!$C684,Elig_MatchAll_Ct&lt;22,$BC684=(Elig_MatchAll_Ct-1),AW684=0),V684,0)</f>
        <v>0</v>
      </c>
      <c r="CB684" s="176">
        <f>IF(AND(Input_Product=Elig!$C684,Elig_MatchAll_Ct&lt;22,$BC684=(Elig_MatchAll_Ct-1),AW684=0),W684,0)</f>
        <v>0</v>
      </c>
      <c r="CC684" s="175">
        <f>IF(AND(Input_Product=Elig!$C684,Elig_MatchAll_Ct&lt;22,$BC684=(Elig_MatchAll_Ct-1),AX684=0),X684,0)</f>
        <v>0</v>
      </c>
      <c r="CD684" s="176">
        <f>IF(AND(Input_Product=Elig!$C684,Elig_MatchAll_Ct&lt;22,$BC684=(Elig_MatchAll_Ct-1),AX684=0),Y684,0)</f>
        <v>0</v>
      </c>
      <c r="CE684" s="175">
        <f>IF(AND(Input_LTV&lt;=AE684,Input_Product=Elig!$C684,Elig_MatchAll_Ct&lt;22,$BC684=(Elig_MatchAll_Ct-1),AY684=0),Z684,0)</f>
        <v>0</v>
      </c>
      <c r="CF684" s="176">
        <f>IF(AND(Input_LTV&lt;=AE684,Input_Product=Elig!$C684,Elig_MatchAll_Ct&lt;22,$BC684=(Elig_MatchAll_Ct-1),AY684=0),AA684,0)</f>
        <v>0</v>
      </c>
      <c r="CG684" s="175">
        <f>IF(AND(Input_Product=Elig!$C684,Elig_MatchAll_Ct&lt;22,$BC684=(Elig_MatchAll_Ct-1),AZ684=0),AB684,0)</f>
        <v>0</v>
      </c>
      <c r="CH684" s="176">
        <f>IF(AND(Input_Product=Elig!$C684,Elig_MatchAll_Ct&lt;22,$BC684=(Elig_MatchAll_Ct-1),AZ684=0),AC684,0)</f>
        <v>0</v>
      </c>
      <c r="CI684" s="175">
        <f>IF(AND(Input_Product=Elig!$C684,Elig_MatchAll_Ct&lt;22,$BC684=(Elig_MatchAll_Ct-1),BA684=0),AD684,0)</f>
        <v>0</v>
      </c>
      <c r="CJ684" s="176">
        <f>IF(AND(Input_Product=Elig!$C684,Elig_MatchAll_Ct&lt;22,$BC684=(Elig_MatchAll_Ct-1),BA684=0),AE684,0)</f>
        <v>0</v>
      </c>
    </row>
    <row r="685" spans="1:88" ht="10.15" customHeight="1" x14ac:dyDescent="0.25">
      <c r="A685" s="1476" t="s">
        <v>76</v>
      </c>
      <c r="B685" s="1476" t="s">
        <v>2175</v>
      </c>
      <c r="C685" s="1477" t="str">
        <f t="shared" si="204"/>
        <v>Second OO</v>
      </c>
      <c r="D685" s="1476" t="s">
        <v>1338</v>
      </c>
      <c r="E685" s="1476" t="s">
        <v>98</v>
      </c>
      <c r="F685" s="1476" t="s">
        <v>328</v>
      </c>
      <c r="G685" s="1544" t="s">
        <v>469</v>
      </c>
      <c r="H685" s="1478" t="s">
        <v>135</v>
      </c>
      <c r="I685" s="1476" t="s">
        <v>1141</v>
      </c>
      <c r="J685" s="1476" t="s">
        <v>1130</v>
      </c>
      <c r="K685" s="1478" t="s">
        <v>2464</v>
      </c>
      <c r="L685" s="1476" t="s">
        <v>428</v>
      </c>
      <c r="M685" s="1476" t="s">
        <v>1835</v>
      </c>
      <c r="N685" s="1478" t="s">
        <v>82</v>
      </c>
      <c r="O685" s="1476" t="s">
        <v>309</v>
      </c>
      <c r="P685" s="1476" t="s">
        <v>2433</v>
      </c>
      <c r="Q685" s="1476" t="s">
        <v>293</v>
      </c>
      <c r="R685" s="261">
        <v>500000.01</v>
      </c>
      <c r="S685" s="261">
        <v>750000</v>
      </c>
      <c r="T685" s="1476">
        <v>0</v>
      </c>
      <c r="U685" s="1476">
        <f t="shared" si="225"/>
        <v>750000</v>
      </c>
      <c r="V685" s="1476">
        <v>0</v>
      </c>
      <c r="W685" s="1476">
        <v>50</v>
      </c>
      <c r="X685" s="1476">
        <v>0</v>
      </c>
      <c r="Y685" s="1476">
        <v>999</v>
      </c>
      <c r="Z685" s="1479">
        <v>680</v>
      </c>
      <c r="AA685" s="1479">
        <v>699</v>
      </c>
      <c r="AB685" s="1479">
        <v>0</v>
      </c>
      <c r="AC685" s="1479">
        <v>999999</v>
      </c>
      <c r="AD685" s="1476">
        <v>0</v>
      </c>
      <c r="AE685" s="1219">
        <v>55</v>
      </c>
      <c r="AF685" s="144">
        <v>0</v>
      </c>
      <c r="AG685" s="145">
        <v>1</v>
      </c>
      <c r="AH685" s="145">
        <v>1</v>
      </c>
      <c r="AI685" s="145">
        <v>0</v>
      </c>
      <c r="AJ685" s="145">
        <v>0</v>
      </c>
      <c r="AK685" s="145">
        <v>1</v>
      </c>
      <c r="AL685" s="145">
        <v>1</v>
      </c>
      <c r="AM685" s="145">
        <v>1</v>
      </c>
      <c r="AN685" s="145">
        <v>1</v>
      </c>
      <c r="AO685" s="145">
        <v>1</v>
      </c>
      <c r="AP685" s="145">
        <v>1</v>
      </c>
      <c r="AQ685" s="145">
        <v>0</v>
      </c>
      <c r="AR685" s="145">
        <v>1</v>
      </c>
      <c r="AS685" s="145">
        <v>1</v>
      </c>
      <c r="AT685" s="145">
        <v>1</v>
      </c>
      <c r="AU685" s="145">
        <f t="shared" si="219"/>
        <v>0</v>
      </c>
      <c r="AV685" s="145">
        <f t="shared" si="220"/>
        <v>1</v>
      </c>
      <c r="AW685" s="145">
        <f t="shared" si="221"/>
        <v>1</v>
      </c>
      <c r="AX685" s="145">
        <f t="shared" si="226"/>
        <v>1</v>
      </c>
      <c r="AY685" s="145">
        <f t="shared" si="222"/>
        <v>0</v>
      </c>
      <c r="AZ685" s="145">
        <f t="shared" si="223"/>
        <v>1</v>
      </c>
      <c r="BA685" s="146">
        <f t="shared" si="224"/>
        <v>0</v>
      </c>
      <c r="BB685" s="149">
        <f t="shared" si="228"/>
        <v>15</v>
      </c>
      <c r="BC685" s="150">
        <f t="shared" si="229"/>
        <v>15</v>
      </c>
      <c r="BD685" s="150">
        <f t="shared" si="230"/>
        <v>15</v>
      </c>
      <c r="BE685" s="211" t="str">
        <f t="shared" si="231"/>
        <v/>
      </c>
      <c r="BF685" s="205"/>
      <c r="BG685" s="205"/>
      <c r="BH685" s="173">
        <f>IF(AND(Input_Product=Elig!$C685,Elig_MatchAll_Ct&lt;22,$BC685=(Elig_MatchAll_Ct-1),AF685=0),C685,0)</f>
        <v>0</v>
      </c>
      <c r="BI685" s="173">
        <f>IF(AND(Input_Product=Elig!$C685,Elig_MatchAll_Ct&lt;22,$BC685=(Elig_MatchAll_Ct-1),AG685=0),D685,0)</f>
        <v>0</v>
      </c>
      <c r="BJ685" s="173">
        <f>IF(AND(Input_Product=Elig!$C685,Elig_MatchAll_Ct&lt;22,$BC685=(Elig_MatchAll_Ct-1),AH685=0),E685,0)</f>
        <v>0</v>
      </c>
      <c r="BK685" s="173">
        <f>IF(AND(Input_Product=Elig!$C685,Elig_MatchAll_Ct&lt;22,$BC685=(Elig_MatchAll_Ct-1),AI685=0),F685,0)</f>
        <v>0</v>
      </c>
      <c r="BL685" s="173">
        <f>IF(AND(Input_Product=Elig!$C685,Elig_MatchAll_Ct&lt;22,$BC685=(Elig_MatchAll_Ct-1),AJ685=0),G685,0)</f>
        <v>0</v>
      </c>
      <c r="BM685" s="173">
        <f>IF(AND(Input_Product=Elig!$C685,Elig_MatchAll_Ct&lt;22,$BC685=(Elig_MatchAll_Ct-1),AK685=0),H685,0)</f>
        <v>0</v>
      </c>
      <c r="BN685" s="173">
        <f>IF(AND(Input_Product=Elig!$C685,Elig_MatchAll_Ct&lt;22,$BC685=(Elig_MatchAll_Ct-1),AL685=0),I685,0)</f>
        <v>0</v>
      </c>
      <c r="BO685" s="173">
        <f>IF(AND(Input_Product=Elig!$C685,Elig_MatchAll_Ct&lt;22,$BC685=(Elig_MatchAll_Ct-1),AM685=0),J685,0)</f>
        <v>0</v>
      </c>
      <c r="BP685" s="173">
        <f>IF(AND(Input_Product=Elig!$C685,Elig_MatchAll_Ct&lt;22,$BC685=(Elig_MatchAll_Ct-1),AN685=0),K685,0)</f>
        <v>0</v>
      </c>
      <c r="BQ685" s="173">
        <f>IF(AND(Input_Product=Elig!$C685,Elig_MatchAll_Ct&lt;22,$BC685=(Elig_MatchAll_Ct-1),AP685=0),L685,0)</f>
        <v>0</v>
      </c>
      <c r="BR685" s="173">
        <f>IF(AND(Input_Product=Elig!$C685,Elig_MatchAll_Ct&lt;22,$BC685=(Elig_MatchAll_Ct-1),AO685=0),M685,0)</f>
        <v>0</v>
      </c>
      <c r="BS685" s="173">
        <f>IF(AND(Input_Product=Elig!$C685,Elig_MatchAll_Ct&lt;22,$BC685=(Elig_MatchAll_Ct-1),AQ685=0),N685,0)</f>
        <v>0</v>
      </c>
      <c r="BT685" s="173">
        <f>IF(AND(Input_Product=Elig!$C685,Elig_MatchAll_Ct&lt;22,$BC685=(Elig_MatchAll_Ct-1),AR685=0),O685,0)</f>
        <v>0</v>
      </c>
      <c r="BU685" s="173">
        <f>IF(AND(Input_Product=Elig!$C685,Elig_MatchAll_Ct&lt;22,$BC685=(Elig_MatchAll_Ct-1),AS685=0),P685,0)</f>
        <v>0</v>
      </c>
      <c r="BV685" s="174">
        <f>IF(AND(Input_Product=Elig!$C685,Elig_MatchAll_Ct&lt;22,$BC685=(Elig_MatchAll_Ct-1),AT685=0),Q685,0)</f>
        <v>0</v>
      </c>
      <c r="BW685" s="175">
        <f>IF(AND(Input_Product=Elig!$C685,Elig_MatchAll_Ct&lt;22,$BC685=(Elig_MatchAll_Ct-1),AU685=0),R685,0)</f>
        <v>0</v>
      </c>
      <c r="BX685" s="176">
        <f>IF(AND(Input_Product=Elig!$C685,Elig_MatchAll_Ct&lt;22,$BC685=(Elig_MatchAll_Ct-1),AU685=0),S685,0)</f>
        <v>0</v>
      </c>
      <c r="BY685" s="175">
        <f>IF(AND(Input_Product=Elig!$C685,Elig_MatchAll_Ct&lt;22,$BC685=(Elig_MatchAll_Ct-1),AV685=0),T685,0)</f>
        <v>0</v>
      </c>
      <c r="BZ685" s="176">
        <f>IF(AND(Input_Product=Elig!$C685,Elig_MatchAll_Ct&lt;22,$BC685=(Elig_MatchAll_Ct-1),AV685=0),U685,0)</f>
        <v>0</v>
      </c>
      <c r="CA685" s="175">
        <f>IF(AND(Input_Product=Elig!$C685,Elig_MatchAll_Ct&lt;22,$BC685=(Elig_MatchAll_Ct-1),AW685=0),V685,0)</f>
        <v>0</v>
      </c>
      <c r="CB685" s="176">
        <f>IF(AND(Input_Product=Elig!$C685,Elig_MatchAll_Ct&lt;22,$BC685=(Elig_MatchAll_Ct-1),AW685=0),W685,0)</f>
        <v>0</v>
      </c>
      <c r="CC685" s="175">
        <f>IF(AND(Input_Product=Elig!$C685,Elig_MatchAll_Ct&lt;22,$BC685=(Elig_MatchAll_Ct-1),AX685=0),X685,0)</f>
        <v>0</v>
      </c>
      <c r="CD685" s="176">
        <f>IF(AND(Input_Product=Elig!$C685,Elig_MatchAll_Ct&lt;22,$BC685=(Elig_MatchAll_Ct-1),AX685=0),Y685,0)</f>
        <v>0</v>
      </c>
      <c r="CE685" s="175">
        <f>IF(AND(Input_LTV&lt;=AE685,Input_Product=Elig!$C685,Elig_MatchAll_Ct&lt;22,$BC685=(Elig_MatchAll_Ct-1),AY685=0),Z685,0)</f>
        <v>0</v>
      </c>
      <c r="CF685" s="176">
        <f>IF(AND(Input_LTV&lt;=AE685,Input_Product=Elig!$C685,Elig_MatchAll_Ct&lt;22,$BC685=(Elig_MatchAll_Ct-1),AY685=0),AA685,0)</f>
        <v>0</v>
      </c>
      <c r="CG685" s="175">
        <f>IF(AND(Input_Product=Elig!$C685,Elig_MatchAll_Ct&lt;22,$BC685=(Elig_MatchAll_Ct-1),AZ685=0),AB685,0)</f>
        <v>0</v>
      </c>
      <c r="CH685" s="176">
        <f>IF(AND(Input_Product=Elig!$C685,Elig_MatchAll_Ct&lt;22,$BC685=(Elig_MatchAll_Ct-1),AZ685=0),AC685,0)</f>
        <v>0</v>
      </c>
      <c r="CI685" s="175">
        <f>IF(AND(Input_Product=Elig!$C685,Elig_MatchAll_Ct&lt;22,$BC685=(Elig_MatchAll_Ct-1),BA685=0),AD685,0)</f>
        <v>0</v>
      </c>
      <c r="CJ685" s="176">
        <f>IF(AND(Input_Product=Elig!$C685,Elig_MatchAll_Ct&lt;22,$BC685=(Elig_MatchAll_Ct-1),BA685=0),AE685,0)</f>
        <v>0</v>
      </c>
    </row>
    <row r="686" spans="1:88" ht="10.15" customHeight="1" x14ac:dyDescent="0.25">
      <c r="A686" s="1476" t="s">
        <v>76</v>
      </c>
      <c r="B686" s="1476" t="s">
        <v>2176</v>
      </c>
      <c r="C686" s="1481" t="str">
        <f t="shared" si="204"/>
        <v>Second OO</v>
      </c>
      <c r="D686" s="1480" t="s">
        <v>1338</v>
      </c>
      <c r="E686" s="1480" t="s">
        <v>98</v>
      </c>
      <c r="F686" s="1480" t="s">
        <v>328</v>
      </c>
      <c r="G686" s="1545" t="s">
        <v>469</v>
      </c>
      <c r="H686" s="1482" t="s">
        <v>135</v>
      </c>
      <c r="I686" s="1480" t="s">
        <v>1141</v>
      </c>
      <c r="J686" s="1480" t="s">
        <v>1130</v>
      </c>
      <c r="K686" s="1482" t="s">
        <v>2464</v>
      </c>
      <c r="L686" s="1480" t="s">
        <v>428</v>
      </c>
      <c r="M686" s="1480" t="s">
        <v>1835</v>
      </c>
      <c r="N686" s="1482" t="s">
        <v>82</v>
      </c>
      <c r="O686" s="1480" t="s">
        <v>309</v>
      </c>
      <c r="P686" s="1480" t="s">
        <v>2433</v>
      </c>
      <c r="Q686" s="1480" t="s">
        <v>293</v>
      </c>
      <c r="R686" s="277">
        <v>500000.01</v>
      </c>
      <c r="S686" s="277">
        <v>750000</v>
      </c>
      <c r="T686" s="1480">
        <v>0</v>
      </c>
      <c r="U686" s="1480">
        <f t="shared" si="225"/>
        <v>750000</v>
      </c>
      <c r="V686" s="1480">
        <v>0</v>
      </c>
      <c r="W686" s="1480">
        <v>50</v>
      </c>
      <c r="X686" s="1480">
        <v>0</v>
      </c>
      <c r="Y686" s="1480">
        <v>999</v>
      </c>
      <c r="Z686" s="1483">
        <v>660</v>
      </c>
      <c r="AA686" s="1483">
        <v>679</v>
      </c>
      <c r="AB686" s="1483">
        <v>0</v>
      </c>
      <c r="AC686" s="1483">
        <v>999999</v>
      </c>
      <c r="AD686" s="1480">
        <v>0</v>
      </c>
      <c r="AE686" s="1220">
        <v>50</v>
      </c>
      <c r="AF686" s="144">
        <v>0</v>
      </c>
      <c r="AG686" s="145">
        <v>1</v>
      </c>
      <c r="AH686" s="145">
        <v>1</v>
      </c>
      <c r="AI686" s="145">
        <v>0</v>
      </c>
      <c r="AJ686" s="145">
        <v>0</v>
      </c>
      <c r="AK686" s="145">
        <v>1</v>
      </c>
      <c r="AL686" s="145">
        <v>1</v>
      </c>
      <c r="AM686" s="145">
        <v>1</v>
      </c>
      <c r="AN686" s="145">
        <v>1</v>
      </c>
      <c r="AO686" s="145">
        <v>1</v>
      </c>
      <c r="AP686" s="145">
        <v>1</v>
      </c>
      <c r="AQ686" s="145">
        <v>0</v>
      </c>
      <c r="AR686" s="145">
        <v>1</v>
      </c>
      <c r="AS686" s="145">
        <v>1</v>
      </c>
      <c r="AT686" s="145">
        <v>1</v>
      </c>
      <c r="AU686" s="145">
        <f t="shared" si="219"/>
        <v>0</v>
      </c>
      <c r="AV686" s="145">
        <f t="shared" si="220"/>
        <v>1</v>
      </c>
      <c r="AW686" s="145">
        <f t="shared" si="221"/>
        <v>1</v>
      </c>
      <c r="AX686" s="145">
        <f t="shared" si="226"/>
        <v>1</v>
      </c>
      <c r="AY686" s="145">
        <f t="shared" si="222"/>
        <v>0</v>
      </c>
      <c r="AZ686" s="145">
        <f t="shared" si="223"/>
        <v>1</v>
      </c>
      <c r="BA686" s="146">
        <f t="shared" si="224"/>
        <v>0</v>
      </c>
      <c r="BB686" s="149">
        <f t="shared" si="228"/>
        <v>15</v>
      </c>
      <c r="BC686" s="150">
        <f t="shared" si="229"/>
        <v>15</v>
      </c>
      <c r="BD686" s="150">
        <f t="shared" si="230"/>
        <v>15</v>
      </c>
      <c r="BE686" s="211" t="str">
        <f t="shared" si="231"/>
        <v/>
      </c>
      <c r="BF686" s="205"/>
      <c r="BG686" s="205"/>
      <c r="BH686" s="188">
        <f>IF(AND(Input_Product=Elig!$C686,Elig_MatchAll_Ct&lt;22,$BC686=(Elig_MatchAll_Ct-1),AF686=0),C686,0)</f>
        <v>0</v>
      </c>
      <c r="BI686" s="188">
        <f>IF(AND(Input_Product=Elig!$C686,Elig_MatchAll_Ct&lt;22,$BC686=(Elig_MatchAll_Ct-1),AG686=0),D686,0)</f>
        <v>0</v>
      </c>
      <c r="BJ686" s="188">
        <f>IF(AND(Input_Product=Elig!$C686,Elig_MatchAll_Ct&lt;22,$BC686=(Elig_MatchAll_Ct-1),AH686=0),E686,0)</f>
        <v>0</v>
      </c>
      <c r="BK686" s="188">
        <f>IF(AND(Input_Product=Elig!$C686,Elig_MatchAll_Ct&lt;22,$BC686=(Elig_MatchAll_Ct-1),AI686=0),F686,0)</f>
        <v>0</v>
      </c>
      <c r="BL686" s="188">
        <f>IF(AND(Input_Product=Elig!$C686,Elig_MatchAll_Ct&lt;22,$BC686=(Elig_MatchAll_Ct-1),AJ686=0),G686,0)</f>
        <v>0</v>
      </c>
      <c r="BM686" s="188">
        <f>IF(AND(Input_Product=Elig!$C686,Elig_MatchAll_Ct&lt;22,$BC686=(Elig_MatchAll_Ct-1),AK686=0),H686,0)</f>
        <v>0</v>
      </c>
      <c r="BN686" s="188">
        <f>IF(AND(Input_Product=Elig!$C686,Elig_MatchAll_Ct&lt;22,$BC686=(Elig_MatchAll_Ct-1),AL686=0),I686,0)</f>
        <v>0</v>
      </c>
      <c r="BO686" s="188">
        <f>IF(AND(Input_Product=Elig!$C686,Elig_MatchAll_Ct&lt;22,$BC686=(Elig_MatchAll_Ct-1),AM686=0),J686,0)</f>
        <v>0</v>
      </c>
      <c r="BP686" s="188">
        <f>IF(AND(Input_Product=Elig!$C686,Elig_MatchAll_Ct&lt;22,$BC686=(Elig_MatchAll_Ct-1),AN686=0),K686,0)</f>
        <v>0</v>
      </c>
      <c r="BQ686" s="188">
        <f>IF(AND(Input_Product=Elig!$C686,Elig_MatchAll_Ct&lt;22,$BC686=(Elig_MatchAll_Ct-1),AP686=0),L686,0)</f>
        <v>0</v>
      </c>
      <c r="BR686" s="188">
        <f>IF(AND(Input_Product=Elig!$C686,Elig_MatchAll_Ct&lt;22,$BC686=(Elig_MatchAll_Ct-1),AO686=0),M686,0)</f>
        <v>0</v>
      </c>
      <c r="BS686" s="188">
        <f>IF(AND(Input_Product=Elig!$C686,Elig_MatchAll_Ct&lt;22,$BC686=(Elig_MatchAll_Ct-1),AQ686=0),N686,0)</f>
        <v>0</v>
      </c>
      <c r="BT686" s="188">
        <f>IF(AND(Input_Product=Elig!$C686,Elig_MatchAll_Ct&lt;22,$BC686=(Elig_MatchAll_Ct-1),AR686=0),O686,0)</f>
        <v>0</v>
      </c>
      <c r="BU686" s="188">
        <f>IF(AND(Input_Product=Elig!$C686,Elig_MatchAll_Ct&lt;22,$BC686=(Elig_MatchAll_Ct-1),AS686=0),P686,0)</f>
        <v>0</v>
      </c>
      <c r="BV686" s="189">
        <f>IF(AND(Input_Product=Elig!$C686,Elig_MatchAll_Ct&lt;22,$BC686=(Elig_MatchAll_Ct-1),AT686=0),Q686,0)</f>
        <v>0</v>
      </c>
      <c r="BW686" s="271">
        <f>IF(AND(Input_Product=Elig!$C686,Elig_MatchAll_Ct&lt;22,$BC686=(Elig_MatchAll_Ct-1),AU686=0),R686,0)</f>
        <v>0</v>
      </c>
      <c r="BX686" s="272">
        <f>IF(AND(Input_Product=Elig!$C686,Elig_MatchAll_Ct&lt;22,$BC686=(Elig_MatchAll_Ct-1),AU686=0),S686,0)</f>
        <v>0</v>
      </c>
      <c r="BY686" s="271">
        <f>IF(AND(Input_Product=Elig!$C686,Elig_MatchAll_Ct&lt;22,$BC686=(Elig_MatchAll_Ct-1),AV686=0),T686,0)</f>
        <v>0</v>
      </c>
      <c r="BZ686" s="272">
        <f>IF(AND(Input_Product=Elig!$C686,Elig_MatchAll_Ct&lt;22,$BC686=(Elig_MatchAll_Ct-1),AV686=0),U686,0)</f>
        <v>0</v>
      </c>
      <c r="CA686" s="271">
        <f>IF(AND(Input_Product=Elig!$C686,Elig_MatchAll_Ct&lt;22,$BC686=(Elig_MatchAll_Ct-1),AW686=0),V686,0)</f>
        <v>0</v>
      </c>
      <c r="CB686" s="272">
        <f>IF(AND(Input_Product=Elig!$C686,Elig_MatchAll_Ct&lt;22,$BC686=(Elig_MatchAll_Ct-1),AW686=0),W686,0)</f>
        <v>0</v>
      </c>
      <c r="CC686" s="271">
        <f>IF(AND(Input_Product=Elig!$C686,Elig_MatchAll_Ct&lt;22,$BC686=(Elig_MatchAll_Ct-1),AX686=0),X686,0)</f>
        <v>0</v>
      </c>
      <c r="CD686" s="272">
        <f>IF(AND(Input_Product=Elig!$C686,Elig_MatchAll_Ct&lt;22,$BC686=(Elig_MatchAll_Ct-1),AX686=0),Y686,0)</f>
        <v>0</v>
      </c>
      <c r="CE686" s="271">
        <f>IF(AND(Input_LTV&lt;=AE686,Input_Product=Elig!$C686,Elig_MatchAll_Ct&lt;22,$BC686=(Elig_MatchAll_Ct-1),AY686=0),Z686,0)</f>
        <v>0</v>
      </c>
      <c r="CF686" s="272">
        <f>IF(AND(Input_LTV&lt;=AE686,Input_Product=Elig!$C686,Elig_MatchAll_Ct&lt;22,$BC686=(Elig_MatchAll_Ct-1),AY686=0),AA686,0)</f>
        <v>0</v>
      </c>
      <c r="CG686" s="271">
        <f>IF(AND(Input_Product=Elig!$C686,Elig_MatchAll_Ct&lt;22,$BC686=(Elig_MatchAll_Ct-1),AZ686=0),AB686,0)</f>
        <v>0</v>
      </c>
      <c r="CH686" s="272">
        <f>IF(AND(Input_Product=Elig!$C686,Elig_MatchAll_Ct&lt;22,$BC686=(Elig_MatchAll_Ct-1),AZ686=0),AC686,0)</f>
        <v>0</v>
      </c>
      <c r="CI686" s="271">
        <f>IF(AND(Input_Product=Elig!$C686,Elig_MatchAll_Ct&lt;22,$BC686=(Elig_MatchAll_Ct-1),BA686=0),AD686,0)</f>
        <v>0</v>
      </c>
      <c r="CJ686" s="272">
        <f>IF(AND(Input_Product=Elig!$C686,Elig_MatchAll_Ct&lt;22,$BC686=(Elig_MatchAll_Ct-1),BA686=0),AE686,0)</f>
        <v>0</v>
      </c>
    </row>
    <row r="687" spans="1:88" ht="10.15" customHeight="1" x14ac:dyDescent="0.25">
      <c r="A687" s="1476" t="s">
        <v>76</v>
      </c>
      <c r="B687" s="1476" t="s">
        <v>2177</v>
      </c>
      <c r="C687" s="1473" t="str">
        <f t="shared" si="204"/>
        <v>Second OO</v>
      </c>
      <c r="D687" s="1474" t="s">
        <v>1338</v>
      </c>
      <c r="E687" s="1474" t="s">
        <v>98</v>
      </c>
      <c r="F687" s="1474" t="s">
        <v>328</v>
      </c>
      <c r="G687" s="1474" t="s">
        <v>178</v>
      </c>
      <c r="H687" s="1474" t="s">
        <v>135</v>
      </c>
      <c r="I687" s="1472" t="s">
        <v>1141</v>
      </c>
      <c r="J687" s="1472" t="s">
        <v>1130</v>
      </c>
      <c r="K687" s="1474" t="s">
        <v>2464</v>
      </c>
      <c r="L687" s="1472" t="s">
        <v>428</v>
      </c>
      <c r="M687" s="1472" t="s">
        <v>1835</v>
      </c>
      <c r="N687" s="1474" t="s">
        <v>82</v>
      </c>
      <c r="O687" s="1472" t="s">
        <v>309</v>
      </c>
      <c r="P687" s="1472" t="s">
        <v>2433</v>
      </c>
      <c r="Q687" s="1472" t="s">
        <v>293</v>
      </c>
      <c r="R687" s="276">
        <v>500000.01</v>
      </c>
      <c r="S687" s="276">
        <v>750000</v>
      </c>
      <c r="T687" s="1472">
        <v>0</v>
      </c>
      <c r="U687" s="1472">
        <f t="shared" si="225"/>
        <v>750000</v>
      </c>
      <c r="V687" s="1472">
        <v>0</v>
      </c>
      <c r="W687" s="1472">
        <v>50</v>
      </c>
      <c r="X687" s="1472">
        <v>0</v>
      </c>
      <c r="Y687" s="1472">
        <v>999</v>
      </c>
      <c r="Z687" s="1475">
        <v>720</v>
      </c>
      <c r="AA687" s="1475">
        <v>999</v>
      </c>
      <c r="AB687" s="1475">
        <v>0</v>
      </c>
      <c r="AC687" s="1475">
        <v>999999</v>
      </c>
      <c r="AD687" s="1472">
        <v>0</v>
      </c>
      <c r="AE687" s="1218">
        <v>60</v>
      </c>
      <c r="AF687" s="144">
        <v>0</v>
      </c>
      <c r="AG687" s="145">
        <v>1</v>
      </c>
      <c r="AH687" s="145">
        <v>1</v>
      </c>
      <c r="AI687" s="145">
        <v>0</v>
      </c>
      <c r="AJ687" s="145">
        <v>0</v>
      </c>
      <c r="AK687" s="145">
        <v>1</v>
      </c>
      <c r="AL687" s="145">
        <v>1</v>
      </c>
      <c r="AM687" s="145">
        <v>1</v>
      </c>
      <c r="AN687" s="145">
        <v>1</v>
      </c>
      <c r="AO687" s="145">
        <v>1</v>
      </c>
      <c r="AP687" s="145">
        <v>1</v>
      </c>
      <c r="AQ687" s="145">
        <v>0</v>
      </c>
      <c r="AR687" s="145">
        <v>1</v>
      </c>
      <c r="AS687" s="145">
        <v>1</v>
      </c>
      <c r="AT687" s="145">
        <v>1</v>
      </c>
      <c r="AU687" s="145">
        <f t="shared" si="219"/>
        <v>0</v>
      </c>
      <c r="AV687" s="145">
        <f t="shared" si="220"/>
        <v>1</v>
      </c>
      <c r="AW687" s="145">
        <f t="shared" si="221"/>
        <v>1</v>
      </c>
      <c r="AX687" s="145">
        <f t="shared" si="226"/>
        <v>1</v>
      </c>
      <c r="AY687" s="145">
        <f t="shared" si="222"/>
        <v>1</v>
      </c>
      <c r="AZ687" s="145">
        <f t="shared" si="223"/>
        <v>1</v>
      </c>
      <c r="BA687" s="146">
        <f t="shared" si="224"/>
        <v>0</v>
      </c>
      <c r="BB687" s="149">
        <f t="shared" si="228"/>
        <v>16</v>
      </c>
      <c r="BC687" s="150">
        <f t="shared" si="229"/>
        <v>16</v>
      </c>
      <c r="BD687" s="150">
        <f t="shared" si="230"/>
        <v>16</v>
      </c>
      <c r="BE687" s="211" t="str">
        <f t="shared" si="231"/>
        <v/>
      </c>
      <c r="BF687" s="194"/>
      <c r="BG687" s="194"/>
      <c r="BH687" s="190">
        <f>IF(AND(Input_Product=Elig!$C687,Elig_MatchAll_Ct&lt;22,$BC687=(Elig_MatchAll_Ct-1),AF687=0),C687,0)</f>
        <v>0</v>
      </c>
      <c r="BI687" s="190">
        <f>IF(AND(Input_Product=Elig!$C687,Elig_MatchAll_Ct&lt;22,$BC687=(Elig_MatchAll_Ct-1),AG687=0),D687,0)</f>
        <v>0</v>
      </c>
      <c r="BJ687" s="190">
        <f>IF(AND(Input_Product=Elig!$C687,Elig_MatchAll_Ct&lt;22,$BC687=(Elig_MatchAll_Ct-1),AH687=0),E687,0)</f>
        <v>0</v>
      </c>
      <c r="BK687" s="190">
        <f>IF(AND(Input_Product=Elig!$C687,Elig_MatchAll_Ct&lt;22,$BC687=(Elig_MatchAll_Ct-1),AI687=0),F687,0)</f>
        <v>0</v>
      </c>
      <c r="BL687" s="190">
        <f>IF(AND(Input_Product=Elig!$C687,Elig_MatchAll_Ct&lt;22,$BC687=(Elig_MatchAll_Ct-1),AJ687=0),G687,0)</f>
        <v>0</v>
      </c>
      <c r="BM687" s="190">
        <f>IF(AND(Input_Product=Elig!$C687,Elig_MatchAll_Ct&lt;22,$BC687=(Elig_MatchAll_Ct-1),AK687=0),H687,0)</f>
        <v>0</v>
      </c>
      <c r="BN687" s="190">
        <f>IF(AND(Input_Product=Elig!$C687,Elig_MatchAll_Ct&lt;22,$BC687=(Elig_MatchAll_Ct-1),AL687=0),I687,0)</f>
        <v>0</v>
      </c>
      <c r="BO687" s="190">
        <f>IF(AND(Input_Product=Elig!$C687,Elig_MatchAll_Ct&lt;22,$BC687=(Elig_MatchAll_Ct-1),AM687=0),J687,0)</f>
        <v>0</v>
      </c>
      <c r="BP687" s="190">
        <f>IF(AND(Input_Product=Elig!$C687,Elig_MatchAll_Ct&lt;22,$BC687=(Elig_MatchAll_Ct-1),AN687=0),K687,0)</f>
        <v>0</v>
      </c>
      <c r="BQ687" s="190">
        <f>IF(AND(Input_Product=Elig!$C687,Elig_MatchAll_Ct&lt;22,$BC687=(Elig_MatchAll_Ct-1),AP687=0),L687,0)</f>
        <v>0</v>
      </c>
      <c r="BR687" s="190">
        <f>IF(AND(Input_Product=Elig!$C687,Elig_MatchAll_Ct&lt;22,$BC687=(Elig_MatchAll_Ct-1),AO687=0),M687,0)</f>
        <v>0</v>
      </c>
      <c r="BS687" s="190">
        <f>IF(AND(Input_Product=Elig!$C687,Elig_MatchAll_Ct&lt;22,$BC687=(Elig_MatchAll_Ct-1),AQ687=0),N687,0)</f>
        <v>0</v>
      </c>
      <c r="BT687" s="190">
        <f>IF(AND(Input_Product=Elig!$C687,Elig_MatchAll_Ct&lt;22,$BC687=(Elig_MatchAll_Ct-1),AR687=0),O687,0)</f>
        <v>0</v>
      </c>
      <c r="BU687" s="190">
        <f>IF(AND(Input_Product=Elig!$C687,Elig_MatchAll_Ct&lt;22,$BC687=(Elig_MatchAll_Ct-1),AS687=0),P687,0)</f>
        <v>0</v>
      </c>
      <c r="BV687" s="191">
        <f>IF(AND(Input_Product=Elig!$C687,Elig_MatchAll_Ct&lt;22,$BC687=(Elig_MatchAll_Ct-1),AT687=0),Q687,0)</f>
        <v>0</v>
      </c>
      <c r="BW687" s="273">
        <f>IF(AND(Input_Product=Elig!$C687,Elig_MatchAll_Ct&lt;22,$BC687=(Elig_MatchAll_Ct-1),AU687=0),R687,0)</f>
        <v>0</v>
      </c>
      <c r="BX687" s="274">
        <f>IF(AND(Input_Product=Elig!$C687,Elig_MatchAll_Ct&lt;22,$BC687=(Elig_MatchAll_Ct-1),AU687=0),S687,0)</f>
        <v>0</v>
      </c>
      <c r="BY687" s="273">
        <f>IF(AND(Input_Product=Elig!$C687,Elig_MatchAll_Ct&lt;22,$BC687=(Elig_MatchAll_Ct-1),AV687=0),T687,0)</f>
        <v>0</v>
      </c>
      <c r="BZ687" s="274">
        <f>IF(AND(Input_Product=Elig!$C687,Elig_MatchAll_Ct&lt;22,$BC687=(Elig_MatchAll_Ct-1),AV687=0),U687,0)</f>
        <v>0</v>
      </c>
      <c r="CA687" s="273">
        <f>IF(AND(Input_Product=Elig!$C687,Elig_MatchAll_Ct&lt;22,$BC687=(Elig_MatchAll_Ct-1),AW687=0),V687,0)</f>
        <v>0</v>
      </c>
      <c r="CB687" s="274">
        <f>IF(AND(Input_Product=Elig!$C687,Elig_MatchAll_Ct&lt;22,$BC687=(Elig_MatchAll_Ct-1),AW687=0),W687,0)</f>
        <v>0</v>
      </c>
      <c r="CC687" s="273">
        <f>IF(AND(Input_Product=Elig!$C687,Elig_MatchAll_Ct&lt;22,$BC687=(Elig_MatchAll_Ct-1),AX687=0),X687,0)</f>
        <v>0</v>
      </c>
      <c r="CD687" s="274">
        <f>IF(AND(Input_Product=Elig!$C687,Elig_MatchAll_Ct&lt;22,$BC687=(Elig_MatchAll_Ct-1),AX687=0),Y687,0)</f>
        <v>0</v>
      </c>
      <c r="CE687" s="273">
        <f>IF(AND(Input_LTV&lt;=AE687,Input_Product=Elig!$C687,Elig_MatchAll_Ct&lt;22,$BC687=(Elig_MatchAll_Ct-1),AY687=0),Z687,0)</f>
        <v>0</v>
      </c>
      <c r="CF687" s="274">
        <f>IF(AND(Input_LTV&lt;=AE687,Input_Product=Elig!$C687,Elig_MatchAll_Ct&lt;22,$BC687=(Elig_MatchAll_Ct-1),AY687=0),AA687,0)</f>
        <v>0</v>
      </c>
      <c r="CG687" s="273">
        <f>IF(AND(Input_Product=Elig!$C687,Elig_MatchAll_Ct&lt;22,$BC687=(Elig_MatchAll_Ct-1),AZ687=0),AB687,0)</f>
        <v>0</v>
      </c>
      <c r="CH687" s="274">
        <f>IF(AND(Input_Product=Elig!$C687,Elig_MatchAll_Ct&lt;22,$BC687=(Elig_MatchAll_Ct-1),AZ687=0),AC687,0)</f>
        <v>0</v>
      </c>
      <c r="CI687" s="273">
        <f>IF(AND(Input_Product=Elig!$C687,Elig_MatchAll_Ct&lt;22,$BC687=(Elig_MatchAll_Ct-1),BA687=0),AD687,0)</f>
        <v>0</v>
      </c>
      <c r="CJ687" s="274">
        <f>IF(AND(Input_Product=Elig!$C687,Elig_MatchAll_Ct&lt;22,$BC687=(Elig_MatchAll_Ct-1),BA687=0),AE687,0)</f>
        <v>0</v>
      </c>
    </row>
    <row r="688" spans="1:88" ht="10.15" customHeight="1" x14ac:dyDescent="0.25">
      <c r="A688" s="1476" t="s">
        <v>76</v>
      </c>
      <c r="B688" s="1476" t="s">
        <v>2178</v>
      </c>
      <c r="C688" s="1477" t="str">
        <f t="shared" ref="C688:C690" si="235">Input_Name_Product4</f>
        <v>Second OO</v>
      </c>
      <c r="D688" s="1476" t="s">
        <v>1338</v>
      </c>
      <c r="E688" s="1476" t="s">
        <v>98</v>
      </c>
      <c r="F688" s="1476" t="s">
        <v>328</v>
      </c>
      <c r="G688" s="1478" t="s">
        <v>178</v>
      </c>
      <c r="H688" s="1478" t="s">
        <v>135</v>
      </c>
      <c r="I688" s="1476" t="s">
        <v>1141</v>
      </c>
      <c r="J688" s="1476" t="s">
        <v>1130</v>
      </c>
      <c r="K688" s="1478" t="s">
        <v>2464</v>
      </c>
      <c r="L688" s="1476" t="s">
        <v>428</v>
      </c>
      <c r="M688" s="1476" t="s">
        <v>1835</v>
      </c>
      <c r="N688" s="1478" t="s">
        <v>82</v>
      </c>
      <c r="O688" s="1476" t="s">
        <v>309</v>
      </c>
      <c r="P688" s="1476" t="s">
        <v>2433</v>
      </c>
      <c r="Q688" s="1476" t="s">
        <v>293</v>
      </c>
      <c r="R688" s="261">
        <v>500000.01</v>
      </c>
      <c r="S688" s="261">
        <v>750000</v>
      </c>
      <c r="T688" s="1476">
        <v>0</v>
      </c>
      <c r="U688" s="1476">
        <f t="shared" si="225"/>
        <v>750000</v>
      </c>
      <c r="V688" s="1476">
        <v>0</v>
      </c>
      <c r="W688" s="1476">
        <v>50</v>
      </c>
      <c r="X688" s="1476">
        <v>0</v>
      </c>
      <c r="Y688" s="1476">
        <v>999</v>
      </c>
      <c r="Z688" s="1479">
        <v>700</v>
      </c>
      <c r="AA688" s="1479">
        <v>719</v>
      </c>
      <c r="AB688" s="1479">
        <v>0</v>
      </c>
      <c r="AC688" s="1479">
        <v>999999</v>
      </c>
      <c r="AD688" s="1476">
        <v>0</v>
      </c>
      <c r="AE688" s="1219">
        <v>55</v>
      </c>
      <c r="AF688" s="144">
        <v>0</v>
      </c>
      <c r="AG688" s="145">
        <v>1</v>
      </c>
      <c r="AH688" s="145">
        <v>1</v>
      </c>
      <c r="AI688" s="145">
        <v>0</v>
      </c>
      <c r="AJ688" s="145">
        <v>0</v>
      </c>
      <c r="AK688" s="145">
        <v>1</v>
      </c>
      <c r="AL688" s="145">
        <v>1</v>
      </c>
      <c r="AM688" s="145">
        <v>1</v>
      </c>
      <c r="AN688" s="145">
        <v>1</v>
      </c>
      <c r="AO688" s="145">
        <v>1</v>
      </c>
      <c r="AP688" s="145">
        <v>1</v>
      </c>
      <c r="AQ688" s="145">
        <v>0</v>
      </c>
      <c r="AR688" s="145">
        <v>1</v>
      </c>
      <c r="AS688" s="145">
        <v>1</v>
      </c>
      <c r="AT688" s="145">
        <v>1</v>
      </c>
      <c r="AU688" s="145">
        <f t="shared" si="219"/>
        <v>0</v>
      </c>
      <c r="AV688" s="145">
        <f t="shared" si="220"/>
        <v>1</v>
      </c>
      <c r="AW688" s="145">
        <f t="shared" si="221"/>
        <v>1</v>
      </c>
      <c r="AX688" s="145">
        <f t="shared" si="226"/>
        <v>1</v>
      </c>
      <c r="AY688" s="145">
        <f t="shared" si="222"/>
        <v>0</v>
      </c>
      <c r="AZ688" s="145">
        <f t="shared" si="223"/>
        <v>1</v>
      </c>
      <c r="BA688" s="146">
        <f t="shared" si="224"/>
        <v>0</v>
      </c>
      <c r="BB688" s="149">
        <f t="shared" si="228"/>
        <v>15</v>
      </c>
      <c r="BC688" s="150">
        <f t="shared" si="229"/>
        <v>15</v>
      </c>
      <c r="BD688" s="150">
        <f t="shared" si="230"/>
        <v>15</v>
      </c>
      <c r="BE688" s="211" t="str">
        <f t="shared" si="231"/>
        <v/>
      </c>
      <c r="BF688" s="205"/>
      <c r="BG688" s="205"/>
      <c r="BH688" s="173">
        <f>IF(AND(Input_Product=Elig!$C688,Elig_MatchAll_Ct&lt;22,$BC688=(Elig_MatchAll_Ct-1),AF688=0),C688,0)</f>
        <v>0</v>
      </c>
      <c r="BI688" s="173">
        <f>IF(AND(Input_Product=Elig!$C688,Elig_MatchAll_Ct&lt;22,$BC688=(Elig_MatchAll_Ct-1),AG688=0),D688,0)</f>
        <v>0</v>
      </c>
      <c r="BJ688" s="173">
        <f>IF(AND(Input_Product=Elig!$C688,Elig_MatchAll_Ct&lt;22,$BC688=(Elig_MatchAll_Ct-1),AH688=0),E688,0)</f>
        <v>0</v>
      </c>
      <c r="BK688" s="173">
        <f>IF(AND(Input_Product=Elig!$C688,Elig_MatchAll_Ct&lt;22,$BC688=(Elig_MatchAll_Ct-1),AI688=0),F688,0)</f>
        <v>0</v>
      </c>
      <c r="BL688" s="173">
        <f>IF(AND(Input_Product=Elig!$C688,Elig_MatchAll_Ct&lt;22,$BC688=(Elig_MatchAll_Ct-1),AJ688=0),G688,0)</f>
        <v>0</v>
      </c>
      <c r="BM688" s="173">
        <f>IF(AND(Input_Product=Elig!$C688,Elig_MatchAll_Ct&lt;22,$BC688=(Elig_MatchAll_Ct-1),AK688=0),H688,0)</f>
        <v>0</v>
      </c>
      <c r="BN688" s="173">
        <f>IF(AND(Input_Product=Elig!$C688,Elig_MatchAll_Ct&lt;22,$BC688=(Elig_MatchAll_Ct-1),AL688=0),I688,0)</f>
        <v>0</v>
      </c>
      <c r="BO688" s="173">
        <f>IF(AND(Input_Product=Elig!$C688,Elig_MatchAll_Ct&lt;22,$BC688=(Elig_MatchAll_Ct-1),AM688=0),J688,0)</f>
        <v>0</v>
      </c>
      <c r="BP688" s="173">
        <f>IF(AND(Input_Product=Elig!$C688,Elig_MatchAll_Ct&lt;22,$BC688=(Elig_MatchAll_Ct-1),AN688=0),K688,0)</f>
        <v>0</v>
      </c>
      <c r="BQ688" s="173">
        <f>IF(AND(Input_Product=Elig!$C688,Elig_MatchAll_Ct&lt;22,$BC688=(Elig_MatchAll_Ct-1),AP688=0),L688,0)</f>
        <v>0</v>
      </c>
      <c r="BR688" s="173">
        <f>IF(AND(Input_Product=Elig!$C688,Elig_MatchAll_Ct&lt;22,$BC688=(Elig_MatchAll_Ct-1),AO688=0),M688,0)</f>
        <v>0</v>
      </c>
      <c r="BS688" s="173">
        <f>IF(AND(Input_Product=Elig!$C688,Elig_MatchAll_Ct&lt;22,$BC688=(Elig_MatchAll_Ct-1),AQ688=0),N688,0)</f>
        <v>0</v>
      </c>
      <c r="BT688" s="173">
        <f>IF(AND(Input_Product=Elig!$C688,Elig_MatchAll_Ct&lt;22,$BC688=(Elig_MatchAll_Ct-1),AR688=0),O688,0)</f>
        <v>0</v>
      </c>
      <c r="BU688" s="173">
        <f>IF(AND(Input_Product=Elig!$C688,Elig_MatchAll_Ct&lt;22,$BC688=(Elig_MatchAll_Ct-1),AS688=0),P688,0)</f>
        <v>0</v>
      </c>
      <c r="BV688" s="174">
        <f>IF(AND(Input_Product=Elig!$C688,Elig_MatchAll_Ct&lt;22,$BC688=(Elig_MatchAll_Ct-1),AT688=0),Q688,0)</f>
        <v>0</v>
      </c>
      <c r="BW688" s="175">
        <f>IF(AND(Input_Product=Elig!$C688,Elig_MatchAll_Ct&lt;22,$BC688=(Elig_MatchAll_Ct-1),AU688=0),R688,0)</f>
        <v>0</v>
      </c>
      <c r="BX688" s="176">
        <f>IF(AND(Input_Product=Elig!$C688,Elig_MatchAll_Ct&lt;22,$BC688=(Elig_MatchAll_Ct-1),AU688=0),S688,0)</f>
        <v>0</v>
      </c>
      <c r="BY688" s="175">
        <f>IF(AND(Input_Product=Elig!$C688,Elig_MatchAll_Ct&lt;22,$BC688=(Elig_MatchAll_Ct-1),AV688=0),T688,0)</f>
        <v>0</v>
      </c>
      <c r="BZ688" s="176">
        <f>IF(AND(Input_Product=Elig!$C688,Elig_MatchAll_Ct&lt;22,$BC688=(Elig_MatchAll_Ct-1),AV688=0),U688,0)</f>
        <v>0</v>
      </c>
      <c r="CA688" s="175">
        <f>IF(AND(Input_Product=Elig!$C688,Elig_MatchAll_Ct&lt;22,$BC688=(Elig_MatchAll_Ct-1),AW688=0),V688,0)</f>
        <v>0</v>
      </c>
      <c r="CB688" s="176">
        <f>IF(AND(Input_Product=Elig!$C688,Elig_MatchAll_Ct&lt;22,$BC688=(Elig_MatchAll_Ct-1),AW688=0),W688,0)</f>
        <v>0</v>
      </c>
      <c r="CC688" s="175">
        <f>IF(AND(Input_Product=Elig!$C688,Elig_MatchAll_Ct&lt;22,$BC688=(Elig_MatchAll_Ct-1),AX688=0),X688,0)</f>
        <v>0</v>
      </c>
      <c r="CD688" s="176">
        <f>IF(AND(Input_Product=Elig!$C688,Elig_MatchAll_Ct&lt;22,$BC688=(Elig_MatchAll_Ct-1),AX688=0),Y688,0)</f>
        <v>0</v>
      </c>
      <c r="CE688" s="175">
        <f>IF(AND(Input_LTV&lt;=AE688,Input_Product=Elig!$C688,Elig_MatchAll_Ct&lt;22,$BC688=(Elig_MatchAll_Ct-1),AY688=0),Z688,0)</f>
        <v>0</v>
      </c>
      <c r="CF688" s="176">
        <f>IF(AND(Input_LTV&lt;=AE688,Input_Product=Elig!$C688,Elig_MatchAll_Ct&lt;22,$BC688=(Elig_MatchAll_Ct-1),AY688=0),AA688,0)</f>
        <v>0</v>
      </c>
      <c r="CG688" s="175">
        <f>IF(AND(Input_Product=Elig!$C688,Elig_MatchAll_Ct&lt;22,$BC688=(Elig_MatchAll_Ct-1),AZ688=0),AB688,0)</f>
        <v>0</v>
      </c>
      <c r="CH688" s="176">
        <f>IF(AND(Input_Product=Elig!$C688,Elig_MatchAll_Ct&lt;22,$BC688=(Elig_MatchAll_Ct-1),AZ688=0),AC688,0)</f>
        <v>0</v>
      </c>
      <c r="CI688" s="175">
        <f>IF(AND(Input_Product=Elig!$C688,Elig_MatchAll_Ct&lt;22,$BC688=(Elig_MatchAll_Ct-1),BA688=0),AD688,0)</f>
        <v>0</v>
      </c>
      <c r="CJ688" s="176">
        <f>IF(AND(Input_Product=Elig!$C688,Elig_MatchAll_Ct&lt;22,$BC688=(Elig_MatchAll_Ct-1),BA688=0),AE688,0)</f>
        <v>0</v>
      </c>
    </row>
    <row r="689" spans="1:88" ht="10.15" customHeight="1" x14ac:dyDescent="0.25">
      <c r="A689" s="1476" t="s">
        <v>76</v>
      </c>
      <c r="B689" s="1476" t="s">
        <v>2179</v>
      </c>
      <c r="C689" s="1477" t="str">
        <f t="shared" si="235"/>
        <v>Second OO</v>
      </c>
      <c r="D689" s="1476" t="s">
        <v>1338</v>
      </c>
      <c r="E689" s="1476" t="s">
        <v>98</v>
      </c>
      <c r="F689" s="1476" t="s">
        <v>328</v>
      </c>
      <c r="G689" s="1478" t="s">
        <v>178</v>
      </c>
      <c r="H689" s="1478" t="s">
        <v>135</v>
      </c>
      <c r="I689" s="1476" t="s">
        <v>1141</v>
      </c>
      <c r="J689" s="1476" t="s">
        <v>1130</v>
      </c>
      <c r="K689" s="1478" t="s">
        <v>2464</v>
      </c>
      <c r="L689" s="1476" t="s">
        <v>428</v>
      </c>
      <c r="M689" s="1476" t="s">
        <v>1835</v>
      </c>
      <c r="N689" s="1478" t="s">
        <v>82</v>
      </c>
      <c r="O689" s="1476" t="s">
        <v>309</v>
      </c>
      <c r="P689" s="1476" t="s">
        <v>2433</v>
      </c>
      <c r="Q689" s="1476" t="s">
        <v>293</v>
      </c>
      <c r="R689" s="261">
        <v>500000.01</v>
      </c>
      <c r="S689" s="261">
        <v>750000</v>
      </c>
      <c r="T689" s="1476">
        <v>0</v>
      </c>
      <c r="U689" s="1476">
        <f t="shared" si="225"/>
        <v>750000</v>
      </c>
      <c r="V689" s="1476">
        <v>0</v>
      </c>
      <c r="W689" s="1476">
        <v>50</v>
      </c>
      <c r="X689" s="1476">
        <v>0</v>
      </c>
      <c r="Y689" s="1476">
        <v>999</v>
      </c>
      <c r="Z689" s="1479">
        <v>680</v>
      </c>
      <c r="AA689" s="1479">
        <v>699</v>
      </c>
      <c r="AB689" s="1479">
        <v>0</v>
      </c>
      <c r="AC689" s="1479">
        <v>999999</v>
      </c>
      <c r="AD689" s="1476">
        <v>0</v>
      </c>
      <c r="AE689" s="1219">
        <v>50</v>
      </c>
      <c r="AF689" s="144">
        <v>0</v>
      </c>
      <c r="AG689" s="145">
        <v>1</v>
      </c>
      <c r="AH689" s="145">
        <v>1</v>
      </c>
      <c r="AI689" s="145">
        <v>0</v>
      </c>
      <c r="AJ689" s="145">
        <v>0</v>
      </c>
      <c r="AK689" s="145">
        <v>1</v>
      </c>
      <c r="AL689" s="145">
        <v>1</v>
      </c>
      <c r="AM689" s="145">
        <v>1</v>
      </c>
      <c r="AN689" s="145">
        <v>1</v>
      </c>
      <c r="AO689" s="145">
        <v>1</v>
      </c>
      <c r="AP689" s="145">
        <v>1</v>
      </c>
      <c r="AQ689" s="145">
        <v>0</v>
      </c>
      <c r="AR689" s="145">
        <v>1</v>
      </c>
      <c r="AS689" s="145">
        <v>1</v>
      </c>
      <c r="AT689" s="145">
        <v>1</v>
      </c>
      <c r="AU689" s="145">
        <f t="shared" ref="AU689:AU777" si="236">IF(AND(Input_LoanAmt&gt;=Elig_LoanAmt_Min,Input_LoanAmt&lt;=Elig_LoanAmt_Max),1,0)</f>
        <v>0</v>
      </c>
      <c r="AV689" s="145">
        <f t="shared" ref="AV689:AV777" si="237">IF(AND(Input_CashoutAmt&gt;=Elig_CashoutAmt_Min,Input_CashoutAmt&lt;=Elig_CashoutAmt_Max),1,0)</f>
        <v>1</v>
      </c>
      <c r="AW689" s="145">
        <f t="shared" ref="AW689:AW777" si="238">IF(AND(Input_DTI&gt;=Elig_DTI_Min,Input_DTI&lt;=Elig_DTI_Max),1,0)</f>
        <v>1</v>
      </c>
      <c r="AX689" s="145">
        <f t="shared" si="226"/>
        <v>1</v>
      </c>
      <c r="AY689" s="145">
        <f t="shared" ref="AY689:AY777" si="239">IF(AND(Input_CreditScore&gt;=Elig_CreditScore_Min,Input_CreditScore&lt;=Elig_CreditScore_Max),1,0)</f>
        <v>0</v>
      </c>
      <c r="AZ689" s="145">
        <f t="shared" ref="AZ689:AZ777" si="240">IF(AND(Input_ReservesMonths&gt;=Elig_Reserves_Min,Input_ReservesMonths&lt;=Elig_Reserves_Max),1,0)</f>
        <v>1</v>
      </c>
      <c r="BA689" s="146">
        <f t="shared" ref="BA689:BA777" si="241">IF(AND(Input_LTV&gt;=Elig_LTV_Min,Input_LTV&lt;=Elig_LTV_Max),1,0)</f>
        <v>0</v>
      </c>
      <c r="BB689" s="149">
        <f t="shared" si="228"/>
        <v>15</v>
      </c>
      <c r="BC689" s="150">
        <f t="shared" si="229"/>
        <v>15</v>
      </c>
      <c r="BD689" s="150">
        <f t="shared" si="230"/>
        <v>15</v>
      </c>
      <c r="BE689" s="211" t="str">
        <f t="shared" si="231"/>
        <v/>
      </c>
      <c r="BF689" s="205"/>
      <c r="BG689" s="205"/>
      <c r="BH689" s="173">
        <f>IF(AND(Input_Product=Elig!$C689,Elig_MatchAll_Ct&lt;22,$BC689=(Elig_MatchAll_Ct-1),AF689=0),C689,0)</f>
        <v>0</v>
      </c>
      <c r="BI689" s="173">
        <f>IF(AND(Input_Product=Elig!$C689,Elig_MatchAll_Ct&lt;22,$BC689=(Elig_MatchAll_Ct-1),AG689=0),D689,0)</f>
        <v>0</v>
      </c>
      <c r="BJ689" s="173">
        <f>IF(AND(Input_Product=Elig!$C689,Elig_MatchAll_Ct&lt;22,$BC689=(Elig_MatchAll_Ct-1),AH689=0),E689,0)</f>
        <v>0</v>
      </c>
      <c r="BK689" s="173">
        <f>IF(AND(Input_Product=Elig!$C689,Elig_MatchAll_Ct&lt;22,$BC689=(Elig_MatchAll_Ct-1),AI689=0),F689,0)</f>
        <v>0</v>
      </c>
      <c r="BL689" s="173">
        <f>IF(AND(Input_Product=Elig!$C689,Elig_MatchAll_Ct&lt;22,$BC689=(Elig_MatchAll_Ct-1),AJ689=0),G689,0)</f>
        <v>0</v>
      </c>
      <c r="BM689" s="173">
        <f>IF(AND(Input_Product=Elig!$C689,Elig_MatchAll_Ct&lt;22,$BC689=(Elig_MatchAll_Ct-1),AK689=0),H689,0)</f>
        <v>0</v>
      </c>
      <c r="BN689" s="173">
        <f>IF(AND(Input_Product=Elig!$C689,Elig_MatchAll_Ct&lt;22,$BC689=(Elig_MatchAll_Ct-1),AL689=0),I689,0)</f>
        <v>0</v>
      </c>
      <c r="BO689" s="173">
        <f>IF(AND(Input_Product=Elig!$C689,Elig_MatchAll_Ct&lt;22,$BC689=(Elig_MatchAll_Ct-1),AM689=0),J689,0)</f>
        <v>0</v>
      </c>
      <c r="BP689" s="173">
        <f>IF(AND(Input_Product=Elig!$C689,Elig_MatchAll_Ct&lt;22,$BC689=(Elig_MatchAll_Ct-1),AN689=0),K689,0)</f>
        <v>0</v>
      </c>
      <c r="BQ689" s="173">
        <f>IF(AND(Input_Product=Elig!$C689,Elig_MatchAll_Ct&lt;22,$BC689=(Elig_MatchAll_Ct-1),AP689=0),L689,0)</f>
        <v>0</v>
      </c>
      <c r="BR689" s="173">
        <f>IF(AND(Input_Product=Elig!$C689,Elig_MatchAll_Ct&lt;22,$BC689=(Elig_MatchAll_Ct-1),AO689=0),M689,0)</f>
        <v>0</v>
      </c>
      <c r="BS689" s="173">
        <f>IF(AND(Input_Product=Elig!$C689,Elig_MatchAll_Ct&lt;22,$BC689=(Elig_MatchAll_Ct-1),AQ689=0),N689,0)</f>
        <v>0</v>
      </c>
      <c r="BT689" s="173">
        <f>IF(AND(Input_Product=Elig!$C689,Elig_MatchAll_Ct&lt;22,$BC689=(Elig_MatchAll_Ct-1),AR689=0),O689,0)</f>
        <v>0</v>
      </c>
      <c r="BU689" s="173">
        <f>IF(AND(Input_Product=Elig!$C689,Elig_MatchAll_Ct&lt;22,$BC689=(Elig_MatchAll_Ct-1),AS689=0),P689,0)</f>
        <v>0</v>
      </c>
      <c r="BV689" s="174">
        <f>IF(AND(Input_Product=Elig!$C689,Elig_MatchAll_Ct&lt;22,$BC689=(Elig_MatchAll_Ct-1),AT689=0),Q689,0)</f>
        <v>0</v>
      </c>
      <c r="BW689" s="175">
        <f>IF(AND(Input_Product=Elig!$C689,Elig_MatchAll_Ct&lt;22,$BC689=(Elig_MatchAll_Ct-1),AU689=0),R689,0)</f>
        <v>0</v>
      </c>
      <c r="BX689" s="176">
        <f>IF(AND(Input_Product=Elig!$C689,Elig_MatchAll_Ct&lt;22,$BC689=(Elig_MatchAll_Ct-1),AU689=0),S689,0)</f>
        <v>0</v>
      </c>
      <c r="BY689" s="175">
        <f>IF(AND(Input_Product=Elig!$C689,Elig_MatchAll_Ct&lt;22,$BC689=(Elig_MatchAll_Ct-1),AV689=0),T689,0)</f>
        <v>0</v>
      </c>
      <c r="BZ689" s="176">
        <f>IF(AND(Input_Product=Elig!$C689,Elig_MatchAll_Ct&lt;22,$BC689=(Elig_MatchAll_Ct-1),AV689=0),U689,0)</f>
        <v>0</v>
      </c>
      <c r="CA689" s="175">
        <f>IF(AND(Input_Product=Elig!$C689,Elig_MatchAll_Ct&lt;22,$BC689=(Elig_MatchAll_Ct-1),AW689=0),V689,0)</f>
        <v>0</v>
      </c>
      <c r="CB689" s="176">
        <f>IF(AND(Input_Product=Elig!$C689,Elig_MatchAll_Ct&lt;22,$BC689=(Elig_MatchAll_Ct-1),AW689=0),W689,0)</f>
        <v>0</v>
      </c>
      <c r="CC689" s="175">
        <f>IF(AND(Input_Product=Elig!$C689,Elig_MatchAll_Ct&lt;22,$BC689=(Elig_MatchAll_Ct-1),AX689=0),X689,0)</f>
        <v>0</v>
      </c>
      <c r="CD689" s="176">
        <f>IF(AND(Input_Product=Elig!$C689,Elig_MatchAll_Ct&lt;22,$BC689=(Elig_MatchAll_Ct-1),AX689=0),Y689,0)</f>
        <v>0</v>
      </c>
      <c r="CE689" s="175">
        <f>IF(AND(Input_LTV&lt;=AE689,Input_Product=Elig!$C689,Elig_MatchAll_Ct&lt;22,$BC689=(Elig_MatchAll_Ct-1),AY689=0),Z689,0)</f>
        <v>0</v>
      </c>
      <c r="CF689" s="176">
        <f>IF(AND(Input_LTV&lt;=AE689,Input_Product=Elig!$C689,Elig_MatchAll_Ct&lt;22,$BC689=(Elig_MatchAll_Ct-1),AY689=0),AA689,0)</f>
        <v>0</v>
      </c>
      <c r="CG689" s="175">
        <f>IF(AND(Input_Product=Elig!$C689,Elig_MatchAll_Ct&lt;22,$BC689=(Elig_MatchAll_Ct-1),AZ689=0),AB689,0)</f>
        <v>0</v>
      </c>
      <c r="CH689" s="176">
        <f>IF(AND(Input_Product=Elig!$C689,Elig_MatchAll_Ct&lt;22,$BC689=(Elig_MatchAll_Ct-1),AZ689=0),AC689,0)</f>
        <v>0</v>
      </c>
      <c r="CI689" s="175">
        <f>IF(AND(Input_Product=Elig!$C689,Elig_MatchAll_Ct&lt;22,$BC689=(Elig_MatchAll_Ct-1),BA689=0),AD689,0)</f>
        <v>0</v>
      </c>
      <c r="CJ689" s="176">
        <f>IF(AND(Input_Product=Elig!$C689,Elig_MatchAll_Ct&lt;22,$BC689=(Elig_MatchAll_Ct-1),BA689=0),AE689,0)</f>
        <v>0</v>
      </c>
    </row>
    <row r="690" spans="1:88" ht="10.15" customHeight="1" x14ac:dyDescent="0.25">
      <c r="A690" s="1476" t="s">
        <v>76</v>
      </c>
      <c r="B690" s="1476" t="s">
        <v>2180</v>
      </c>
      <c r="C690" s="1481" t="str">
        <f t="shared" si="235"/>
        <v>Second OO</v>
      </c>
      <c r="D690" s="1480" t="s">
        <v>1338</v>
      </c>
      <c r="E690" s="1480" t="s">
        <v>98</v>
      </c>
      <c r="F690" s="1480" t="s">
        <v>328</v>
      </c>
      <c r="G690" s="1482" t="s">
        <v>178</v>
      </c>
      <c r="H690" s="1482" t="s">
        <v>135</v>
      </c>
      <c r="I690" s="1480" t="s">
        <v>1141</v>
      </c>
      <c r="J690" s="1480" t="s">
        <v>1130</v>
      </c>
      <c r="K690" s="1482" t="s">
        <v>2464</v>
      </c>
      <c r="L690" s="1480" t="s">
        <v>428</v>
      </c>
      <c r="M690" s="1480" t="s">
        <v>1835</v>
      </c>
      <c r="N690" s="1482" t="s">
        <v>82</v>
      </c>
      <c r="O690" s="1480" t="s">
        <v>309</v>
      </c>
      <c r="P690" s="1480" t="s">
        <v>2433</v>
      </c>
      <c r="Q690" s="1480" t="s">
        <v>293</v>
      </c>
      <c r="R690" s="277">
        <v>500000.01</v>
      </c>
      <c r="S690" s="277">
        <v>750000</v>
      </c>
      <c r="T690" s="1480">
        <v>0</v>
      </c>
      <c r="U690" s="1480">
        <f t="shared" si="225"/>
        <v>750000</v>
      </c>
      <c r="V690" s="1480">
        <v>0</v>
      </c>
      <c r="W690" s="1480">
        <v>50</v>
      </c>
      <c r="X690" s="1480">
        <v>0</v>
      </c>
      <c r="Y690" s="1480">
        <v>999</v>
      </c>
      <c r="Z690" s="1483">
        <v>660</v>
      </c>
      <c r="AA690" s="1483">
        <v>679</v>
      </c>
      <c r="AB690" s="1483">
        <v>0</v>
      </c>
      <c r="AC690" s="1483">
        <v>999999</v>
      </c>
      <c r="AD690" s="1480">
        <v>0</v>
      </c>
      <c r="AE690" s="1220">
        <v>45</v>
      </c>
      <c r="AF690" s="144">
        <v>0</v>
      </c>
      <c r="AG690" s="145">
        <v>1</v>
      </c>
      <c r="AH690" s="145">
        <v>1</v>
      </c>
      <c r="AI690" s="145">
        <v>0</v>
      </c>
      <c r="AJ690" s="145">
        <v>0</v>
      </c>
      <c r="AK690" s="145">
        <v>1</v>
      </c>
      <c r="AL690" s="145">
        <v>1</v>
      </c>
      <c r="AM690" s="145">
        <v>1</v>
      </c>
      <c r="AN690" s="145">
        <v>1</v>
      </c>
      <c r="AO690" s="145">
        <v>1</v>
      </c>
      <c r="AP690" s="145">
        <v>1</v>
      </c>
      <c r="AQ690" s="145">
        <v>0</v>
      </c>
      <c r="AR690" s="145">
        <v>1</v>
      </c>
      <c r="AS690" s="145">
        <v>1</v>
      </c>
      <c r="AT690" s="145">
        <v>1</v>
      </c>
      <c r="AU690" s="145">
        <f t="shared" si="236"/>
        <v>0</v>
      </c>
      <c r="AV690" s="145">
        <f t="shared" si="237"/>
        <v>1</v>
      </c>
      <c r="AW690" s="145">
        <f t="shared" si="238"/>
        <v>1</v>
      </c>
      <c r="AX690" s="145">
        <f t="shared" si="226"/>
        <v>1</v>
      </c>
      <c r="AY690" s="145">
        <f t="shared" si="239"/>
        <v>0</v>
      </c>
      <c r="AZ690" s="145">
        <f t="shared" si="240"/>
        <v>1</v>
      </c>
      <c r="BA690" s="146">
        <f t="shared" si="241"/>
        <v>0</v>
      </c>
      <c r="BB690" s="149">
        <f t="shared" si="228"/>
        <v>15</v>
      </c>
      <c r="BC690" s="150">
        <f t="shared" si="229"/>
        <v>15</v>
      </c>
      <c r="BD690" s="150">
        <f t="shared" si="230"/>
        <v>15</v>
      </c>
      <c r="BE690" s="211" t="str">
        <f t="shared" si="231"/>
        <v/>
      </c>
      <c r="BF690" s="205"/>
      <c r="BG690" s="205"/>
      <c r="BH690" s="188">
        <f>IF(AND(Input_Product=Elig!$C690,Elig_MatchAll_Ct&lt;22,$BC690=(Elig_MatchAll_Ct-1),AF690=0),C690,0)</f>
        <v>0</v>
      </c>
      <c r="BI690" s="188">
        <f>IF(AND(Input_Product=Elig!$C690,Elig_MatchAll_Ct&lt;22,$BC690=(Elig_MatchAll_Ct-1),AG690=0),D690,0)</f>
        <v>0</v>
      </c>
      <c r="BJ690" s="188">
        <f>IF(AND(Input_Product=Elig!$C690,Elig_MatchAll_Ct&lt;22,$BC690=(Elig_MatchAll_Ct-1),AH690=0),E690,0)</f>
        <v>0</v>
      </c>
      <c r="BK690" s="188">
        <f>IF(AND(Input_Product=Elig!$C690,Elig_MatchAll_Ct&lt;22,$BC690=(Elig_MatchAll_Ct-1),AI690=0),F690,0)</f>
        <v>0</v>
      </c>
      <c r="BL690" s="188">
        <f>IF(AND(Input_Product=Elig!$C690,Elig_MatchAll_Ct&lt;22,$BC690=(Elig_MatchAll_Ct-1),AJ690=0),G690,0)</f>
        <v>0</v>
      </c>
      <c r="BM690" s="188">
        <f>IF(AND(Input_Product=Elig!$C690,Elig_MatchAll_Ct&lt;22,$BC690=(Elig_MatchAll_Ct-1),AK690=0),H690,0)</f>
        <v>0</v>
      </c>
      <c r="BN690" s="188">
        <f>IF(AND(Input_Product=Elig!$C690,Elig_MatchAll_Ct&lt;22,$BC690=(Elig_MatchAll_Ct-1),AL690=0),I690,0)</f>
        <v>0</v>
      </c>
      <c r="BO690" s="188">
        <f>IF(AND(Input_Product=Elig!$C690,Elig_MatchAll_Ct&lt;22,$BC690=(Elig_MatchAll_Ct-1),AM690=0),J690,0)</f>
        <v>0</v>
      </c>
      <c r="BP690" s="188">
        <f>IF(AND(Input_Product=Elig!$C690,Elig_MatchAll_Ct&lt;22,$BC690=(Elig_MatchAll_Ct-1),AN690=0),K690,0)</f>
        <v>0</v>
      </c>
      <c r="BQ690" s="188">
        <f>IF(AND(Input_Product=Elig!$C690,Elig_MatchAll_Ct&lt;22,$BC690=(Elig_MatchAll_Ct-1),AP690=0),L690,0)</f>
        <v>0</v>
      </c>
      <c r="BR690" s="188">
        <f>IF(AND(Input_Product=Elig!$C690,Elig_MatchAll_Ct&lt;22,$BC690=(Elig_MatchAll_Ct-1),AO690=0),M690,0)</f>
        <v>0</v>
      </c>
      <c r="BS690" s="188">
        <f>IF(AND(Input_Product=Elig!$C690,Elig_MatchAll_Ct&lt;22,$BC690=(Elig_MatchAll_Ct-1),AQ690=0),N690,0)</f>
        <v>0</v>
      </c>
      <c r="BT690" s="188">
        <f>IF(AND(Input_Product=Elig!$C690,Elig_MatchAll_Ct&lt;22,$BC690=(Elig_MatchAll_Ct-1),AR690=0),O690,0)</f>
        <v>0</v>
      </c>
      <c r="BU690" s="188">
        <f>IF(AND(Input_Product=Elig!$C690,Elig_MatchAll_Ct&lt;22,$BC690=(Elig_MatchAll_Ct-1),AS690=0),P690,0)</f>
        <v>0</v>
      </c>
      <c r="BV690" s="189">
        <f>IF(AND(Input_Product=Elig!$C690,Elig_MatchAll_Ct&lt;22,$BC690=(Elig_MatchAll_Ct-1),AT690=0),Q690,0)</f>
        <v>0</v>
      </c>
      <c r="BW690" s="271">
        <f>IF(AND(Input_Product=Elig!$C690,Elig_MatchAll_Ct&lt;22,$BC690=(Elig_MatchAll_Ct-1),AU690=0),R690,0)</f>
        <v>0</v>
      </c>
      <c r="BX690" s="272">
        <f>IF(AND(Input_Product=Elig!$C690,Elig_MatchAll_Ct&lt;22,$BC690=(Elig_MatchAll_Ct-1),AU690=0),S690,0)</f>
        <v>0</v>
      </c>
      <c r="BY690" s="271">
        <f>IF(AND(Input_Product=Elig!$C690,Elig_MatchAll_Ct&lt;22,$BC690=(Elig_MatchAll_Ct-1),AV690=0),T690,0)</f>
        <v>0</v>
      </c>
      <c r="BZ690" s="272">
        <f>IF(AND(Input_Product=Elig!$C690,Elig_MatchAll_Ct&lt;22,$BC690=(Elig_MatchAll_Ct-1),AV690=0),U690,0)</f>
        <v>0</v>
      </c>
      <c r="CA690" s="271">
        <f>IF(AND(Input_Product=Elig!$C690,Elig_MatchAll_Ct&lt;22,$BC690=(Elig_MatchAll_Ct-1),AW690=0),V690,0)</f>
        <v>0</v>
      </c>
      <c r="CB690" s="272">
        <f>IF(AND(Input_Product=Elig!$C690,Elig_MatchAll_Ct&lt;22,$BC690=(Elig_MatchAll_Ct-1),AW690=0),W690,0)</f>
        <v>0</v>
      </c>
      <c r="CC690" s="271">
        <f>IF(AND(Input_Product=Elig!$C690,Elig_MatchAll_Ct&lt;22,$BC690=(Elig_MatchAll_Ct-1),AX690=0),X690,0)</f>
        <v>0</v>
      </c>
      <c r="CD690" s="272">
        <f>IF(AND(Input_Product=Elig!$C690,Elig_MatchAll_Ct&lt;22,$BC690=(Elig_MatchAll_Ct-1),AX690=0),Y690,0)</f>
        <v>0</v>
      </c>
      <c r="CE690" s="271">
        <f>IF(AND(Input_LTV&lt;=AE690,Input_Product=Elig!$C690,Elig_MatchAll_Ct&lt;22,$BC690=(Elig_MatchAll_Ct-1),AY690=0),Z690,0)</f>
        <v>0</v>
      </c>
      <c r="CF690" s="272">
        <f>IF(AND(Input_LTV&lt;=AE690,Input_Product=Elig!$C690,Elig_MatchAll_Ct&lt;22,$BC690=(Elig_MatchAll_Ct-1),AY690=0),AA690,0)</f>
        <v>0</v>
      </c>
      <c r="CG690" s="271">
        <f>IF(AND(Input_Product=Elig!$C690,Elig_MatchAll_Ct&lt;22,$BC690=(Elig_MatchAll_Ct-1),AZ690=0),AB690,0)</f>
        <v>0</v>
      </c>
      <c r="CH690" s="272">
        <f>IF(AND(Input_Product=Elig!$C690,Elig_MatchAll_Ct&lt;22,$BC690=(Elig_MatchAll_Ct-1),AZ690=0),AC690,0)</f>
        <v>0</v>
      </c>
      <c r="CI690" s="271">
        <f>IF(AND(Input_Product=Elig!$C690,Elig_MatchAll_Ct&lt;22,$BC690=(Elig_MatchAll_Ct-1),BA690=0),AD690,0)</f>
        <v>0</v>
      </c>
      <c r="CJ690" s="272">
        <f>IF(AND(Input_Product=Elig!$C690,Elig_MatchAll_Ct&lt;22,$BC690=(Elig_MatchAll_Ct-1),BA690=0),AE690,0)</f>
        <v>0</v>
      </c>
    </row>
    <row r="691" spans="1:88" ht="10.15" customHeight="1" x14ac:dyDescent="0.25">
      <c r="A691" s="1484" t="s">
        <v>76</v>
      </c>
      <c r="B691" s="1484" t="s">
        <v>1868</v>
      </c>
      <c r="C691" s="1485" t="str">
        <f t="shared" ref="C691:C759" si="242">Input_Name_Product5</f>
        <v>Second NOO</v>
      </c>
      <c r="D691" s="1486" t="s">
        <v>1331</v>
      </c>
      <c r="E691" s="1486" t="s">
        <v>98</v>
      </c>
      <c r="F691" s="1486" t="s">
        <v>329</v>
      </c>
      <c r="G691" s="1486" t="s">
        <v>302</v>
      </c>
      <c r="H691" s="1486" t="s">
        <v>135</v>
      </c>
      <c r="I691" s="1484" t="s">
        <v>1141</v>
      </c>
      <c r="J691" s="1484" t="s">
        <v>1130</v>
      </c>
      <c r="K691" s="1486" t="s">
        <v>2464</v>
      </c>
      <c r="L691" s="1484" t="s">
        <v>428</v>
      </c>
      <c r="M691" s="1484" t="s">
        <v>1835</v>
      </c>
      <c r="N691" s="1486" t="s">
        <v>1844</v>
      </c>
      <c r="O691" s="1484" t="s">
        <v>309</v>
      </c>
      <c r="P691" s="1484" t="s">
        <v>2434</v>
      </c>
      <c r="Q691" s="1484" t="s">
        <v>293</v>
      </c>
      <c r="R691" s="1484">
        <v>50000</v>
      </c>
      <c r="S691" s="1484">
        <v>350000</v>
      </c>
      <c r="T691" s="1484">
        <v>0</v>
      </c>
      <c r="U691" s="1484">
        <f t="shared" ref="U691:U763" si="243">S691</f>
        <v>350000</v>
      </c>
      <c r="V691" s="1484">
        <v>0</v>
      </c>
      <c r="W691" s="1484">
        <v>50</v>
      </c>
      <c r="X691" s="1484">
        <v>0</v>
      </c>
      <c r="Y691" s="1484">
        <v>999</v>
      </c>
      <c r="Z691" s="1487">
        <v>720</v>
      </c>
      <c r="AA691" s="1487">
        <v>999</v>
      </c>
      <c r="AB691" s="1487">
        <v>0</v>
      </c>
      <c r="AC691" s="1487">
        <v>999999</v>
      </c>
      <c r="AD691" s="1484">
        <v>0</v>
      </c>
      <c r="AE691" s="1484">
        <v>80</v>
      </c>
      <c r="AF691" s="144">
        <v>1</v>
      </c>
      <c r="AG691" s="145">
        <v>1</v>
      </c>
      <c r="AH691" s="145">
        <v>1</v>
      </c>
      <c r="AI691" s="145">
        <v>1</v>
      </c>
      <c r="AJ691" s="145">
        <v>0</v>
      </c>
      <c r="AK691" s="145">
        <v>1</v>
      </c>
      <c r="AL691" s="145">
        <v>1</v>
      </c>
      <c r="AM691" s="145">
        <v>1</v>
      </c>
      <c r="AN691" s="145">
        <v>1</v>
      </c>
      <c r="AO691" s="145">
        <v>1</v>
      </c>
      <c r="AP691" s="145">
        <v>1</v>
      </c>
      <c r="AQ691" s="145">
        <v>1</v>
      </c>
      <c r="AR691" s="145">
        <v>1</v>
      </c>
      <c r="AS691" s="145">
        <v>1</v>
      </c>
      <c r="AT691" s="145">
        <v>1</v>
      </c>
      <c r="AU691" s="145">
        <f t="shared" si="236"/>
        <v>1</v>
      </c>
      <c r="AV691" s="145">
        <f t="shared" si="237"/>
        <v>1</v>
      </c>
      <c r="AW691" s="145">
        <f t="shared" si="238"/>
        <v>1</v>
      </c>
      <c r="AX691" s="145">
        <f t="shared" si="226"/>
        <v>1</v>
      </c>
      <c r="AY691" s="145">
        <f t="shared" si="239"/>
        <v>1</v>
      </c>
      <c r="AZ691" s="145">
        <f t="shared" si="240"/>
        <v>1</v>
      </c>
      <c r="BA691" s="146">
        <f t="shared" si="241"/>
        <v>1</v>
      </c>
      <c r="BB691" s="149">
        <f t="shared" si="228"/>
        <v>21</v>
      </c>
      <c r="BC691" s="150">
        <f t="shared" si="229"/>
        <v>20</v>
      </c>
      <c r="BD691" s="150">
        <f t="shared" si="230"/>
        <v>20</v>
      </c>
      <c r="BE691" s="211" t="str">
        <f t="shared" si="231"/>
        <v/>
      </c>
      <c r="BF691" s="194"/>
      <c r="BG691" s="194"/>
      <c r="BH691" s="190">
        <f>IF(AND(Input_Product=Elig!$C691,Elig_MatchAll_Ct&lt;22,$BC691=(Elig_MatchAll_Ct-1),AF691=0),C691,0)</f>
        <v>0</v>
      </c>
      <c r="BI691" s="190">
        <f>IF(AND(Input_Product=Elig!$C691,Elig_MatchAll_Ct&lt;22,$BC691=(Elig_MatchAll_Ct-1),AG691=0),D691,0)</f>
        <v>0</v>
      </c>
      <c r="BJ691" s="190">
        <f>IF(AND(Input_Product=Elig!$C691,Elig_MatchAll_Ct&lt;22,$BC691=(Elig_MatchAll_Ct-1),AH691=0),E691,0)</f>
        <v>0</v>
      </c>
      <c r="BK691" s="190">
        <f>IF(AND(Input_Product=Elig!$C691,Elig_MatchAll_Ct&lt;22,$BC691=(Elig_MatchAll_Ct-1),AI691=0),F691,0)</f>
        <v>0</v>
      </c>
      <c r="BL691" s="190">
        <f>IF(AND(Input_Product=Elig!$C691,Elig_MatchAll_Ct&lt;22,$BC691=(Elig_MatchAll_Ct-1),AJ691=0),G691,0)</f>
        <v>0</v>
      </c>
      <c r="BM691" s="190">
        <f>IF(AND(Input_Product=Elig!$C691,Elig_MatchAll_Ct&lt;22,$BC691=(Elig_MatchAll_Ct-1),AK691=0),H691,0)</f>
        <v>0</v>
      </c>
      <c r="BN691" s="190">
        <f>IF(AND(Input_Product=Elig!$C691,Elig_MatchAll_Ct&lt;22,$BC691=(Elig_MatchAll_Ct-1),AL691=0),I691,0)</f>
        <v>0</v>
      </c>
      <c r="BO691" s="190">
        <f>IF(AND(Input_Product=Elig!$C691,Elig_MatchAll_Ct&lt;22,$BC691=(Elig_MatchAll_Ct-1),AM691=0),J691,0)</f>
        <v>0</v>
      </c>
      <c r="BP691" s="190">
        <f>IF(AND(Input_Product=Elig!$C691,Elig_MatchAll_Ct&lt;22,$BC691=(Elig_MatchAll_Ct-1),AN691=0),K691,0)</f>
        <v>0</v>
      </c>
      <c r="BQ691" s="190">
        <f>IF(AND(Input_Product=Elig!$C691,Elig_MatchAll_Ct&lt;22,$BC691=(Elig_MatchAll_Ct-1),AP691=0),L691,0)</f>
        <v>0</v>
      </c>
      <c r="BR691" s="190">
        <f>IF(AND(Input_Product=Elig!$C691,Elig_MatchAll_Ct&lt;22,$BC691=(Elig_MatchAll_Ct-1),AO691=0),M691,0)</f>
        <v>0</v>
      </c>
      <c r="BS691" s="190">
        <f>IF(AND(Input_Product=Elig!$C691,Elig_MatchAll_Ct&lt;22,$BC691=(Elig_MatchAll_Ct-1),AQ691=0),N691,0)</f>
        <v>0</v>
      </c>
      <c r="BT691" s="190">
        <f>IF(AND(Input_Product=Elig!$C691,Elig_MatchAll_Ct&lt;22,$BC691=(Elig_MatchAll_Ct-1),AR691=0),O691,0)</f>
        <v>0</v>
      </c>
      <c r="BU691" s="190">
        <f>IF(AND(Input_Product=Elig!$C691,Elig_MatchAll_Ct&lt;22,$BC691=(Elig_MatchAll_Ct-1),AS691=0),P691,0)</f>
        <v>0</v>
      </c>
      <c r="BV691" s="191">
        <f>IF(AND(Input_Product=Elig!$C691,Elig_MatchAll_Ct&lt;22,$BC691=(Elig_MatchAll_Ct-1),AT691=0),Q691,0)</f>
        <v>0</v>
      </c>
      <c r="BW691" s="273">
        <f>IF(AND(Input_Product=Elig!$C691,Elig_MatchAll_Ct&lt;22,$BC691=(Elig_MatchAll_Ct-1),AU691=0),R691,0)</f>
        <v>0</v>
      </c>
      <c r="BX691" s="274">
        <f>IF(AND(Input_Product=Elig!$C691,Elig_MatchAll_Ct&lt;22,$BC691=(Elig_MatchAll_Ct-1),AU691=0),S691,0)</f>
        <v>0</v>
      </c>
      <c r="BY691" s="273">
        <f>IF(AND(Input_Product=Elig!$C691,Elig_MatchAll_Ct&lt;22,$BC691=(Elig_MatchAll_Ct-1),AV691=0),T691,0)</f>
        <v>0</v>
      </c>
      <c r="BZ691" s="274">
        <f>IF(AND(Input_Product=Elig!$C691,Elig_MatchAll_Ct&lt;22,$BC691=(Elig_MatchAll_Ct-1),AV691=0),U691,0)</f>
        <v>0</v>
      </c>
      <c r="CA691" s="273">
        <f>IF(AND(Input_Product=Elig!$C691,Elig_MatchAll_Ct&lt;22,$BC691=(Elig_MatchAll_Ct-1),AW691=0),V691,0)</f>
        <v>0</v>
      </c>
      <c r="CB691" s="274">
        <f>IF(AND(Input_Product=Elig!$C691,Elig_MatchAll_Ct&lt;22,$BC691=(Elig_MatchAll_Ct-1),AW691=0),W691,0)</f>
        <v>0</v>
      </c>
      <c r="CC691" s="273">
        <f>IF(AND(Input_Product=Elig!$C691,Elig_MatchAll_Ct&lt;22,$BC691=(Elig_MatchAll_Ct-1),AX691=0),X691,0)</f>
        <v>0</v>
      </c>
      <c r="CD691" s="274">
        <f>IF(AND(Input_Product=Elig!$C691,Elig_MatchAll_Ct&lt;22,$BC691=(Elig_MatchAll_Ct-1),AX691=0),Y691,0)</f>
        <v>0</v>
      </c>
      <c r="CE691" s="273">
        <f>IF(AND(Input_LTV&lt;=AE691,Input_Product=Elig!$C691,Elig_MatchAll_Ct&lt;22,$BC691=(Elig_MatchAll_Ct-1),AY691=0),Z691,0)</f>
        <v>0</v>
      </c>
      <c r="CF691" s="274">
        <f>IF(AND(Input_LTV&lt;=AE691,Input_Product=Elig!$C691,Elig_MatchAll_Ct&lt;22,$BC691=(Elig_MatchAll_Ct-1),AY691=0),AA691,0)</f>
        <v>0</v>
      </c>
      <c r="CG691" s="273">
        <f>IF(AND(Input_Product=Elig!$C691,Elig_MatchAll_Ct&lt;22,$BC691=(Elig_MatchAll_Ct-1),AZ691=0),AB691,0)</f>
        <v>0</v>
      </c>
      <c r="CH691" s="274">
        <f>IF(AND(Input_Product=Elig!$C691,Elig_MatchAll_Ct&lt;22,$BC691=(Elig_MatchAll_Ct-1),AZ691=0),AC691,0)</f>
        <v>0</v>
      </c>
      <c r="CI691" s="273">
        <f>IF(AND(Input_Product=Elig!$C691,Elig_MatchAll_Ct&lt;22,$BC691=(Elig_MatchAll_Ct-1),BA691=0),AD691,0)</f>
        <v>0</v>
      </c>
      <c r="CJ691" s="274">
        <f>IF(AND(Input_Product=Elig!$C691,Elig_MatchAll_Ct&lt;22,$BC691=(Elig_MatchAll_Ct-1),BA691=0),AE691,0)</f>
        <v>0</v>
      </c>
    </row>
    <row r="692" spans="1:88" ht="10.15" customHeight="1" x14ac:dyDescent="0.25">
      <c r="A692" s="1484" t="s">
        <v>76</v>
      </c>
      <c r="B692" s="1484" t="s">
        <v>1869</v>
      </c>
      <c r="C692" s="1485" t="str">
        <f t="shared" si="242"/>
        <v>Second NOO</v>
      </c>
      <c r="D692" s="1484" t="s">
        <v>1331</v>
      </c>
      <c r="E692" s="1484" t="s">
        <v>98</v>
      </c>
      <c r="F692" s="1484" t="s">
        <v>329</v>
      </c>
      <c r="G692" s="1486" t="s">
        <v>302</v>
      </c>
      <c r="H692" s="1486" t="s">
        <v>135</v>
      </c>
      <c r="I692" s="1484" t="s">
        <v>1141</v>
      </c>
      <c r="J692" s="1484" t="s">
        <v>1130</v>
      </c>
      <c r="K692" s="1486" t="s">
        <v>2464</v>
      </c>
      <c r="L692" s="1484" t="s">
        <v>428</v>
      </c>
      <c r="M692" s="1484" t="s">
        <v>1835</v>
      </c>
      <c r="N692" s="1486" t="s">
        <v>1844</v>
      </c>
      <c r="O692" s="1484" t="s">
        <v>309</v>
      </c>
      <c r="P692" s="1484" t="s">
        <v>2434</v>
      </c>
      <c r="Q692" s="1484" t="s">
        <v>293</v>
      </c>
      <c r="R692" s="1484">
        <v>50000</v>
      </c>
      <c r="S692" s="1484">
        <v>350000</v>
      </c>
      <c r="T692" s="1484">
        <v>0</v>
      </c>
      <c r="U692" s="1484">
        <f t="shared" si="243"/>
        <v>350000</v>
      </c>
      <c r="V692" s="1484">
        <v>0</v>
      </c>
      <c r="W692" s="1484">
        <v>50</v>
      </c>
      <c r="X692" s="1484">
        <v>0</v>
      </c>
      <c r="Y692" s="1484">
        <v>999</v>
      </c>
      <c r="Z692" s="1487">
        <v>700</v>
      </c>
      <c r="AA692" s="1487">
        <v>719</v>
      </c>
      <c r="AB692" s="1487">
        <v>0</v>
      </c>
      <c r="AC692" s="1487">
        <v>999999</v>
      </c>
      <c r="AD692" s="1484">
        <v>0</v>
      </c>
      <c r="AE692" s="1484">
        <v>80</v>
      </c>
      <c r="AF692" s="144">
        <v>1</v>
      </c>
      <c r="AG692" s="145">
        <v>1</v>
      </c>
      <c r="AH692" s="145">
        <v>1</v>
      </c>
      <c r="AI692" s="145">
        <v>1</v>
      </c>
      <c r="AJ692" s="145">
        <v>0</v>
      </c>
      <c r="AK692" s="145">
        <v>1</v>
      </c>
      <c r="AL692" s="145">
        <v>1</v>
      </c>
      <c r="AM692" s="145">
        <v>1</v>
      </c>
      <c r="AN692" s="145">
        <v>1</v>
      </c>
      <c r="AO692" s="145">
        <v>1</v>
      </c>
      <c r="AP692" s="145">
        <v>1</v>
      </c>
      <c r="AQ692" s="145">
        <v>1</v>
      </c>
      <c r="AR692" s="145">
        <v>1</v>
      </c>
      <c r="AS692" s="145">
        <v>1</v>
      </c>
      <c r="AT692" s="145">
        <v>1</v>
      </c>
      <c r="AU692" s="145">
        <f t="shared" si="236"/>
        <v>1</v>
      </c>
      <c r="AV692" s="145">
        <f t="shared" si="237"/>
        <v>1</v>
      </c>
      <c r="AW692" s="145">
        <f t="shared" si="238"/>
        <v>1</v>
      </c>
      <c r="AX692" s="145">
        <f t="shared" si="226"/>
        <v>1</v>
      </c>
      <c r="AY692" s="145">
        <f t="shared" si="239"/>
        <v>0</v>
      </c>
      <c r="AZ692" s="145">
        <f t="shared" si="240"/>
        <v>1</v>
      </c>
      <c r="BA692" s="146">
        <f t="shared" si="241"/>
        <v>1</v>
      </c>
      <c r="BB692" s="149">
        <f t="shared" si="228"/>
        <v>20</v>
      </c>
      <c r="BC692" s="150">
        <f t="shared" si="229"/>
        <v>19</v>
      </c>
      <c r="BD692" s="150">
        <f t="shared" si="230"/>
        <v>19</v>
      </c>
      <c r="BE692" s="211" t="str">
        <f t="shared" si="231"/>
        <v/>
      </c>
      <c r="BF692" s="205"/>
      <c r="BG692" s="205"/>
      <c r="BH692" s="173">
        <f>IF(AND(Input_Product=Elig!$C692,Elig_MatchAll_Ct&lt;22,$BC692=(Elig_MatchAll_Ct-1),AF692=0),C692,0)</f>
        <v>0</v>
      </c>
      <c r="BI692" s="173">
        <f>IF(AND(Input_Product=Elig!$C692,Elig_MatchAll_Ct&lt;22,$BC692=(Elig_MatchAll_Ct-1),AG692=0),D692,0)</f>
        <v>0</v>
      </c>
      <c r="BJ692" s="173">
        <f>IF(AND(Input_Product=Elig!$C692,Elig_MatchAll_Ct&lt;22,$BC692=(Elig_MatchAll_Ct-1),AH692=0),E692,0)</f>
        <v>0</v>
      </c>
      <c r="BK692" s="173">
        <f>IF(AND(Input_Product=Elig!$C692,Elig_MatchAll_Ct&lt;22,$BC692=(Elig_MatchAll_Ct-1),AI692=0),F692,0)</f>
        <v>0</v>
      </c>
      <c r="BL692" s="173">
        <f>IF(AND(Input_Product=Elig!$C692,Elig_MatchAll_Ct&lt;22,$BC692=(Elig_MatchAll_Ct-1),AJ692=0),G692,0)</f>
        <v>0</v>
      </c>
      <c r="BM692" s="173">
        <f>IF(AND(Input_Product=Elig!$C692,Elig_MatchAll_Ct&lt;22,$BC692=(Elig_MatchAll_Ct-1),AK692=0),H692,0)</f>
        <v>0</v>
      </c>
      <c r="BN692" s="173">
        <f>IF(AND(Input_Product=Elig!$C692,Elig_MatchAll_Ct&lt;22,$BC692=(Elig_MatchAll_Ct-1),AL692=0),I692,0)</f>
        <v>0</v>
      </c>
      <c r="BO692" s="173">
        <f>IF(AND(Input_Product=Elig!$C692,Elig_MatchAll_Ct&lt;22,$BC692=(Elig_MatchAll_Ct-1),AM692=0),J692,0)</f>
        <v>0</v>
      </c>
      <c r="BP692" s="173">
        <f>IF(AND(Input_Product=Elig!$C692,Elig_MatchAll_Ct&lt;22,$BC692=(Elig_MatchAll_Ct-1),AN692=0),K692,0)</f>
        <v>0</v>
      </c>
      <c r="BQ692" s="173">
        <f>IF(AND(Input_Product=Elig!$C692,Elig_MatchAll_Ct&lt;22,$BC692=(Elig_MatchAll_Ct-1),AP692=0),L692,0)</f>
        <v>0</v>
      </c>
      <c r="BR692" s="173">
        <f>IF(AND(Input_Product=Elig!$C692,Elig_MatchAll_Ct&lt;22,$BC692=(Elig_MatchAll_Ct-1),AO692=0),M692,0)</f>
        <v>0</v>
      </c>
      <c r="BS692" s="173">
        <f>IF(AND(Input_Product=Elig!$C692,Elig_MatchAll_Ct&lt;22,$BC692=(Elig_MatchAll_Ct-1),AQ692=0),N692,0)</f>
        <v>0</v>
      </c>
      <c r="BT692" s="173">
        <f>IF(AND(Input_Product=Elig!$C692,Elig_MatchAll_Ct&lt;22,$BC692=(Elig_MatchAll_Ct-1),AR692=0),O692,0)</f>
        <v>0</v>
      </c>
      <c r="BU692" s="173">
        <f>IF(AND(Input_Product=Elig!$C692,Elig_MatchAll_Ct&lt;22,$BC692=(Elig_MatchAll_Ct-1),AS692=0),P692,0)</f>
        <v>0</v>
      </c>
      <c r="BV692" s="174">
        <f>IF(AND(Input_Product=Elig!$C692,Elig_MatchAll_Ct&lt;22,$BC692=(Elig_MatchAll_Ct-1),AT692=0),Q692,0)</f>
        <v>0</v>
      </c>
      <c r="BW692" s="175">
        <f>IF(AND(Input_Product=Elig!$C692,Elig_MatchAll_Ct&lt;22,$BC692=(Elig_MatchAll_Ct-1),AU692=0),R692,0)</f>
        <v>0</v>
      </c>
      <c r="BX692" s="176">
        <f>IF(AND(Input_Product=Elig!$C692,Elig_MatchAll_Ct&lt;22,$BC692=(Elig_MatchAll_Ct-1),AU692=0),S692,0)</f>
        <v>0</v>
      </c>
      <c r="BY692" s="175">
        <f>IF(AND(Input_Product=Elig!$C692,Elig_MatchAll_Ct&lt;22,$BC692=(Elig_MatchAll_Ct-1),AV692=0),T692,0)</f>
        <v>0</v>
      </c>
      <c r="BZ692" s="176">
        <f>IF(AND(Input_Product=Elig!$C692,Elig_MatchAll_Ct&lt;22,$BC692=(Elig_MatchAll_Ct-1),AV692=0),U692,0)</f>
        <v>0</v>
      </c>
      <c r="CA692" s="175">
        <f>IF(AND(Input_Product=Elig!$C692,Elig_MatchAll_Ct&lt;22,$BC692=(Elig_MatchAll_Ct-1),AW692=0),V692,0)</f>
        <v>0</v>
      </c>
      <c r="CB692" s="176">
        <f>IF(AND(Input_Product=Elig!$C692,Elig_MatchAll_Ct&lt;22,$BC692=(Elig_MatchAll_Ct-1),AW692=0),W692,0)</f>
        <v>0</v>
      </c>
      <c r="CC692" s="175">
        <f>IF(AND(Input_Product=Elig!$C692,Elig_MatchAll_Ct&lt;22,$BC692=(Elig_MatchAll_Ct-1),AX692=0),X692,0)</f>
        <v>0</v>
      </c>
      <c r="CD692" s="176">
        <f>IF(AND(Input_Product=Elig!$C692,Elig_MatchAll_Ct&lt;22,$BC692=(Elig_MatchAll_Ct-1),AX692=0),Y692,0)</f>
        <v>0</v>
      </c>
      <c r="CE692" s="175">
        <f>IF(AND(Input_LTV&lt;=AE692,Input_Product=Elig!$C692,Elig_MatchAll_Ct&lt;22,$BC692=(Elig_MatchAll_Ct-1),AY692=0),Z692,0)</f>
        <v>0</v>
      </c>
      <c r="CF692" s="176">
        <f>IF(AND(Input_LTV&lt;=AE692,Input_Product=Elig!$C692,Elig_MatchAll_Ct&lt;22,$BC692=(Elig_MatchAll_Ct-1),AY692=0),AA692,0)</f>
        <v>0</v>
      </c>
      <c r="CG692" s="175">
        <f>IF(AND(Input_Product=Elig!$C692,Elig_MatchAll_Ct&lt;22,$BC692=(Elig_MatchAll_Ct-1),AZ692=0),AB692,0)</f>
        <v>0</v>
      </c>
      <c r="CH692" s="176">
        <f>IF(AND(Input_Product=Elig!$C692,Elig_MatchAll_Ct&lt;22,$BC692=(Elig_MatchAll_Ct-1),AZ692=0),AC692,0)</f>
        <v>0</v>
      </c>
      <c r="CI692" s="175">
        <f>IF(AND(Input_Product=Elig!$C692,Elig_MatchAll_Ct&lt;22,$BC692=(Elig_MatchAll_Ct-1),BA692=0),AD692,0)</f>
        <v>0</v>
      </c>
      <c r="CJ692" s="176">
        <f>IF(AND(Input_Product=Elig!$C692,Elig_MatchAll_Ct&lt;22,$BC692=(Elig_MatchAll_Ct-1),BA692=0),AE692,0)</f>
        <v>0</v>
      </c>
    </row>
    <row r="693" spans="1:88" ht="10.15" customHeight="1" x14ac:dyDescent="0.25">
      <c r="A693" s="1484" t="s">
        <v>76</v>
      </c>
      <c r="B693" s="1484" t="s">
        <v>1870</v>
      </c>
      <c r="C693" s="1485" t="str">
        <f t="shared" si="242"/>
        <v>Second NOO</v>
      </c>
      <c r="D693" s="1484" t="s">
        <v>1331</v>
      </c>
      <c r="E693" s="1484" t="s">
        <v>98</v>
      </c>
      <c r="F693" s="1484" t="s">
        <v>329</v>
      </c>
      <c r="G693" s="1486" t="s">
        <v>302</v>
      </c>
      <c r="H693" s="1486" t="s">
        <v>135</v>
      </c>
      <c r="I693" s="1484" t="s">
        <v>1141</v>
      </c>
      <c r="J693" s="1484" t="s">
        <v>1130</v>
      </c>
      <c r="K693" s="1486" t="s">
        <v>2464</v>
      </c>
      <c r="L693" s="1484" t="s">
        <v>428</v>
      </c>
      <c r="M693" s="1484" t="s">
        <v>1835</v>
      </c>
      <c r="N693" s="1486" t="s">
        <v>1844</v>
      </c>
      <c r="O693" s="1484" t="s">
        <v>309</v>
      </c>
      <c r="P693" s="1484" t="s">
        <v>2434</v>
      </c>
      <c r="Q693" s="1484" t="s">
        <v>293</v>
      </c>
      <c r="R693" s="1484">
        <v>50000</v>
      </c>
      <c r="S693" s="1484">
        <v>350000</v>
      </c>
      <c r="T693" s="1484">
        <v>0</v>
      </c>
      <c r="U693" s="1484">
        <f t="shared" si="243"/>
        <v>350000</v>
      </c>
      <c r="V693" s="1484">
        <v>0</v>
      </c>
      <c r="W693" s="1484">
        <v>50</v>
      </c>
      <c r="X693" s="1484">
        <v>0</v>
      </c>
      <c r="Y693" s="1484">
        <v>999</v>
      </c>
      <c r="Z693" s="1487">
        <v>680</v>
      </c>
      <c r="AA693" s="1487">
        <v>699</v>
      </c>
      <c r="AB693" s="1487">
        <v>0</v>
      </c>
      <c r="AC693" s="1487">
        <v>999999</v>
      </c>
      <c r="AD693" s="1484">
        <v>0</v>
      </c>
      <c r="AE693" s="1484">
        <v>75</v>
      </c>
      <c r="AF693" s="144">
        <v>1</v>
      </c>
      <c r="AG693" s="145">
        <v>1</v>
      </c>
      <c r="AH693" s="145">
        <v>1</v>
      </c>
      <c r="AI693" s="145">
        <v>1</v>
      </c>
      <c r="AJ693" s="145">
        <v>0</v>
      </c>
      <c r="AK693" s="145">
        <v>1</v>
      </c>
      <c r="AL693" s="145">
        <v>1</v>
      </c>
      <c r="AM693" s="145">
        <v>1</v>
      </c>
      <c r="AN693" s="145">
        <v>1</v>
      </c>
      <c r="AO693" s="145">
        <v>1</v>
      </c>
      <c r="AP693" s="145">
        <v>1</v>
      </c>
      <c r="AQ693" s="145">
        <v>1</v>
      </c>
      <c r="AR693" s="145">
        <v>1</v>
      </c>
      <c r="AS693" s="145">
        <v>1</v>
      </c>
      <c r="AT693" s="145">
        <v>1</v>
      </c>
      <c r="AU693" s="145">
        <f t="shared" si="236"/>
        <v>1</v>
      </c>
      <c r="AV693" s="145">
        <f t="shared" si="237"/>
        <v>1</v>
      </c>
      <c r="AW693" s="145">
        <f t="shared" si="238"/>
        <v>1</v>
      </c>
      <c r="AX693" s="145">
        <f t="shared" si="226"/>
        <v>1</v>
      </c>
      <c r="AY693" s="145">
        <f t="shared" si="239"/>
        <v>0</v>
      </c>
      <c r="AZ693" s="145">
        <f t="shared" si="240"/>
        <v>1</v>
      </c>
      <c r="BA693" s="146">
        <f t="shared" si="241"/>
        <v>1</v>
      </c>
      <c r="BB693" s="149">
        <f t="shared" si="228"/>
        <v>20</v>
      </c>
      <c r="BC693" s="150">
        <f t="shared" si="229"/>
        <v>19</v>
      </c>
      <c r="BD693" s="150">
        <f t="shared" si="230"/>
        <v>19</v>
      </c>
      <c r="BE693" s="211" t="str">
        <f t="shared" si="231"/>
        <v/>
      </c>
      <c r="BF693" s="205"/>
      <c r="BG693" s="205"/>
      <c r="BH693" s="173">
        <f>IF(AND(Input_Product=Elig!$C693,Elig_MatchAll_Ct&lt;22,$BC693=(Elig_MatchAll_Ct-1),AF693=0),C693,0)</f>
        <v>0</v>
      </c>
      <c r="BI693" s="173">
        <f>IF(AND(Input_Product=Elig!$C693,Elig_MatchAll_Ct&lt;22,$BC693=(Elig_MatchAll_Ct-1),AG693=0),D693,0)</f>
        <v>0</v>
      </c>
      <c r="BJ693" s="173">
        <f>IF(AND(Input_Product=Elig!$C693,Elig_MatchAll_Ct&lt;22,$BC693=(Elig_MatchAll_Ct-1),AH693=0),E693,0)</f>
        <v>0</v>
      </c>
      <c r="BK693" s="173">
        <f>IF(AND(Input_Product=Elig!$C693,Elig_MatchAll_Ct&lt;22,$BC693=(Elig_MatchAll_Ct-1),AI693=0),F693,0)</f>
        <v>0</v>
      </c>
      <c r="BL693" s="173">
        <f>IF(AND(Input_Product=Elig!$C693,Elig_MatchAll_Ct&lt;22,$BC693=(Elig_MatchAll_Ct-1),AJ693=0),G693,0)</f>
        <v>0</v>
      </c>
      <c r="BM693" s="173">
        <f>IF(AND(Input_Product=Elig!$C693,Elig_MatchAll_Ct&lt;22,$BC693=(Elig_MatchAll_Ct-1),AK693=0),H693,0)</f>
        <v>0</v>
      </c>
      <c r="BN693" s="173">
        <f>IF(AND(Input_Product=Elig!$C693,Elig_MatchAll_Ct&lt;22,$BC693=(Elig_MatchAll_Ct-1),AL693=0),I693,0)</f>
        <v>0</v>
      </c>
      <c r="BO693" s="173">
        <f>IF(AND(Input_Product=Elig!$C693,Elig_MatchAll_Ct&lt;22,$BC693=(Elig_MatchAll_Ct-1),AM693=0),J693,0)</f>
        <v>0</v>
      </c>
      <c r="BP693" s="173">
        <f>IF(AND(Input_Product=Elig!$C693,Elig_MatchAll_Ct&lt;22,$BC693=(Elig_MatchAll_Ct-1),AN693=0),K693,0)</f>
        <v>0</v>
      </c>
      <c r="BQ693" s="173">
        <f>IF(AND(Input_Product=Elig!$C693,Elig_MatchAll_Ct&lt;22,$BC693=(Elig_MatchAll_Ct-1),AP693=0),L693,0)</f>
        <v>0</v>
      </c>
      <c r="BR693" s="173">
        <f>IF(AND(Input_Product=Elig!$C693,Elig_MatchAll_Ct&lt;22,$BC693=(Elig_MatchAll_Ct-1),AO693=0),M693,0)</f>
        <v>0</v>
      </c>
      <c r="BS693" s="173">
        <f>IF(AND(Input_Product=Elig!$C693,Elig_MatchAll_Ct&lt;22,$BC693=(Elig_MatchAll_Ct-1),AQ693=0),N693,0)</f>
        <v>0</v>
      </c>
      <c r="BT693" s="173">
        <f>IF(AND(Input_Product=Elig!$C693,Elig_MatchAll_Ct&lt;22,$BC693=(Elig_MatchAll_Ct-1),AR693=0),O693,0)</f>
        <v>0</v>
      </c>
      <c r="BU693" s="173">
        <f>IF(AND(Input_Product=Elig!$C693,Elig_MatchAll_Ct&lt;22,$BC693=(Elig_MatchAll_Ct-1),AS693=0),P693,0)</f>
        <v>0</v>
      </c>
      <c r="BV693" s="174">
        <f>IF(AND(Input_Product=Elig!$C693,Elig_MatchAll_Ct&lt;22,$BC693=(Elig_MatchAll_Ct-1),AT693=0),Q693,0)</f>
        <v>0</v>
      </c>
      <c r="BW693" s="175">
        <f>IF(AND(Input_Product=Elig!$C693,Elig_MatchAll_Ct&lt;22,$BC693=(Elig_MatchAll_Ct-1),AU693=0),R693,0)</f>
        <v>0</v>
      </c>
      <c r="BX693" s="176">
        <f>IF(AND(Input_Product=Elig!$C693,Elig_MatchAll_Ct&lt;22,$BC693=(Elig_MatchAll_Ct-1),AU693=0),S693,0)</f>
        <v>0</v>
      </c>
      <c r="BY693" s="175">
        <f>IF(AND(Input_Product=Elig!$C693,Elig_MatchAll_Ct&lt;22,$BC693=(Elig_MatchAll_Ct-1),AV693=0),T693,0)</f>
        <v>0</v>
      </c>
      <c r="BZ693" s="176">
        <f>IF(AND(Input_Product=Elig!$C693,Elig_MatchAll_Ct&lt;22,$BC693=(Elig_MatchAll_Ct-1),AV693=0),U693,0)</f>
        <v>0</v>
      </c>
      <c r="CA693" s="175">
        <f>IF(AND(Input_Product=Elig!$C693,Elig_MatchAll_Ct&lt;22,$BC693=(Elig_MatchAll_Ct-1),AW693=0),V693,0)</f>
        <v>0</v>
      </c>
      <c r="CB693" s="176">
        <f>IF(AND(Input_Product=Elig!$C693,Elig_MatchAll_Ct&lt;22,$BC693=(Elig_MatchAll_Ct-1),AW693=0),W693,0)</f>
        <v>0</v>
      </c>
      <c r="CC693" s="175">
        <f>IF(AND(Input_Product=Elig!$C693,Elig_MatchAll_Ct&lt;22,$BC693=(Elig_MatchAll_Ct-1),AX693=0),X693,0)</f>
        <v>0</v>
      </c>
      <c r="CD693" s="176">
        <f>IF(AND(Input_Product=Elig!$C693,Elig_MatchAll_Ct&lt;22,$BC693=(Elig_MatchAll_Ct-1),AX693=0),Y693,0)</f>
        <v>0</v>
      </c>
      <c r="CE693" s="175">
        <f>IF(AND(Input_LTV&lt;=AE693,Input_Product=Elig!$C693,Elig_MatchAll_Ct&lt;22,$BC693=(Elig_MatchAll_Ct-1),AY693=0),Z693,0)</f>
        <v>0</v>
      </c>
      <c r="CF693" s="176">
        <f>IF(AND(Input_LTV&lt;=AE693,Input_Product=Elig!$C693,Elig_MatchAll_Ct&lt;22,$BC693=(Elig_MatchAll_Ct-1),AY693=0),AA693,0)</f>
        <v>0</v>
      </c>
      <c r="CG693" s="175">
        <f>IF(AND(Input_Product=Elig!$C693,Elig_MatchAll_Ct&lt;22,$BC693=(Elig_MatchAll_Ct-1),AZ693=0),AB693,0)</f>
        <v>0</v>
      </c>
      <c r="CH693" s="176">
        <f>IF(AND(Input_Product=Elig!$C693,Elig_MatchAll_Ct&lt;22,$BC693=(Elig_MatchAll_Ct-1),AZ693=0),AC693,0)</f>
        <v>0</v>
      </c>
      <c r="CI693" s="175">
        <f>IF(AND(Input_Product=Elig!$C693,Elig_MatchAll_Ct&lt;22,$BC693=(Elig_MatchAll_Ct-1),BA693=0),AD693,0)</f>
        <v>0</v>
      </c>
      <c r="CJ693" s="176">
        <f>IF(AND(Input_Product=Elig!$C693,Elig_MatchAll_Ct&lt;22,$BC693=(Elig_MatchAll_Ct-1),BA693=0),AE693,0)</f>
        <v>0</v>
      </c>
    </row>
    <row r="694" spans="1:88" ht="10.15" customHeight="1" x14ac:dyDescent="0.25">
      <c r="A694" s="1484" t="s">
        <v>76</v>
      </c>
      <c r="B694" s="1484" t="s">
        <v>1871</v>
      </c>
      <c r="C694" s="1485" t="str">
        <f t="shared" si="242"/>
        <v>Second NOO</v>
      </c>
      <c r="D694" s="1484" t="s">
        <v>1331</v>
      </c>
      <c r="E694" s="1484" t="s">
        <v>98</v>
      </c>
      <c r="F694" s="1484" t="s">
        <v>329</v>
      </c>
      <c r="G694" s="1486" t="s">
        <v>302</v>
      </c>
      <c r="H694" s="1486" t="s">
        <v>135</v>
      </c>
      <c r="I694" s="1484" t="s">
        <v>1141</v>
      </c>
      <c r="J694" s="1484" t="s">
        <v>1130</v>
      </c>
      <c r="K694" s="1486" t="s">
        <v>2464</v>
      </c>
      <c r="L694" s="1484" t="s">
        <v>428</v>
      </c>
      <c r="M694" s="1484" t="s">
        <v>1835</v>
      </c>
      <c r="N694" s="1486" t="s">
        <v>1844</v>
      </c>
      <c r="O694" s="1484" t="s">
        <v>309</v>
      </c>
      <c r="P694" s="1484" t="s">
        <v>2434</v>
      </c>
      <c r="Q694" s="1484" t="s">
        <v>293</v>
      </c>
      <c r="R694" s="1484">
        <v>50000</v>
      </c>
      <c r="S694" s="1484">
        <v>350000</v>
      </c>
      <c r="T694" s="1484">
        <v>0</v>
      </c>
      <c r="U694" s="1484">
        <f t="shared" si="243"/>
        <v>350000</v>
      </c>
      <c r="V694" s="1484">
        <v>0</v>
      </c>
      <c r="W694" s="1484">
        <v>50</v>
      </c>
      <c r="X694" s="1484">
        <v>0</v>
      </c>
      <c r="Y694" s="1484">
        <v>999</v>
      </c>
      <c r="Z694" s="1487">
        <v>660</v>
      </c>
      <c r="AA694" s="1487">
        <v>679</v>
      </c>
      <c r="AB694" s="1487">
        <v>0</v>
      </c>
      <c r="AC694" s="1487">
        <v>999999</v>
      </c>
      <c r="AD694" s="1484">
        <v>0</v>
      </c>
      <c r="AE694" s="1484">
        <v>70</v>
      </c>
      <c r="AF694" s="144">
        <v>1</v>
      </c>
      <c r="AG694" s="145">
        <v>1</v>
      </c>
      <c r="AH694" s="145">
        <v>1</v>
      </c>
      <c r="AI694" s="145">
        <v>1</v>
      </c>
      <c r="AJ694" s="145">
        <v>0</v>
      </c>
      <c r="AK694" s="145">
        <v>1</v>
      </c>
      <c r="AL694" s="145">
        <v>1</v>
      </c>
      <c r="AM694" s="145">
        <v>1</v>
      </c>
      <c r="AN694" s="145">
        <v>1</v>
      </c>
      <c r="AO694" s="145">
        <v>1</v>
      </c>
      <c r="AP694" s="145">
        <v>1</v>
      </c>
      <c r="AQ694" s="145">
        <v>1</v>
      </c>
      <c r="AR694" s="145">
        <v>1</v>
      </c>
      <c r="AS694" s="145">
        <v>1</v>
      </c>
      <c r="AT694" s="145">
        <v>1</v>
      </c>
      <c r="AU694" s="145">
        <f t="shared" si="236"/>
        <v>1</v>
      </c>
      <c r="AV694" s="145">
        <f t="shared" si="237"/>
        <v>1</v>
      </c>
      <c r="AW694" s="145">
        <f t="shared" si="238"/>
        <v>1</v>
      </c>
      <c r="AX694" s="145">
        <f t="shared" si="226"/>
        <v>1</v>
      </c>
      <c r="AY694" s="145">
        <f t="shared" si="239"/>
        <v>0</v>
      </c>
      <c r="AZ694" s="145">
        <f t="shared" si="240"/>
        <v>1</v>
      </c>
      <c r="BA694" s="146">
        <f t="shared" si="241"/>
        <v>1</v>
      </c>
      <c r="BB694" s="149">
        <f t="shared" si="228"/>
        <v>20</v>
      </c>
      <c r="BC694" s="150">
        <f t="shared" si="229"/>
        <v>19</v>
      </c>
      <c r="BD694" s="150">
        <f t="shared" si="230"/>
        <v>19</v>
      </c>
      <c r="BE694" s="211" t="str">
        <f t="shared" si="231"/>
        <v/>
      </c>
      <c r="BF694" s="205"/>
      <c r="BG694" s="205"/>
      <c r="BH694" s="188">
        <f>IF(AND(Input_Product=Elig!$C694,Elig_MatchAll_Ct&lt;22,$BC694=(Elig_MatchAll_Ct-1),AF694=0),C694,0)</f>
        <v>0</v>
      </c>
      <c r="BI694" s="188">
        <f>IF(AND(Input_Product=Elig!$C694,Elig_MatchAll_Ct&lt;22,$BC694=(Elig_MatchAll_Ct-1),AG694=0),D694,0)</f>
        <v>0</v>
      </c>
      <c r="BJ694" s="188">
        <f>IF(AND(Input_Product=Elig!$C694,Elig_MatchAll_Ct&lt;22,$BC694=(Elig_MatchAll_Ct-1),AH694=0),E694,0)</f>
        <v>0</v>
      </c>
      <c r="BK694" s="188">
        <f>IF(AND(Input_Product=Elig!$C694,Elig_MatchAll_Ct&lt;22,$BC694=(Elig_MatchAll_Ct-1),AI694=0),F694,0)</f>
        <v>0</v>
      </c>
      <c r="BL694" s="188">
        <f>IF(AND(Input_Product=Elig!$C694,Elig_MatchAll_Ct&lt;22,$BC694=(Elig_MatchAll_Ct-1),AJ694=0),G694,0)</f>
        <v>0</v>
      </c>
      <c r="BM694" s="188">
        <f>IF(AND(Input_Product=Elig!$C694,Elig_MatchAll_Ct&lt;22,$BC694=(Elig_MatchAll_Ct-1),AK694=0),H694,0)</f>
        <v>0</v>
      </c>
      <c r="BN694" s="188">
        <f>IF(AND(Input_Product=Elig!$C694,Elig_MatchAll_Ct&lt;22,$BC694=(Elig_MatchAll_Ct-1),AL694=0),I694,0)</f>
        <v>0</v>
      </c>
      <c r="BO694" s="188">
        <f>IF(AND(Input_Product=Elig!$C694,Elig_MatchAll_Ct&lt;22,$BC694=(Elig_MatchAll_Ct-1),AM694=0),J694,0)</f>
        <v>0</v>
      </c>
      <c r="BP694" s="188">
        <f>IF(AND(Input_Product=Elig!$C694,Elig_MatchAll_Ct&lt;22,$BC694=(Elig_MatchAll_Ct-1),AN694=0),K694,0)</f>
        <v>0</v>
      </c>
      <c r="BQ694" s="188">
        <f>IF(AND(Input_Product=Elig!$C694,Elig_MatchAll_Ct&lt;22,$BC694=(Elig_MatchAll_Ct-1),AP694=0),L694,0)</f>
        <v>0</v>
      </c>
      <c r="BR694" s="188">
        <f>IF(AND(Input_Product=Elig!$C694,Elig_MatchAll_Ct&lt;22,$BC694=(Elig_MatchAll_Ct-1),AO694=0),M694,0)</f>
        <v>0</v>
      </c>
      <c r="BS694" s="188">
        <f>IF(AND(Input_Product=Elig!$C694,Elig_MatchAll_Ct&lt;22,$BC694=(Elig_MatchAll_Ct-1),AQ694=0),N694,0)</f>
        <v>0</v>
      </c>
      <c r="BT694" s="188">
        <f>IF(AND(Input_Product=Elig!$C694,Elig_MatchAll_Ct&lt;22,$BC694=(Elig_MatchAll_Ct-1),AR694=0),O694,0)</f>
        <v>0</v>
      </c>
      <c r="BU694" s="188">
        <f>IF(AND(Input_Product=Elig!$C694,Elig_MatchAll_Ct&lt;22,$BC694=(Elig_MatchAll_Ct-1),AS694=0),P694,0)</f>
        <v>0</v>
      </c>
      <c r="BV694" s="189">
        <f>IF(AND(Input_Product=Elig!$C694,Elig_MatchAll_Ct&lt;22,$BC694=(Elig_MatchAll_Ct-1),AT694=0),Q694,0)</f>
        <v>0</v>
      </c>
      <c r="BW694" s="271">
        <f>IF(AND(Input_Product=Elig!$C694,Elig_MatchAll_Ct&lt;22,$BC694=(Elig_MatchAll_Ct-1),AU694=0),R694,0)</f>
        <v>0</v>
      </c>
      <c r="BX694" s="272">
        <f>IF(AND(Input_Product=Elig!$C694,Elig_MatchAll_Ct&lt;22,$BC694=(Elig_MatchAll_Ct-1),AU694=0),S694,0)</f>
        <v>0</v>
      </c>
      <c r="BY694" s="271">
        <f>IF(AND(Input_Product=Elig!$C694,Elig_MatchAll_Ct&lt;22,$BC694=(Elig_MatchAll_Ct-1),AV694=0),T694,0)</f>
        <v>0</v>
      </c>
      <c r="BZ694" s="272">
        <f>IF(AND(Input_Product=Elig!$C694,Elig_MatchAll_Ct&lt;22,$BC694=(Elig_MatchAll_Ct-1),AV694=0),U694,0)</f>
        <v>0</v>
      </c>
      <c r="CA694" s="271">
        <f>IF(AND(Input_Product=Elig!$C694,Elig_MatchAll_Ct&lt;22,$BC694=(Elig_MatchAll_Ct-1),AW694=0),V694,0)</f>
        <v>0</v>
      </c>
      <c r="CB694" s="272">
        <f>IF(AND(Input_Product=Elig!$C694,Elig_MatchAll_Ct&lt;22,$BC694=(Elig_MatchAll_Ct-1),AW694=0),W694,0)</f>
        <v>0</v>
      </c>
      <c r="CC694" s="271">
        <f>IF(AND(Input_Product=Elig!$C694,Elig_MatchAll_Ct&lt;22,$BC694=(Elig_MatchAll_Ct-1),AX694=0),X694,0)</f>
        <v>0</v>
      </c>
      <c r="CD694" s="272">
        <f>IF(AND(Input_Product=Elig!$C694,Elig_MatchAll_Ct&lt;22,$BC694=(Elig_MatchAll_Ct-1),AX694=0),Y694,0)</f>
        <v>0</v>
      </c>
      <c r="CE694" s="271">
        <f>IF(AND(Input_LTV&lt;=AE694,Input_Product=Elig!$C694,Elig_MatchAll_Ct&lt;22,$BC694=(Elig_MatchAll_Ct-1),AY694=0),Z694,0)</f>
        <v>0</v>
      </c>
      <c r="CF694" s="272">
        <f>IF(AND(Input_LTV&lt;=AE694,Input_Product=Elig!$C694,Elig_MatchAll_Ct&lt;22,$BC694=(Elig_MatchAll_Ct-1),AY694=0),AA694,0)</f>
        <v>0</v>
      </c>
      <c r="CG694" s="271">
        <f>IF(AND(Input_Product=Elig!$C694,Elig_MatchAll_Ct&lt;22,$BC694=(Elig_MatchAll_Ct-1),AZ694=0),AB694,0)</f>
        <v>0</v>
      </c>
      <c r="CH694" s="272">
        <f>IF(AND(Input_Product=Elig!$C694,Elig_MatchAll_Ct&lt;22,$BC694=(Elig_MatchAll_Ct-1),AZ694=0),AC694,0)</f>
        <v>0</v>
      </c>
      <c r="CI694" s="271">
        <f>IF(AND(Input_Product=Elig!$C694,Elig_MatchAll_Ct&lt;22,$BC694=(Elig_MatchAll_Ct-1),BA694=0),AD694,0)</f>
        <v>0</v>
      </c>
      <c r="CJ694" s="272">
        <f>IF(AND(Input_Product=Elig!$C694,Elig_MatchAll_Ct&lt;22,$BC694=(Elig_MatchAll_Ct-1),BA694=0),AE694,0)</f>
        <v>0</v>
      </c>
    </row>
    <row r="695" spans="1:88" ht="10.15" customHeight="1" x14ac:dyDescent="0.25">
      <c r="A695" s="1484" t="s">
        <v>76</v>
      </c>
      <c r="B695" s="1484" t="s">
        <v>1872</v>
      </c>
      <c r="C695" s="1489" t="str">
        <f t="shared" si="242"/>
        <v>Second NOO</v>
      </c>
      <c r="D695" s="1490" t="s">
        <v>1121</v>
      </c>
      <c r="E695" s="1490" t="s">
        <v>98</v>
      </c>
      <c r="F695" s="1490" t="s">
        <v>329</v>
      </c>
      <c r="G695" s="1490" t="s">
        <v>302</v>
      </c>
      <c r="H695" s="1490" t="s">
        <v>135</v>
      </c>
      <c r="I695" s="1488" t="s">
        <v>1141</v>
      </c>
      <c r="J695" s="1488" t="s">
        <v>1130</v>
      </c>
      <c r="K695" s="1490" t="s">
        <v>2464</v>
      </c>
      <c r="L695" s="1488" t="s">
        <v>428</v>
      </c>
      <c r="M695" s="1488" t="s">
        <v>1835</v>
      </c>
      <c r="N695" s="1490" t="s">
        <v>1844</v>
      </c>
      <c r="O695" s="1488" t="s">
        <v>309</v>
      </c>
      <c r="P695" s="1488" t="s">
        <v>2434</v>
      </c>
      <c r="Q695" s="1488" t="s">
        <v>293</v>
      </c>
      <c r="R695" s="1488">
        <v>200000</v>
      </c>
      <c r="S695" s="1488">
        <v>350000</v>
      </c>
      <c r="T695" s="1488">
        <v>0</v>
      </c>
      <c r="U695" s="1488">
        <f t="shared" si="243"/>
        <v>350000</v>
      </c>
      <c r="V695" s="1488">
        <v>0</v>
      </c>
      <c r="W695" s="1488">
        <v>50</v>
      </c>
      <c r="X695" s="1488">
        <v>0</v>
      </c>
      <c r="Y695" s="1488">
        <v>999</v>
      </c>
      <c r="Z695" s="1491">
        <v>720</v>
      </c>
      <c r="AA695" s="1491">
        <v>999</v>
      </c>
      <c r="AB695" s="1491">
        <v>0</v>
      </c>
      <c r="AC695" s="1491">
        <v>999999</v>
      </c>
      <c r="AD695" s="1488">
        <v>0</v>
      </c>
      <c r="AE695" s="1488">
        <v>80</v>
      </c>
      <c r="AF695" s="144">
        <v>1</v>
      </c>
      <c r="AG695" s="145">
        <v>0</v>
      </c>
      <c r="AH695" s="145">
        <v>1</v>
      </c>
      <c r="AI695" s="145">
        <v>1</v>
      </c>
      <c r="AJ695" s="145">
        <v>0</v>
      </c>
      <c r="AK695" s="145">
        <v>1</v>
      </c>
      <c r="AL695" s="145">
        <v>1</v>
      </c>
      <c r="AM695" s="145">
        <v>1</v>
      </c>
      <c r="AN695" s="145">
        <v>1</v>
      </c>
      <c r="AO695" s="145">
        <v>1</v>
      </c>
      <c r="AP695" s="145">
        <v>1</v>
      </c>
      <c r="AQ695" s="145">
        <v>1</v>
      </c>
      <c r="AR695" s="145">
        <v>1</v>
      </c>
      <c r="AS695" s="145">
        <v>1</v>
      </c>
      <c r="AT695" s="145">
        <v>1</v>
      </c>
      <c r="AU695" s="145">
        <f t="shared" si="236"/>
        <v>0</v>
      </c>
      <c r="AV695" s="145">
        <f t="shared" si="237"/>
        <v>1</v>
      </c>
      <c r="AW695" s="145">
        <f t="shared" si="238"/>
        <v>1</v>
      </c>
      <c r="AX695" s="145">
        <f t="shared" si="226"/>
        <v>1</v>
      </c>
      <c r="AY695" s="145">
        <f t="shared" si="239"/>
        <v>1</v>
      </c>
      <c r="AZ695" s="145">
        <f t="shared" si="240"/>
        <v>1</v>
      </c>
      <c r="BA695" s="146">
        <f t="shared" si="241"/>
        <v>1</v>
      </c>
      <c r="BB695" s="149">
        <f t="shared" si="228"/>
        <v>19</v>
      </c>
      <c r="BC695" s="150">
        <f t="shared" si="229"/>
        <v>18</v>
      </c>
      <c r="BD695" s="150">
        <f t="shared" si="230"/>
        <v>18</v>
      </c>
      <c r="BE695" s="211" t="str">
        <f t="shared" si="231"/>
        <v/>
      </c>
      <c r="BF695" s="194"/>
      <c r="BG695" s="194"/>
      <c r="BH695" s="190">
        <f>IF(AND(Input_Product=Elig!$C695,Elig_MatchAll_Ct&lt;22,$BC695=(Elig_MatchAll_Ct-1),AF695=0),C695,0)</f>
        <v>0</v>
      </c>
      <c r="BI695" s="190">
        <f>IF(AND(Input_Product=Elig!$C695,Elig_MatchAll_Ct&lt;22,$BC695=(Elig_MatchAll_Ct-1),AG695=0),D695,0)</f>
        <v>0</v>
      </c>
      <c r="BJ695" s="190">
        <f>IF(AND(Input_Product=Elig!$C695,Elig_MatchAll_Ct&lt;22,$BC695=(Elig_MatchAll_Ct-1),AH695=0),E695,0)</f>
        <v>0</v>
      </c>
      <c r="BK695" s="190">
        <f>IF(AND(Input_Product=Elig!$C695,Elig_MatchAll_Ct&lt;22,$BC695=(Elig_MatchAll_Ct-1),AI695=0),F695,0)</f>
        <v>0</v>
      </c>
      <c r="BL695" s="190">
        <f>IF(AND(Input_Product=Elig!$C695,Elig_MatchAll_Ct&lt;22,$BC695=(Elig_MatchAll_Ct-1),AJ695=0),G695,0)</f>
        <v>0</v>
      </c>
      <c r="BM695" s="190">
        <f>IF(AND(Input_Product=Elig!$C695,Elig_MatchAll_Ct&lt;22,$BC695=(Elig_MatchAll_Ct-1),AK695=0),H695,0)</f>
        <v>0</v>
      </c>
      <c r="BN695" s="190">
        <f>IF(AND(Input_Product=Elig!$C695,Elig_MatchAll_Ct&lt;22,$BC695=(Elig_MatchAll_Ct-1),AL695=0),I695,0)</f>
        <v>0</v>
      </c>
      <c r="BO695" s="190">
        <f>IF(AND(Input_Product=Elig!$C695,Elig_MatchAll_Ct&lt;22,$BC695=(Elig_MatchAll_Ct-1),AM695=0),J695,0)</f>
        <v>0</v>
      </c>
      <c r="BP695" s="190">
        <f>IF(AND(Input_Product=Elig!$C695,Elig_MatchAll_Ct&lt;22,$BC695=(Elig_MatchAll_Ct-1),AN695=0),K695,0)</f>
        <v>0</v>
      </c>
      <c r="BQ695" s="190">
        <f>IF(AND(Input_Product=Elig!$C695,Elig_MatchAll_Ct&lt;22,$BC695=(Elig_MatchAll_Ct-1),AP695=0),L695,0)</f>
        <v>0</v>
      </c>
      <c r="BR695" s="190">
        <f>IF(AND(Input_Product=Elig!$C695,Elig_MatchAll_Ct&lt;22,$BC695=(Elig_MatchAll_Ct-1),AO695=0),M695,0)</f>
        <v>0</v>
      </c>
      <c r="BS695" s="190">
        <f>IF(AND(Input_Product=Elig!$C695,Elig_MatchAll_Ct&lt;22,$BC695=(Elig_MatchAll_Ct-1),AQ695=0),N695,0)</f>
        <v>0</v>
      </c>
      <c r="BT695" s="190">
        <f>IF(AND(Input_Product=Elig!$C695,Elig_MatchAll_Ct&lt;22,$BC695=(Elig_MatchAll_Ct-1),AR695=0),O695,0)</f>
        <v>0</v>
      </c>
      <c r="BU695" s="190">
        <f>IF(AND(Input_Product=Elig!$C695,Elig_MatchAll_Ct&lt;22,$BC695=(Elig_MatchAll_Ct-1),AS695=0),P695,0)</f>
        <v>0</v>
      </c>
      <c r="BV695" s="191">
        <f>IF(AND(Input_Product=Elig!$C695,Elig_MatchAll_Ct&lt;22,$BC695=(Elig_MatchAll_Ct-1),AT695=0),Q695,0)</f>
        <v>0</v>
      </c>
      <c r="BW695" s="273">
        <f>IF(AND(Input_Product=Elig!$C695,Elig_MatchAll_Ct&lt;22,$BC695=(Elig_MatchAll_Ct-1),AU695=0),R695,0)</f>
        <v>0</v>
      </c>
      <c r="BX695" s="274">
        <f>IF(AND(Input_Product=Elig!$C695,Elig_MatchAll_Ct&lt;22,$BC695=(Elig_MatchAll_Ct-1),AU695=0),S695,0)</f>
        <v>0</v>
      </c>
      <c r="BY695" s="273">
        <f>IF(AND(Input_Product=Elig!$C695,Elig_MatchAll_Ct&lt;22,$BC695=(Elig_MatchAll_Ct-1),AV695=0),T695,0)</f>
        <v>0</v>
      </c>
      <c r="BZ695" s="274">
        <f>IF(AND(Input_Product=Elig!$C695,Elig_MatchAll_Ct&lt;22,$BC695=(Elig_MatchAll_Ct-1),AV695=0),U695,0)</f>
        <v>0</v>
      </c>
      <c r="CA695" s="273">
        <f>IF(AND(Input_Product=Elig!$C695,Elig_MatchAll_Ct&lt;22,$BC695=(Elig_MatchAll_Ct-1),AW695=0),V695,0)</f>
        <v>0</v>
      </c>
      <c r="CB695" s="274">
        <f>IF(AND(Input_Product=Elig!$C695,Elig_MatchAll_Ct&lt;22,$BC695=(Elig_MatchAll_Ct-1),AW695=0),W695,0)</f>
        <v>0</v>
      </c>
      <c r="CC695" s="273">
        <f>IF(AND(Input_Product=Elig!$C695,Elig_MatchAll_Ct&lt;22,$BC695=(Elig_MatchAll_Ct-1),AX695=0),X695,0)</f>
        <v>0</v>
      </c>
      <c r="CD695" s="274">
        <f>IF(AND(Input_Product=Elig!$C695,Elig_MatchAll_Ct&lt;22,$BC695=(Elig_MatchAll_Ct-1),AX695=0),Y695,0)</f>
        <v>0</v>
      </c>
      <c r="CE695" s="273">
        <f>IF(AND(Input_LTV&lt;=AE695,Input_Product=Elig!$C695,Elig_MatchAll_Ct&lt;22,$BC695=(Elig_MatchAll_Ct-1),AY695=0),Z695,0)</f>
        <v>0</v>
      </c>
      <c r="CF695" s="274">
        <f>IF(AND(Input_LTV&lt;=AE695,Input_Product=Elig!$C695,Elig_MatchAll_Ct&lt;22,$BC695=(Elig_MatchAll_Ct-1),AY695=0),AA695,0)</f>
        <v>0</v>
      </c>
      <c r="CG695" s="273">
        <f>IF(AND(Input_Product=Elig!$C695,Elig_MatchAll_Ct&lt;22,$BC695=(Elig_MatchAll_Ct-1),AZ695=0),AB695,0)</f>
        <v>0</v>
      </c>
      <c r="CH695" s="274">
        <f>IF(AND(Input_Product=Elig!$C695,Elig_MatchAll_Ct&lt;22,$BC695=(Elig_MatchAll_Ct-1),AZ695=0),AC695,0)</f>
        <v>0</v>
      </c>
      <c r="CI695" s="273">
        <f>IF(AND(Input_Product=Elig!$C695,Elig_MatchAll_Ct&lt;22,$BC695=(Elig_MatchAll_Ct-1),BA695=0),AD695,0)</f>
        <v>0</v>
      </c>
      <c r="CJ695" s="274">
        <f>IF(AND(Input_Product=Elig!$C695,Elig_MatchAll_Ct&lt;22,$BC695=(Elig_MatchAll_Ct-1),BA695=0),AE695,0)</f>
        <v>0</v>
      </c>
    </row>
    <row r="696" spans="1:88" ht="10.15" customHeight="1" x14ac:dyDescent="0.25">
      <c r="A696" s="1484" t="s">
        <v>76</v>
      </c>
      <c r="B696" s="1484" t="s">
        <v>1873</v>
      </c>
      <c r="C696" s="1485" t="str">
        <f t="shared" si="242"/>
        <v>Second NOO</v>
      </c>
      <c r="D696" s="1484" t="s">
        <v>1121</v>
      </c>
      <c r="E696" s="1484" t="s">
        <v>98</v>
      </c>
      <c r="F696" s="1484" t="s">
        <v>329</v>
      </c>
      <c r="G696" s="1486" t="s">
        <v>302</v>
      </c>
      <c r="H696" s="1486" t="s">
        <v>135</v>
      </c>
      <c r="I696" s="1484" t="s">
        <v>1141</v>
      </c>
      <c r="J696" s="1484" t="s">
        <v>1130</v>
      </c>
      <c r="K696" s="1486" t="s">
        <v>2464</v>
      </c>
      <c r="L696" s="1484" t="s">
        <v>428</v>
      </c>
      <c r="M696" s="1484" t="s">
        <v>1835</v>
      </c>
      <c r="N696" s="1486" t="s">
        <v>1844</v>
      </c>
      <c r="O696" s="1484" t="s">
        <v>309</v>
      </c>
      <c r="P696" s="1484" t="s">
        <v>2434</v>
      </c>
      <c r="Q696" s="1484" t="s">
        <v>293</v>
      </c>
      <c r="R696" s="1484">
        <v>200000</v>
      </c>
      <c r="S696" s="1484">
        <v>350000</v>
      </c>
      <c r="T696" s="1484">
        <v>0</v>
      </c>
      <c r="U696" s="1484">
        <f t="shared" si="243"/>
        <v>350000</v>
      </c>
      <c r="V696" s="1484">
        <v>0</v>
      </c>
      <c r="W696" s="1484">
        <v>50</v>
      </c>
      <c r="X696" s="1484">
        <v>0</v>
      </c>
      <c r="Y696" s="1484">
        <v>999</v>
      </c>
      <c r="Z696" s="1487">
        <v>700</v>
      </c>
      <c r="AA696" s="1487">
        <v>719</v>
      </c>
      <c r="AB696" s="1487">
        <v>0</v>
      </c>
      <c r="AC696" s="1487">
        <v>999999</v>
      </c>
      <c r="AD696" s="1484">
        <v>0</v>
      </c>
      <c r="AE696" s="1484">
        <v>80</v>
      </c>
      <c r="AF696" s="144">
        <v>1</v>
      </c>
      <c r="AG696" s="145">
        <v>0</v>
      </c>
      <c r="AH696" s="145">
        <v>1</v>
      </c>
      <c r="AI696" s="145">
        <v>1</v>
      </c>
      <c r="AJ696" s="145">
        <v>0</v>
      </c>
      <c r="AK696" s="145">
        <v>1</v>
      </c>
      <c r="AL696" s="145">
        <v>1</v>
      </c>
      <c r="AM696" s="145">
        <v>1</v>
      </c>
      <c r="AN696" s="145">
        <v>1</v>
      </c>
      <c r="AO696" s="145">
        <v>1</v>
      </c>
      <c r="AP696" s="145">
        <v>1</v>
      </c>
      <c r="AQ696" s="145">
        <v>1</v>
      </c>
      <c r="AR696" s="145">
        <v>1</v>
      </c>
      <c r="AS696" s="145">
        <v>1</v>
      </c>
      <c r="AT696" s="145">
        <v>1</v>
      </c>
      <c r="AU696" s="145">
        <f t="shared" si="236"/>
        <v>0</v>
      </c>
      <c r="AV696" s="145">
        <f t="shared" si="237"/>
        <v>1</v>
      </c>
      <c r="AW696" s="145">
        <f t="shared" si="238"/>
        <v>1</v>
      </c>
      <c r="AX696" s="145">
        <f t="shared" si="226"/>
        <v>1</v>
      </c>
      <c r="AY696" s="145">
        <f t="shared" si="239"/>
        <v>0</v>
      </c>
      <c r="AZ696" s="145">
        <f t="shared" si="240"/>
        <v>1</v>
      </c>
      <c r="BA696" s="146">
        <f t="shared" si="241"/>
        <v>1</v>
      </c>
      <c r="BB696" s="149">
        <f t="shared" si="228"/>
        <v>18</v>
      </c>
      <c r="BC696" s="150">
        <f t="shared" si="229"/>
        <v>17</v>
      </c>
      <c r="BD696" s="150">
        <f t="shared" si="230"/>
        <v>17</v>
      </c>
      <c r="BE696" s="211" t="str">
        <f t="shared" si="231"/>
        <v/>
      </c>
      <c r="BF696" s="205"/>
      <c r="BG696" s="205"/>
      <c r="BH696" s="173">
        <f>IF(AND(Input_Product=Elig!$C696,Elig_MatchAll_Ct&lt;22,$BC696=(Elig_MatchAll_Ct-1),AF696=0),C696,0)</f>
        <v>0</v>
      </c>
      <c r="BI696" s="173">
        <f>IF(AND(Input_Product=Elig!$C696,Elig_MatchAll_Ct&lt;22,$BC696=(Elig_MatchAll_Ct-1),AG696=0),D696,0)</f>
        <v>0</v>
      </c>
      <c r="BJ696" s="173">
        <f>IF(AND(Input_Product=Elig!$C696,Elig_MatchAll_Ct&lt;22,$BC696=(Elig_MatchAll_Ct-1),AH696=0),E696,0)</f>
        <v>0</v>
      </c>
      <c r="BK696" s="173">
        <f>IF(AND(Input_Product=Elig!$C696,Elig_MatchAll_Ct&lt;22,$BC696=(Elig_MatchAll_Ct-1),AI696=0),F696,0)</f>
        <v>0</v>
      </c>
      <c r="BL696" s="173">
        <f>IF(AND(Input_Product=Elig!$C696,Elig_MatchAll_Ct&lt;22,$BC696=(Elig_MatchAll_Ct-1),AJ696=0),G696,0)</f>
        <v>0</v>
      </c>
      <c r="BM696" s="173">
        <f>IF(AND(Input_Product=Elig!$C696,Elig_MatchAll_Ct&lt;22,$BC696=(Elig_MatchAll_Ct-1),AK696=0),H696,0)</f>
        <v>0</v>
      </c>
      <c r="BN696" s="173">
        <f>IF(AND(Input_Product=Elig!$C696,Elig_MatchAll_Ct&lt;22,$BC696=(Elig_MatchAll_Ct-1),AL696=0),I696,0)</f>
        <v>0</v>
      </c>
      <c r="BO696" s="173">
        <f>IF(AND(Input_Product=Elig!$C696,Elig_MatchAll_Ct&lt;22,$BC696=(Elig_MatchAll_Ct-1),AM696=0),J696,0)</f>
        <v>0</v>
      </c>
      <c r="BP696" s="173">
        <f>IF(AND(Input_Product=Elig!$C696,Elig_MatchAll_Ct&lt;22,$BC696=(Elig_MatchAll_Ct-1),AN696=0),K696,0)</f>
        <v>0</v>
      </c>
      <c r="BQ696" s="173">
        <f>IF(AND(Input_Product=Elig!$C696,Elig_MatchAll_Ct&lt;22,$BC696=(Elig_MatchAll_Ct-1),AP696=0),L696,0)</f>
        <v>0</v>
      </c>
      <c r="BR696" s="173">
        <f>IF(AND(Input_Product=Elig!$C696,Elig_MatchAll_Ct&lt;22,$BC696=(Elig_MatchAll_Ct-1),AO696=0),M696,0)</f>
        <v>0</v>
      </c>
      <c r="BS696" s="173">
        <f>IF(AND(Input_Product=Elig!$C696,Elig_MatchAll_Ct&lt;22,$BC696=(Elig_MatchAll_Ct-1),AQ696=0),N696,0)</f>
        <v>0</v>
      </c>
      <c r="BT696" s="173">
        <f>IF(AND(Input_Product=Elig!$C696,Elig_MatchAll_Ct&lt;22,$BC696=(Elig_MatchAll_Ct-1),AR696=0),O696,0)</f>
        <v>0</v>
      </c>
      <c r="BU696" s="173">
        <f>IF(AND(Input_Product=Elig!$C696,Elig_MatchAll_Ct&lt;22,$BC696=(Elig_MatchAll_Ct-1),AS696=0),P696,0)</f>
        <v>0</v>
      </c>
      <c r="BV696" s="174">
        <f>IF(AND(Input_Product=Elig!$C696,Elig_MatchAll_Ct&lt;22,$BC696=(Elig_MatchAll_Ct-1),AT696=0),Q696,0)</f>
        <v>0</v>
      </c>
      <c r="BW696" s="175">
        <f>IF(AND(Input_Product=Elig!$C696,Elig_MatchAll_Ct&lt;22,$BC696=(Elig_MatchAll_Ct-1),AU696=0),R696,0)</f>
        <v>0</v>
      </c>
      <c r="BX696" s="176">
        <f>IF(AND(Input_Product=Elig!$C696,Elig_MatchAll_Ct&lt;22,$BC696=(Elig_MatchAll_Ct-1),AU696=0),S696,0)</f>
        <v>0</v>
      </c>
      <c r="BY696" s="175">
        <f>IF(AND(Input_Product=Elig!$C696,Elig_MatchAll_Ct&lt;22,$BC696=(Elig_MatchAll_Ct-1),AV696=0),T696,0)</f>
        <v>0</v>
      </c>
      <c r="BZ696" s="176">
        <f>IF(AND(Input_Product=Elig!$C696,Elig_MatchAll_Ct&lt;22,$BC696=(Elig_MatchAll_Ct-1),AV696=0),U696,0)</f>
        <v>0</v>
      </c>
      <c r="CA696" s="175">
        <f>IF(AND(Input_Product=Elig!$C696,Elig_MatchAll_Ct&lt;22,$BC696=(Elig_MatchAll_Ct-1),AW696=0),V696,0)</f>
        <v>0</v>
      </c>
      <c r="CB696" s="176">
        <f>IF(AND(Input_Product=Elig!$C696,Elig_MatchAll_Ct&lt;22,$BC696=(Elig_MatchAll_Ct-1),AW696=0),W696,0)</f>
        <v>0</v>
      </c>
      <c r="CC696" s="175">
        <f>IF(AND(Input_Product=Elig!$C696,Elig_MatchAll_Ct&lt;22,$BC696=(Elig_MatchAll_Ct-1),AX696=0),X696,0)</f>
        <v>0</v>
      </c>
      <c r="CD696" s="176">
        <f>IF(AND(Input_Product=Elig!$C696,Elig_MatchAll_Ct&lt;22,$BC696=(Elig_MatchAll_Ct-1),AX696=0),Y696,0)</f>
        <v>0</v>
      </c>
      <c r="CE696" s="175">
        <f>IF(AND(Input_LTV&lt;=AE696,Input_Product=Elig!$C696,Elig_MatchAll_Ct&lt;22,$BC696=(Elig_MatchAll_Ct-1),AY696=0),Z696,0)</f>
        <v>0</v>
      </c>
      <c r="CF696" s="176">
        <f>IF(AND(Input_LTV&lt;=AE696,Input_Product=Elig!$C696,Elig_MatchAll_Ct&lt;22,$BC696=(Elig_MatchAll_Ct-1),AY696=0),AA696,0)</f>
        <v>0</v>
      </c>
      <c r="CG696" s="175">
        <f>IF(AND(Input_Product=Elig!$C696,Elig_MatchAll_Ct&lt;22,$BC696=(Elig_MatchAll_Ct-1),AZ696=0),AB696,0)</f>
        <v>0</v>
      </c>
      <c r="CH696" s="176">
        <f>IF(AND(Input_Product=Elig!$C696,Elig_MatchAll_Ct&lt;22,$BC696=(Elig_MatchAll_Ct-1),AZ696=0),AC696,0)</f>
        <v>0</v>
      </c>
      <c r="CI696" s="175">
        <f>IF(AND(Input_Product=Elig!$C696,Elig_MatchAll_Ct&lt;22,$BC696=(Elig_MatchAll_Ct-1),BA696=0),AD696,0)</f>
        <v>0</v>
      </c>
      <c r="CJ696" s="176">
        <f>IF(AND(Input_Product=Elig!$C696,Elig_MatchAll_Ct&lt;22,$BC696=(Elig_MatchAll_Ct-1),BA696=0),AE696,0)</f>
        <v>0</v>
      </c>
    </row>
    <row r="697" spans="1:88" ht="10.15" customHeight="1" x14ac:dyDescent="0.25">
      <c r="A697" s="1484" t="s">
        <v>76</v>
      </c>
      <c r="B697" s="1484" t="s">
        <v>1874</v>
      </c>
      <c r="C697" s="1485" t="str">
        <f t="shared" si="242"/>
        <v>Second NOO</v>
      </c>
      <c r="D697" s="1484" t="s">
        <v>1121</v>
      </c>
      <c r="E697" s="1484" t="s">
        <v>98</v>
      </c>
      <c r="F697" s="1484" t="s">
        <v>329</v>
      </c>
      <c r="G697" s="1486" t="s">
        <v>302</v>
      </c>
      <c r="H697" s="1486" t="s">
        <v>135</v>
      </c>
      <c r="I697" s="1484" t="s">
        <v>1141</v>
      </c>
      <c r="J697" s="1484" t="s">
        <v>1130</v>
      </c>
      <c r="K697" s="1486" t="s">
        <v>2464</v>
      </c>
      <c r="L697" s="1484" t="s">
        <v>428</v>
      </c>
      <c r="M697" s="1484" t="s">
        <v>1835</v>
      </c>
      <c r="N697" s="1486" t="s">
        <v>1844</v>
      </c>
      <c r="O697" s="1484" t="s">
        <v>309</v>
      </c>
      <c r="P697" s="1484" t="s">
        <v>2434</v>
      </c>
      <c r="Q697" s="1484" t="s">
        <v>293</v>
      </c>
      <c r="R697" s="1484">
        <v>200000</v>
      </c>
      <c r="S697" s="1484">
        <v>350000</v>
      </c>
      <c r="T697" s="1484">
        <v>0</v>
      </c>
      <c r="U697" s="1484">
        <f t="shared" si="243"/>
        <v>350000</v>
      </c>
      <c r="V697" s="1484">
        <v>0</v>
      </c>
      <c r="W697" s="1484">
        <v>50</v>
      </c>
      <c r="X697" s="1484">
        <v>0</v>
      </c>
      <c r="Y697" s="1484">
        <v>999</v>
      </c>
      <c r="Z697" s="1487">
        <v>680</v>
      </c>
      <c r="AA697" s="1487">
        <v>699</v>
      </c>
      <c r="AB697" s="1487">
        <v>0</v>
      </c>
      <c r="AC697" s="1487">
        <v>999999</v>
      </c>
      <c r="AD697" s="1484">
        <v>0</v>
      </c>
      <c r="AE697" s="1484">
        <v>75</v>
      </c>
      <c r="AF697" s="144">
        <v>1</v>
      </c>
      <c r="AG697" s="145">
        <v>0</v>
      </c>
      <c r="AH697" s="145">
        <v>1</v>
      </c>
      <c r="AI697" s="145">
        <v>1</v>
      </c>
      <c r="AJ697" s="145">
        <v>0</v>
      </c>
      <c r="AK697" s="145">
        <v>1</v>
      </c>
      <c r="AL697" s="145">
        <v>1</v>
      </c>
      <c r="AM697" s="145">
        <v>1</v>
      </c>
      <c r="AN697" s="145">
        <v>1</v>
      </c>
      <c r="AO697" s="145">
        <v>1</v>
      </c>
      <c r="AP697" s="145">
        <v>1</v>
      </c>
      <c r="AQ697" s="145">
        <v>1</v>
      </c>
      <c r="AR697" s="145">
        <v>1</v>
      </c>
      <c r="AS697" s="145">
        <v>1</v>
      </c>
      <c r="AT697" s="145">
        <v>1</v>
      </c>
      <c r="AU697" s="145">
        <f t="shared" si="236"/>
        <v>0</v>
      </c>
      <c r="AV697" s="145">
        <f t="shared" si="237"/>
        <v>1</v>
      </c>
      <c r="AW697" s="145">
        <f t="shared" si="238"/>
        <v>1</v>
      </c>
      <c r="AX697" s="145">
        <f t="shared" ref="AX697:AX780" si="244">IF(AND(Input_DSCR&gt;=Elig_DSCR_Min,Input_DSCR&lt;=Elig_DSCR_Max),1,0)</f>
        <v>1</v>
      </c>
      <c r="AY697" s="145">
        <f t="shared" si="239"/>
        <v>0</v>
      </c>
      <c r="AZ697" s="145">
        <f t="shared" si="240"/>
        <v>1</v>
      </c>
      <c r="BA697" s="146">
        <f t="shared" si="241"/>
        <v>1</v>
      </c>
      <c r="BB697" s="149">
        <f t="shared" si="228"/>
        <v>18</v>
      </c>
      <c r="BC697" s="150">
        <f t="shared" si="229"/>
        <v>17</v>
      </c>
      <c r="BD697" s="150">
        <f t="shared" si="230"/>
        <v>17</v>
      </c>
      <c r="BE697" s="211" t="str">
        <f t="shared" si="231"/>
        <v/>
      </c>
      <c r="BF697" s="205"/>
      <c r="BG697" s="205"/>
      <c r="BH697" s="173">
        <f>IF(AND(Input_Product=Elig!$C697,Elig_MatchAll_Ct&lt;22,$BC697=(Elig_MatchAll_Ct-1),AF697=0),C697,0)</f>
        <v>0</v>
      </c>
      <c r="BI697" s="173">
        <f>IF(AND(Input_Product=Elig!$C697,Elig_MatchAll_Ct&lt;22,$BC697=(Elig_MatchAll_Ct-1),AG697=0),D697,0)</f>
        <v>0</v>
      </c>
      <c r="BJ697" s="173">
        <f>IF(AND(Input_Product=Elig!$C697,Elig_MatchAll_Ct&lt;22,$BC697=(Elig_MatchAll_Ct-1),AH697=0),E697,0)</f>
        <v>0</v>
      </c>
      <c r="BK697" s="173">
        <f>IF(AND(Input_Product=Elig!$C697,Elig_MatchAll_Ct&lt;22,$BC697=(Elig_MatchAll_Ct-1),AI697=0),F697,0)</f>
        <v>0</v>
      </c>
      <c r="BL697" s="173">
        <f>IF(AND(Input_Product=Elig!$C697,Elig_MatchAll_Ct&lt;22,$BC697=(Elig_MatchAll_Ct-1),AJ697=0),G697,0)</f>
        <v>0</v>
      </c>
      <c r="BM697" s="173">
        <f>IF(AND(Input_Product=Elig!$C697,Elig_MatchAll_Ct&lt;22,$BC697=(Elig_MatchAll_Ct-1),AK697=0),H697,0)</f>
        <v>0</v>
      </c>
      <c r="BN697" s="173">
        <f>IF(AND(Input_Product=Elig!$C697,Elig_MatchAll_Ct&lt;22,$BC697=(Elig_MatchAll_Ct-1),AL697=0),I697,0)</f>
        <v>0</v>
      </c>
      <c r="BO697" s="173">
        <f>IF(AND(Input_Product=Elig!$C697,Elig_MatchAll_Ct&lt;22,$BC697=(Elig_MatchAll_Ct-1),AM697=0),J697,0)</f>
        <v>0</v>
      </c>
      <c r="BP697" s="173">
        <f>IF(AND(Input_Product=Elig!$C697,Elig_MatchAll_Ct&lt;22,$BC697=(Elig_MatchAll_Ct-1),AN697=0),K697,0)</f>
        <v>0</v>
      </c>
      <c r="BQ697" s="173">
        <f>IF(AND(Input_Product=Elig!$C697,Elig_MatchAll_Ct&lt;22,$BC697=(Elig_MatchAll_Ct-1),AP697=0),L697,0)</f>
        <v>0</v>
      </c>
      <c r="BR697" s="173">
        <f>IF(AND(Input_Product=Elig!$C697,Elig_MatchAll_Ct&lt;22,$BC697=(Elig_MatchAll_Ct-1),AO697=0),M697,0)</f>
        <v>0</v>
      </c>
      <c r="BS697" s="173">
        <f>IF(AND(Input_Product=Elig!$C697,Elig_MatchAll_Ct&lt;22,$BC697=(Elig_MatchAll_Ct-1),AQ697=0),N697,0)</f>
        <v>0</v>
      </c>
      <c r="BT697" s="173">
        <f>IF(AND(Input_Product=Elig!$C697,Elig_MatchAll_Ct&lt;22,$BC697=(Elig_MatchAll_Ct-1),AR697=0),O697,0)</f>
        <v>0</v>
      </c>
      <c r="BU697" s="173">
        <f>IF(AND(Input_Product=Elig!$C697,Elig_MatchAll_Ct&lt;22,$BC697=(Elig_MatchAll_Ct-1),AS697=0),P697,0)</f>
        <v>0</v>
      </c>
      <c r="BV697" s="174">
        <f>IF(AND(Input_Product=Elig!$C697,Elig_MatchAll_Ct&lt;22,$BC697=(Elig_MatchAll_Ct-1),AT697=0),Q697,0)</f>
        <v>0</v>
      </c>
      <c r="BW697" s="175">
        <f>IF(AND(Input_Product=Elig!$C697,Elig_MatchAll_Ct&lt;22,$BC697=(Elig_MatchAll_Ct-1),AU697=0),R697,0)</f>
        <v>0</v>
      </c>
      <c r="BX697" s="176">
        <f>IF(AND(Input_Product=Elig!$C697,Elig_MatchAll_Ct&lt;22,$BC697=(Elig_MatchAll_Ct-1),AU697=0),S697,0)</f>
        <v>0</v>
      </c>
      <c r="BY697" s="175">
        <f>IF(AND(Input_Product=Elig!$C697,Elig_MatchAll_Ct&lt;22,$BC697=(Elig_MatchAll_Ct-1),AV697=0),T697,0)</f>
        <v>0</v>
      </c>
      <c r="BZ697" s="176">
        <f>IF(AND(Input_Product=Elig!$C697,Elig_MatchAll_Ct&lt;22,$BC697=(Elig_MatchAll_Ct-1),AV697=0),U697,0)</f>
        <v>0</v>
      </c>
      <c r="CA697" s="175">
        <f>IF(AND(Input_Product=Elig!$C697,Elig_MatchAll_Ct&lt;22,$BC697=(Elig_MatchAll_Ct-1),AW697=0),V697,0)</f>
        <v>0</v>
      </c>
      <c r="CB697" s="176">
        <f>IF(AND(Input_Product=Elig!$C697,Elig_MatchAll_Ct&lt;22,$BC697=(Elig_MatchAll_Ct-1),AW697=0),W697,0)</f>
        <v>0</v>
      </c>
      <c r="CC697" s="175">
        <f>IF(AND(Input_Product=Elig!$C697,Elig_MatchAll_Ct&lt;22,$BC697=(Elig_MatchAll_Ct-1),AX697=0),X697,0)</f>
        <v>0</v>
      </c>
      <c r="CD697" s="176">
        <f>IF(AND(Input_Product=Elig!$C697,Elig_MatchAll_Ct&lt;22,$BC697=(Elig_MatchAll_Ct-1),AX697=0),Y697,0)</f>
        <v>0</v>
      </c>
      <c r="CE697" s="175">
        <f>IF(AND(Input_LTV&lt;=AE697,Input_Product=Elig!$C697,Elig_MatchAll_Ct&lt;22,$BC697=(Elig_MatchAll_Ct-1),AY697=0),Z697,0)</f>
        <v>0</v>
      </c>
      <c r="CF697" s="176">
        <f>IF(AND(Input_LTV&lt;=AE697,Input_Product=Elig!$C697,Elig_MatchAll_Ct&lt;22,$BC697=(Elig_MatchAll_Ct-1),AY697=0),AA697,0)</f>
        <v>0</v>
      </c>
      <c r="CG697" s="175">
        <f>IF(AND(Input_Product=Elig!$C697,Elig_MatchAll_Ct&lt;22,$BC697=(Elig_MatchAll_Ct-1),AZ697=0),AB697,0)</f>
        <v>0</v>
      </c>
      <c r="CH697" s="176">
        <f>IF(AND(Input_Product=Elig!$C697,Elig_MatchAll_Ct&lt;22,$BC697=(Elig_MatchAll_Ct-1),AZ697=0),AC697,0)</f>
        <v>0</v>
      </c>
      <c r="CI697" s="175">
        <f>IF(AND(Input_Product=Elig!$C697,Elig_MatchAll_Ct&lt;22,$BC697=(Elig_MatchAll_Ct-1),BA697=0),AD697,0)</f>
        <v>0</v>
      </c>
      <c r="CJ697" s="176">
        <f>IF(AND(Input_Product=Elig!$C697,Elig_MatchAll_Ct&lt;22,$BC697=(Elig_MatchAll_Ct-1),BA697=0),AE697,0)</f>
        <v>0</v>
      </c>
    </row>
    <row r="698" spans="1:88" ht="10.15" customHeight="1" x14ac:dyDescent="0.25">
      <c r="A698" s="1484" t="s">
        <v>76</v>
      </c>
      <c r="B698" s="1484" t="s">
        <v>1875</v>
      </c>
      <c r="C698" s="1485" t="str">
        <f t="shared" si="242"/>
        <v>Second NOO</v>
      </c>
      <c r="D698" s="1484" t="s">
        <v>1121</v>
      </c>
      <c r="E698" s="1484" t="s">
        <v>98</v>
      </c>
      <c r="F698" s="1484" t="s">
        <v>329</v>
      </c>
      <c r="G698" s="1486" t="s">
        <v>302</v>
      </c>
      <c r="H698" s="1486" t="s">
        <v>135</v>
      </c>
      <c r="I698" s="1484" t="s">
        <v>1141</v>
      </c>
      <c r="J698" s="1484" t="s">
        <v>1130</v>
      </c>
      <c r="K698" s="1486" t="s">
        <v>2464</v>
      </c>
      <c r="L698" s="1484" t="s">
        <v>428</v>
      </c>
      <c r="M698" s="1484" t="s">
        <v>1835</v>
      </c>
      <c r="N698" s="1486" t="s">
        <v>1844</v>
      </c>
      <c r="O698" s="1484" t="s">
        <v>309</v>
      </c>
      <c r="P698" s="1484" t="s">
        <v>2434</v>
      </c>
      <c r="Q698" s="1484" t="s">
        <v>293</v>
      </c>
      <c r="R698" s="1484">
        <v>200000</v>
      </c>
      <c r="S698" s="1484">
        <v>350000</v>
      </c>
      <c r="T698" s="1484">
        <v>0</v>
      </c>
      <c r="U698" s="1484">
        <f t="shared" si="243"/>
        <v>350000</v>
      </c>
      <c r="V698" s="1484">
        <v>0</v>
      </c>
      <c r="W698" s="1484">
        <v>50</v>
      </c>
      <c r="X698" s="1484">
        <v>0</v>
      </c>
      <c r="Y698" s="1484">
        <v>999</v>
      </c>
      <c r="Z698" s="1487">
        <v>660</v>
      </c>
      <c r="AA698" s="1487">
        <v>679</v>
      </c>
      <c r="AB698" s="1487">
        <v>0</v>
      </c>
      <c r="AC698" s="1487">
        <v>999999</v>
      </c>
      <c r="AD698" s="1484">
        <v>0</v>
      </c>
      <c r="AE698" s="1484">
        <v>70</v>
      </c>
      <c r="AF698" s="144">
        <v>1</v>
      </c>
      <c r="AG698" s="145">
        <v>0</v>
      </c>
      <c r="AH698" s="145">
        <v>1</v>
      </c>
      <c r="AI698" s="145">
        <v>1</v>
      </c>
      <c r="AJ698" s="145">
        <v>0</v>
      </c>
      <c r="AK698" s="145">
        <v>1</v>
      </c>
      <c r="AL698" s="145">
        <v>1</v>
      </c>
      <c r="AM698" s="145">
        <v>1</v>
      </c>
      <c r="AN698" s="145">
        <v>1</v>
      </c>
      <c r="AO698" s="145">
        <v>1</v>
      </c>
      <c r="AP698" s="145">
        <v>1</v>
      </c>
      <c r="AQ698" s="145">
        <v>1</v>
      </c>
      <c r="AR698" s="145">
        <v>1</v>
      </c>
      <c r="AS698" s="145">
        <v>1</v>
      </c>
      <c r="AT698" s="145">
        <v>1</v>
      </c>
      <c r="AU698" s="145">
        <f t="shared" si="236"/>
        <v>0</v>
      </c>
      <c r="AV698" s="145">
        <f t="shared" si="237"/>
        <v>1</v>
      </c>
      <c r="AW698" s="145">
        <f t="shared" si="238"/>
        <v>1</v>
      </c>
      <c r="AX698" s="145">
        <f t="shared" si="244"/>
        <v>1</v>
      </c>
      <c r="AY698" s="145">
        <f t="shared" si="239"/>
        <v>0</v>
      </c>
      <c r="AZ698" s="145">
        <f t="shared" si="240"/>
        <v>1</v>
      </c>
      <c r="BA698" s="146">
        <f t="shared" si="241"/>
        <v>1</v>
      </c>
      <c r="BB698" s="149">
        <f t="shared" si="228"/>
        <v>18</v>
      </c>
      <c r="BC698" s="150">
        <f t="shared" si="229"/>
        <v>17</v>
      </c>
      <c r="BD698" s="150">
        <f t="shared" si="230"/>
        <v>17</v>
      </c>
      <c r="BE698" s="211" t="str">
        <f t="shared" si="231"/>
        <v/>
      </c>
      <c r="BF698" s="205"/>
      <c r="BG698" s="205"/>
      <c r="BH698" s="188">
        <f>IF(AND(Input_Product=Elig!$C698,Elig_MatchAll_Ct&lt;22,$BC698=(Elig_MatchAll_Ct-1),AF698=0),C698,0)</f>
        <v>0</v>
      </c>
      <c r="BI698" s="188">
        <f>IF(AND(Input_Product=Elig!$C698,Elig_MatchAll_Ct&lt;22,$BC698=(Elig_MatchAll_Ct-1),AG698=0),D698,0)</f>
        <v>0</v>
      </c>
      <c r="BJ698" s="188">
        <f>IF(AND(Input_Product=Elig!$C698,Elig_MatchAll_Ct&lt;22,$BC698=(Elig_MatchAll_Ct-1),AH698=0),E698,0)</f>
        <v>0</v>
      </c>
      <c r="BK698" s="188">
        <f>IF(AND(Input_Product=Elig!$C698,Elig_MatchAll_Ct&lt;22,$BC698=(Elig_MatchAll_Ct-1),AI698=0),F698,0)</f>
        <v>0</v>
      </c>
      <c r="BL698" s="188">
        <f>IF(AND(Input_Product=Elig!$C698,Elig_MatchAll_Ct&lt;22,$BC698=(Elig_MatchAll_Ct-1),AJ698=0),G698,0)</f>
        <v>0</v>
      </c>
      <c r="BM698" s="188">
        <f>IF(AND(Input_Product=Elig!$C698,Elig_MatchAll_Ct&lt;22,$BC698=(Elig_MatchAll_Ct-1),AK698=0),H698,0)</f>
        <v>0</v>
      </c>
      <c r="BN698" s="188">
        <f>IF(AND(Input_Product=Elig!$C698,Elig_MatchAll_Ct&lt;22,$BC698=(Elig_MatchAll_Ct-1),AL698=0),I698,0)</f>
        <v>0</v>
      </c>
      <c r="BO698" s="188">
        <f>IF(AND(Input_Product=Elig!$C698,Elig_MatchAll_Ct&lt;22,$BC698=(Elig_MatchAll_Ct-1),AM698=0),J698,0)</f>
        <v>0</v>
      </c>
      <c r="BP698" s="188">
        <f>IF(AND(Input_Product=Elig!$C698,Elig_MatchAll_Ct&lt;22,$BC698=(Elig_MatchAll_Ct-1),AN698=0),K698,0)</f>
        <v>0</v>
      </c>
      <c r="BQ698" s="188">
        <f>IF(AND(Input_Product=Elig!$C698,Elig_MatchAll_Ct&lt;22,$BC698=(Elig_MatchAll_Ct-1),AP698=0),L698,0)</f>
        <v>0</v>
      </c>
      <c r="BR698" s="188">
        <f>IF(AND(Input_Product=Elig!$C698,Elig_MatchAll_Ct&lt;22,$BC698=(Elig_MatchAll_Ct-1),AO698=0),M698,0)</f>
        <v>0</v>
      </c>
      <c r="BS698" s="188">
        <f>IF(AND(Input_Product=Elig!$C698,Elig_MatchAll_Ct&lt;22,$BC698=(Elig_MatchAll_Ct-1),AQ698=0),N698,0)</f>
        <v>0</v>
      </c>
      <c r="BT698" s="188">
        <f>IF(AND(Input_Product=Elig!$C698,Elig_MatchAll_Ct&lt;22,$BC698=(Elig_MatchAll_Ct-1),AR698=0),O698,0)</f>
        <v>0</v>
      </c>
      <c r="BU698" s="188">
        <f>IF(AND(Input_Product=Elig!$C698,Elig_MatchAll_Ct&lt;22,$BC698=(Elig_MatchAll_Ct-1),AS698=0),P698,0)</f>
        <v>0</v>
      </c>
      <c r="BV698" s="189">
        <f>IF(AND(Input_Product=Elig!$C698,Elig_MatchAll_Ct&lt;22,$BC698=(Elig_MatchAll_Ct-1),AT698=0),Q698,0)</f>
        <v>0</v>
      </c>
      <c r="BW698" s="271">
        <f>IF(AND(Input_Product=Elig!$C698,Elig_MatchAll_Ct&lt;22,$BC698=(Elig_MatchAll_Ct-1),AU698=0),R698,0)</f>
        <v>0</v>
      </c>
      <c r="BX698" s="272">
        <f>IF(AND(Input_Product=Elig!$C698,Elig_MatchAll_Ct&lt;22,$BC698=(Elig_MatchAll_Ct-1),AU698=0),S698,0)</f>
        <v>0</v>
      </c>
      <c r="BY698" s="271">
        <f>IF(AND(Input_Product=Elig!$C698,Elig_MatchAll_Ct&lt;22,$BC698=(Elig_MatchAll_Ct-1),AV698=0),T698,0)</f>
        <v>0</v>
      </c>
      <c r="BZ698" s="272">
        <f>IF(AND(Input_Product=Elig!$C698,Elig_MatchAll_Ct&lt;22,$BC698=(Elig_MatchAll_Ct-1),AV698=0),U698,0)</f>
        <v>0</v>
      </c>
      <c r="CA698" s="271">
        <f>IF(AND(Input_Product=Elig!$C698,Elig_MatchAll_Ct&lt;22,$BC698=(Elig_MatchAll_Ct-1),AW698=0),V698,0)</f>
        <v>0</v>
      </c>
      <c r="CB698" s="272">
        <f>IF(AND(Input_Product=Elig!$C698,Elig_MatchAll_Ct&lt;22,$BC698=(Elig_MatchAll_Ct-1),AW698=0),W698,0)</f>
        <v>0</v>
      </c>
      <c r="CC698" s="271">
        <f>IF(AND(Input_Product=Elig!$C698,Elig_MatchAll_Ct&lt;22,$BC698=(Elig_MatchAll_Ct-1),AX698=0),X698,0)</f>
        <v>0</v>
      </c>
      <c r="CD698" s="272">
        <f>IF(AND(Input_Product=Elig!$C698,Elig_MatchAll_Ct&lt;22,$BC698=(Elig_MatchAll_Ct-1),AX698=0),Y698,0)</f>
        <v>0</v>
      </c>
      <c r="CE698" s="271">
        <f>IF(AND(Input_LTV&lt;=AE698,Input_Product=Elig!$C698,Elig_MatchAll_Ct&lt;22,$BC698=(Elig_MatchAll_Ct-1),AY698=0),Z698,0)</f>
        <v>0</v>
      </c>
      <c r="CF698" s="272">
        <f>IF(AND(Input_LTV&lt;=AE698,Input_Product=Elig!$C698,Elig_MatchAll_Ct&lt;22,$BC698=(Elig_MatchAll_Ct-1),AY698=0),AA698,0)</f>
        <v>0</v>
      </c>
      <c r="CG698" s="271">
        <f>IF(AND(Input_Product=Elig!$C698,Elig_MatchAll_Ct&lt;22,$BC698=(Elig_MatchAll_Ct-1),AZ698=0),AB698,0)</f>
        <v>0</v>
      </c>
      <c r="CH698" s="272">
        <f>IF(AND(Input_Product=Elig!$C698,Elig_MatchAll_Ct&lt;22,$BC698=(Elig_MatchAll_Ct-1),AZ698=0),AC698,0)</f>
        <v>0</v>
      </c>
      <c r="CI698" s="271">
        <f>IF(AND(Input_Product=Elig!$C698,Elig_MatchAll_Ct&lt;22,$BC698=(Elig_MatchAll_Ct-1),BA698=0),AD698,0)</f>
        <v>0</v>
      </c>
      <c r="CJ698" s="272">
        <f>IF(AND(Input_Product=Elig!$C698,Elig_MatchAll_Ct&lt;22,$BC698=(Elig_MatchAll_Ct-1),BA698=0),AE698,0)</f>
        <v>0</v>
      </c>
    </row>
    <row r="699" spans="1:88" ht="10.15" customHeight="1" x14ac:dyDescent="0.25">
      <c r="A699" s="1484" t="s">
        <v>76</v>
      </c>
      <c r="B699" s="1484" t="s">
        <v>1876</v>
      </c>
      <c r="C699" s="1489" t="str">
        <f t="shared" si="242"/>
        <v>Second NOO</v>
      </c>
      <c r="D699" s="1490" t="s">
        <v>1331</v>
      </c>
      <c r="E699" s="1490" t="s">
        <v>98</v>
      </c>
      <c r="F699" s="1490" t="s">
        <v>329</v>
      </c>
      <c r="G699" s="1537" t="s">
        <v>174</v>
      </c>
      <c r="H699" s="1490" t="s">
        <v>444</v>
      </c>
      <c r="I699" s="1488" t="s">
        <v>1141</v>
      </c>
      <c r="J699" s="1488" t="s">
        <v>1130</v>
      </c>
      <c r="K699" s="1490" t="s">
        <v>2464</v>
      </c>
      <c r="L699" s="1488" t="s">
        <v>428</v>
      </c>
      <c r="M699" s="1488" t="s">
        <v>1835</v>
      </c>
      <c r="N699" s="1490" t="s">
        <v>1844</v>
      </c>
      <c r="O699" s="1488" t="s">
        <v>309</v>
      </c>
      <c r="P699" s="1488" t="s">
        <v>2434</v>
      </c>
      <c r="Q699" s="1488" t="s">
        <v>293</v>
      </c>
      <c r="R699" s="1488">
        <v>50000</v>
      </c>
      <c r="S699" s="1488">
        <v>350000</v>
      </c>
      <c r="T699" s="1488">
        <v>0</v>
      </c>
      <c r="U699" s="1488">
        <f t="shared" si="243"/>
        <v>350000</v>
      </c>
      <c r="V699" s="1488">
        <v>0</v>
      </c>
      <c r="W699" s="1488">
        <v>50</v>
      </c>
      <c r="X699" s="1488">
        <v>0</v>
      </c>
      <c r="Y699" s="1488">
        <v>999</v>
      </c>
      <c r="Z699" s="1491">
        <v>720</v>
      </c>
      <c r="AA699" s="1491">
        <v>999</v>
      </c>
      <c r="AB699" s="1491">
        <v>0</v>
      </c>
      <c r="AC699" s="1491">
        <v>999999</v>
      </c>
      <c r="AD699" s="1488">
        <v>0</v>
      </c>
      <c r="AE699" s="1542">
        <v>80</v>
      </c>
      <c r="AF699" s="144">
        <v>1</v>
      </c>
      <c r="AG699" s="145">
        <v>1</v>
      </c>
      <c r="AH699" s="145">
        <v>1</v>
      </c>
      <c r="AI699" s="145">
        <v>1</v>
      </c>
      <c r="AJ699" s="145">
        <v>0</v>
      </c>
      <c r="AK699" s="145">
        <v>0</v>
      </c>
      <c r="AL699" s="145">
        <v>1</v>
      </c>
      <c r="AM699" s="145">
        <v>1</v>
      </c>
      <c r="AN699" s="145">
        <v>1</v>
      </c>
      <c r="AO699" s="145">
        <v>1</v>
      </c>
      <c r="AP699" s="145">
        <v>1</v>
      </c>
      <c r="AQ699" s="145">
        <v>1</v>
      </c>
      <c r="AR699" s="145">
        <v>1</v>
      </c>
      <c r="AS699" s="145">
        <v>1</v>
      </c>
      <c r="AT699" s="145">
        <v>1</v>
      </c>
      <c r="AU699" s="145">
        <f t="shared" si="236"/>
        <v>1</v>
      </c>
      <c r="AV699" s="145">
        <f t="shared" si="237"/>
        <v>1</v>
      </c>
      <c r="AW699" s="145">
        <f t="shared" si="238"/>
        <v>1</v>
      </c>
      <c r="AX699" s="145">
        <f t="shared" si="244"/>
        <v>1</v>
      </c>
      <c r="AY699" s="145">
        <f t="shared" si="239"/>
        <v>1</v>
      </c>
      <c r="AZ699" s="145">
        <f t="shared" si="240"/>
        <v>1</v>
      </c>
      <c r="BA699" s="146">
        <f t="shared" si="241"/>
        <v>1</v>
      </c>
      <c r="BB699" s="149">
        <f t="shared" si="228"/>
        <v>20</v>
      </c>
      <c r="BC699" s="150">
        <f t="shared" si="229"/>
        <v>19</v>
      </c>
      <c r="BD699" s="150">
        <f t="shared" si="230"/>
        <v>19</v>
      </c>
      <c r="BE699" s="211" t="str">
        <f t="shared" si="231"/>
        <v/>
      </c>
      <c r="BF699" s="194"/>
      <c r="BG699" s="194"/>
      <c r="BH699" s="190">
        <f>IF(AND(Input_Product=Elig!$C699,Elig_MatchAll_Ct&lt;22,$BC699=(Elig_MatchAll_Ct-1),AF699=0),C699,0)</f>
        <v>0</v>
      </c>
      <c r="BI699" s="190">
        <f>IF(AND(Input_Product=Elig!$C699,Elig_MatchAll_Ct&lt;22,$BC699=(Elig_MatchAll_Ct-1),AG699=0),D699,0)</f>
        <v>0</v>
      </c>
      <c r="BJ699" s="190">
        <f>IF(AND(Input_Product=Elig!$C699,Elig_MatchAll_Ct&lt;22,$BC699=(Elig_MatchAll_Ct-1),AH699=0),E699,0)</f>
        <v>0</v>
      </c>
      <c r="BK699" s="190">
        <f>IF(AND(Input_Product=Elig!$C699,Elig_MatchAll_Ct&lt;22,$BC699=(Elig_MatchAll_Ct-1),AI699=0),F699,0)</f>
        <v>0</v>
      </c>
      <c r="BL699" s="190">
        <f>IF(AND(Input_Product=Elig!$C699,Elig_MatchAll_Ct&lt;22,$BC699=(Elig_MatchAll_Ct-1),AJ699=0),G699,0)</f>
        <v>0</v>
      </c>
      <c r="BM699" s="190">
        <f>IF(AND(Input_Product=Elig!$C699,Elig_MatchAll_Ct&lt;22,$BC699=(Elig_MatchAll_Ct-1),AK699=0),H699,0)</f>
        <v>0</v>
      </c>
      <c r="BN699" s="190">
        <f>IF(AND(Input_Product=Elig!$C699,Elig_MatchAll_Ct&lt;22,$BC699=(Elig_MatchAll_Ct-1),AL699=0),I699,0)</f>
        <v>0</v>
      </c>
      <c r="BO699" s="190">
        <f>IF(AND(Input_Product=Elig!$C699,Elig_MatchAll_Ct&lt;22,$BC699=(Elig_MatchAll_Ct-1),AM699=0),J699,0)</f>
        <v>0</v>
      </c>
      <c r="BP699" s="190">
        <f>IF(AND(Input_Product=Elig!$C699,Elig_MatchAll_Ct&lt;22,$BC699=(Elig_MatchAll_Ct-1),AN699=0),K699,0)</f>
        <v>0</v>
      </c>
      <c r="BQ699" s="190">
        <f>IF(AND(Input_Product=Elig!$C699,Elig_MatchAll_Ct&lt;22,$BC699=(Elig_MatchAll_Ct-1),AP699=0),L699,0)</f>
        <v>0</v>
      </c>
      <c r="BR699" s="190">
        <f>IF(AND(Input_Product=Elig!$C699,Elig_MatchAll_Ct&lt;22,$BC699=(Elig_MatchAll_Ct-1),AO699=0),M699,0)</f>
        <v>0</v>
      </c>
      <c r="BS699" s="190">
        <f>IF(AND(Input_Product=Elig!$C699,Elig_MatchAll_Ct&lt;22,$BC699=(Elig_MatchAll_Ct-1),AQ699=0),N699,0)</f>
        <v>0</v>
      </c>
      <c r="BT699" s="190">
        <f>IF(AND(Input_Product=Elig!$C699,Elig_MatchAll_Ct&lt;22,$BC699=(Elig_MatchAll_Ct-1),AR699=0),O699,0)</f>
        <v>0</v>
      </c>
      <c r="BU699" s="190">
        <f>IF(AND(Input_Product=Elig!$C699,Elig_MatchAll_Ct&lt;22,$BC699=(Elig_MatchAll_Ct-1),AS699=0),P699,0)</f>
        <v>0</v>
      </c>
      <c r="BV699" s="191">
        <f>IF(AND(Input_Product=Elig!$C699,Elig_MatchAll_Ct&lt;22,$BC699=(Elig_MatchAll_Ct-1),AT699=0),Q699,0)</f>
        <v>0</v>
      </c>
      <c r="BW699" s="273">
        <f>IF(AND(Input_Product=Elig!$C699,Elig_MatchAll_Ct&lt;22,$BC699=(Elig_MatchAll_Ct-1),AU699=0),R699,0)</f>
        <v>0</v>
      </c>
      <c r="BX699" s="274">
        <f>IF(AND(Input_Product=Elig!$C699,Elig_MatchAll_Ct&lt;22,$BC699=(Elig_MatchAll_Ct-1),AU699=0),S699,0)</f>
        <v>0</v>
      </c>
      <c r="BY699" s="273">
        <f>IF(AND(Input_Product=Elig!$C699,Elig_MatchAll_Ct&lt;22,$BC699=(Elig_MatchAll_Ct-1),AV699=0),T699,0)</f>
        <v>0</v>
      </c>
      <c r="BZ699" s="274">
        <f>IF(AND(Input_Product=Elig!$C699,Elig_MatchAll_Ct&lt;22,$BC699=(Elig_MatchAll_Ct-1),AV699=0),U699,0)</f>
        <v>0</v>
      </c>
      <c r="CA699" s="273">
        <f>IF(AND(Input_Product=Elig!$C699,Elig_MatchAll_Ct&lt;22,$BC699=(Elig_MatchAll_Ct-1),AW699=0),V699,0)</f>
        <v>0</v>
      </c>
      <c r="CB699" s="274">
        <f>IF(AND(Input_Product=Elig!$C699,Elig_MatchAll_Ct&lt;22,$BC699=(Elig_MatchAll_Ct-1),AW699=0),W699,0)</f>
        <v>0</v>
      </c>
      <c r="CC699" s="273">
        <f>IF(AND(Input_Product=Elig!$C699,Elig_MatchAll_Ct&lt;22,$BC699=(Elig_MatchAll_Ct-1),AX699=0),X699,0)</f>
        <v>0</v>
      </c>
      <c r="CD699" s="274">
        <f>IF(AND(Input_Product=Elig!$C699,Elig_MatchAll_Ct&lt;22,$BC699=(Elig_MatchAll_Ct-1),AX699=0),Y699,0)</f>
        <v>0</v>
      </c>
      <c r="CE699" s="273">
        <f>IF(AND(Input_LTV&lt;=AE699,Input_Product=Elig!$C699,Elig_MatchAll_Ct&lt;22,$BC699=(Elig_MatchAll_Ct-1),AY699=0),Z699,0)</f>
        <v>0</v>
      </c>
      <c r="CF699" s="274">
        <f>IF(AND(Input_LTV&lt;=AE699,Input_Product=Elig!$C699,Elig_MatchAll_Ct&lt;22,$BC699=(Elig_MatchAll_Ct-1),AY699=0),AA699,0)</f>
        <v>0</v>
      </c>
      <c r="CG699" s="273">
        <f>IF(AND(Input_Product=Elig!$C699,Elig_MatchAll_Ct&lt;22,$BC699=(Elig_MatchAll_Ct-1),AZ699=0),AB699,0)</f>
        <v>0</v>
      </c>
      <c r="CH699" s="274">
        <f>IF(AND(Input_Product=Elig!$C699,Elig_MatchAll_Ct&lt;22,$BC699=(Elig_MatchAll_Ct-1),AZ699=0),AC699,0)</f>
        <v>0</v>
      </c>
      <c r="CI699" s="273">
        <f>IF(AND(Input_Product=Elig!$C699,Elig_MatchAll_Ct&lt;22,$BC699=(Elig_MatchAll_Ct-1),BA699=0),AD699,0)</f>
        <v>0</v>
      </c>
      <c r="CJ699" s="274">
        <f>IF(AND(Input_Product=Elig!$C699,Elig_MatchAll_Ct&lt;22,$BC699=(Elig_MatchAll_Ct-1),BA699=0),AE699,0)</f>
        <v>0</v>
      </c>
    </row>
    <row r="700" spans="1:88" ht="10.15" customHeight="1" x14ac:dyDescent="0.25">
      <c r="A700" s="1484" t="s">
        <v>76</v>
      </c>
      <c r="B700" s="1484" t="s">
        <v>1877</v>
      </c>
      <c r="C700" s="1485" t="str">
        <f t="shared" si="242"/>
        <v>Second NOO</v>
      </c>
      <c r="D700" s="1484" t="s">
        <v>1331</v>
      </c>
      <c r="E700" s="1484" t="s">
        <v>98</v>
      </c>
      <c r="F700" s="1484" t="s">
        <v>329</v>
      </c>
      <c r="G700" s="1544" t="s">
        <v>174</v>
      </c>
      <c r="H700" s="1486" t="s">
        <v>444</v>
      </c>
      <c r="I700" s="1484" t="s">
        <v>1141</v>
      </c>
      <c r="J700" s="1484" t="s">
        <v>1130</v>
      </c>
      <c r="K700" s="1486" t="s">
        <v>2464</v>
      </c>
      <c r="L700" s="1484" t="s">
        <v>428</v>
      </c>
      <c r="M700" s="1484" t="s">
        <v>1835</v>
      </c>
      <c r="N700" s="1486" t="s">
        <v>1844</v>
      </c>
      <c r="O700" s="1484" t="s">
        <v>309</v>
      </c>
      <c r="P700" s="1484" t="s">
        <v>2434</v>
      </c>
      <c r="Q700" s="1484" t="s">
        <v>293</v>
      </c>
      <c r="R700" s="1484">
        <v>50000</v>
      </c>
      <c r="S700" s="1484">
        <v>350000</v>
      </c>
      <c r="T700" s="1484">
        <v>0</v>
      </c>
      <c r="U700" s="1484">
        <f t="shared" si="243"/>
        <v>350000</v>
      </c>
      <c r="V700" s="1484">
        <v>0</v>
      </c>
      <c r="W700" s="1484">
        <v>50</v>
      </c>
      <c r="X700" s="1484">
        <v>0</v>
      </c>
      <c r="Y700" s="1484">
        <v>999</v>
      </c>
      <c r="Z700" s="1487">
        <v>700</v>
      </c>
      <c r="AA700" s="1487">
        <v>719</v>
      </c>
      <c r="AB700" s="1487">
        <v>0</v>
      </c>
      <c r="AC700" s="1487">
        <v>999999</v>
      </c>
      <c r="AD700" s="1484">
        <v>0</v>
      </c>
      <c r="AE700" s="1543">
        <v>75</v>
      </c>
      <c r="AF700" s="144">
        <v>1</v>
      </c>
      <c r="AG700" s="145">
        <v>1</v>
      </c>
      <c r="AH700" s="145">
        <v>1</v>
      </c>
      <c r="AI700" s="145">
        <v>1</v>
      </c>
      <c r="AJ700" s="145">
        <v>0</v>
      </c>
      <c r="AK700" s="145">
        <v>0</v>
      </c>
      <c r="AL700" s="145">
        <v>1</v>
      </c>
      <c r="AM700" s="145">
        <v>1</v>
      </c>
      <c r="AN700" s="145">
        <v>1</v>
      </c>
      <c r="AO700" s="145">
        <v>1</v>
      </c>
      <c r="AP700" s="145">
        <v>1</v>
      </c>
      <c r="AQ700" s="145">
        <v>1</v>
      </c>
      <c r="AR700" s="145">
        <v>1</v>
      </c>
      <c r="AS700" s="145">
        <v>1</v>
      </c>
      <c r="AT700" s="145">
        <v>1</v>
      </c>
      <c r="AU700" s="145">
        <f t="shared" si="236"/>
        <v>1</v>
      </c>
      <c r="AV700" s="145">
        <f t="shared" si="237"/>
        <v>1</v>
      </c>
      <c r="AW700" s="145">
        <f t="shared" si="238"/>
        <v>1</v>
      </c>
      <c r="AX700" s="145">
        <f t="shared" si="244"/>
        <v>1</v>
      </c>
      <c r="AY700" s="145">
        <f t="shared" si="239"/>
        <v>0</v>
      </c>
      <c r="AZ700" s="145">
        <f t="shared" si="240"/>
        <v>1</v>
      </c>
      <c r="BA700" s="146">
        <f t="shared" si="241"/>
        <v>1</v>
      </c>
      <c r="BB700" s="149">
        <f t="shared" si="228"/>
        <v>19</v>
      </c>
      <c r="BC700" s="150">
        <f t="shared" si="229"/>
        <v>18</v>
      </c>
      <c r="BD700" s="150">
        <f t="shared" si="230"/>
        <v>18</v>
      </c>
      <c r="BE700" s="211" t="str">
        <f t="shared" si="231"/>
        <v/>
      </c>
      <c r="BF700" s="205"/>
      <c r="BG700" s="205"/>
      <c r="BH700" s="173">
        <f>IF(AND(Input_Product=Elig!$C700,Elig_MatchAll_Ct&lt;22,$BC700=(Elig_MatchAll_Ct-1),AF700=0),C700,0)</f>
        <v>0</v>
      </c>
      <c r="BI700" s="173">
        <f>IF(AND(Input_Product=Elig!$C700,Elig_MatchAll_Ct&lt;22,$BC700=(Elig_MatchAll_Ct-1),AG700=0),D700,0)</f>
        <v>0</v>
      </c>
      <c r="BJ700" s="173">
        <f>IF(AND(Input_Product=Elig!$C700,Elig_MatchAll_Ct&lt;22,$BC700=(Elig_MatchAll_Ct-1),AH700=0),E700,0)</f>
        <v>0</v>
      </c>
      <c r="BK700" s="173">
        <f>IF(AND(Input_Product=Elig!$C700,Elig_MatchAll_Ct&lt;22,$BC700=(Elig_MatchAll_Ct-1),AI700=0),F700,0)</f>
        <v>0</v>
      </c>
      <c r="BL700" s="173">
        <f>IF(AND(Input_Product=Elig!$C700,Elig_MatchAll_Ct&lt;22,$BC700=(Elig_MatchAll_Ct-1),AJ700=0),G700,0)</f>
        <v>0</v>
      </c>
      <c r="BM700" s="173">
        <f>IF(AND(Input_Product=Elig!$C700,Elig_MatchAll_Ct&lt;22,$BC700=(Elig_MatchAll_Ct-1),AK700=0),H700,0)</f>
        <v>0</v>
      </c>
      <c r="BN700" s="173">
        <f>IF(AND(Input_Product=Elig!$C700,Elig_MatchAll_Ct&lt;22,$BC700=(Elig_MatchAll_Ct-1),AL700=0),I700,0)</f>
        <v>0</v>
      </c>
      <c r="BO700" s="173">
        <f>IF(AND(Input_Product=Elig!$C700,Elig_MatchAll_Ct&lt;22,$BC700=(Elig_MatchAll_Ct-1),AM700=0),J700,0)</f>
        <v>0</v>
      </c>
      <c r="BP700" s="173">
        <f>IF(AND(Input_Product=Elig!$C700,Elig_MatchAll_Ct&lt;22,$BC700=(Elig_MatchAll_Ct-1),AN700=0),K700,0)</f>
        <v>0</v>
      </c>
      <c r="BQ700" s="173">
        <f>IF(AND(Input_Product=Elig!$C700,Elig_MatchAll_Ct&lt;22,$BC700=(Elig_MatchAll_Ct-1),AP700=0),L700,0)</f>
        <v>0</v>
      </c>
      <c r="BR700" s="173">
        <f>IF(AND(Input_Product=Elig!$C700,Elig_MatchAll_Ct&lt;22,$BC700=(Elig_MatchAll_Ct-1),AO700=0),M700,0)</f>
        <v>0</v>
      </c>
      <c r="BS700" s="173">
        <f>IF(AND(Input_Product=Elig!$C700,Elig_MatchAll_Ct&lt;22,$BC700=(Elig_MatchAll_Ct-1),AQ700=0),N700,0)</f>
        <v>0</v>
      </c>
      <c r="BT700" s="173">
        <f>IF(AND(Input_Product=Elig!$C700,Elig_MatchAll_Ct&lt;22,$BC700=(Elig_MatchAll_Ct-1),AR700=0),O700,0)</f>
        <v>0</v>
      </c>
      <c r="BU700" s="173">
        <f>IF(AND(Input_Product=Elig!$C700,Elig_MatchAll_Ct&lt;22,$BC700=(Elig_MatchAll_Ct-1),AS700=0),P700,0)</f>
        <v>0</v>
      </c>
      <c r="BV700" s="174">
        <f>IF(AND(Input_Product=Elig!$C700,Elig_MatchAll_Ct&lt;22,$BC700=(Elig_MatchAll_Ct-1),AT700=0),Q700,0)</f>
        <v>0</v>
      </c>
      <c r="BW700" s="175">
        <f>IF(AND(Input_Product=Elig!$C700,Elig_MatchAll_Ct&lt;22,$BC700=(Elig_MatchAll_Ct-1),AU700=0),R700,0)</f>
        <v>0</v>
      </c>
      <c r="BX700" s="176">
        <f>IF(AND(Input_Product=Elig!$C700,Elig_MatchAll_Ct&lt;22,$BC700=(Elig_MatchAll_Ct-1),AU700=0),S700,0)</f>
        <v>0</v>
      </c>
      <c r="BY700" s="175">
        <f>IF(AND(Input_Product=Elig!$C700,Elig_MatchAll_Ct&lt;22,$BC700=(Elig_MatchAll_Ct-1),AV700=0),T700,0)</f>
        <v>0</v>
      </c>
      <c r="BZ700" s="176">
        <f>IF(AND(Input_Product=Elig!$C700,Elig_MatchAll_Ct&lt;22,$BC700=(Elig_MatchAll_Ct-1),AV700=0),U700,0)</f>
        <v>0</v>
      </c>
      <c r="CA700" s="175">
        <f>IF(AND(Input_Product=Elig!$C700,Elig_MatchAll_Ct&lt;22,$BC700=(Elig_MatchAll_Ct-1),AW700=0),V700,0)</f>
        <v>0</v>
      </c>
      <c r="CB700" s="176">
        <f>IF(AND(Input_Product=Elig!$C700,Elig_MatchAll_Ct&lt;22,$BC700=(Elig_MatchAll_Ct-1),AW700=0),W700,0)</f>
        <v>0</v>
      </c>
      <c r="CC700" s="175">
        <f>IF(AND(Input_Product=Elig!$C700,Elig_MatchAll_Ct&lt;22,$BC700=(Elig_MatchAll_Ct-1),AX700=0),X700,0)</f>
        <v>0</v>
      </c>
      <c r="CD700" s="176">
        <f>IF(AND(Input_Product=Elig!$C700,Elig_MatchAll_Ct&lt;22,$BC700=(Elig_MatchAll_Ct-1),AX700=0),Y700,0)</f>
        <v>0</v>
      </c>
      <c r="CE700" s="175">
        <f>IF(AND(Input_LTV&lt;=AE700,Input_Product=Elig!$C700,Elig_MatchAll_Ct&lt;22,$BC700=(Elig_MatchAll_Ct-1),AY700=0),Z700,0)</f>
        <v>0</v>
      </c>
      <c r="CF700" s="176">
        <f>IF(AND(Input_LTV&lt;=AE700,Input_Product=Elig!$C700,Elig_MatchAll_Ct&lt;22,$BC700=(Elig_MatchAll_Ct-1),AY700=0),AA700,0)</f>
        <v>0</v>
      </c>
      <c r="CG700" s="175">
        <f>IF(AND(Input_Product=Elig!$C700,Elig_MatchAll_Ct&lt;22,$BC700=(Elig_MatchAll_Ct-1),AZ700=0),AB700,0)</f>
        <v>0</v>
      </c>
      <c r="CH700" s="176">
        <f>IF(AND(Input_Product=Elig!$C700,Elig_MatchAll_Ct&lt;22,$BC700=(Elig_MatchAll_Ct-1),AZ700=0),AC700,0)</f>
        <v>0</v>
      </c>
      <c r="CI700" s="175">
        <f>IF(AND(Input_Product=Elig!$C700,Elig_MatchAll_Ct&lt;22,$BC700=(Elig_MatchAll_Ct-1),BA700=0),AD700,0)</f>
        <v>0</v>
      </c>
      <c r="CJ700" s="176">
        <f>IF(AND(Input_Product=Elig!$C700,Elig_MatchAll_Ct&lt;22,$BC700=(Elig_MatchAll_Ct-1),BA700=0),AE700,0)</f>
        <v>0</v>
      </c>
    </row>
    <row r="701" spans="1:88" ht="10.15" customHeight="1" x14ac:dyDescent="0.25">
      <c r="A701" s="1484" t="s">
        <v>76</v>
      </c>
      <c r="B701" s="1484" t="s">
        <v>1878</v>
      </c>
      <c r="C701" s="1485" t="str">
        <f t="shared" si="242"/>
        <v>Second NOO</v>
      </c>
      <c r="D701" s="1484" t="s">
        <v>1331</v>
      </c>
      <c r="E701" s="1484" t="s">
        <v>98</v>
      </c>
      <c r="F701" s="1484" t="s">
        <v>329</v>
      </c>
      <c r="G701" s="1544" t="s">
        <v>174</v>
      </c>
      <c r="H701" s="1486" t="s">
        <v>444</v>
      </c>
      <c r="I701" s="1484" t="s">
        <v>1141</v>
      </c>
      <c r="J701" s="1484" t="s">
        <v>1130</v>
      </c>
      <c r="K701" s="1486" t="s">
        <v>2464</v>
      </c>
      <c r="L701" s="1484" t="s">
        <v>428</v>
      </c>
      <c r="M701" s="1484" t="s">
        <v>1835</v>
      </c>
      <c r="N701" s="1486" t="s">
        <v>1844</v>
      </c>
      <c r="O701" s="1484" t="s">
        <v>309</v>
      </c>
      <c r="P701" s="1484" t="s">
        <v>2434</v>
      </c>
      <c r="Q701" s="1484" t="s">
        <v>293</v>
      </c>
      <c r="R701" s="1484">
        <v>50000</v>
      </c>
      <c r="S701" s="1484">
        <v>350000</v>
      </c>
      <c r="T701" s="1484">
        <v>0</v>
      </c>
      <c r="U701" s="1484">
        <f t="shared" si="243"/>
        <v>350000</v>
      </c>
      <c r="V701" s="1484">
        <v>0</v>
      </c>
      <c r="W701" s="1484">
        <v>50</v>
      </c>
      <c r="X701" s="1484">
        <v>0</v>
      </c>
      <c r="Y701" s="1484">
        <v>999</v>
      </c>
      <c r="Z701" s="1487">
        <v>680</v>
      </c>
      <c r="AA701" s="1487">
        <v>699</v>
      </c>
      <c r="AB701" s="1487">
        <v>0</v>
      </c>
      <c r="AC701" s="1487">
        <v>999999</v>
      </c>
      <c r="AD701" s="1484">
        <v>0</v>
      </c>
      <c r="AE701" s="1543">
        <v>70</v>
      </c>
      <c r="AF701" s="144">
        <v>1</v>
      </c>
      <c r="AG701" s="145">
        <v>1</v>
      </c>
      <c r="AH701" s="145">
        <v>1</v>
      </c>
      <c r="AI701" s="145">
        <v>1</v>
      </c>
      <c r="AJ701" s="145">
        <v>0</v>
      </c>
      <c r="AK701" s="145">
        <v>0</v>
      </c>
      <c r="AL701" s="145">
        <v>1</v>
      </c>
      <c r="AM701" s="145">
        <v>1</v>
      </c>
      <c r="AN701" s="145">
        <v>1</v>
      </c>
      <c r="AO701" s="145">
        <v>1</v>
      </c>
      <c r="AP701" s="145">
        <v>1</v>
      </c>
      <c r="AQ701" s="145">
        <v>1</v>
      </c>
      <c r="AR701" s="145">
        <v>1</v>
      </c>
      <c r="AS701" s="145">
        <v>1</v>
      </c>
      <c r="AT701" s="145">
        <v>1</v>
      </c>
      <c r="AU701" s="145">
        <f t="shared" si="236"/>
        <v>1</v>
      </c>
      <c r="AV701" s="145">
        <f t="shared" si="237"/>
        <v>1</v>
      </c>
      <c r="AW701" s="145">
        <f t="shared" si="238"/>
        <v>1</v>
      </c>
      <c r="AX701" s="145">
        <f t="shared" si="244"/>
        <v>1</v>
      </c>
      <c r="AY701" s="145">
        <f t="shared" si="239"/>
        <v>0</v>
      </c>
      <c r="AZ701" s="145">
        <f t="shared" si="240"/>
        <v>1</v>
      </c>
      <c r="BA701" s="146">
        <f t="shared" si="241"/>
        <v>1</v>
      </c>
      <c r="BB701" s="149">
        <f t="shared" si="228"/>
        <v>19</v>
      </c>
      <c r="BC701" s="150">
        <f t="shared" si="229"/>
        <v>18</v>
      </c>
      <c r="BD701" s="150">
        <f t="shared" si="230"/>
        <v>18</v>
      </c>
      <c r="BE701" s="211" t="str">
        <f t="shared" si="231"/>
        <v/>
      </c>
      <c r="BF701" s="205"/>
      <c r="BG701" s="205"/>
      <c r="BH701" s="173">
        <f>IF(AND(Input_Product=Elig!$C701,Elig_MatchAll_Ct&lt;22,$BC701=(Elig_MatchAll_Ct-1),AF701=0),C701,0)</f>
        <v>0</v>
      </c>
      <c r="BI701" s="173">
        <f>IF(AND(Input_Product=Elig!$C701,Elig_MatchAll_Ct&lt;22,$BC701=(Elig_MatchAll_Ct-1),AG701=0),D701,0)</f>
        <v>0</v>
      </c>
      <c r="BJ701" s="173">
        <f>IF(AND(Input_Product=Elig!$C701,Elig_MatchAll_Ct&lt;22,$BC701=(Elig_MatchAll_Ct-1),AH701=0),E701,0)</f>
        <v>0</v>
      </c>
      <c r="BK701" s="173">
        <f>IF(AND(Input_Product=Elig!$C701,Elig_MatchAll_Ct&lt;22,$BC701=(Elig_MatchAll_Ct-1),AI701=0),F701,0)</f>
        <v>0</v>
      </c>
      <c r="BL701" s="173">
        <f>IF(AND(Input_Product=Elig!$C701,Elig_MatchAll_Ct&lt;22,$BC701=(Elig_MatchAll_Ct-1),AJ701=0),G701,0)</f>
        <v>0</v>
      </c>
      <c r="BM701" s="173">
        <f>IF(AND(Input_Product=Elig!$C701,Elig_MatchAll_Ct&lt;22,$BC701=(Elig_MatchAll_Ct-1),AK701=0),H701,0)</f>
        <v>0</v>
      </c>
      <c r="BN701" s="173">
        <f>IF(AND(Input_Product=Elig!$C701,Elig_MatchAll_Ct&lt;22,$BC701=(Elig_MatchAll_Ct-1),AL701=0),I701,0)</f>
        <v>0</v>
      </c>
      <c r="BO701" s="173">
        <f>IF(AND(Input_Product=Elig!$C701,Elig_MatchAll_Ct&lt;22,$BC701=(Elig_MatchAll_Ct-1),AM701=0),J701,0)</f>
        <v>0</v>
      </c>
      <c r="BP701" s="173">
        <f>IF(AND(Input_Product=Elig!$C701,Elig_MatchAll_Ct&lt;22,$BC701=(Elig_MatchAll_Ct-1),AN701=0),K701,0)</f>
        <v>0</v>
      </c>
      <c r="BQ701" s="173">
        <f>IF(AND(Input_Product=Elig!$C701,Elig_MatchAll_Ct&lt;22,$BC701=(Elig_MatchAll_Ct-1),AP701=0),L701,0)</f>
        <v>0</v>
      </c>
      <c r="BR701" s="173">
        <f>IF(AND(Input_Product=Elig!$C701,Elig_MatchAll_Ct&lt;22,$BC701=(Elig_MatchAll_Ct-1),AO701=0),M701,0)</f>
        <v>0</v>
      </c>
      <c r="BS701" s="173">
        <f>IF(AND(Input_Product=Elig!$C701,Elig_MatchAll_Ct&lt;22,$BC701=(Elig_MatchAll_Ct-1),AQ701=0),N701,0)</f>
        <v>0</v>
      </c>
      <c r="BT701" s="173">
        <f>IF(AND(Input_Product=Elig!$C701,Elig_MatchAll_Ct&lt;22,$BC701=(Elig_MatchAll_Ct-1),AR701=0),O701,0)</f>
        <v>0</v>
      </c>
      <c r="BU701" s="173">
        <f>IF(AND(Input_Product=Elig!$C701,Elig_MatchAll_Ct&lt;22,$BC701=(Elig_MatchAll_Ct-1),AS701=0),P701,0)</f>
        <v>0</v>
      </c>
      <c r="BV701" s="174">
        <f>IF(AND(Input_Product=Elig!$C701,Elig_MatchAll_Ct&lt;22,$BC701=(Elig_MatchAll_Ct-1),AT701=0),Q701,0)</f>
        <v>0</v>
      </c>
      <c r="BW701" s="175">
        <f>IF(AND(Input_Product=Elig!$C701,Elig_MatchAll_Ct&lt;22,$BC701=(Elig_MatchAll_Ct-1),AU701=0),R701,0)</f>
        <v>0</v>
      </c>
      <c r="BX701" s="176">
        <f>IF(AND(Input_Product=Elig!$C701,Elig_MatchAll_Ct&lt;22,$BC701=(Elig_MatchAll_Ct-1),AU701=0),S701,0)</f>
        <v>0</v>
      </c>
      <c r="BY701" s="175">
        <f>IF(AND(Input_Product=Elig!$C701,Elig_MatchAll_Ct&lt;22,$BC701=(Elig_MatchAll_Ct-1),AV701=0),T701,0)</f>
        <v>0</v>
      </c>
      <c r="BZ701" s="176">
        <f>IF(AND(Input_Product=Elig!$C701,Elig_MatchAll_Ct&lt;22,$BC701=(Elig_MatchAll_Ct-1),AV701=0),U701,0)</f>
        <v>0</v>
      </c>
      <c r="CA701" s="175">
        <f>IF(AND(Input_Product=Elig!$C701,Elig_MatchAll_Ct&lt;22,$BC701=(Elig_MatchAll_Ct-1),AW701=0),V701,0)</f>
        <v>0</v>
      </c>
      <c r="CB701" s="176">
        <f>IF(AND(Input_Product=Elig!$C701,Elig_MatchAll_Ct&lt;22,$BC701=(Elig_MatchAll_Ct-1),AW701=0),W701,0)</f>
        <v>0</v>
      </c>
      <c r="CC701" s="175">
        <f>IF(AND(Input_Product=Elig!$C701,Elig_MatchAll_Ct&lt;22,$BC701=(Elig_MatchAll_Ct-1),AX701=0),X701,0)</f>
        <v>0</v>
      </c>
      <c r="CD701" s="176">
        <f>IF(AND(Input_Product=Elig!$C701,Elig_MatchAll_Ct&lt;22,$BC701=(Elig_MatchAll_Ct-1),AX701=0),Y701,0)</f>
        <v>0</v>
      </c>
      <c r="CE701" s="175">
        <f>IF(AND(Input_LTV&lt;=AE701,Input_Product=Elig!$C701,Elig_MatchAll_Ct&lt;22,$BC701=(Elig_MatchAll_Ct-1),AY701=0),Z701,0)</f>
        <v>0</v>
      </c>
      <c r="CF701" s="176">
        <f>IF(AND(Input_LTV&lt;=AE701,Input_Product=Elig!$C701,Elig_MatchAll_Ct&lt;22,$BC701=(Elig_MatchAll_Ct-1),AY701=0),AA701,0)</f>
        <v>0</v>
      </c>
      <c r="CG701" s="175">
        <f>IF(AND(Input_Product=Elig!$C701,Elig_MatchAll_Ct&lt;22,$BC701=(Elig_MatchAll_Ct-1),AZ701=0),AB701,0)</f>
        <v>0</v>
      </c>
      <c r="CH701" s="176">
        <f>IF(AND(Input_Product=Elig!$C701,Elig_MatchAll_Ct&lt;22,$BC701=(Elig_MatchAll_Ct-1),AZ701=0),AC701,0)</f>
        <v>0</v>
      </c>
      <c r="CI701" s="175">
        <f>IF(AND(Input_Product=Elig!$C701,Elig_MatchAll_Ct&lt;22,$BC701=(Elig_MatchAll_Ct-1),BA701=0),AD701,0)</f>
        <v>0</v>
      </c>
      <c r="CJ701" s="176">
        <f>IF(AND(Input_Product=Elig!$C701,Elig_MatchAll_Ct&lt;22,$BC701=(Elig_MatchAll_Ct-1),BA701=0),AE701,0)</f>
        <v>0</v>
      </c>
    </row>
    <row r="702" spans="1:88" ht="10.15" customHeight="1" x14ac:dyDescent="0.25">
      <c r="A702" s="1484" t="s">
        <v>76</v>
      </c>
      <c r="B702" s="1484" t="s">
        <v>1879</v>
      </c>
      <c r="C702" s="1485" t="str">
        <f t="shared" si="242"/>
        <v>Second NOO</v>
      </c>
      <c r="D702" s="1484" t="s">
        <v>1331</v>
      </c>
      <c r="E702" s="1484" t="s">
        <v>98</v>
      </c>
      <c r="F702" s="1484" t="s">
        <v>329</v>
      </c>
      <c r="G702" s="1545" t="s">
        <v>174</v>
      </c>
      <c r="H702" s="1486" t="s">
        <v>444</v>
      </c>
      <c r="I702" s="1484" t="s">
        <v>1141</v>
      </c>
      <c r="J702" s="1484" t="s">
        <v>1130</v>
      </c>
      <c r="K702" s="1486" t="s">
        <v>2464</v>
      </c>
      <c r="L702" s="1484" t="s">
        <v>428</v>
      </c>
      <c r="M702" s="1484" t="s">
        <v>1835</v>
      </c>
      <c r="N702" s="1486" t="s">
        <v>1844</v>
      </c>
      <c r="O702" s="1484" t="s">
        <v>309</v>
      </c>
      <c r="P702" s="1484" t="s">
        <v>2434</v>
      </c>
      <c r="Q702" s="1484" t="s">
        <v>293</v>
      </c>
      <c r="R702" s="1484">
        <v>50000</v>
      </c>
      <c r="S702" s="1484">
        <v>350000</v>
      </c>
      <c r="T702" s="1484">
        <v>0</v>
      </c>
      <c r="U702" s="1484">
        <f t="shared" si="243"/>
        <v>350000</v>
      </c>
      <c r="V702" s="1484">
        <v>0</v>
      </c>
      <c r="W702" s="1484">
        <v>50</v>
      </c>
      <c r="X702" s="1484">
        <v>0</v>
      </c>
      <c r="Y702" s="1484">
        <v>999</v>
      </c>
      <c r="Z702" s="1487">
        <v>660</v>
      </c>
      <c r="AA702" s="1487">
        <v>679</v>
      </c>
      <c r="AB702" s="1487">
        <v>0</v>
      </c>
      <c r="AC702" s="1487">
        <v>999999</v>
      </c>
      <c r="AD702" s="1484">
        <v>0</v>
      </c>
      <c r="AE702" s="1484">
        <v>60</v>
      </c>
      <c r="AF702" s="144">
        <v>1</v>
      </c>
      <c r="AG702" s="145">
        <v>1</v>
      </c>
      <c r="AH702" s="145">
        <v>1</v>
      </c>
      <c r="AI702" s="145">
        <v>1</v>
      </c>
      <c r="AJ702" s="145">
        <v>0</v>
      </c>
      <c r="AK702" s="145">
        <v>0</v>
      </c>
      <c r="AL702" s="145">
        <v>1</v>
      </c>
      <c r="AM702" s="145">
        <v>1</v>
      </c>
      <c r="AN702" s="145">
        <v>1</v>
      </c>
      <c r="AO702" s="145">
        <v>1</v>
      </c>
      <c r="AP702" s="145">
        <v>1</v>
      </c>
      <c r="AQ702" s="145">
        <v>1</v>
      </c>
      <c r="AR702" s="145">
        <v>1</v>
      </c>
      <c r="AS702" s="145">
        <v>1</v>
      </c>
      <c r="AT702" s="145">
        <v>1</v>
      </c>
      <c r="AU702" s="145">
        <f t="shared" si="236"/>
        <v>1</v>
      </c>
      <c r="AV702" s="145">
        <f t="shared" si="237"/>
        <v>1</v>
      </c>
      <c r="AW702" s="145">
        <f t="shared" si="238"/>
        <v>1</v>
      </c>
      <c r="AX702" s="145">
        <f t="shared" si="244"/>
        <v>1</v>
      </c>
      <c r="AY702" s="145">
        <f t="shared" si="239"/>
        <v>0</v>
      </c>
      <c r="AZ702" s="145">
        <f t="shared" si="240"/>
        <v>1</v>
      </c>
      <c r="BA702" s="146">
        <f t="shared" si="241"/>
        <v>0</v>
      </c>
      <c r="BB702" s="149">
        <f t="shared" ref="BB702:BB744" si="245">SUM(AF702:BA702)</f>
        <v>18</v>
      </c>
      <c r="BC702" s="150">
        <f t="shared" ref="BC702:BC744" si="246">SUM(AF702:AZ702)</f>
        <v>18</v>
      </c>
      <c r="BD702" s="150">
        <f t="shared" ref="BD702:BD744" si="247">SUM(AG702:BA702)</f>
        <v>17</v>
      </c>
      <c r="BE702" s="211" t="str">
        <f t="shared" ref="BE702:BE762" si="248">IF(BD702=21,C702,"")</f>
        <v/>
      </c>
      <c r="BF702" s="205"/>
      <c r="BG702" s="205"/>
      <c r="BH702" s="188">
        <f>IF(AND(Input_Product=Elig!$C702,Elig_MatchAll_Ct&lt;22,$BC702=(Elig_MatchAll_Ct-1),AF702=0),C702,0)</f>
        <v>0</v>
      </c>
      <c r="BI702" s="188">
        <f>IF(AND(Input_Product=Elig!$C702,Elig_MatchAll_Ct&lt;22,$BC702=(Elig_MatchAll_Ct-1),AG702=0),D702,0)</f>
        <v>0</v>
      </c>
      <c r="BJ702" s="188">
        <f>IF(AND(Input_Product=Elig!$C702,Elig_MatchAll_Ct&lt;22,$BC702=(Elig_MatchAll_Ct-1),AH702=0),E702,0)</f>
        <v>0</v>
      </c>
      <c r="BK702" s="188">
        <f>IF(AND(Input_Product=Elig!$C702,Elig_MatchAll_Ct&lt;22,$BC702=(Elig_MatchAll_Ct-1),AI702=0),F702,0)</f>
        <v>0</v>
      </c>
      <c r="BL702" s="188">
        <f>IF(AND(Input_Product=Elig!$C702,Elig_MatchAll_Ct&lt;22,$BC702=(Elig_MatchAll_Ct-1),AJ702=0),G702,0)</f>
        <v>0</v>
      </c>
      <c r="BM702" s="188">
        <f>IF(AND(Input_Product=Elig!$C702,Elig_MatchAll_Ct&lt;22,$BC702=(Elig_MatchAll_Ct-1),AK702=0),H702,0)</f>
        <v>0</v>
      </c>
      <c r="BN702" s="188">
        <f>IF(AND(Input_Product=Elig!$C702,Elig_MatchAll_Ct&lt;22,$BC702=(Elig_MatchAll_Ct-1),AL702=0),I702,0)</f>
        <v>0</v>
      </c>
      <c r="BO702" s="188">
        <f>IF(AND(Input_Product=Elig!$C702,Elig_MatchAll_Ct&lt;22,$BC702=(Elig_MatchAll_Ct-1),AM702=0),J702,0)</f>
        <v>0</v>
      </c>
      <c r="BP702" s="188">
        <f>IF(AND(Input_Product=Elig!$C702,Elig_MatchAll_Ct&lt;22,$BC702=(Elig_MatchAll_Ct-1),AN702=0),K702,0)</f>
        <v>0</v>
      </c>
      <c r="BQ702" s="188">
        <f>IF(AND(Input_Product=Elig!$C702,Elig_MatchAll_Ct&lt;22,$BC702=(Elig_MatchAll_Ct-1),AP702=0),L702,0)</f>
        <v>0</v>
      </c>
      <c r="BR702" s="188">
        <f>IF(AND(Input_Product=Elig!$C702,Elig_MatchAll_Ct&lt;22,$BC702=(Elig_MatchAll_Ct-1),AO702=0),M702,0)</f>
        <v>0</v>
      </c>
      <c r="BS702" s="188">
        <f>IF(AND(Input_Product=Elig!$C702,Elig_MatchAll_Ct&lt;22,$BC702=(Elig_MatchAll_Ct-1),AQ702=0),N702,0)</f>
        <v>0</v>
      </c>
      <c r="BT702" s="188">
        <f>IF(AND(Input_Product=Elig!$C702,Elig_MatchAll_Ct&lt;22,$BC702=(Elig_MatchAll_Ct-1),AR702=0),O702,0)</f>
        <v>0</v>
      </c>
      <c r="BU702" s="188">
        <f>IF(AND(Input_Product=Elig!$C702,Elig_MatchAll_Ct&lt;22,$BC702=(Elig_MatchAll_Ct-1),AS702=0),P702,0)</f>
        <v>0</v>
      </c>
      <c r="BV702" s="189">
        <f>IF(AND(Input_Product=Elig!$C702,Elig_MatchAll_Ct&lt;22,$BC702=(Elig_MatchAll_Ct-1),AT702=0),Q702,0)</f>
        <v>0</v>
      </c>
      <c r="BW702" s="271">
        <f>IF(AND(Input_Product=Elig!$C702,Elig_MatchAll_Ct&lt;22,$BC702=(Elig_MatchAll_Ct-1),AU702=0),R702,0)</f>
        <v>0</v>
      </c>
      <c r="BX702" s="272">
        <f>IF(AND(Input_Product=Elig!$C702,Elig_MatchAll_Ct&lt;22,$BC702=(Elig_MatchAll_Ct-1),AU702=0),S702,0)</f>
        <v>0</v>
      </c>
      <c r="BY702" s="271">
        <f>IF(AND(Input_Product=Elig!$C702,Elig_MatchAll_Ct&lt;22,$BC702=(Elig_MatchAll_Ct-1),AV702=0),T702,0)</f>
        <v>0</v>
      </c>
      <c r="BZ702" s="272">
        <f>IF(AND(Input_Product=Elig!$C702,Elig_MatchAll_Ct&lt;22,$BC702=(Elig_MatchAll_Ct-1),AV702=0),U702,0)</f>
        <v>0</v>
      </c>
      <c r="CA702" s="271">
        <f>IF(AND(Input_Product=Elig!$C702,Elig_MatchAll_Ct&lt;22,$BC702=(Elig_MatchAll_Ct-1),AW702=0),V702,0)</f>
        <v>0</v>
      </c>
      <c r="CB702" s="272">
        <f>IF(AND(Input_Product=Elig!$C702,Elig_MatchAll_Ct&lt;22,$BC702=(Elig_MatchAll_Ct-1),AW702=0),W702,0)</f>
        <v>0</v>
      </c>
      <c r="CC702" s="271">
        <f>IF(AND(Input_Product=Elig!$C702,Elig_MatchAll_Ct&lt;22,$BC702=(Elig_MatchAll_Ct-1),AX702=0),X702,0)</f>
        <v>0</v>
      </c>
      <c r="CD702" s="272">
        <f>IF(AND(Input_Product=Elig!$C702,Elig_MatchAll_Ct&lt;22,$BC702=(Elig_MatchAll_Ct-1),AX702=0),Y702,0)</f>
        <v>0</v>
      </c>
      <c r="CE702" s="271">
        <f>IF(AND(Input_LTV&lt;=AE702,Input_Product=Elig!$C702,Elig_MatchAll_Ct&lt;22,$BC702=(Elig_MatchAll_Ct-1),AY702=0),Z702,0)</f>
        <v>0</v>
      </c>
      <c r="CF702" s="272">
        <f>IF(AND(Input_LTV&lt;=AE702,Input_Product=Elig!$C702,Elig_MatchAll_Ct&lt;22,$BC702=(Elig_MatchAll_Ct-1),AY702=0),AA702,0)</f>
        <v>0</v>
      </c>
      <c r="CG702" s="271">
        <f>IF(AND(Input_Product=Elig!$C702,Elig_MatchAll_Ct&lt;22,$BC702=(Elig_MatchAll_Ct-1),AZ702=0),AB702,0)</f>
        <v>0</v>
      </c>
      <c r="CH702" s="272">
        <f>IF(AND(Input_Product=Elig!$C702,Elig_MatchAll_Ct&lt;22,$BC702=(Elig_MatchAll_Ct-1),AZ702=0),AC702,0)</f>
        <v>0</v>
      </c>
      <c r="CI702" s="271">
        <f>IF(AND(Input_Product=Elig!$C702,Elig_MatchAll_Ct&lt;22,$BC702=(Elig_MatchAll_Ct-1),BA702=0),AD702,0)</f>
        <v>0</v>
      </c>
      <c r="CJ702" s="272">
        <f>IF(AND(Input_Product=Elig!$C702,Elig_MatchAll_Ct&lt;22,$BC702=(Elig_MatchAll_Ct-1),BA702=0),AE702,0)</f>
        <v>0</v>
      </c>
    </row>
    <row r="703" spans="1:88" ht="10.15" customHeight="1" x14ac:dyDescent="0.25">
      <c r="A703" s="1484" t="s">
        <v>76</v>
      </c>
      <c r="B703" s="1484" t="s">
        <v>1880</v>
      </c>
      <c r="C703" s="1489" t="str">
        <f t="shared" si="242"/>
        <v>Second NOO</v>
      </c>
      <c r="D703" s="1490" t="s">
        <v>1121</v>
      </c>
      <c r="E703" s="1490" t="s">
        <v>98</v>
      </c>
      <c r="F703" s="1490" t="s">
        <v>329</v>
      </c>
      <c r="G703" s="1537" t="s">
        <v>174</v>
      </c>
      <c r="H703" s="1490" t="s">
        <v>444</v>
      </c>
      <c r="I703" s="1488" t="s">
        <v>1141</v>
      </c>
      <c r="J703" s="1488" t="s">
        <v>1130</v>
      </c>
      <c r="K703" s="1490" t="s">
        <v>2464</v>
      </c>
      <c r="L703" s="1488" t="s">
        <v>428</v>
      </c>
      <c r="M703" s="1488" t="s">
        <v>1835</v>
      </c>
      <c r="N703" s="1490" t="s">
        <v>1844</v>
      </c>
      <c r="O703" s="1488" t="s">
        <v>309</v>
      </c>
      <c r="P703" s="1488" t="s">
        <v>2434</v>
      </c>
      <c r="Q703" s="1488" t="s">
        <v>293</v>
      </c>
      <c r="R703" s="1488">
        <v>200000</v>
      </c>
      <c r="S703" s="1488">
        <v>350000</v>
      </c>
      <c r="T703" s="1488">
        <v>0</v>
      </c>
      <c r="U703" s="1488">
        <f t="shared" si="243"/>
        <v>350000</v>
      </c>
      <c r="V703" s="1488">
        <v>0</v>
      </c>
      <c r="W703" s="1488">
        <v>50</v>
      </c>
      <c r="X703" s="1488">
        <v>0</v>
      </c>
      <c r="Y703" s="1488">
        <v>999</v>
      </c>
      <c r="Z703" s="1491">
        <v>720</v>
      </c>
      <c r="AA703" s="1491">
        <v>999</v>
      </c>
      <c r="AB703" s="1491">
        <v>0</v>
      </c>
      <c r="AC703" s="1491">
        <v>999999</v>
      </c>
      <c r="AD703" s="1488">
        <v>0</v>
      </c>
      <c r="AE703" s="1542">
        <v>80</v>
      </c>
      <c r="AF703" s="144">
        <v>1</v>
      </c>
      <c r="AG703" s="145">
        <v>0</v>
      </c>
      <c r="AH703" s="145">
        <v>1</v>
      </c>
      <c r="AI703" s="145">
        <v>1</v>
      </c>
      <c r="AJ703" s="145">
        <v>0</v>
      </c>
      <c r="AK703" s="145">
        <v>0</v>
      </c>
      <c r="AL703" s="145">
        <v>1</v>
      </c>
      <c r="AM703" s="145">
        <v>1</v>
      </c>
      <c r="AN703" s="145">
        <v>1</v>
      </c>
      <c r="AO703" s="145">
        <v>1</v>
      </c>
      <c r="AP703" s="145">
        <v>1</v>
      </c>
      <c r="AQ703" s="145">
        <v>1</v>
      </c>
      <c r="AR703" s="145">
        <v>1</v>
      </c>
      <c r="AS703" s="145">
        <v>1</v>
      </c>
      <c r="AT703" s="145">
        <v>1</v>
      </c>
      <c r="AU703" s="145">
        <f t="shared" si="236"/>
        <v>0</v>
      </c>
      <c r="AV703" s="145">
        <f t="shared" si="237"/>
        <v>1</v>
      </c>
      <c r="AW703" s="145">
        <f t="shared" si="238"/>
        <v>1</v>
      </c>
      <c r="AX703" s="145">
        <f t="shared" si="244"/>
        <v>1</v>
      </c>
      <c r="AY703" s="145">
        <f t="shared" si="239"/>
        <v>1</v>
      </c>
      <c r="AZ703" s="145">
        <f t="shared" si="240"/>
        <v>1</v>
      </c>
      <c r="BA703" s="146">
        <f t="shared" si="241"/>
        <v>1</v>
      </c>
      <c r="BB703" s="149">
        <f t="shared" si="245"/>
        <v>18</v>
      </c>
      <c r="BC703" s="150">
        <f t="shared" si="246"/>
        <v>17</v>
      </c>
      <c r="BD703" s="150">
        <f t="shared" si="247"/>
        <v>17</v>
      </c>
      <c r="BE703" s="211" t="str">
        <f t="shared" si="248"/>
        <v/>
      </c>
      <c r="BF703" s="194"/>
      <c r="BG703" s="194"/>
      <c r="BH703" s="190">
        <f>IF(AND(Input_Product=Elig!$C703,Elig_MatchAll_Ct&lt;22,$BC703=(Elig_MatchAll_Ct-1),AF703=0),C703,0)</f>
        <v>0</v>
      </c>
      <c r="BI703" s="190">
        <f>IF(AND(Input_Product=Elig!$C703,Elig_MatchAll_Ct&lt;22,$BC703=(Elig_MatchAll_Ct-1),AG703=0),D703,0)</f>
        <v>0</v>
      </c>
      <c r="BJ703" s="190">
        <f>IF(AND(Input_Product=Elig!$C703,Elig_MatchAll_Ct&lt;22,$BC703=(Elig_MatchAll_Ct-1),AH703=0),E703,0)</f>
        <v>0</v>
      </c>
      <c r="BK703" s="190">
        <f>IF(AND(Input_Product=Elig!$C703,Elig_MatchAll_Ct&lt;22,$BC703=(Elig_MatchAll_Ct-1),AI703=0),F703,0)</f>
        <v>0</v>
      </c>
      <c r="BL703" s="190">
        <f>IF(AND(Input_Product=Elig!$C703,Elig_MatchAll_Ct&lt;22,$BC703=(Elig_MatchAll_Ct-1),AJ703=0),G703,0)</f>
        <v>0</v>
      </c>
      <c r="BM703" s="190">
        <f>IF(AND(Input_Product=Elig!$C703,Elig_MatchAll_Ct&lt;22,$BC703=(Elig_MatchAll_Ct-1),AK703=0),H703,0)</f>
        <v>0</v>
      </c>
      <c r="BN703" s="190">
        <f>IF(AND(Input_Product=Elig!$C703,Elig_MatchAll_Ct&lt;22,$BC703=(Elig_MatchAll_Ct-1),AL703=0),I703,0)</f>
        <v>0</v>
      </c>
      <c r="BO703" s="190">
        <f>IF(AND(Input_Product=Elig!$C703,Elig_MatchAll_Ct&lt;22,$BC703=(Elig_MatchAll_Ct-1),AM703=0),J703,0)</f>
        <v>0</v>
      </c>
      <c r="BP703" s="190">
        <f>IF(AND(Input_Product=Elig!$C703,Elig_MatchAll_Ct&lt;22,$BC703=(Elig_MatchAll_Ct-1),AN703=0),K703,0)</f>
        <v>0</v>
      </c>
      <c r="BQ703" s="190">
        <f>IF(AND(Input_Product=Elig!$C703,Elig_MatchAll_Ct&lt;22,$BC703=(Elig_MatchAll_Ct-1),AP703=0),L703,0)</f>
        <v>0</v>
      </c>
      <c r="BR703" s="190">
        <f>IF(AND(Input_Product=Elig!$C703,Elig_MatchAll_Ct&lt;22,$BC703=(Elig_MatchAll_Ct-1),AO703=0),M703,0)</f>
        <v>0</v>
      </c>
      <c r="BS703" s="190">
        <f>IF(AND(Input_Product=Elig!$C703,Elig_MatchAll_Ct&lt;22,$BC703=(Elig_MatchAll_Ct-1),AQ703=0),N703,0)</f>
        <v>0</v>
      </c>
      <c r="BT703" s="190">
        <f>IF(AND(Input_Product=Elig!$C703,Elig_MatchAll_Ct&lt;22,$BC703=(Elig_MatchAll_Ct-1),AR703=0),O703,0)</f>
        <v>0</v>
      </c>
      <c r="BU703" s="190">
        <f>IF(AND(Input_Product=Elig!$C703,Elig_MatchAll_Ct&lt;22,$BC703=(Elig_MatchAll_Ct-1),AS703=0),P703,0)</f>
        <v>0</v>
      </c>
      <c r="BV703" s="191">
        <f>IF(AND(Input_Product=Elig!$C703,Elig_MatchAll_Ct&lt;22,$BC703=(Elig_MatchAll_Ct-1),AT703=0),Q703,0)</f>
        <v>0</v>
      </c>
      <c r="BW703" s="273">
        <f>IF(AND(Input_Product=Elig!$C703,Elig_MatchAll_Ct&lt;22,$BC703=(Elig_MatchAll_Ct-1),AU703=0),R703,0)</f>
        <v>0</v>
      </c>
      <c r="BX703" s="274">
        <f>IF(AND(Input_Product=Elig!$C703,Elig_MatchAll_Ct&lt;22,$BC703=(Elig_MatchAll_Ct-1),AU703=0),S703,0)</f>
        <v>0</v>
      </c>
      <c r="BY703" s="273">
        <f>IF(AND(Input_Product=Elig!$C703,Elig_MatchAll_Ct&lt;22,$BC703=(Elig_MatchAll_Ct-1),AV703=0),T703,0)</f>
        <v>0</v>
      </c>
      <c r="BZ703" s="274">
        <f>IF(AND(Input_Product=Elig!$C703,Elig_MatchAll_Ct&lt;22,$BC703=(Elig_MatchAll_Ct-1),AV703=0),U703,0)</f>
        <v>0</v>
      </c>
      <c r="CA703" s="273">
        <f>IF(AND(Input_Product=Elig!$C703,Elig_MatchAll_Ct&lt;22,$BC703=(Elig_MatchAll_Ct-1),AW703=0),V703,0)</f>
        <v>0</v>
      </c>
      <c r="CB703" s="274">
        <f>IF(AND(Input_Product=Elig!$C703,Elig_MatchAll_Ct&lt;22,$BC703=(Elig_MatchAll_Ct-1),AW703=0),W703,0)</f>
        <v>0</v>
      </c>
      <c r="CC703" s="273">
        <f>IF(AND(Input_Product=Elig!$C703,Elig_MatchAll_Ct&lt;22,$BC703=(Elig_MatchAll_Ct-1),AX703=0),X703,0)</f>
        <v>0</v>
      </c>
      <c r="CD703" s="274">
        <f>IF(AND(Input_Product=Elig!$C703,Elig_MatchAll_Ct&lt;22,$BC703=(Elig_MatchAll_Ct-1),AX703=0),Y703,0)</f>
        <v>0</v>
      </c>
      <c r="CE703" s="273">
        <f>IF(AND(Input_LTV&lt;=AE703,Input_Product=Elig!$C703,Elig_MatchAll_Ct&lt;22,$BC703=(Elig_MatchAll_Ct-1),AY703=0),Z703,0)</f>
        <v>0</v>
      </c>
      <c r="CF703" s="274">
        <f>IF(AND(Input_LTV&lt;=AE703,Input_Product=Elig!$C703,Elig_MatchAll_Ct&lt;22,$BC703=(Elig_MatchAll_Ct-1),AY703=0),AA703,0)</f>
        <v>0</v>
      </c>
      <c r="CG703" s="273">
        <f>IF(AND(Input_Product=Elig!$C703,Elig_MatchAll_Ct&lt;22,$BC703=(Elig_MatchAll_Ct-1),AZ703=0),AB703,0)</f>
        <v>0</v>
      </c>
      <c r="CH703" s="274">
        <f>IF(AND(Input_Product=Elig!$C703,Elig_MatchAll_Ct&lt;22,$BC703=(Elig_MatchAll_Ct-1),AZ703=0),AC703,0)</f>
        <v>0</v>
      </c>
      <c r="CI703" s="273">
        <f>IF(AND(Input_Product=Elig!$C703,Elig_MatchAll_Ct&lt;22,$BC703=(Elig_MatchAll_Ct-1),BA703=0),AD703,0)</f>
        <v>0</v>
      </c>
      <c r="CJ703" s="274">
        <f>IF(AND(Input_Product=Elig!$C703,Elig_MatchAll_Ct&lt;22,$BC703=(Elig_MatchAll_Ct-1),BA703=0),AE703,0)</f>
        <v>0</v>
      </c>
    </row>
    <row r="704" spans="1:88" ht="10.15" customHeight="1" x14ac:dyDescent="0.25">
      <c r="A704" s="1484" t="s">
        <v>76</v>
      </c>
      <c r="B704" s="1484" t="s">
        <v>1881</v>
      </c>
      <c r="C704" s="1485" t="str">
        <f t="shared" si="242"/>
        <v>Second NOO</v>
      </c>
      <c r="D704" s="1484" t="s">
        <v>1121</v>
      </c>
      <c r="E704" s="1484" t="s">
        <v>98</v>
      </c>
      <c r="F704" s="1484" t="s">
        <v>329</v>
      </c>
      <c r="G704" s="1544" t="s">
        <v>174</v>
      </c>
      <c r="H704" s="1486" t="s">
        <v>444</v>
      </c>
      <c r="I704" s="1484" t="s">
        <v>1141</v>
      </c>
      <c r="J704" s="1484" t="s">
        <v>1130</v>
      </c>
      <c r="K704" s="1486" t="s">
        <v>2464</v>
      </c>
      <c r="L704" s="1484" t="s">
        <v>428</v>
      </c>
      <c r="M704" s="1484" t="s">
        <v>1835</v>
      </c>
      <c r="N704" s="1486" t="s">
        <v>1844</v>
      </c>
      <c r="O704" s="1484" t="s">
        <v>309</v>
      </c>
      <c r="P704" s="1484" t="s">
        <v>2434</v>
      </c>
      <c r="Q704" s="1484" t="s">
        <v>293</v>
      </c>
      <c r="R704" s="1484">
        <v>200000</v>
      </c>
      <c r="S704" s="1484">
        <v>350000</v>
      </c>
      <c r="T704" s="1484">
        <v>0</v>
      </c>
      <c r="U704" s="1484">
        <f t="shared" si="243"/>
        <v>350000</v>
      </c>
      <c r="V704" s="1484">
        <v>0</v>
      </c>
      <c r="W704" s="1484">
        <v>50</v>
      </c>
      <c r="X704" s="1484">
        <v>0</v>
      </c>
      <c r="Y704" s="1484">
        <v>999</v>
      </c>
      <c r="Z704" s="1487">
        <v>700</v>
      </c>
      <c r="AA704" s="1487">
        <v>719</v>
      </c>
      <c r="AB704" s="1487">
        <v>0</v>
      </c>
      <c r="AC704" s="1487">
        <v>999999</v>
      </c>
      <c r="AD704" s="1484">
        <v>0</v>
      </c>
      <c r="AE704" s="1543">
        <v>75</v>
      </c>
      <c r="AF704" s="144">
        <v>1</v>
      </c>
      <c r="AG704" s="145">
        <v>0</v>
      </c>
      <c r="AH704" s="145">
        <v>1</v>
      </c>
      <c r="AI704" s="145">
        <v>1</v>
      </c>
      <c r="AJ704" s="145">
        <v>0</v>
      </c>
      <c r="AK704" s="145">
        <v>0</v>
      </c>
      <c r="AL704" s="145">
        <v>1</v>
      </c>
      <c r="AM704" s="145">
        <v>1</v>
      </c>
      <c r="AN704" s="145">
        <v>1</v>
      </c>
      <c r="AO704" s="145">
        <v>1</v>
      </c>
      <c r="AP704" s="145">
        <v>1</v>
      </c>
      <c r="AQ704" s="145">
        <v>1</v>
      </c>
      <c r="AR704" s="145">
        <v>1</v>
      </c>
      <c r="AS704" s="145">
        <v>1</v>
      </c>
      <c r="AT704" s="145">
        <v>1</v>
      </c>
      <c r="AU704" s="145">
        <f t="shared" si="236"/>
        <v>0</v>
      </c>
      <c r="AV704" s="145">
        <f t="shared" si="237"/>
        <v>1</v>
      </c>
      <c r="AW704" s="145">
        <f t="shared" si="238"/>
        <v>1</v>
      </c>
      <c r="AX704" s="145">
        <f t="shared" si="244"/>
        <v>1</v>
      </c>
      <c r="AY704" s="145">
        <f t="shared" si="239"/>
        <v>0</v>
      </c>
      <c r="AZ704" s="145">
        <f t="shared" si="240"/>
        <v>1</v>
      </c>
      <c r="BA704" s="146">
        <f t="shared" si="241"/>
        <v>1</v>
      </c>
      <c r="BB704" s="149">
        <f t="shared" si="245"/>
        <v>17</v>
      </c>
      <c r="BC704" s="150">
        <f t="shared" si="246"/>
        <v>16</v>
      </c>
      <c r="BD704" s="150">
        <f t="shared" si="247"/>
        <v>16</v>
      </c>
      <c r="BE704" s="211" t="str">
        <f t="shared" si="248"/>
        <v/>
      </c>
      <c r="BF704" s="205"/>
      <c r="BG704" s="205"/>
      <c r="BH704" s="173">
        <f>IF(AND(Input_Product=Elig!$C704,Elig_MatchAll_Ct&lt;22,$BC704=(Elig_MatchAll_Ct-1),AF704=0),C704,0)</f>
        <v>0</v>
      </c>
      <c r="BI704" s="173">
        <f>IF(AND(Input_Product=Elig!$C704,Elig_MatchAll_Ct&lt;22,$BC704=(Elig_MatchAll_Ct-1),AG704=0),D704,0)</f>
        <v>0</v>
      </c>
      <c r="BJ704" s="173">
        <f>IF(AND(Input_Product=Elig!$C704,Elig_MatchAll_Ct&lt;22,$BC704=(Elig_MatchAll_Ct-1),AH704=0),E704,0)</f>
        <v>0</v>
      </c>
      <c r="BK704" s="173">
        <f>IF(AND(Input_Product=Elig!$C704,Elig_MatchAll_Ct&lt;22,$BC704=(Elig_MatchAll_Ct-1),AI704=0),F704,0)</f>
        <v>0</v>
      </c>
      <c r="BL704" s="173">
        <f>IF(AND(Input_Product=Elig!$C704,Elig_MatchAll_Ct&lt;22,$BC704=(Elig_MatchAll_Ct-1),AJ704=0),G704,0)</f>
        <v>0</v>
      </c>
      <c r="BM704" s="173">
        <f>IF(AND(Input_Product=Elig!$C704,Elig_MatchAll_Ct&lt;22,$BC704=(Elig_MatchAll_Ct-1),AK704=0),H704,0)</f>
        <v>0</v>
      </c>
      <c r="BN704" s="173">
        <f>IF(AND(Input_Product=Elig!$C704,Elig_MatchAll_Ct&lt;22,$BC704=(Elig_MatchAll_Ct-1),AL704=0),I704,0)</f>
        <v>0</v>
      </c>
      <c r="BO704" s="173">
        <f>IF(AND(Input_Product=Elig!$C704,Elig_MatchAll_Ct&lt;22,$BC704=(Elig_MatchAll_Ct-1),AM704=0),J704,0)</f>
        <v>0</v>
      </c>
      <c r="BP704" s="173">
        <f>IF(AND(Input_Product=Elig!$C704,Elig_MatchAll_Ct&lt;22,$BC704=(Elig_MatchAll_Ct-1),AN704=0),K704,0)</f>
        <v>0</v>
      </c>
      <c r="BQ704" s="173">
        <f>IF(AND(Input_Product=Elig!$C704,Elig_MatchAll_Ct&lt;22,$BC704=(Elig_MatchAll_Ct-1),AP704=0),L704,0)</f>
        <v>0</v>
      </c>
      <c r="BR704" s="173">
        <f>IF(AND(Input_Product=Elig!$C704,Elig_MatchAll_Ct&lt;22,$BC704=(Elig_MatchAll_Ct-1),AO704=0),M704,0)</f>
        <v>0</v>
      </c>
      <c r="BS704" s="173">
        <f>IF(AND(Input_Product=Elig!$C704,Elig_MatchAll_Ct&lt;22,$BC704=(Elig_MatchAll_Ct-1),AQ704=0),N704,0)</f>
        <v>0</v>
      </c>
      <c r="BT704" s="173">
        <f>IF(AND(Input_Product=Elig!$C704,Elig_MatchAll_Ct&lt;22,$BC704=(Elig_MatchAll_Ct-1),AR704=0),O704,0)</f>
        <v>0</v>
      </c>
      <c r="BU704" s="173">
        <f>IF(AND(Input_Product=Elig!$C704,Elig_MatchAll_Ct&lt;22,$BC704=(Elig_MatchAll_Ct-1),AS704=0),P704,0)</f>
        <v>0</v>
      </c>
      <c r="BV704" s="174">
        <f>IF(AND(Input_Product=Elig!$C704,Elig_MatchAll_Ct&lt;22,$BC704=(Elig_MatchAll_Ct-1),AT704=0),Q704,0)</f>
        <v>0</v>
      </c>
      <c r="BW704" s="175">
        <f>IF(AND(Input_Product=Elig!$C704,Elig_MatchAll_Ct&lt;22,$BC704=(Elig_MatchAll_Ct-1),AU704=0),R704,0)</f>
        <v>0</v>
      </c>
      <c r="BX704" s="176">
        <f>IF(AND(Input_Product=Elig!$C704,Elig_MatchAll_Ct&lt;22,$BC704=(Elig_MatchAll_Ct-1),AU704=0),S704,0)</f>
        <v>0</v>
      </c>
      <c r="BY704" s="175">
        <f>IF(AND(Input_Product=Elig!$C704,Elig_MatchAll_Ct&lt;22,$BC704=(Elig_MatchAll_Ct-1),AV704=0),T704,0)</f>
        <v>0</v>
      </c>
      <c r="BZ704" s="176">
        <f>IF(AND(Input_Product=Elig!$C704,Elig_MatchAll_Ct&lt;22,$BC704=(Elig_MatchAll_Ct-1),AV704=0),U704,0)</f>
        <v>0</v>
      </c>
      <c r="CA704" s="175">
        <f>IF(AND(Input_Product=Elig!$C704,Elig_MatchAll_Ct&lt;22,$BC704=(Elig_MatchAll_Ct-1),AW704=0),V704,0)</f>
        <v>0</v>
      </c>
      <c r="CB704" s="176">
        <f>IF(AND(Input_Product=Elig!$C704,Elig_MatchAll_Ct&lt;22,$BC704=(Elig_MatchAll_Ct-1),AW704=0),W704,0)</f>
        <v>0</v>
      </c>
      <c r="CC704" s="175">
        <f>IF(AND(Input_Product=Elig!$C704,Elig_MatchAll_Ct&lt;22,$BC704=(Elig_MatchAll_Ct-1),AX704=0),X704,0)</f>
        <v>0</v>
      </c>
      <c r="CD704" s="176">
        <f>IF(AND(Input_Product=Elig!$C704,Elig_MatchAll_Ct&lt;22,$BC704=(Elig_MatchAll_Ct-1),AX704=0),Y704,0)</f>
        <v>0</v>
      </c>
      <c r="CE704" s="175">
        <f>IF(AND(Input_LTV&lt;=AE704,Input_Product=Elig!$C704,Elig_MatchAll_Ct&lt;22,$BC704=(Elig_MatchAll_Ct-1),AY704=0),Z704,0)</f>
        <v>0</v>
      </c>
      <c r="CF704" s="176">
        <f>IF(AND(Input_LTV&lt;=AE704,Input_Product=Elig!$C704,Elig_MatchAll_Ct&lt;22,$BC704=(Elig_MatchAll_Ct-1),AY704=0),AA704,0)</f>
        <v>0</v>
      </c>
      <c r="CG704" s="175">
        <f>IF(AND(Input_Product=Elig!$C704,Elig_MatchAll_Ct&lt;22,$BC704=(Elig_MatchAll_Ct-1),AZ704=0),AB704,0)</f>
        <v>0</v>
      </c>
      <c r="CH704" s="176">
        <f>IF(AND(Input_Product=Elig!$C704,Elig_MatchAll_Ct&lt;22,$BC704=(Elig_MatchAll_Ct-1),AZ704=0),AC704,0)</f>
        <v>0</v>
      </c>
      <c r="CI704" s="175">
        <f>IF(AND(Input_Product=Elig!$C704,Elig_MatchAll_Ct&lt;22,$BC704=(Elig_MatchAll_Ct-1),BA704=0),AD704,0)</f>
        <v>0</v>
      </c>
      <c r="CJ704" s="176">
        <f>IF(AND(Input_Product=Elig!$C704,Elig_MatchAll_Ct&lt;22,$BC704=(Elig_MatchAll_Ct-1),BA704=0),AE704,0)</f>
        <v>0</v>
      </c>
    </row>
    <row r="705" spans="1:88" ht="10.15" customHeight="1" x14ac:dyDescent="0.25">
      <c r="A705" s="1484" t="s">
        <v>76</v>
      </c>
      <c r="B705" s="1484" t="s">
        <v>1882</v>
      </c>
      <c r="C705" s="1485" t="str">
        <f t="shared" si="242"/>
        <v>Second NOO</v>
      </c>
      <c r="D705" s="1484" t="s">
        <v>1121</v>
      </c>
      <c r="E705" s="1484" t="s">
        <v>98</v>
      </c>
      <c r="F705" s="1484" t="s">
        <v>329</v>
      </c>
      <c r="G705" s="1544" t="s">
        <v>174</v>
      </c>
      <c r="H705" s="1486" t="s">
        <v>444</v>
      </c>
      <c r="I705" s="1484" t="s">
        <v>1141</v>
      </c>
      <c r="J705" s="1484" t="s">
        <v>1130</v>
      </c>
      <c r="K705" s="1486" t="s">
        <v>2464</v>
      </c>
      <c r="L705" s="1484" t="s">
        <v>428</v>
      </c>
      <c r="M705" s="1484" t="s">
        <v>1835</v>
      </c>
      <c r="N705" s="1486" t="s">
        <v>1844</v>
      </c>
      <c r="O705" s="1484" t="s">
        <v>309</v>
      </c>
      <c r="P705" s="1484" t="s">
        <v>2434</v>
      </c>
      <c r="Q705" s="1484" t="s">
        <v>293</v>
      </c>
      <c r="R705" s="1484">
        <v>200000</v>
      </c>
      <c r="S705" s="1484">
        <v>350000</v>
      </c>
      <c r="T705" s="1484">
        <v>0</v>
      </c>
      <c r="U705" s="1484">
        <f t="shared" si="243"/>
        <v>350000</v>
      </c>
      <c r="V705" s="1484">
        <v>0</v>
      </c>
      <c r="W705" s="1484">
        <v>50</v>
      </c>
      <c r="X705" s="1484">
        <v>0</v>
      </c>
      <c r="Y705" s="1484">
        <v>999</v>
      </c>
      <c r="Z705" s="1487">
        <v>680</v>
      </c>
      <c r="AA705" s="1487">
        <v>699</v>
      </c>
      <c r="AB705" s="1487">
        <v>0</v>
      </c>
      <c r="AC705" s="1487">
        <v>999999</v>
      </c>
      <c r="AD705" s="1484">
        <v>0</v>
      </c>
      <c r="AE705" s="1543">
        <v>70</v>
      </c>
      <c r="AF705" s="144">
        <v>1</v>
      </c>
      <c r="AG705" s="145">
        <v>0</v>
      </c>
      <c r="AH705" s="145">
        <v>1</v>
      </c>
      <c r="AI705" s="145">
        <v>1</v>
      </c>
      <c r="AJ705" s="145">
        <v>0</v>
      </c>
      <c r="AK705" s="145">
        <v>0</v>
      </c>
      <c r="AL705" s="145">
        <v>1</v>
      </c>
      <c r="AM705" s="145">
        <v>1</v>
      </c>
      <c r="AN705" s="145">
        <v>1</v>
      </c>
      <c r="AO705" s="145">
        <v>1</v>
      </c>
      <c r="AP705" s="145">
        <v>1</v>
      </c>
      <c r="AQ705" s="145">
        <v>1</v>
      </c>
      <c r="AR705" s="145">
        <v>1</v>
      </c>
      <c r="AS705" s="145">
        <v>1</v>
      </c>
      <c r="AT705" s="145">
        <v>1</v>
      </c>
      <c r="AU705" s="145">
        <f t="shared" si="236"/>
        <v>0</v>
      </c>
      <c r="AV705" s="145">
        <f t="shared" si="237"/>
        <v>1</v>
      </c>
      <c r="AW705" s="145">
        <f t="shared" si="238"/>
        <v>1</v>
      </c>
      <c r="AX705" s="145">
        <f t="shared" si="244"/>
        <v>1</v>
      </c>
      <c r="AY705" s="145">
        <f t="shared" si="239"/>
        <v>0</v>
      </c>
      <c r="AZ705" s="145">
        <f t="shared" si="240"/>
        <v>1</v>
      </c>
      <c r="BA705" s="146">
        <f t="shared" si="241"/>
        <v>1</v>
      </c>
      <c r="BB705" s="149">
        <f t="shared" si="245"/>
        <v>17</v>
      </c>
      <c r="BC705" s="150">
        <f t="shared" si="246"/>
        <v>16</v>
      </c>
      <c r="BD705" s="150">
        <f t="shared" si="247"/>
        <v>16</v>
      </c>
      <c r="BE705" s="211" t="str">
        <f t="shared" si="248"/>
        <v/>
      </c>
      <c r="BF705" s="205"/>
      <c r="BG705" s="205"/>
      <c r="BH705" s="173">
        <f>IF(AND(Input_Product=Elig!$C705,Elig_MatchAll_Ct&lt;22,$BC705=(Elig_MatchAll_Ct-1),AF705=0),C705,0)</f>
        <v>0</v>
      </c>
      <c r="BI705" s="173">
        <f>IF(AND(Input_Product=Elig!$C705,Elig_MatchAll_Ct&lt;22,$BC705=(Elig_MatchAll_Ct-1),AG705=0),D705,0)</f>
        <v>0</v>
      </c>
      <c r="BJ705" s="173">
        <f>IF(AND(Input_Product=Elig!$C705,Elig_MatchAll_Ct&lt;22,$BC705=(Elig_MatchAll_Ct-1),AH705=0),E705,0)</f>
        <v>0</v>
      </c>
      <c r="BK705" s="173">
        <f>IF(AND(Input_Product=Elig!$C705,Elig_MatchAll_Ct&lt;22,$BC705=(Elig_MatchAll_Ct-1),AI705=0),F705,0)</f>
        <v>0</v>
      </c>
      <c r="BL705" s="173">
        <f>IF(AND(Input_Product=Elig!$C705,Elig_MatchAll_Ct&lt;22,$BC705=(Elig_MatchAll_Ct-1),AJ705=0),G705,0)</f>
        <v>0</v>
      </c>
      <c r="BM705" s="173">
        <f>IF(AND(Input_Product=Elig!$C705,Elig_MatchAll_Ct&lt;22,$BC705=(Elig_MatchAll_Ct-1),AK705=0),H705,0)</f>
        <v>0</v>
      </c>
      <c r="BN705" s="173">
        <f>IF(AND(Input_Product=Elig!$C705,Elig_MatchAll_Ct&lt;22,$BC705=(Elig_MatchAll_Ct-1),AL705=0),I705,0)</f>
        <v>0</v>
      </c>
      <c r="BO705" s="173">
        <f>IF(AND(Input_Product=Elig!$C705,Elig_MatchAll_Ct&lt;22,$BC705=(Elig_MatchAll_Ct-1),AM705=0),J705,0)</f>
        <v>0</v>
      </c>
      <c r="BP705" s="173">
        <f>IF(AND(Input_Product=Elig!$C705,Elig_MatchAll_Ct&lt;22,$BC705=(Elig_MatchAll_Ct-1),AN705=0),K705,0)</f>
        <v>0</v>
      </c>
      <c r="BQ705" s="173">
        <f>IF(AND(Input_Product=Elig!$C705,Elig_MatchAll_Ct&lt;22,$BC705=(Elig_MatchAll_Ct-1),AP705=0),L705,0)</f>
        <v>0</v>
      </c>
      <c r="BR705" s="173">
        <f>IF(AND(Input_Product=Elig!$C705,Elig_MatchAll_Ct&lt;22,$BC705=(Elig_MatchAll_Ct-1),AO705=0),M705,0)</f>
        <v>0</v>
      </c>
      <c r="BS705" s="173">
        <f>IF(AND(Input_Product=Elig!$C705,Elig_MatchAll_Ct&lt;22,$BC705=(Elig_MatchAll_Ct-1),AQ705=0),N705,0)</f>
        <v>0</v>
      </c>
      <c r="BT705" s="173">
        <f>IF(AND(Input_Product=Elig!$C705,Elig_MatchAll_Ct&lt;22,$BC705=(Elig_MatchAll_Ct-1),AR705=0),O705,0)</f>
        <v>0</v>
      </c>
      <c r="BU705" s="173">
        <f>IF(AND(Input_Product=Elig!$C705,Elig_MatchAll_Ct&lt;22,$BC705=(Elig_MatchAll_Ct-1),AS705=0),P705,0)</f>
        <v>0</v>
      </c>
      <c r="BV705" s="174">
        <f>IF(AND(Input_Product=Elig!$C705,Elig_MatchAll_Ct&lt;22,$BC705=(Elig_MatchAll_Ct-1),AT705=0),Q705,0)</f>
        <v>0</v>
      </c>
      <c r="BW705" s="175">
        <f>IF(AND(Input_Product=Elig!$C705,Elig_MatchAll_Ct&lt;22,$BC705=(Elig_MatchAll_Ct-1),AU705=0),R705,0)</f>
        <v>0</v>
      </c>
      <c r="BX705" s="176">
        <f>IF(AND(Input_Product=Elig!$C705,Elig_MatchAll_Ct&lt;22,$BC705=(Elig_MatchAll_Ct-1),AU705=0),S705,0)</f>
        <v>0</v>
      </c>
      <c r="BY705" s="175">
        <f>IF(AND(Input_Product=Elig!$C705,Elig_MatchAll_Ct&lt;22,$BC705=(Elig_MatchAll_Ct-1),AV705=0),T705,0)</f>
        <v>0</v>
      </c>
      <c r="BZ705" s="176">
        <f>IF(AND(Input_Product=Elig!$C705,Elig_MatchAll_Ct&lt;22,$BC705=(Elig_MatchAll_Ct-1),AV705=0),U705,0)</f>
        <v>0</v>
      </c>
      <c r="CA705" s="175">
        <f>IF(AND(Input_Product=Elig!$C705,Elig_MatchAll_Ct&lt;22,$BC705=(Elig_MatchAll_Ct-1),AW705=0),V705,0)</f>
        <v>0</v>
      </c>
      <c r="CB705" s="176">
        <f>IF(AND(Input_Product=Elig!$C705,Elig_MatchAll_Ct&lt;22,$BC705=(Elig_MatchAll_Ct-1),AW705=0),W705,0)</f>
        <v>0</v>
      </c>
      <c r="CC705" s="175">
        <f>IF(AND(Input_Product=Elig!$C705,Elig_MatchAll_Ct&lt;22,$BC705=(Elig_MatchAll_Ct-1),AX705=0),X705,0)</f>
        <v>0</v>
      </c>
      <c r="CD705" s="176">
        <f>IF(AND(Input_Product=Elig!$C705,Elig_MatchAll_Ct&lt;22,$BC705=(Elig_MatchAll_Ct-1),AX705=0),Y705,0)</f>
        <v>0</v>
      </c>
      <c r="CE705" s="175">
        <f>IF(AND(Input_LTV&lt;=AE705,Input_Product=Elig!$C705,Elig_MatchAll_Ct&lt;22,$BC705=(Elig_MatchAll_Ct-1),AY705=0),Z705,0)</f>
        <v>0</v>
      </c>
      <c r="CF705" s="176">
        <f>IF(AND(Input_LTV&lt;=AE705,Input_Product=Elig!$C705,Elig_MatchAll_Ct&lt;22,$BC705=(Elig_MatchAll_Ct-1),AY705=0),AA705,0)</f>
        <v>0</v>
      </c>
      <c r="CG705" s="175">
        <f>IF(AND(Input_Product=Elig!$C705,Elig_MatchAll_Ct&lt;22,$BC705=(Elig_MatchAll_Ct-1),AZ705=0),AB705,0)</f>
        <v>0</v>
      </c>
      <c r="CH705" s="176">
        <f>IF(AND(Input_Product=Elig!$C705,Elig_MatchAll_Ct&lt;22,$BC705=(Elig_MatchAll_Ct-1),AZ705=0),AC705,0)</f>
        <v>0</v>
      </c>
      <c r="CI705" s="175">
        <f>IF(AND(Input_Product=Elig!$C705,Elig_MatchAll_Ct&lt;22,$BC705=(Elig_MatchAll_Ct-1),BA705=0),AD705,0)</f>
        <v>0</v>
      </c>
      <c r="CJ705" s="176">
        <f>IF(AND(Input_Product=Elig!$C705,Elig_MatchAll_Ct&lt;22,$BC705=(Elig_MatchAll_Ct-1),BA705=0),AE705,0)</f>
        <v>0</v>
      </c>
    </row>
    <row r="706" spans="1:88" ht="10.15" customHeight="1" x14ac:dyDescent="0.25">
      <c r="A706" s="1484" t="s">
        <v>76</v>
      </c>
      <c r="B706" s="1484" t="s">
        <v>1883</v>
      </c>
      <c r="C706" s="1485" t="str">
        <f t="shared" si="242"/>
        <v>Second NOO</v>
      </c>
      <c r="D706" s="1484" t="s">
        <v>1121</v>
      </c>
      <c r="E706" s="1484" t="s">
        <v>98</v>
      </c>
      <c r="F706" s="1484" t="s">
        <v>329</v>
      </c>
      <c r="G706" s="1545" t="s">
        <v>174</v>
      </c>
      <c r="H706" s="1486" t="s">
        <v>444</v>
      </c>
      <c r="I706" s="1484" t="s">
        <v>1141</v>
      </c>
      <c r="J706" s="1486" t="s">
        <v>1130</v>
      </c>
      <c r="K706" s="1486" t="s">
        <v>2464</v>
      </c>
      <c r="L706" s="1484" t="s">
        <v>428</v>
      </c>
      <c r="M706" s="1484" t="s">
        <v>1835</v>
      </c>
      <c r="N706" s="1486" t="s">
        <v>1844</v>
      </c>
      <c r="O706" s="1484" t="s">
        <v>309</v>
      </c>
      <c r="P706" s="1484" t="s">
        <v>2434</v>
      </c>
      <c r="Q706" s="1484" t="s">
        <v>293</v>
      </c>
      <c r="R706" s="1484">
        <v>200000</v>
      </c>
      <c r="S706" s="1484">
        <v>350000</v>
      </c>
      <c r="T706" s="1484">
        <v>0</v>
      </c>
      <c r="U706" s="1484">
        <f t="shared" si="243"/>
        <v>350000</v>
      </c>
      <c r="V706" s="1484">
        <v>0</v>
      </c>
      <c r="W706" s="1484">
        <v>50</v>
      </c>
      <c r="X706" s="1484">
        <v>0</v>
      </c>
      <c r="Y706" s="1484">
        <v>999</v>
      </c>
      <c r="Z706" s="1487">
        <v>660</v>
      </c>
      <c r="AA706" s="1487">
        <v>679</v>
      </c>
      <c r="AB706" s="1487">
        <v>0</v>
      </c>
      <c r="AC706" s="1487">
        <v>999999</v>
      </c>
      <c r="AD706" s="1484">
        <v>0</v>
      </c>
      <c r="AE706" s="1484">
        <v>60</v>
      </c>
      <c r="AF706" s="144">
        <v>1</v>
      </c>
      <c r="AG706" s="145">
        <v>0</v>
      </c>
      <c r="AH706" s="145">
        <v>1</v>
      </c>
      <c r="AI706" s="145">
        <v>1</v>
      </c>
      <c r="AJ706" s="145">
        <v>0</v>
      </c>
      <c r="AK706" s="145">
        <v>0</v>
      </c>
      <c r="AL706" s="145">
        <v>1</v>
      </c>
      <c r="AM706" s="145">
        <v>1</v>
      </c>
      <c r="AN706" s="145">
        <v>1</v>
      </c>
      <c r="AO706" s="145">
        <v>1</v>
      </c>
      <c r="AP706" s="145">
        <v>1</v>
      </c>
      <c r="AQ706" s="145">
        <v>1</v>
      </c>
      <c r="AR706" s="145">
        <v>1</v>
      </c>
      <c r="AS706" s="145">
        <v>1</v>
      </c>
      <c r="AT706" s="145">
        <v>1</v>
      </c>
      <c r="AU706" s="145">
        <f t="shared" si="236"/>
        <v>0</v>
      </c>
      <c r="AV706" s="145">
        <f t="shared" si="237"/>
        <v>1</v>
      </c>
      <c r="AW706" s="145">
        <f t="shared" si="238"/>
        <v>1</v>
      </c>
      <c r="AX706" s="145">
        <f t="shared" si="244"/>
        <v>1</v>
      </c>
      <c r="AY706" s="145">
        <f t="shared" si="239"/>
        <v>0</v>
      </c>
      <c r="AZ706" s="145">
        <f t="shared" si="240"/>
        <v>1</v>
      </c>
      <c r="BA706" s="146">
        <f t="shared" si="241"/>
        <v>0</v>
      </c>
      <c r="BB706" s="149">
        <f t="shared" si="245"/>
        <v>16</v>
      </c>
      <c r="BC706" s="150">
        <f t="shared" si="246"/>
        <v>16</v>
      </c>
      <c r="BD706" s="150">
        <f t="shared" si="247"/>
        <v>15</v>
      </c>
      <c r="BE706" s="211" t="str">
        <f t="shared" si="248"/>
        <v/>
      </c>
      <c r="BF706" s="205"/>
      <c r="BG706" s="205"/>
      <c r="BH706" s="188">
        <f>IF(AND(Input_Product=Elig!$C706,Elig_MatchAll_Ct&lt;22,$BC706=(Elig_MatchAll_Ct-1),AF706=0),C706,0)</f>
        <v>0</v>
      </c>
      <c r="BI706" s="188">
        <f>IF(AND(Input_Product=Elig!$C706,Elig_MatchAll_Ct&lt;22,$BC706=(Elig_MatchAll_Ct-1),AG706=0),D706,0)</f>
        <v>0</v>
      </c>
      <c r="BJ706" s="188">
        <f>IF(AND(Input_Product=Elig!$C706,Elig_MatchAll_Ct&lt;22,$BC706=(Elig_MatchAll_Ct-1),AH706=0),E706,0)</f>
        <v>0</v>
      </c>
      <c r="BK706" s="188">
        <f>IF(AND(Input_Product=Elig!$C706,Elig_MatchAll_Ct&lt;22,$BC706=(Elig_MatchAll_Ct-1),AI706=0),F706,0)</f>
        <v>0</v>
      </c>
      <c r="BL706" s="188">
        <f>IF(AND(Input_Product=Elig!$C706,Elig_MatchAll_Ct&lt;22,$BC706=(Elig_MatchAll_Ct-1),AJ706=0),G706,0)</f>
        <v>0</v>
      </c>
      <c r="BM706" s="188">
        <f>IF(AND(Input_Product=Elig!$C706,Elig_MatchAll_Ct&lt;22,$BC706=(Elig_MatchAll_Ct-1),AK706=0),H706,0)</f>
        <v>0</v>
      </c>
      <c r="BN706" s="188">
        <f>IF(AND(Input_Product=Elig!$C706,Elig_MatchAll_Ct&lt;22,$BC706=(Elig_MatchAll_Ct-1),AL706=0),I706,0)</f>
        <v>0</v>
      </c>
      <c r="BO706" s="188">
        <f>IF(AND(Input_Product=Elig!$C706,Elig_MatchAll_Ct&lt;22,$BC706=(Elig_MatchAll_Ct-1),AM706=0),J706,0)</f>
        <v>0</v>
      </c>
      <c r="BP706" s="188">
        <f>IF(AND(Input_Product=Elig!$C706,Elig_MatchAll_Ct&lt;22,$BC706=(Elig_MatchAll_Ct-1),AN706=0),K706,0)</f>
        <v>0</v>
      </c>
      <c r="BQ706" s="188">
        <f>IF(AND(Input_Product=Elig!$C706,Elig_MatchAll_Ct&lt;22,$BC706=(Elig_MatchAll_Ct-1),AP706=0),L706,0)</f>
        <v>0</v>
      </c>
      <c r="BR706" s="188">
        <f>IF(AND(Input_Product=Elig!$C706,Elig_MatchAll_Ct&lt;22,$BC706=(Elig_MatchAll_Ct-1),AO706=0),M706,0)</f>
        <v>0</v>
      </c>
      <c r="BS706" s="188">
        <f>IF(AND(Input_Product=Elig!$C706,Elig_MatchAll_Ct&lt;22,$BC706=(Elig_MatchAll_Ct-1),AQ706=0),N706,0)</f>
        <v>0</v>
      </c>
      <c r="BT706" s="188">
        <f>IF(AND(Input_Product=Elig!$C706,Elig_MatchAll_Ct&lt;22,$BC706=(Elig_MatchAll_Ct-1),AR706=0),O706,0)</f>
        <v>0</v>
      </c>
      <c r="BU706" s="188">
        <f>IF(AND(Input_Product=Elig!$C706,Elig_MatchAll_Ct&lt;22,$BC706=(Elig_MatchAll_Ct-1),AS706=0),P706,0)</f>
        <v>0</v>
      </c>
      <c r="BV706" s="189">
        <f>IF(AND(Input_Product=Elig!$C706,Elig_MatchAll_Ct&lt;22,$BC706=(Elig_MatchAll_Ct-1),AT706=0),Q706,0)</f>
        <v>0</v>
      </c>
      <c r="BW706" s="271">
        <f>IF(AND(Input_Product=Elig!$C706,Elig_MatchAll_Ct&lt;22,$BC706=(Elig_MatchAll_Ct-1),AU706=0),R706,0)</f>
        <v>0</v>
      </c>
      <c r="BX706" s="272">
        <f>IF(AND(Input_Product=Elig!$C706,Elig_MatchAll_Ct&lt;22,$BC706=(Elig_MatchAll_Ct-1),AU706=0),S706,0)</f>
        <v>0</v>
      </c>
      <c r="BY706" s="271">
        <f>IF(AND(Input_Product=Elig!$C706,Elig_MatchAll_Ct&lt;22,$BC706=(Elig_MatchAll_Ct-1),AV706=0),T706,0)</f>
        <v>0</v>
      </c>
      <c r="BZ706" s="272">
        <f>IF(AND(Input_Product=Elig!$C706,Elig_MatchAll_Ct&lt;22,$BC706=(Elig_MatchAll_Ct-1),AV706=0),U706,0)</f>
        <v>0</v>
      </c>
      <c r="CA706" s="271">
        <f>IF(AND(Input_Product=Elig!$C706,Elig_MatchAll_Ct&lt;22,$BC706=(Elig_MatchAll_Ct-1),AW706=0),V706,0)</f>
        <v>0</v>
      </c>
      <c r="CB706" s="272">
        <f>IF(AND(Input_Product=Elig!$C706,Elig_MatchAll_Ct&lt;22,$BC706=(Elig_MatchAll_Ct-1),AW706=0),W706,0)</f>
        <v>0</v>
      </c>
      <c r="CC706" s="271">
        <f>IF(AND(Input_Product=Elig!$C706,Elig_MatchAll_Ct&lt;22,$BC706=(Elig_MatchAll_Ct-1),AX706=0),X706,0)</f>
        <v>0</v>
      </c>
      <c r="CD706" s="272">
        <f>IF(AND(Input_Product=Elig!$C706,Elig_MatchAll_Ct&lt;22,$BC706=(Elig_MatchAll_Ct-1),AX706=0),Y706,0)</f>
        <v>0</v>
      </c>
      <c r="CE706" s="271">
        <f>IF(AND(Input_LTV&lt;=AE706,Input_Product=Elig!$C706,Elig_MatchAll_Ct&lt;22,$BC706=(Elig_MatchAll_Ct-1),AY706=0),Z706,0)</f>
        <v>0</v>
      </c>
      <c r="CF706" s="272">
        <f>IF(AND(Input_LTV&lt;=AE706,Input_Product=Elig!$C706,Elig_MatchAll_Ct&lt;22,$BC706=(Elig_MatchAll_Ct-1),AY706=0),AA706,0)</f>
        <v>0</v>
      </c>
      <c r="CG706" s="271">
        <f>IF(AND(Input_Product=Elig!$C706,Elig_MatchAll_Ct&lt;22,$BC706=(Elig_MatchAll_Ct-1),AZ706=0),AB706,0)</f>
        <v>0</v>
      </c>
      <c r="CH706" s="272">
        <f>IF(AND(Input_Product=Elig!$C706,Elig_MatchAll_Ct&lt;22,$BC706=(Elig_MatchAll_Ct-1),AZ706=0),AC706,0)</f>
        <v>0</v>
      </c>
      <c r="CI706" s="271">
        <f>IF(AND(Input_Product=Elig!$C706,Elig_MatchAll_Ct&lt;22,$BC706=(Elig_MatchAll_Ct-1),BA706=0),AD706,0)</f>
        <v>0</v>
      </c>
      <c r="CJ706" s="272">
        <f>IF(AND(Input_Product=Elig!$C706,Elig_MatchAll_Ct&lt;22,$BC706=(Elig_MatchAll_Ct-1),BA706=0),AE706,0)</f>
        <v>0</v>
      </c>
    </row>
    <row r="707" spans="1:88" ht="10.15" customHeight="1" x14ac:dyDescent="0.25">
      <c r="A707" s="1484" t="s">
        <v>76</v>
      </c>
      <c r="B707" s="1484" t="s">
        <v>1884</v>
      </c>
      <c r="C707" s="1489" t="str">
        <f t="shared" si="242"/>
        <v>Second NOO</v>
      </c>
      <c r="D707" s="1490" t="s">
        <v>1331</v>
      </c>
      <c r="E707" s="1490" t="s">
        <v>98</v>
      </c>
      <c r="F707" s="1490" t="s">
        <v>329</v>
      </c>
      <c r="G707" s="1537" t="s">
        <v>465</v>
      </c>
      <c r="H707" s="1490" t="s">
        <v>135</v>
      </c>
      <c r="I707" s="1488" t="s">
        <v>1141</v>
      </c>
      <c r="J707" s="1488" t="s">
        <v>1130</v>
      </c>
      <c r="K707" s="1490" t="s">
        <v>2464</v>
      </c>
      <c r="L707" s="1488" t="s">
        <v>428</v>
      </c>
      <c r="M707" s="1488" t="s">
        <v>1835</v>
      </c>
      <c r="N707" s="1490" t="s">
        <v>1844</v>
      </c>
      <c r="O707" s="1488" t="s">
        <v>309</v>
      </c>
      <c r="P707" s="1488" t="s">
        <v>2434</v>
      </c>
      <c r="Q707" s="1488" t="s">
        <v>293</v>
      </c>
      <c r="R707" s="1488">
        <v>50000</v>
      </c>
      <c r="S707" s="1488">
        <v>350000</v>
      </c>
      <c r="T707" s="1488">
        <v>0</v>
      </c>
      <c r="U707" s="1488">
        <f t="shared" ref="U707:U714" si="249">S707</f>
        <v>350000</v>
      </c>
      <c r="V707" s="1488">
        <v>0</v>
      </c>
      <c r="W707" s="1488">
        <v>50</v>
      </c>
      <c r="X707" s="1488">
        <v>0</v>
      </c>
      <c r="Y707" s="1488">
        <v>999</v>
      </c>
      <c r="Z707" s="1491">
        <v>720</v>
      </c>
      <c r="AA707" s="1491">
        <v>999</v>
      </c>
      <c r="AB707" s="1491">
        <v>0</v>
      </c>
      <c r="AC707" s="1491">
        <v>999999</v>
      </c>
      <c r="AD707" s="1488">
        <v>0</v>
      </c>
      <c r="AE707" s="1542">
        <v>80</v>
      </c>
      <c r="AF707" s="144">
        <v>1</v>
      </c>
      <c r="AG707" s="145">
        <v>1</v>
      </c>
      <c r="AH707" s="145">
        <v>1</v>
      </c>
      <c r="AI707" s="145">
        <v>1</v>
      </c>
      <c r="AJ707" s="145">
        <v>0</v>
      </c>
      <c r="AK707" s="145">
        <v>1</v>
      </c>
      <c r="AL707" s="145">
        <v>1</v>
      </c>
      <c r="AM707" s="145">
        <v>1</v>
      </c>
      <c r="AN707" s="145">
        <v>1</v>
      </c>
      <c r="AO707" s="145">
        <v>1</v>
      </c>
      <c r="AP707" s="145">
        <v>1</v>
      </c>
      <c r="AQ707" s="145">
        <v>1</v>
      </c>
      <c r="AR707" s="145">
        <v>1</v>
      </c>
      <c r="AS707" s="145">
        <v>1</v>
      </c>
      <c r="AT707" s="145">
        <v>1</v>
      </c>
      <c r="AU707" s="145">
        <f t="shared" si="236"/>
        <v>1</v>
      </c>
      <c r="AV707" s="145">
        <f t="shared" si="237"/>
        <v>1</v>
      </c>
      <c r="AW707" s="145">
        <f t="shared" si="238"/>
        <v>1</v>
      </c>
      <c r="AX707" s="145">
        <f t="shared" si="244"/>
        <v>1</v>
      </c>
      <c r="AY707" s="145">
        <f t="shared" si="239"/>
        <v>1</v>
      </c>
      <c r="AZ707" s="145">
        <f t="shared" si="240"/>
        <v>1</v>
      </c>
      <c r="BA707" s="146">
        <f t="shared" si="241"/>
        <v>1</v>
      </c>
      <c r="BB707" s="149">
        <f t="shared" si="245"/>
        <v>21</v>
      </c>
      <c r="BC707" s="150">
        <f t="shared" si="246"/>
        <v>20</v>
      </c>
      <c r="BD707" s="150">
        <f t="shared" si="247"/>
        <v>20</v>
      </c>
      <c r="BE707" s="211" t="str">
        <f t="shared" si="248"/>
        <v/>
      </c>
      <c r="BF707" s="194"/>
      <c r="BG707" s="194"/>
      <c r="BH707" s="190">
        <f>IF(AND(Input_Product=Elig!$C707,Elig_MatchAll_Ct&lt;22,$BC707=(Elig_MatchAll_Ct-1),AF707=0),C707,0)</f>
        <v>0</v>
      </c>
      <c r="BI707" s="190">
        <f>IF(AND(Input_Product=Elig!$C707,Elig_MatchAll_Ct&lt;22,$BC707=(Elig_MatchAll_Ct-1),AG707=0),D707,0)</f>
        <v>0</v>
      </c>
      <c r="BJ707" s="190">
        <f>IF(AND(Input_Product=Elig!$C707,Elig_MatchAll_Ct&lt;22,$BC707=(Elig_MatchAll_Ct-1),AH707=0),E707,0)</f>
        <v>0</v>
      </c>
      <c r="BK707" s="190">
        <f>IF(AND(Input_Product=Elig!$C707,Elig_MatchAll_Ct&lt;22,$BC707=(Elig_MatchAll_Ct-1),AI707=0),F707,0)</f>
        <v>0</v>
      </c>
      <c r="BL707" s="190">
        <f>IF(AND(Input_Product=Elig!$C707,Elig_MatchAll_Ct&lt;22,$BC707=(Elig_MatchAll_Ct-1),AJ707=0),G707,0)</f>
        <v>0</v>
      </c>
      <c r="BM707" s="190">
        <f>IF(AND(Input_Product=Elig!$C707,Elig_MatchAll_Ct&lt;22,$BC707=(Elig_MatchAll_Ct-1),AK707=0),H707,0)</f>
        <v>0</v>
      </c>
      <c r="BN707" s="190">
        <f>IF(AND(Input_Product=Elig!$C707,Elig_MatchAll_Ct&lt;22,$BC707=(Elig_MatchAll_Ct-1),AL707=0),I707,0)</f>
        <v>0</v>
      </c>
      <c r="BO707" s="190">
        <f>IF(AND(Input_Product=Elig!$C707,Elig_MatchAll_Ct&lt;22,$BC707=(Elig_MatchAll_Ct-1),AM707=0),J707,0)</f>
        <v>0</v>
      </c>
      <c r="BP707" s="190">
        <f>IF(AND(Input_Product=Elig!$C707,Elig_MatchAll_Ct&lt;22,$BC707=(Elig_MatchAll_Ct-1),AN707=0),K707,0)</f>
        <v>0</v>
      </c>
      <c r="BQ707" s="190">
        <f>IF(AND(Input_Product=Elig!$C707,Elig_MatchAll_Ct&lt;22,$BC707=(Elig_MatchAll_Ct-1),AP707=0),L707,0)</f>
        <v>0</v>
      </c>
      <c r="BR707" s="190">
        <f>IF(AND(Input_Product=Elig!$C707,Elig_MatchAll_Ct&lt;22,$BC707=(Elig_MatchAll_Ct-1),AO707=0),M707,0)</f>
        <v>0</v>
      </c>
      <c r="BS707" s="190">
        <f>IF(AND(Input_Product=Elig!$C707,Elig_MatchAll_Ct&lt;22,$BC707=(Elig_MatchAll_Ct-1),AQ707=0),N707,0)</f>
        <v>0</v>
      </c>
      <c r="BT707" s="190">
        <f>IF(AND(Input_Product=Elig!$C707,Elig_MatchAll_Ct&lt;22,$BC707=(Elig_MatchAll_Ct-1),AR707=0),O707,0)</f>
        <v>0</v>
      </c>
      <c r="BU707" s="190">
        <f>IF(AND(Input_Product=Elig!$C707,Elig_MatchAll_Ct&lt;22,$BC707=(Elig_MatchAll_Ct-1),AS707=0),P707,0)</f>
        <v>0</v>
      </c>
      <c r="BV707" s="191">
        <f>IF(AND(Input_Product=Elig!$C707,Elig_MatchAll_Ct&lt;22,$BC707=(Elig_MatchAll_Ct-1),AT707=0),Q707,0)</f>
        <v>0</v>
      </c>
      <c r="BW707" s="273">
        <f>IF(AND(Input_Product=Elig!$C707,Elig_MatchAll_Ct&lt;22,$BC707=(Elig_MatchAll_Ct-1),AU707=0),R707,0)</f>
        <v>0</v>
      </c>
      <c r="BX707" s="274">
        <f>IF(AND(Input_Product=Elig!$C707,Elig_MatchAll_Ct&lt;22,$BC707=(Elig_MatchAll_Ct-1),AU707=0),S707,0)</f>
        <v>0</v>
      </c>
      <c r="BY707" s="273">
        <f>IF(AND(Input_Product=Elig!$C707,Elig_MatchAll_Ct&lt;22,$BC707=(Elig_MatchAll_Ct-1),AV707=0),T707,0)</f>
        <v>0</v>
      </c>
      <c r="BZ707" s="274">
        <f>IF(AND(Input_Product=Elig!$C707,Elig_MatchAll_Ct&lt;22,$BC707=(Elig_MatchAll_Ct-1),AV707=0),U707,0)</f>
        <v>0</v>
      </c>
      <c r="CA707" s="273">
        <f>IF(AND(Input_Product=Elig!$C707,Elig_MatchAll_Ct&lt;22,$BC707=(Elig_MatchAll_Ct-1),AW707=0),V707,0)</f>
        <v>0</v>
      </c>
      <c r="CB707" s="274">
        <f>IF(AND(Input_Product=Elig!$C707,Elig_MatchAll_Ct&lt;22,$BC707=(Elig_MatchAll_Ct-1),AW707=0),W707,0)</f>
        <v>0</v>
      </c>
      <c r="CC707" s="273">
        <f>IF(AND(Input_Product=Elig!$C707,Elig_MatchAll_Ct&lt;22,$BC707=(Elig_MatchAll_Ct-1),AX707=0),X707,0)</f>
        <v>0</v>
      </c>
      <c r="CD707" s="274">
        <f>IF(AND(Input_Product=Elig!$C707,Elig_MatchAll_Ct&lt;22,$BC707=(Elig_MatchAll_Ct-1),AX707=0),Y707,0)</f>
        <v>0</v>
      </c>
      <c r="CE707" s="273">
        <f>IF(AND(Input_LTV&lt;=AE707,Input_Product=Elig!$C707,Elig_MatchAll_Ct&lt;22,$BC707=(Elig_MatchAll_Ct-1),AY707=0),Z707,0)</f>
        <v>0</v>
      </c>
      <c r="CF707" s="274">
        <f>IF(AND(Input_LTV&lt;=AE707,Input_Product=Elig!$C707,Elig_MatchAll_Ct&lt;22,$BC707=(Elig_MatchAll_Ct-1),AY707=0),AA707,0)</f>
        <v>0</v>
      </c>
      <c r="CG707" s="273">
        <f>IF(AND(Input_Product=Elig!$C707,Elig_MatchAll_Ct&lt;22,$BC707=(Elig_MatchAll_Ct-1),AZ707=0),AB707,0)</f>
        <v>0</v>
      </c>
      <c r="CH707" s="274">
        <f>IF(AND(Input_Product=Elig!$C707,Elig_MatchAll_Ct&lt;22,$BC707=(Elig_MatchAll_Ct-1),AZ707=0),AC707,0)</f>
        <v>0</v>
      </c>
      <c r="CI707" s="273">
        <f>IF(AND(Input_Product=Elig!$C707,Elig_MatchAll_Ct&lt;22,$BC707=(Elig_MatchAll_Ct-1),BA707=0),AD707,0)</f>
        <v>0</v>
      </c>
      <c r="CJ707" s="274">
        <f>IF(AND(Input_Product=Elig!$C707,Elig_MatchAll_Ct&lt;22,$BC707=(Elig_MatchAll_Ct-1),BA707=0),AE707,0)</f>
        <v>0</v>
      </c>
    </row>
    <row r="708" spans="1:88" ht="10.15" customHeight="1" x14ac:dyDescent="0.25">
      <c r="A708" s="1484" t="s">
        <v>76</v>
      </c>
      <c r="B708" s="1484" t="s">
        <v>1885</v>
      </c>
      <c r="C708" s="1485" t="str">
        <f t="shared" si="242"/>
        <v>Second NOO</v>
      </c>
      <c r="D708" s="1484" t="s">
        <v>1331</v>
      </c>
      <c r="E708" s="1484" t="s">
        <v>98</v>
      </c>
      <c r="F708" s="1484" t="s">
        <v>329</v>
      </c>
      <c r="G708" s="1544" t="s">
        <v>465</v>
      </c>
      <c r="H708" s="1486" t="s">
        <v>135</v>
      </c>
      <c r="I708" s="1484" t="s">
        <v>1141</v>
      </c>
      <c r="J708" s="1484" t="s">
        <v>1130</v>
      </c>
      <c r="K708" s="1486" t="s">
        <v>2464</v>
      </c>
      <c r="L708" s="1484" t="s">
        <v>428</v>
      </c>
      <c r="M708" s="1484" t="s">
        <v>1835</v>
      </c>
      <c r="N708" s="1486" t="s">
        <v>1844</v>
      </c>
      <c r="O708" s="1484" t="s">
        <v>309</v>
      </c>
      <c r="P708" s="1484" t="s">
        <v>2434</v>
      </c>
      <c r="Q708" s="1484" t="s">
        <v>293</v>
      </c>
      <c r="R708" s="1484">
        <v>50000</v>
      </c>
      <c r="S708" s="1484">
        <v>350000</v>
      </c>
      <c r="T708" s="1484">
        <v>0</v>
      </c>
      <c r="U708" s="1484">
        <f t="shared" si="249"/>
        <v>350000</v>
      </c>
      <c r="V708" s="1484">
        <v>0</v>
      </c>
      <c r="W708" s="1484">
        <v>50</v>
      </c>
      <c r="X708" s="1484">
        <v>0</v>
      </c>
      <c r="Y708" s="1484">
        <v>999</v>
      </c>
      <c r="Z708" s="1487">
        <v>700</v>
      </c>
      <c r="AA708" s="1487">
        <v>719</v>
      </c>
      <c r="AB708" s="1487">
        <v>0</v>
      </c>
      <c r="AC708" s="1487">
        <v>999999</v>
      </c>
      <c r="AD708" s="1484">
        <v>0</v>
      </c>
      <c r="AE708" s="1543">
        <v>75</v>
      </c>
      <c r="AF708" s="144">
        <v>1</v>
      </c>
      <c r="AG708" s="145">
        <v>1</v>
      </c>
      <c r="AH708" s="145">
        <v>1</v>
      </c>
      <c r="AI708" s="145">
        <v>1</v>
      </c>
      <c r="AJ708" s="145">
        <v>0</v>
      </c>
      <c r="AK708" s="145">
        <v>1</v>
      </c>
      <c r="AL708" s="145">
        <v>1</v>
      </c>
      <c r="AM708" s="145">
        <v>1</v>
      </c>
      <c r="AN708" s="145">
        <v>1</v>
      </c>
      <c r="AO708" s="145">
        <v>1</v>
      </c>
      <c r="AP708" s="145">
        <v>1</v>
      </c>
      <c r="AQ708" s="145">
        <v>1</v>
      </c>
      <c r="AR708" s="145">
        <v>1</v>
      </c>
      <c r="AS708" s="145">
        <v>1</v>
      </c>
      <c r="AT708" s="145">
        <v>1</v>
      </c>
      <c r="AU708" s="145">
        <f t="shared" si="236"/>
        <v>1</v>
      </c>
      <c r="AV708" s="145">
        <f t="shared" si="237"/>
        <v>1</v>
      </c>
      <c r="AW708" s="145">
        <f t="shared" si="238"/>
        <v>1</v>
      </c>
      <c r="AX708" s="145">
        <f t="shared" si="244"/>
        <v>1</v>
      </c>
      <c r="AY708" s="145">
        <f t="shared" si="239"/>
        <v>0</v>
      </c>
      <c r="AZ708" s="145">
        <f t="shared" si="240"/>
        <v>1</v>
      </c>
      <c r="BA708" s="146">
        <f t="shared" si="241"/>
        <v>1</v>
      </c>
      <c r="BB708" s="149">
        <f t="shared" si="245"/>
        <v>20</v>
      </c>
      <c r="BC708" s="150">
        <f t="shared" si="246"/>
        <v>19</v>
      </c>
      <c r="BD708" s="150">
        <f t="shared" si="247"/>
        <v>19</v>
      </c>
      <c r="BE708" s="211" t="str">
        <f t="shared" si="248"/>
        <v/>
      </c>
      <c r="BF708" s="205"/>
      <c r="BG708" s="205"/>
      <c r="BH708" s="173">
        <f>IF(AND(Input_Product=Elig!$C708,Elig_MatchAll_Ct&lt;22,$BC708=(Elig_MatchAll_Ct-1),AF708=0),C708,0)</f>
        <v>0</v>
      </c>
      <c r="BI708" s="173">
        <f>IF(AND(Input_Product=Elig!$C708,Elig_MatchAll_Ct&lt;22,$BC708=(Elig_MatchAll_Ct-1),AG708=0),D708,0)</f>
        <v>0</v>
      </c>
      <c r="BJ708" s="173">
        <f>IF(AND(Input_Product=Elig!$C708,Elig_MatchAll_Ct&lt;22,$BC708=(Elig_MatchAll_Ct-1),AH708=0),E708,0)</f>
        <v>0</v>
      </c>
      <c r="BK708" s="173">
        <f>IF(AND(Input_Product=Elig!$C708,Elig_MatchAll_Ct&lt;22,$BC708=(Elig_MatchAll_Ct-1),AI708=0),F708,0)</f>
        <v>0</v>
      </c>
      <c r="BL708" s="173">
        <f>IF(AND(Input_Product=Elig!$C708,Elig_MatchAll_Ct&lt;22,$BC708=(Elig_MatchAll_Ct-1),AJ708=0),G708,0)</f>
        <v>0</v>
      </c>
      <c r="BM708" s="173">
        <f>IF(AND(Input_Product=Elig!$C708,Elig_MatchAll_Ct&lt;22,$BC708=(Elig_MatchAll_Ct-1),AK708=0),H708,0)</f>
        <v>0</v>
      </c>
      <c r="BN708" s="173">
        <f>IF(AND(Input_Product=Elig!$C708,Elig_MatchAll_Ct&lt;22,$BC708=(Elig_MatchAll_Ct-1),AL708=0),I708,0)</f>
        <v>0</v>
      </c>
      <c r="BO708" s="173">
        <f>IF(AND(Input_Product=Elig!$C708,Elig_MatchAll_Ct&lt;22,$BC708=(Elig_MatchAll_Ct-1),AM708=0),J708,0)</f>
        <v>0</v>
      </c>
      <c r="BP708" s="173">
        <f>IF(AND(Input_Product=Elig!$C708,Elig_MatchAll_Ct&lt;22,$BC708=(Elig_MatchAll_Ct-1),AN708=0),K708,0)</f>
        <v>0</v>
      </c>
      <c r="BQ708" s="173">
        <f>IF(AND(Input_Product=Elig!$C708,Elig_MatchAll_Ct&lt;22,$BC708=(Elig_MatchAll_Ct-1),AP708=0),L708,0)</f>
        <v>0</v>
      </c>
      <c r="BR708" s="173">
        <f>IF(AND(Input_Product=Elig!$C708,Elig_MatchAll_Ct&lt;22,$BC708=(Elig_MatchAll_Ct-1),AO708=0),M708,0)</f>
        <v>0</v>
      </c>
      <c r="BS708" s="173">
        <f>IF(AND(Input_Product=Elig!$C708,Elig_MatchAll_Ct&lt;22,$BC708=(Elig_MatchAll_Ct-1),AQ708=0),N708,0)</f>
        <v>0</v>
      </c>
      <c r="BT708" s="173">
        <f>IF(AND(Input_Product=Elig!$C708,Elig_MatchAll_Ct&lt;22,$BC708=(Elig_MatchAll_Ct-1),AR708=0),O708,0)</f>
        <v>0</v>
      </c>
      <c r="BU708" s="173">
        <f>IF(AND(Input_Product=Elig!$C708,Elig_MatchAll_Ct&lt;22,$BC708=(Elig_MatchAll_Ct-1),AS708=0),P708,0)</f>
        <v>0</v>
      </c>
      <c r="BV708" s="174">
        <f>IF(AND(Input_Product=Elig!$C708,Elig_MatchAll_Ct&lt;22,$BC708=(Elig_MatchAll_Ct-1),AT708=0),Q708,0)</f>
        <v>0</v>
      </c>
      <c r="BW708" s="175">
        <f>IF(AND(Input_Product=Elig!$C708,Elig_MatchAll_Ct&lt;22,$BC708=(Elig_MatchAll_Ct-1),AU708=0),R708,0)</f>
        <v>0</v>
      </c>
      <c r="BX708" s="176">
        <f>IF(AND(Input_Product=Elig!$C708,Elig_MatchAll_Ct&lt;22,$BC708=(Elig_MatchAll_Ct-1),AU708=0),S708,0)</f>
        <v>0</v>
      </c>
      <c r="BY708" s="175">
        <f>IF(AND(Input_Product=Elig!$C708,Elig_MatchAll_Ct&lt;22,$BC708=(Elig_MatchAll_Ct-1),AV708=0),T708,0)</f>
        <v>0</v>
      </c>
      <c r="BZ708" s="176">
        <f>IF(AND(Input_Product=Elig!$C708,Elig_MatchAll_Ct&lt;22,$BC708=(Elig_MatchAll_Ct-1),AV708=0),U708,0)</f>
        <v>0</v>
      </c>
      <c r="CA708" s="175">
        <f>IF(AND(Input_Product=Elig!$C708,Elig_MatchAll_Ct&lt;22,$BC708=(Elig_MatchAll_Ct-1),AW708=0),V708,0)</f>
        <v>0</v>
      </c>
      <c r="CB708" s="176">
        <f>IF(AND(Input_Product=Elig!$C708,Elig_MatchAll_Ct&lt;22,$BC708=(Elig_MatchAll_Ct-1),AW708=0),W708,0)</f>
        <v>0</v>
      </c>
      <c r="CC708" s="175">
        <f>IF(AND(Input_Product=Elig!$C708,Elig_MatchAll_Ct&lt;22,$BC708=(Elig_MatchAll_Ct-1),AX708=0),X708,0)</f>
        <v>0</v>
      </c>
      <c r="CD708" s="176">
        <f>IF(AND(Input_Product=Elig!$C708,Elig_MatchAll_Ct&lt;22,$BC708=(Elig_MatchAll_Ct-1),AX708=0),Y708,0)</f>
        <v>0</v>
      </c>
      <c r="CE708" s="175">
        <f>IF(AND(Input_LTV&lt;=AE708,Input_Product=Elig!$C708,Elig_MatchAll_Ct&lt;22,$BC708=(Elig_MatchAll_Ct-1),AY708=0),Z708,0)</f>
        <v>0</v>
      </c>
      <c r="CF708" s="176">
        <f>IF(AND(Input_LTV&lt;=AE708,Input_Product=Elig!$C708,Elig_MatchAll_Ct&lt;22,$BC708=(Elig_MatchAll_Ct-1),AY708=0),AA708,0)</f>
        <v>0</v>
      </c>
      <c r="CG708" s="175">
        <f>IF(AND(Input_Product=Elig!$C708,Elig_MatchAll_Ct&lt;22,$BC708=(Elig_MatchAll_Ct-1),AZ708=0),AB708,0)</f>
        <v>0</v>
      </c>
      <c r="CH708" s="176">
        <f>IF(AND(Input_Product=Elig!$C708,Elig_MatchAll_Ct&lt;22,$BC708=(Elig_MatchAll_Ct-1),AZ708=0),AC708,0)</f>
        <v>0</v>
      </c>
      <c r="CI708" s="175">
        <f>IF(AND(Input_Product=Elig!$C708,Elig_MatchAll_Ct&lt;22,$BC708=(Elig_MatchAll_Ct-1),BA708=0),AD708,0)</f>
        <v>0</v>
      </c>
      <c r="CJ708" s="176">
        <f>IF(AND(Input_Product=Elig!$C708,Elig_MatchAll_Ct&lt;22,$BC708=(Elig_MatchAll_Ct-1),BA708=0),AE708,0)</f>
        <v>0</v>
      </c>
    </row>
    <row r="709" spans="1:88" ht="10.15" customHeight="1" x14ac:dyDescent="0.25">
      <c r="A709" s="1484" t="s">
        <v>76</v>
      </c>
      <c r="B709" s="1484" t="s">
        <v>1886</v>
      </c>
      <c r="C709" s="1485" t="str">
        <f t="shared" si="242"/>
        <v>Second NOO</v>
      </c>
      <c r="D709" s="1484" t="s">
        <v>1331</v>
      </c>
      <c r="E709" s="1484" t="s">
        <v>98</v>
      </c>
      <c r="F709" s="1484" t="s">
        <v>329</v>
      </c>
      <c r="G709" s="1544" t="s">
        <v>465</v>
      </c>
      <c r="H709" s="1486" t="s">
        <v>135</v>
      </c>
      <c r="I709" s="1484" t="s">
        <v>1141</v>
      </c>
      <c r="J709" s="1484" t="s">
        <v>1130</v>
      </c>
      <c r="K709" s="1486" t="s">
        <v>2464</v>
      </c>
      <c r="L709" s="1484" t="s">
        <v>428</v>
      </c>
      <c r="M709" s="1484" t="s">
        <v>1835</v>
      </c>
      <c r="N709" s="1486" t="s">
        <v>1844</v>
      </c>
      <c r="O709" s="1484" t="s">
        <v>309</v>
      </c>
      <c r="P709" s="1484" t="s">
        <v>2434</v>
      </c>
      <c r="Q709" s="1484" t="s">
        <v>293</v>
      </c>
      <c r="R709" s="1484">
        <v>50000</v>
      </c>
      <c r="S709" s="1484">
        <v>350000</v>
      </c>
      <c r="T709" s="1484">
        <v>0</v>
      </c>
      <c r="U709" s="1484">
        <f t="shared" si="249"/>
        <v>350000</v>
      </c>
      <c r="V709" s="1484">
        <v>0</v>
      </c>
      <c r="W709" s="1484">
        <v>50</v>
      </c>
      <c r="X709" s="1484">
        <v>0</v>
      </c>
      <c r="Y709" s="1484">
        <v>999</v>
      </c>
      <c r="Z709" s="1487">
        <v>680</v>
      </c>
      <c r="AA709" s="1487">
        <v>699</v>
      </c>
      <c r="AB709" s="1487">
        <v>0</v>
      </c>
      <c r="AC709" s="1487">
        <v>999999</v>
      </c>
      <c r="AD709" s="1484">
        <v>0</v>
      </c>
      <c r="AE709" s="1543">
        <v>70</v>
      </c>
      <c r="AF709" s="144">
        <v>1</v>
      </c>
      <c r="AG709" s="145">
        <v>1</v>
      </c>
      <c r="AH709" s="145">
        <v>1</v>
      </c>
      <c r="AI709" s="145">
        <v>1</v>
      </c>
      <c r="AJ709" s="145">
        <v>0</v>
      </c>
      <c r="AK709" s="145">
        <v>1</v>
      </c>
      <c r="AL709" s="145">
        <v>1</v>
      </c>
      <c r="AM709" s="145">
        <v>1</v>
      </c>
      <c r="AN709" s="145">
        <v>1</v>
      </c>
      <c r="AO709" s="145">
        <v>1</v>
      </c>
      <c r="AP709" s="145">
        <v>1</v>
      </c>
      <c r="AQ709" s="145">
        <v>1</v>
      </c>
      <c r="AR709" s="145">
        <v>1</v>
      </c>
      <c r="AS709" s="145">
        <v>1</v>
      </c>
      <c r="AT709" s="145">
        <v>1</v>
      </c>
      <c r="AU709" s="145">
        <f t="shared" si="236"/>
        <v>1</v>
      </c>
      <c r="AV709" s="145">
        <f t="shared" si="237"/>
        <v>1</v>
      </c>
      <c r="AW709" s="145">
        <f t="shared" si="238"/>
        <v>1</v>
      </c>
      <c r="AX709" s="145">
        <f t="shared" si="244"/>
        <v>1</v>
      </c>
      <c r="AY709" s="145">
        <f t="shared" si="239"/>
        <v>0</v>
      </c>
      <c r="AZ709" s="145">
        <f t="shared" si="240"/>
        <v>1</v>
      </c>
      <c r="BA709" s="146">
        <f t="shared" si="241"/>
        <v>1</v>
      </c>
      <c r="BB709" s="149">
        <f t="shared" si="245"/>
        <v>20</v>
      </c>
      <c r="BC709" s="150">
        <f t="shared" si="246"/>
        <v>19</v>
      </c>
      <c r="BD709" s="150">
        <f t="shared" si="247"/>
        <v>19</v>
      </c>
      <c r="BE709" s="211" t="str">
        <f t="shared" si="248"/>
        <v/>
      </c>
      <c r="BF709" s="205"/>
      <c r="BG709" s="205"/>
      <c r="BH709" s="173">
        <f>IF(AND(Input_Product=Elig!$C709,Elig_MatchAll_Ct&lt;22,$BC709=(Elig_MatchAll_Ct-1),AF709=0),C709,0)</f>
        <v>0</v>
      </c>
      <c r="BI709" s="173">
        <f>IF(AND(Input_Product=Elig!$C709,Elig_MatchAll_Ct&lt;22,$BC709=(Elig_MatchAll_Ct-1),AG709=0),D709,0)</f>
        <v>0</v>
      </c>
      <c r="BJ709" s="173">
        <f>IF(AND(Input_Product=Elig!$C709,Elig_MatchAll_Ct&lt;22,$BC709=(Elig_MatchAll_Ct-1),AH709=0),E709,0)</f>
        <v>0</v>
      </c>
      <c r="BK709" s="173">
        <f>IF(AND(Input_Product=Elig!$C709,Elig_MatchAll_Ct&lt;22,$BC709=(Elig_MatchAll_Ct-1),AI709=0),F709,0)</f>
        <v>0</v>
      </c>
      <c r="BL709" s="173">
        <f>IF(AND(Input_Product=Elig!$C709,Elig_MatchAll_Ct&lt;22,$BC709=(Elig_MatchAll_Ct-1),AJ709=0),G709,0)</f>
        <v>0</v>
      </c>
      <c r="BM709" s="173">
        <f>IF(AND(Input_Product=Elig!$C709,Elig_MatchAll_Ct&lt;22,$BC709=(Elig_MatchAll_Ct-1),AK709=0),H709,0)</f>
        <v>0</v>
      </c>
      <c r="BN709" s="173">
        <f>IF(AND(Input_Product=Elig!$C709,Elig_MatchAll_Ct&lt;22,$BC709=(Elig_MatchAll_Ct-1),AL709=0),I709,0)</f>
        <v>0</v>
      </c>
      <c r="BO709" s="173">
        <f>IF(AND(Input_Product=Elig!$C709,Elig_MatchAll_Ct&lt;22,$BC709=(Elig_MatchAll_Ct-1),AM709=0),J709,0)</f>
        <v>0</v>
      </c>
      <c r="BP709" s="173">
        <f>IF(AND(Input_Product=Elig!$C709,Elig_MatchAll_Ct&lt;22,$BC709=(Elig_MatchAll_Ct-1),AN709=0),K709,0)</f>
        <v>0</v>
      </c>
      <c r="BQ709" s="173">
        <f>IF(AND(Input_Product=Elig!$C709,Elig_MatchAll_Ct&lt;22,$BC709=(Elig_MatchAll_Ct-1),AP709=0),L709,0)</f>
        <v>0</v>
      </c>
      <c r="BR709" s="173">
        <f>IF(AND(Input_Product=Elig!$C709,Elig_MatchAll_Ct&lt;22,$BC709=(Elig_MatchAll_Ct-1),AO709=0),M709,0)</f>
        <v>0</v>
      </c>
      <c r="BS709" s="173">
        <f>IF(AND(Input_Product=Elig!$C709,Elig_MatchAll_Ct&lt;22,$BC709=(Elig_MatchAll_Ct-1),AQ709=0),N709,0)</f>
        <v>0</v>
      </c>
      <c r="BT709" s="173">
        <f>IF(AND(Input_Product=Elig!$C709,Elig_MatchAll_Ct&lt;22,$BC709=(Elig_MatchAll_Ct-1),AR709=0),O709,0)</f>
        <v>0</v>
      </c>
      <c r="BU709" s="173">
        <f>IF(AND(Input_Product=Elig!$C709,Elig_MatchAll_Ct&lt;22,$BC709=(Elig_MatchAll_Ct-1),AS709=0),P709,0)</f>
        <v>0</v>
      </c>
      <c r="BV709" s="174">
        <f>IF(AND(Input_Product=Elig!$C709,Elig_MatchAll_Ct&lt;22,$BC709=(Elig_MatchAll_Ct-1),AT709=0),Q709,0)</f>
        <v>0</v>
      </c>
      <c r="BW709" s="175">
        <f>IF(AND(Input_Product=Elig!$C709,Elig_MatchAll_Ct&lt;22,$BC709=(Elig_MatchAll_Ct-1),AU709=0),R709,0)</f>
        <v>0</v>
      </c>
      <c r="BX709" s="176">
        <f>IF(AND(Input_Product=Elig!$C709,Elig_MatchAll_Ct&lt;22,$BC709=(Elig_MatchAll_Ct-1),AU709=0),S709,0)</f>
        <v>0</v>
      </c>
      <c r="BY709" s="175">
        <f>IF(AND(Input_Product=Elig!$C709,Elig_MatchAll_Ct&lt;22,$BC709=(Elig_MatchAll_Ct-1),AV709=0),T709,0)</f>
        <v>0</v>
      </c>
      <c r="BZ709" s="176">
        <f>IF(AND(Input_Product=Elig!$C709,Elig_MatchAll_Ct&lt;22,$BC709=(Elig_MatchAll_Ct-1),AV709=0),U709,0)</f>
        <v>0</v>
      </c>
      <c r="CA709" s="175">
        <f>IF(AND(Input_Product=Elig!$C709,Elig_MatchAll_Ct&lt;22,$BC709=(Elig_MatchAll_Ct-1),AW709=0),V709,0)</f>
        <v>0</v>
      </c>
      <c r="CB709" s="176">
        <f>IF(AND(Input_Product=Elig!$C709,Elig_MatchAll_Ct&lt;22,$BC709=(Elig_MatchAll_Ct-1),AW709=0),W709,0)</f>
        <v>0</v>
      </c>
      <c r="CC709" s="175">
        <f>IF(AND(Input_Product=Elig!$C709,Elig_MatchAll_Ct&lt;22,$BC709=(Elig_MatchAll_Ct-1),AX709=0),X709,0)</f>
        <v>0</v>
      </c>
      <c r="CD709" s="176">
        <f>IF(AND(Input_Product=Elig!$C709,Elig_MatchAll_Ct&lt;22,$BC709=(Elig_MatchAll_Ct-1),AX709=0),Y709,0)</f>
        <v>0</v>
      </c>
      <c r="CE709" s="175">
        <f>IF(AND(Input_LTV&lt;=AE709,Input_Product=Elig!$C709,Elig_MatchAll_Ct&lt;22,$BC709=(Elig_MatchAll_Ct-1),AY709=0),Z709,0)</f>
        <v>0</v>
      </c>
      <c r="CF709" s="176">
        <f>IF(AND(Input_LTV&lt;=AE709,Input_Product=Elig!$C709,Elig_MatchAll_Ct&lt;22,$BC709=(Elig_MatchAll_Ct-1),AY709=0),AA709,0)</f>
        <v>0</v>
      </c>
      <c r="CG709" s="175">
        <f>IF(AND(Input_Product=Elig!$C709,Elig_MatchAll_Ct&lt;22,$BC709=(Elig_MatchAll_Ct-1),AZ709=0),AB709,0)</f>
        <v>0</v>
      </c>
      <c r="CH709" s="176">
        <f>IF(AND(Input_Product=Elig!$C709,Elig_MatchAll_Ct&lt;22,$BC709=(Elig_MatchAll_Ct-1),AZ709=0),AC709,0)</f>
        <v>0</v>
      </c>
      <c r="CI709" s="175">
        <f>IF(AND(Input_Product=Elig!$C709,Elig_MatchAll_Ct&lt;22,$BC709=(Elig_MatchAll_Ct-1),BA709=0),AD709,0)</f>
        <v>0</v>
      </c>
      <c r="CJ709" s="176">
        <f>IF(AND(Input_Product=Elig!$C709,Elig_MatchAll_Ct&lt;22,$BC709=(Elig_MatchAll_Ct-1),BA709=0),AE709,0)</f>
        <v>0</v>
      </c>
    </row>
    <row r="710" spans="1:88" ht="10.15" customHeight="1" x14ac:dyDescent="0.25">
      <c r="A710" s="1484" t="s">
        <v>76</v>
      </c>
      <c r="B710" s="1484" t="s">
        <v>1887</v>
      </c>
      <c r="C710" s="1485" t="str">
        <f t="shared" si="242"/>
        <v>Second NOO</v>
      </c>
      <c r="D710" s="1484" t="s">
        <v>1331</v>
      </c>
      <c r="E710" s="1484" t="s">
        <v>98</v>
      </c>
      <c r="F710" s="1484" t="s">
        <v>329</v>
      </c>
      <c r="G710" s="1545" t="s">
        <v>465</v>
      </c>
      <c r="H710" s="1486" t="s">
        <v>135</v>
      </c>
      <c r="I710" s="1484" t="s">
        <v>1141</v>
      </c>
      <c r="J710" s="1484" t="s">
        <v>1130</v>
      </c>
      <c r="K710" s="1486" t="s">
        <v>2464</v>
      </c>
      <c r="L710" s="1484" t="s">
        <v>428</v>
      </c>
      <c r="M710" s="1484" t="s">
        <v>1835</v>
      </c>
      <c r="N710" s="1486" t="s">
        <v>1844</v>
      </c>
      <c r="O710" s="1484" t="s">
        <v>309</v>
      </c>
      <c r="P710" s="1484" t="s">
        <v>2434</v>
      </c>
      <c r="Q710" s="1484" t="s">
        <v>293</v>
      </c>
      <c r="R710" s="1484">
        <v>50000</v>
      </c>
      <c r="S710" s="1484">
        <v>350000</v>
      </c>
      <c r="T710" s="1484">
        <v>0</v>
      </c>
      <c r="U710" s="1484">
        <f t="shared" si="249"/>
        <v>350000</v>
      </c>
      <c r="V710" s="1484">
        <v>0</v>
      </c>
      <c r="W710" s="1484">
        <v>50</v>
      </c>
      <c r="X710" s="1484">
        <v>0</v>
      </c>
      <c r="Y710" s="1484">
        <v>999</v>
      </c>
      <c r="Z710" s="1487">
        <v>660</v>
      </c>
      <c r="AA710" s="1487">
        <v>679</v>
      </c>
      <c r="AB710" s="1487">
        <v>0</v>
      </c>
      <c r="AC710" s="1487">
        <v>999999</v>
      </c>
      <c r="AD710" s="1484">
        <v>0</v>
      </c>
      <c r="AE710" s="1484">
        <v>60</v>
      </c>
      <c r="AF710" s="144">
        <v>1</v>
      </c>
      <c r="AG710" s="145">
        <v>1</v>
      </c>
      <c r="AH710" s="145">
        <v>1</v>
      </c>
      <c r="AI710" s="145">
        <v>1</v>
      </c>
      <c r="AJ710" s="145">
        <v>0</v>
      </c>
      <c r="AK710" s="145">
        <v>1</v>
      </c>
      <c r="AL710" s="145">
        <v>1</v>
      </c>
      <c r="AM710" s="145">
        <v>1</v>
      </c>
      <c r="AN710" s="145">
        <v>1</v>
      </c>
      <c r="AO710" s="145">
        <v>1</v>
      </c>
      <c r="AP710" s="145">
        <v>1</v>
      </c>
      <c r="AQ710" s="145">
        <v>1</v>
      </c>
      <c r="AR710" s="145">
        <v>1</v>
      </c>
      <c r="AS710" s="145">
        <v>1</v>
      </c>
      <c r="AT710" s="145">
        <v>1</v>
      </c>
      <c r="AU710" s="145">
        <f t="shared" si="236"/>
        <v>1</v>
      </c>
      <c r="AV710" s="145">
        <f t="shared" si="237"/>
        <v>1</v>
      </c>
      <c r="AW710" s="145">
        <f t="shared" si="238"/>
        <v>1</v>
      </c>
      <c r="AX710" s="145">
        <f t="shared" si="244"/>
        <v>1</v>
      </c>
      <c r="AY710" s="145">
        <f t="shared" si="239"/>
        <v>0</v>
      </c>
      <c r="AZ710" s="145">
        <f t="shared" si="240"/>
        <v>1</v>
      </c>
      <c r="BA710" s="146">
        <f t="shared" si="241"/>
        <v>0</v>
      </c>
      <c r="BB710" s="149">
        <f t="shared" si="245"/>
        <v>19</v>
      </c>
      <c r="BC710" s="150">
        <f t="shared" si="246"/>
        <v>19</v>
      </c>
      <c r="BD710" s="150">
        <f t="shared" si="247"/>
        <v>18</v>
      </c>
      <c r="BE710" s="211" t="str">
        <f t="shared" si="248"/>
        <v/>
      </c>
      <c r="BF710" s="205"/>
      <c r="BG710" s="205"/>
      <c r="BH710" s="188">
        <f>IF(AND(Input_Product=Elig!$C710,Elig_MatchAll_Ct&lt;22,$BC710=(Elig_MatchAll_Ct-1),AF710=0),C710,0)</f>
        <v>0</v>
      </c>
      <c r="BI710" s="188">
        <f>IF(AND(Input_Product=Elig!$C710,Elig_MatchAll_Ct&lt;22,$BC710=(Elig_MatchAll_Ct-1),AG710=0),D710,0)</f>
        <v>0</v>
      </c>
      <c r="BJ710" s="188">
        <f>IF(AND(Input_Product=Elig!$C710,Elig_MatchAll_Ct&lt;22,$BC710=(Elig_MatchAll_Ct-1),AH710=0),E710,0)</f>
        <v>0</v>
      </c>
      <c r="BK710" s="188">
        <f>IF(AND(Input_Product=Elig!$C710,Elig_MatchAll_Ct&lt;22,$BC710=(Elig_MatchAll_Ct-1),AI710=0),F710,0)</f>
        <v>0</v>
      </c>
      <c r="BL710" s="188">
        <f>IF(AND(Input_Product=Elig!$C710,Elig_MatchAll_Ct&lt;22,$BC710=(Elig_MatchAll_Ct-1),AJ710=0),G710,0)</f>
        <v>0</v>
      </c>
      <c r="BM710" s="188">
        <f>IF(AND(Input_Product=Elig!$C710,Elig_MatchAll_Ct&lt;22,$BC710=(Elig_MatchAll_Ct-1),AK710=0),H710,0)</f>
        <v>0</v>
      </c>
      <c r="BN710" s="188">
        <f>IF(AND(Input_Product=Elig!$C710,Elig_MatchAll_Ct&lt;22,$BC710=(Elig_MatchAll_Ct-1),AL710=0),I710,0)</f>
        <v>0</v>
      </c>
      <c r="BO710" s="188">
        <f>IF(AND(Input_Product=Elig!$C710,Elig_MatchAll_Ct&lt;22,$BC710=(Elig_MatchAll_Ct-1),AM710=0),J710,0)</f>
        <v>0</v>
      </c>
      <c r="BP710" s="188">
        <f>IF(AND(Input_Product=Elig!$C710,Elig_MatchAll_Ct&lt;22,$BC710=(Elig_MatchAll_Ct-1),AN710=0),K710,0)</f>
        <v>0</v>
      </c>
      <c r="BQ710" s="188">
        <f>IF(AND(Input_Product=Elig!$C710,Elig_MatchAll_Ct&lt;22,$BC710=(Elig_MatchAll_Ct-1),AP710=0),L710,0)</f>
        <v>0</v>
      </c>
      <c r="BR710" s="188">
        <f>IF(AND(Input_Product=Elig!$C710,Elig_MatchAll_Ct&lt;22,$BC710=(Elig_MatchAll_Ct-1),AO710=0),M710,0)</f>
        <v>0</v>
      </c>
      <c r="BS710" s="188">
        <f>IF(AND(Input_Product=Elig!$C710,Elig_MatchAll_Ct&lt;22,$BC710=(Elig_MatchAll_Ct-1),AQ710=0),N710,0)</f>
        <v>0</v>
      </c>
      <c r="BT710" s="188">
        <f>IF(AND(Input_Product=Elig!$C710,Elig_MatchAll_Ct&lt;22,$BC710=(Elig_MatchAll_Ct-1),AR710=0),O710,0)</f>
        <v>0</v>
      </c>
      <c r="BU710" s="188">
        <f>IF(AND(Input_Product=Elig!$C710,Elig_MatchAll_Ct&lt;22,$BC710=(Elig_MatchAll_Ct-1),AS710=0),P710,0)</f>
        <v>0</v>
      </c>
      <c r="BV710" s="189">
        <f>IF(AND(Input_Product=Elig!$C710,Elig_MatchAll_Ct&lt;22,$BC710=(Elig_MatchAll_Ct-1),AT710=0),Q710,0)</f>
        <v>0</v>
      </c>
      <c r="BW710" s="271">
        <f>IF(AND(Input_Product=Elig!$C710,Elig_MatchAll_Ct&lt;22,$BC710=(Elig_MatchAll_Ct-1),AU710=0),R710,0)</f>
        <v>0</v>
      </c>
      <c r="BX710" s="272">
        <f>IF(AND(Input_Product=Elig!$C710,Elig_MatchAll_Ct&lt;22,$BC710=(Elig_MatchAll_Ct-1),AU710=0),S710,0)</f>
        <v>0</v>
      </c>
      <c r="BY710" s="271">
        <f>IF(AND(Input_Product=Elig!$C710,Elig_MatchAll_Ct&lt;22,$BC710=(Elig_MatchAll_Ct-1),AV710=0),T710,0)</f>
        <v>0</v>
      </c>
      <c r="BZ710" s="272">
        <f>IF(AND(Input_Product=Elig!$C710,Elig_MatchAll_Ct&lt;22,$BC710=(Elig_MatchAll_Ct-1),AV710=0),U710,0)</f>
        <v>0</v>
      </c>
      <c r="CA710" s="271">
        <f>IF(AND(Input_Product=Elig!$C710,Elig_MatchAll_Ct&lt;22,$BC710=(Elig_MatchAll_Ct-1),AW710=0),V710,0)</f>
        <v>0</v>
      </c>
      <c r="CB710" s="272">
        <f>IF(AND(Input_Product=Elig!$C710,Elig_MatchAll_Ct&lt;22,$BC710=(Elig_MatchAll_Ct-1),AW710=0),W710,0)</f>
        <v>0</v>
      </c>
      <c r="CC710" s="271">
        <f>IF(AND(Input_Product=Elig!$C710,Elig_MatchAll_Ct&lt;22,$BC710=(Elig_MatchAll_Ct-1),AX710=0),X710,0)</f>
        <v>0</v>
      </c>
      <c r="CD710" s="272">
        <f>IF(AND(Input_Product=Elig!$C710,Elig_MatchAll_Ct&lt;22,$BC710=(Elig_MatchAll_Ct-1),AX710=0),Y710,0)</f>
        <v>0</v>
      </c>
      <c r="CE710" s="271">
        <f>IF(AND(Input_LTV&lt;=AE710,Input_Product=Elig!$C710,Elig_MatchAll_Ct&lt;22,$BC710=(Elig_MatchAll_Ct-1),AY710=0),Z710,0)</f>
        <v>0</v>
      </c>
      <c r="CF710" s="272">
        <f>IF(AND(Input_LTV&lt;=AE710,Input_Product=Elig!$C710,Elig_MatchAll_Ct&lt;22,$BC710=(Elig_MatchAll_Ct-1),AY710=0),AA710,0)</f>
        <v>0</v>
      </c>
      <c r="CG710" s="271">
        <f>IF(AND(Input_Product=Elig!$C710,Elig_MatchAll_Ct&lt;22,$BC710=(Elig_MatchAll_Ct-1),AZ710=0),AB710,0)</f>
        <v>0</v>
      </c>
      <c r="CH710" s="272">
        <f>IF(AND(Input_Product=Elig!$C710,Elig_MatchAll_Ct&lt;22,$BC710=(Elig_MatchAll_Ct-1),AZ710=0),AC710,0)</f>
        <v>0</v>
      </c>
      <c r="CI710" s="271">
        <f>IF(AND(Input_Product=Elig!$C710,Elig_MatchAll_Ct&lt;22,$BC710=(Elig_MatchAll_Ct-1),BA710=0),AD710,0)</f>
        <v>0</v>
      </c>
      <c r="CJ710" s="272">
        <f>IF(AND(Input_Product=Elig!$C710,Elig_MatchAll_Ct&lt;22,$BC710=(Elig_MatchAll_Ct-1),BA710=0),AE710,0)</f>
        <v>0</v>
      </c>
    </row>
    <row r="711" spans="1:88" ht="10.15" customHeight="1" x14ac:dyDescent="0.25">
      <c r="A711" s="1484" t="s">
        <v>76</v>
      </c>
      <c r="B711" s="1484" t="s">
        <v>1888</v>
      </c>
      <c r="C711" s="1489" t="str">
        <f t="shared" si="242"/>
        <v>Second NOO</v>
      </c>
      <c r="D711" s="1490" t="s">
        <v>1121</v>
      </c>
      <c r="E711" s="1490" t="s">
        <v>98</v>
      </c>
      <c r="F711" s="1490" t="s">
        <v>329</v>
      </c>
      <c r="G711" s="1537" t="s">
        <v>465</v>
      </c>
      <c r="H711" s="1490" t="s">
        <v>135</v>
      </c>
      <c r="I711" s="1488" t="s">
        <v>1141</v>
      </c>
      <c r="J711" s="1488" t="s">
        <v>1130</v>
      </c>
      <c r="K711" s="1490" t="s">
        <v>2464</v>
      </c>
      <c r="L711" s="1488" t="s">
        <v>428</v>
      </c>
      <c r="M711" s="1488" t="s">
        <v>1835</v>
      </c>
      <c r="N711" s="1490" t="s">
        <v>1844</v>
      </c>
      <c r="O711" s="1488" t="s">
        <v>309</v>
      </c>
      <c r="P711" s="1488" t="s">
        <v>2434</v>
      </c>
      <c r="Q711" s="1488" t="s">
        <v>293</v>
      </c>
      <c r="R711" s="1488">
        <v>200000</v>
      </c>
      <c r="S711" s="1488">
        <v>350000</v>
      </c>
      <c r="T711" s="1488">
        <v>0</v>
      </c>
      <c r="U711" s="1488">
        <f t="shared" si="249"/>
        <v>350000</v>
      </c>
      <c r="V711" s="1488">
        <v>0</v>
      </c>
      <c r="W711" s="1488">
        <v>50</v>
      </c>
      <c r="X711" s="1488">
        <v>0</v>
      </c>
      <c r="Y711" s="1488">
        <v>999</v>
      </c>
      <c r="Z711" s="1491">
        <v>720</v>
      </c>
      <c r="AA711" s="1491">
        <v>999</v>
      </c>
      <c r="AB711" s="1491">
        <v>0</v>
      </c>
      <c r="AC711" s="1491">
        <v>999999</v>
      </c>
      <c r="AD711" s="1488">
        <v>0</v>
      </c>
      <c r="AE711" s="1542">
        <v>80</v>
      </c>
      <c r="AF711" s="144">
        <v>1</v>
      </c>
      <c r="AG711" s="145">
        <v>0</v>
      </c>
      <c r="AH711" s="145">
        <v>1</v>
      </c>
      <c r="AI711" s="145">
        <v>1</v>
      </c>
      <c r="AJ711" s="145">
        <v>0</v>
      </c>
      <c r="AK711" s="145">
        <v>1</v>
      </c>
      <c r="AL711" s="145">
        <v>1</v>
      </c>
      <c r="AM711" s="145">
        <v>1</v>
      </c>
      <c r="AN711" s="145">
        <v>1</v>
      </c>
      <c r="AO711" s="145">
        <v>1</v>
      </c>
      <c r="AP711" s="145">
        <v>1</v>
      </c>
      <c r="AQ711" s="145">
        <v>1</v>
      </c>
      <c r="AR711" s="145">
        <v>1</v>
      </c>
      <c r="AS711" s="145">
        <v>1</v>
      </c>
      <c r="AT711" s="145">
        <v>1</v>
      </c>
      <c r="AU711" s="145">
        <f t="shared" si="236"/>
        <v>0</v>
      </c>
      <c r="AV711" s="145">
        <f t="shared" si="237"/>
        <v>1</v>
      </c>
      <c r="AW711" s="145">
        <f t="shared" si="238"/>
        <v>1</v>
      </c>
      <c r="AX711" s="145">
        <f t="shared" si="244"/>
        <v>1</v>
      </c>
      <c r="AY711" s="145">
        <f t="shared" si="239"/>
        <v>1</v>
      </c>
      <c r="AZ711" s="145">
        <f t="shared" si="240"/>
        <v>1</v>
      </c>
      <c r="BA711" s="146">
        <f t="shared" si="241"/>
        <v>1</v>
      </c>
      <c r="BB711" s="149">
        <f t="shared" si="245"/>
        <v>19</v>
      </c>
      <c r="BC711" s="150">
        <f t="shared" si="246"/>
        <v>18</v>
      </c>
      <c r="BD711" s="150">
        <f t="shared" si="247"/>
        <v>18</v>
      </c>
      <c r="BE711" s="211" t="str">
        <f t="shared" si="248"/>
        <v/>
      </c>
      <c r="BF711" s="194"/>
      <c r="BG711" s="194"/>
      <c r="BH711" s="190">
        <f>IF(AND(Input_Product=Elig!$C711,Elig_MatchAll_Ct&lt;22,$BC711=(Elig_MatchAll_Ct-1),AF711=0),C711,0)</f>
        <v>0</v>
      </c>
      <c r="BI711" s="190">
        <f>IF(AND(Input_Product=Elig!$C711,Elig_MatchAll_Ct&lt;22,$BC711=(Elig_MatchAll_Ct-1),AG711=0),D711,0)</f>
        <v>0</v>
      </c>
      <c r="BJ711" s="190">
        <f>IF(AND(Input_Product=Elig!$C711,Elig_MatchAll_Ct&lt;22,$BC711=(Elig_MatchAll_Ct-1),AH711=0),E711,0)</f>
        <v>0</v>
      </c>
      <c r="BK711" s="190">
        <f>IF(AND(Input_Product=Elig!$C711,Elig_MatchAll_Ct&lt;22,$BC711=(Elig_MatchAll_Ct-1),AI711=0),F711,0)</f>
        <v>0</v>
      </c>
      <c r="BL711" s="190">
        <f>IF(AND(Input_Product=Elig!$C711,Elig_MatchAll_Ct&lt;22,$BC711=(Elig_MatchAll_Ct-1),AJ711=0),G711,0)</f>
        <v>0</v>
      </c>
      <c r="BM711" s="190">
        <f>IF(AND(Input_Product=Elig!$C711,Elig_MatchAll_Ct&lt;22,$BC711=(Elig_MatchAll_Ct-1),AK711=0),H711,0)</f>
        <v>0</v>
      </c>
      <c r="BN711" s="190">
        <f>IF(AND(Input_Product=Elig!$C711,Elig_MatchAll_Ct&lt;22,$BC711=(Elig_MatchAll_Ct-1),AL711=0),I711,0)</f>
        <v>0</v>
      </c>
      <c r="BO711" s="190">
        <f>IF(AND(Input_Product=Elig!$C711,Elig_MatchAll_Ct&lt;22,$BC711=(Elig_MatchAll_Ct-1),AM711=0),J711,0)</f>
        <v>0</v>
      </c>
      <c r="BP711" s="190">
        <f>IF(AND(Input_Product=Elig!$C711,Elig_MatchAll_Ct&lt;22,$BC711=(Elig_MatchAll_Ct-1),AN711=0),K711,0)</f>
        <v>0</v>
      </c>
      <c r="BQ711" s="190">
        <f>IF(AND(Input_Product=Elig!$C711,Elig_MatchAll_Ct&lt;22,$BC711=(Elig_MatchAll_Ct-1),AP711=0),L711,0)</f>
        <v>0</v>
      </c>
      <c r="BR711" s="190">
        <f>IF(AND(Input_Product=Elig!$C711,Elig_MatchAll_Ct&lt;22,$BC711=(Elig_MatchAll_Ct-1),AO711=0),M711,0)</f>
        <v>0</v>
      </c>
      <c r="BS711" s="190">
        <f>IF(AND(Input_Product=Elig!$C711,Elig_MatchAll_Ct&lt;22,$BC711=(Elig_MatchAll_Ct-1),AQ711=0),N711,0)</f>
        <v>0</v>
      </c>
      <c r="BT711" s="190">
        <f>IF(AND(Input_Product=Elig!$C711,Elig_MatchAll_Ct&lt;22,$BC711=(Elig_MatchAll_Ct-1),AR711=0),O711,0)</f>
        <v>0</v>
      </c>
      <c r="BU711" s="190">
        <f>IF(AND(Input_Product=Elig!$C711,Elig_MatchAll_Ct&lt;22,$BC711=(Elig_MatchAll_Ct-1),AS711=0),P711,0)</f>
        <v>0</v>
      </c>
      <c r="BV711" s="191">
        <f>IF(AND(Input_Product=Elig!$C711,Elig_MatchAll_Ct&lt;22,$BC711=(Elig_MatchAll_Ct-1),AT711=0),Q711,0)</f>
        <v>0</v>
      </c>
      <c r="BW711" s="273">
        <f>IF(AND(Input_Product=Elig!$C711,Elig_MatchAll_Ct&lt;22,$BC711=(Elig_MatchAll_Ct-1),AU711=0),R711,0)</f>
        <v>0</v>
      </c>
      <c r="BX711" s="274">
        <f>IF(AND(Input_Product=Elig!$C711,Elig_MatchAll_Ct&lt;22,$BC711=(Elig_MatchAll_Ct-1),AU711=0),S711,0)</f>
        <v>0</v>
      </c>
      <c r="BY711" s="273">
        <f>IF(AND(Input_Product=Elig!$C711,Elig_MatchAll_Ct&lt;22,$BC711=(Elig_MatchAll_Ct-1),AV711=0),T711,0)</f>
        <v>0</v>
      </c>
      <c r="BZ711" s="274">
        <f>IF(AND(Input_Product=Elig!$C711,Elig_MatchAll_Ct&lt;22,$BC711=(Elig_MatchAll_Ct-1),AV711=0),U711,0)</f>
        <v>0</v>
      </c>
      <c r="CA711" s="273">
        <f>IF(AND(Input_Product=Elig!$C711,Elig_MatchAll_Ct&lt;22,$BC711=(Elig_MatchAll_Ct-1),AW711=0),V711,0)</f>
        <v>0</v>
      </c>
      <c r="CB711" s="274">
        <f>IF(AND(Input_Product=Elig!$C711,Elig_MatchAll_Ct&lt;22,$BC711=(Elig_MatchAll_Ct-1),AW711=0),W711,0)</f>
        <v>0</v>
      </c>
      <c r="CC711" s="273">
        <f>IF(AND(Input_Product=Elig!$C711,Elig_MatchAll_Ct&lt;22,$BC711=(Elig_MatchAll_Ct-1),AX711=0),X711,0)</f>
        <v>0</v>
      </c>
      <c r="CD711" s="274">
        <f>IF(AND(Input_Product=Elig!$C711,Elig_MatchAll_Ct&lt;22,$BC711=(Elig_MatchAll_Ct-1),AX711=0),Y711,0)</f>
        <v>0</v>
      </c>
      <c r="CE711" s="273">
        <f>IF(AND(Input_LTV&lt;=AE711,Input_Product=Elig!$C711,Elig_MatchAll_Ct&lt;22,$BC711=(Elig_MatchAll_Ct-1),AY711=0),Z711,0)</f>
        <v>0</v>
      </c>
      <c r="CF711" s="274">
        <f>IF(AND(Input_LTV&lt;=AE711,Input_Product=Elig!$C711,Elig_MatchAll_Ct&lt;22,$BC711=(Elig_MatchAll_Ct-1),AY711=0),AA711,0)</f>
        <v>0</v>
      </c>
      <c r="CG711" s="273">
        <f>IF(AND(Input_Product=Elig!$C711,Elig_MatchAll_Ct&lt;22,$BC711=(Elig_MatchAll_Ct-1),AZ711=0),AB711,0)</f>
        <v>0</v>
      </c>
      <c r="CH711" s="274">
        <f>IF(AND(Input_Product=Elig!$C711,Elig_MatchAll_Ct&lt;22,$BC711=(Elig_MatchAll_Ct-1),AZ711=0),AC711,0)</f>
        <v>0</v>
      </c>
      <c r="CI711" s="273">
        <f>IF(AND(Input_Product=Elig!$C711,Elig_MatchAll_Ct&lt;22,$BC711=(Elig_MatchAll_Ct-1),BA711=0),AD711,0)</f>
        <v>0</v>
      </c>
      <c r="CJ711" s="274">
        <f>IF(AND(Input_Product=Elig!$C711,Elig_MatchAll_Ct&lt;22,$BC711=(Elig_MatchAll_Ct-1),BA711=0),AE711,0)</f>
        <v>0</v>
      </c>
    </row>
    <row r="712" spans="1:88" ht="10.15" customHeight="1" x14ac:dyDescent="0.25">
      <c r="A712" s="1484" t="s">
        <v>76</v>
      </c>
      <c r="B712" s="1484" t="s">
        <v>1889</v>
      </c>
      <c r="C712" s="1485" t="str">
        <f t="shared" si="242"/>
        <v>Second NOO</v>
      </c>
      <c r="D712" s="1484" t="s">
        <v>1121</v>
      </c>
      <c r="E712" s="1484" t="s">
        <v>98</v>
      </c>
      <c r="F712" s="1484" t="s">
        <v>329</v>
      </c>
      <c r="G712" s="1544" t="s">
        <v>465</v>
      </c>
      <c r="H712" s="1486" t="s">
        <v>135</v>
      </c>
      <c r="I712" s="1484" t="s">
        <v>1141</v>
      </c>
      <c r="J712" s="1484" t="s">
        <v>1130</v>
      </c>
      <c r="K712" s="1486" t="s">
        <v>2464</v>
      </c>
      <c r="L712" s="1484" t="s">
        <v>428</v>
      </c>
      <c r="M712" s="1484" t="s">
        <v>1835</v>
      </c>
      <c r="N712" s="1486" t="s">
        <v>1844</v>
      </c>
      <c r="O712" s="1484" t="s">
        <v>309</v>
      </c>
      <c r="P712" s="1484" t="s">
        <v>2434</v>
      </c>
      <c r="Q712" s="1484" t="s">
        <v>293</v>
      </c>
      <c r="R712" s="1484">
        <v>200000</v>
      </c>
      <c r="S712" s="1484">
        <v>350000</v>
      </c>
      <c r="T712" s="1484">
        <v>0</v>
      </c>
      <c r="U712" s="1484">
        <f t="shared" si="249"/>
        <v>350000</v>
      </c>
      <c r="V712" s="1484">
        <v>0</v>
      </c>
      <c r="W712" s="1484">
        <v>50</v>
      </c>
      <c r="X712" s="1484">
        <v>0</v>
      </c>
      <c r="Y712" s="1484">
        <v>999</v>
      </c>
      <c r="Z712" s="1487">
        <v>700</v>
      </c>
      <c r="AA712" s="1487">
        <v>719</v>
      </c>
      <c r="AB712" s="1487">
        <v>0</v>
      </c>
      <c r="AC712" s="1487">
        <v>999999</v>
      </c>
      <c r="AD712" s="1484">
        <v>0</v>
      </c>
      <c r="AE712" s="1543">
        <v>75</v>
      </c>
      <c r="AF712" s="144">
        <v>1</v>
      </c>
      <c r="AG712" s="145">
        <v>0</v>
      </c>
      <c r="AH712" s="145">
        <v>1</v>
      </c>
      <c r="AI712" s="145">
        <v>1</v>
      </c>
      <c r="AJ712" s="145">
        <v>0</v>
      </c>
      <c r="AK712" s="145">
        <v>1</v>
      </c>
      <c r="AL712" s="145">
        <v>1</v>
      </c>
      <c r="AM712" s="145">
        <v>1</v>
      </c>
      <c r="AN712" s="145">
        <v>1</v>
      </c>
      <c r="AO712" s="145">
        <v>1</v>
      </c>
      <c r="AP712" s="145">
        <v>1</v>
      </c>
      <c r="AQ712" s="145">
        <v>1</v>
      </c>
      <c r="AR712" s="145">
        <v>1</v>
      </c>
      <c r="AS712" s="145">
        <v>1</v>
      </c>
      <c r="AT712" s="145">
        <v>1</v>
      </c>
      <c r="AU712" s="145">
        <f t="shared" si="236"/>
        <v>0</v>
      </c>
      <c r="AV712" s="145">
        <f t="shared" si="237"/>
        <v>1</v>
      </c>
      <c r="AW712" s="145">
        <f t="shared" si="238"/>
        <v>1</v>
      </c>
      <c r="AX712" s="145">
        <f t="shared" si="244"/>
        <v>1</v>
      </c>
      <c r="AY712" s="145">
        <f t="shared" si="239"/>
        <v>0</v>
      </c>
      <c r="AZ712" s="145">
        <f t="shared" si="240"/>
        <v>1</v>
      </c>
      <c r="BA712" s="146">
        <f t="shared" si="241"/>
        <v>1</v>
      </c>
      <c r="BB712" s="149">
        <f t="shared" si="245"/>
        <v>18</v>
      </c>
      <c r="BC712" s="150">
        <f t="shared" si="246"/>
        <v>17</v>
      </c>
      <c r="BD712" s="150">
        <f t="shared" si="247"/>
        <v>17</v>
      </c>
      <c r="BE712" s="211" t="str">
        <f t="shared" si="248"/>
        <v/>
      </c>
      <c r="BF712" s="205"/>
      <c r="BG712" s="205"/>
      <c r="BH712" s="173">
        <f>IF(AND(Input_Product=Elig!$C712,Elig_MatchAll_Ct&lt;22,$BC712=(Elig_MatchAll_Ct-1),AF712=0),C712,0)</f>
        <v>0</v>
      </c>
      <c r="BI712" s="173">
        <f>IF(AND(Input_Product=Elig!$C712,Elig_MatchAll_Ct&lt;22,$BC712=(Elig_MatchAll_Ct-1),AG712=0),D712,0)</f>
        <v>0</v>
      </c>
      <c r="BJ712" s="173">
        <f>IF(AND(Input_Product=Elig!$C712,Elig_MatchAll_Ct&lt;22,$BC712=(Elig_MatchAll_Ct-1),AH712=0),E712,0)</f>
        <v>0</v>
      </c>
      <c r="BK712" s="173">
        <f>IF(AND(Input_Product=Elig!$C712,Elig_MatchAll_Ct&lt;22,$BC712=(Elig_MatchAll_Ct-1),AI712=0),F712,0)</f>
        <v>0</v>
      </c>
      <c r="BL712" s="173">
        <f>IF(AND(Input_Product=Elig!$C712,Elig_MatchAll_Ct&lt;22,$BC712=(Elig_MatchAll_Ct-1),AJ712=0),G712,0)</f>
        <v>0</v>
      </c>
      <c r="BM712" s="173">
        <f>IF(AND(Input_Product=Elig!$C712,Elig_MatchAll_Ct&lt;22,$BC712=(Elig_MatchAll_Ct-1),AK712=0),H712,0)</f>
        <v>0</v>
      </c>
      <c r="BN712" s="173">
        <f>IF(AND(Input_Product=Elig!$C712,Elig_MatchAll_Ct&lt;22,$BC712=(Elig_MatchAll_Ct-1),AL712=0),I712,0)</f>
        <v>0</v>
      </c>
      <c r="BO712" s="173">
        <f>IF(AND(Input_Product=Elig!$C712,Elig_MatchAll_Ct&lt;22,$BC712=(Elig_MatchAll_Ct-1),AM712=0),J712,0)</f>
        <v>0</v>
      </c>
      <c r="BP712" s="173">
        <f>IF(AND(Input_Product=Elig!$C712,Elig_MatchAll_Ct&lt;22,$BC712=(Elig_MatchAll_Ct-1),AN712=0),K712,0)</f>
        <v>0</v>
      </c>
      <c r="BQ712" s="173">
        <f>IF(AND(Input_Product=Elig!$C712,Elig_MatchAll_Ct&lt;22,$BC712=(Elig_MatchAll_Ct-1),AP712=0),L712,0)</f>
        <v>0</v>
      </c>
      <c r="BR712" s="173">
        <f>IF(AND(Input_Product=Elig!$C712,Elig_MatchAll_Ct&lt;22,$BC712=(Elig_MatchAll_Ct-1),AO712=0),M712,0)</f>
        <v>0</v>
      </c>
      <c r="BS712" s="173">
        <f>IF(AND(Input_Product=Elig!$C712,Elig_MatchAll_Ct&lt;22,$BC712=(Elig_MatchAll_Ct-1),AQ712=0),N712,0)</f>
        <v>0</v>
      </c>
      <c r="BT712" s="173">
        <f>IF(AND(Input_Product=Elig!$C712,Elig_MatchAll_Ct&lt;22,$BC712=(Elig_MatchAll_Ct-1),AR712=0),O712,0)</f>
        <v>0</v>
      </c>
      <c r="BU712" s="173">
        <f>IF(AND(Input_Product=Elig!$C712,Elig_MatchAll_Ct&lt;22,$BC712=(Elig_MatchAll_Ct-1),AS712=0),P712,0)</f>
        <v>0</v>
      </c>
      <c r="BV712" s="174">
        <f>IF(AND(Input_Product=Elig!$C712,Elig_MatchAll_Ct&lt;22,$BC712=(Elig_MatchAll_Ct-1),AT712=0),Q712,0)</f>
        <v>0</v>
      </c>
      <c r="BW712" s="175">
        <f>IF(AND(Input_Product=Elig!$C712,Elig_MatchAll_Ct&lt;22,$BC712=(Elig_MatchAll_Ct-1),AU712=0),R712,0)</f>
        <v>0</v>
      </c>
      <c r="BX712" s="176">
        <f>IF(AND(Input_Product=Elig!$C712,Elig_MatchAll_Ct&lt;22,$BC712=(Elig_MatchAll_Ct-1),AU712=0),S712,0)</f>
        <v>0</v>
      </c>
      <c r="BY712" s="175">
        <f>IF(AND(Input_Product=Elig!$C712,Elig_MatchAll_Ct&lt;22,$BC712=(Elig_MatchAll_Ct-1),AV712=0),T712,0)</f>
        <v>0</v>
      </c>
      <c r="BZ712" s="176">
        <f>IF(AND(Input_Product=Elig!$C712,Elig_MatchAll_Ct&lt;22,$BC712=(Elig_MatchAll_Ct-1),AV712=0),U712,0)</f>
        <v>0</v>
      </c>
      <c r="CA712" s="175">
        <f>IF(AND(Input_Product=Elig!$C712,Elig_MatchAll_Ct&lt;22,$BC712=(Elig_MatchAll_Ct-1),AW712=0),V712,0)</f>
        <v>0</v>
      </c>
      <c r="CB712" s="176">
        <f>IF(AND(Input_Product=Elig!$C712,Elig_MatchAll_Ct&lt;22,$BC712=(Elig_MatchAll_Ct-1),AW712=0),W712,0)</f>
        <v>0</v>
      </c>
      <c r="CC712" s="175">
        <f>IF(AND(Input_Product=Elig!$C712,Elig_MatchAll_Ct&lt;22,$BC712=(Elig_MatchAll_Ct-1),AX712=0),X712,0)</f>
        <v>0</v>
      </c>
      <c r="CD712" s="176">
        <f>IF(AND(Input_Product=Elig!$C712,Elig_MatchAll_Ct&lt;22,$BC712=(Elig_MatchAll_Ct-1),AX712=0),Y712,0)</f>
        <v>0</v>
      </c>
      <c r="CE712" s="175">
        <f>IF(AND(Input_LTV&lt;=AE712,Input_Product=Elig!$C712,Elig_MatchAll_Ct&lt;22,$BC712=(Elig_MatchAll_Ct-1),AY712=0),Z712,0)</f>
        <v>0</v>
      </c>
      <c r="CF712" s="176">
        <f>IF(AND(Input_LTV&lt;=AE712,Input_Product=Elig!$C712,Elig_MatchAll_Ct&lt;22,$BC712=(Elig_MatchAll_Ct-1),AY712=0),AA712,0)</f>
        <v>0</v>
      </c>
      <c r="CG712" s="175">
        <f>IF(AND(Input_Product=Elig!$C712,Elig_MatchAll_Ct&lt;22,$BC712=(Elig_MatchAll_Ct-1),AZ712=0),AB712,0)</f>
        <v>0</v>
      </c>
      <c r="CH712" s="176">
        <f>IF(AND(Input_Product=Elig!$C712,Elig_MatchAll_Ct&lt;22,$BC712=(Elig_MatchAll_Ct-1),AZ712=0),AC712,0)</f>
        <v>0</v>
      </c>
      <c r="CI712" s="175">
        <f>IF(AND(Input_Product=Elig!$C712,Elig_MatchAll_Ct&lt;22,$BC712=(Elig_MatchAll_Ct-1),BA712=0),AD712,0)</f>
        <v>0</v>
      </c>
      <c r="CJ712" s="176">
        <f>IF(AND(Input_Product=Elig!$C712,Elig_MatchAll_Ct&lt;22,$BC712=(Elig_MatchAll_Ct-1),BA712=0),AE712,0)</f>
        <v>0</v>
      </c>
    </row>
    <row r="713" spans="1:88" ht="10.15" customHeight="1" x14ac:dyDescent="0.25">
      <c r="A713" s="1484" t="s">
        <v>76</v>
      </c>
      <c r="B713" s="1484" t="s">
        <v>1890</v>
      </c>
      <c r="C713" s="1485" t="str">
        <f t="shared" si="242"/>
        <v>Second NOO</v>
      </c>
      <c r="D713" s="1484" t="s">
        <v>1121</v>
      </c>
      <c r="E713" s="1484" t="s">
        <v>98</v>
      </c>
      <c r="F713" s="1484" t="s">
        <v>329</v>
      </c>
      <c r="G713" s="1544" t="s">
        <v>465</v>
      </c>
      <c r="H713" s="1486" t="s">
        <v>135</v>
      </c>
      <c r="I713" s="1484" t="s">
        <v>1141</v>
      </c>
      <c r="J713" s="1484" t="s">
        <v>1130</v>
      </c>
      <c r="K713" s="1486" t="s">
        <v>2464</v>
      </c>
      <c r="L713" s="1484" t="s">
        <v>428</v>
      </c>
      <c r="M713" s="1484" t="s">
        <v>1835</v>
      </c>
      <c r="N713" s="1486" t="s">
        <v>1844</v>
      </c>
      <c r="O713" s="1484" t="s">
        <v>309</v>
      </c>
      <c r="P713" s="1484" t="s">
        <v>2434</v>
      </c>
      <c r="Q713" s="1484" t="s">
        <v>293</v>
      </c>
      <c r="R713" s="1484">
        <v>200000</v>
      </c>
      <c r="S713" s="1484">
        <v>350000</v>
      </c>
      <c r="T713" s="1484">
        <v>0</v>
      </c>
      <c r="U713" s="1484">
        <f t="shared" si="249"/>
        <v>350000</v>
      </c>
      <c r="V713" s="1484">
        <v>0</v>
      </c>
      <c r="W713" s="1484">
        <v>50</v>
      </c>
      <c r="X713" s="1484">
        <v>0</v>
      </c>
      <c r="Y713" s="1484">
        <v>999</v>
      </c>
      <c r="Z713" s="1487">
        <v>680</v>
      </c>
      <c r="AA713" s="1487">
        <v>699</v>
      </c>
      <c r="AB713" s="1487">
        <v>0</v>
      </c>
      <c r="AC713" s="1487">
        <v>999999</v>
      </c>
      <c r="AD713" s="1484">
        <v>0</v>
      </c>
      <c r="AE713" s="1543">
        <v>70</v>
      </c>
      <c r="AF713" s="144">
        <v>1</v>
      </c>
      <c r="AG713" s="145">
        <v>0</v>
      </c>
      <c r="AH713" s="145">
        <v>1</v>
      </c>
      <c r="AI713" s="145">
        <v>1</v>
      </c>
      <c r="AJ713" s="145">
        <v>0</v>
      </c>
      <c r="AK713" s="145">
        <v>1</v>
      </c>
      <c r="AL713" s="145">
        <v>1</v>
      </c>
      <c r="AM713" s="145">
        <v>1</v>
      </c>
      <c r="AN713" s="145">
        <v>1</v>
      </c>
      <c r="AO713" s="145">
        <v>1</v>
      </c>
      <c r="AP713" s="145">
        <v>1</v>
      </c>
      <c r="AQ713" s="145">
        <v>1</v>
      </c>
      <c r="AR713" s="145">
        <v>1</v>
      </c>
      <c r="AS713" s="145">
        <v>1</v>
      </c>
      <c r="AT713" s="145">
        <v>1</v>
      </c>
      <c r="AU713" s="145">
        <f t="shared" si="236"/>
        <v>0</v>
      </c>
      <c r="AV713" s="145">
        <f t="shared" si="237"/>
        <v>1</v>
      </c>
      <c r="AW713" s="145">
        <f t="shared" si="238"/>
        <v>1</v>
      </c>
      <c r="AX713" s="145">
        <f t="shared" si="244"/>
        <v>1</v>
      </c>
      <c r="AY713" s="145">
        <f t="shared" si="239"/>
        <v>0</v>
      </c>
      <c r="AZ713" s="145">
        <f t="shared" si="240"/>
        <v>1</v>
      </c>
      <c r="BA713" s="146">
        <f t="shared" si="241"/>
        <v>1</v>
      </c>
      <c r="BB713" s="149">
        <f t="shared" si="245"/>
        <v>18</v>
      </c>
      <c r="BC713" s="150">
        <f t="shared" si="246"/>
        <v>17</v>
      </c>
      <c r="BD713" s="150">
        <f t="shared" si="247"/>
        <v>17</v>
      </c>
      <c r="BE713" s="211" t="str">
        <f t="shared" si="248"/>
        <v/>
      </c>
      <c r="BF713" s="205"/>
      <c r="BG713" s="205"/>
      <c r="BH713" s="173">
        <f>IF(AND(Input_Product=Elig!$C713,Elig_MatchAll_Ct&lt;22,$BC713=(Elig_MatchAll_Ct-1),AF713=0),C713,0)</f>
        <v>0</v>
      </c>
      <c r="BI713" s="173">
        <f>IF(AND(Input_Product=Elig!$C713,Elig_MatchAll_Ct&lt;22,$BC713=(Elig_MatchAll_Ct-1),AG713=0),D713,0)</f>
        <v>0</v>
      </c>
      <c r="BJ713" s="173">
        <f>IF(AND(Input_Product=Elig!$C713,Elig_MatchAll_Ct&lt;22,$BC713=(Elig_MatchAll_Ct-1),AH713=0),E713,0)</f>
        <v>0</v>
      </c>
      <c r="BK713" s="173">
        <f>IF(AND(Input_Product=Elig!$C713,Elig_MatchAll_Ct&lt;22,$BC713=(Elig_MatchAll_Ct-1),AI713=0),F713,0)</f>
        <v>0</v>
      </c>
      <c r="BL713" s="173">
        <f>IF(AND(Input_Product=Elig!$C713,Elig_MatchAll_Ct&lt;22,$BC713=(Elig_MatchAll_Ct-1),AJ713=0),G713,0)</f>
        <v>0</v>
      </c>
      <c r="BM713" s="173">
        <f>IF(AND(Input_Product=Elig!$C713,Elig_MatchAll_Ct&lt;22,$BC713=(Elig_MatchAll_Ct-1),AK713=0),H713,0)</f>
        <v>0</v>
      </c>
      <c r="BN713" s="173">
        <f>IF(AND(Input_Product=Elig!$C713,Elig_MatchAll_Ct&lt;22,$BC713=(Elig_MatchAll_Ct-1),AL713=0),I713,0)</f>
        <v>0</v>
      </c>
      <c r="BO713" s="173">
        <f>IF(AND(Input_Product=Elig!$C713,Elig_MatchAll_Ct&lt;22,$BC713=(Elig_MatchAll_Ct-1),AM713=0),J713,0)</f>
        <v>0</v>
      </c>
      <c r="BP713" s="173">
        <f>IF(AND(Input_Product=Elig!$C713,Elig_MatchAll_Ct&lt;22,$BC713=(Elig_MatchAll_Ct-1),AN713=0),K713,0)</f>
        <v>0</v>
      </c>
      <c r="BQ713" s="173">
        <f>IF(AND(Input_Product=Elig!$C713,Elig_MatchAll_Ct&lt;22,$BC713=(Elig_MatchAll_Ct-1),AP713=0),L713,0)</f>
        <v>0</v>
      </c>
      <c r="BR713" s="173">
        <f>IF(AND(Input_Product=Elig!$C713,Elig_MatchAll_Ct&lt;22,$BC713=(Elig_MatchAll_Ct-1),AO713=0),M713,0)</f>
        <v>0</v>
      </c>
      <c r="BS713" s="173">
        <f>IF(AND(Input_Product=Elig!$C713,Elig_MatchAll_Ct&lt;22,$BC713=(Elig_MatchAll_Ct-1),AQ713=0),N713,0)</f>
        <v>0</v>
      </c>
      <c r="BT713" s="173">
        <f>IF(AND(Input_Product=Elig!$C713,Elig_MatchAll_Ct&lt;22,$BC713=(Elig_MatchAll_Ct-1),AR713=0),O713,0)</f>
        <v>0</v>
      </c>
      <c r="BU713" s="173">
        <f>IF(AND(Input_Product=Elig!$C713,Elig_MatchAll_Ct&lt;22,$BC713=(Elig_MatchAll_Ct-1),AS713=0),P713,0)</f>
        <v>0</v>
      </c>
      <c r="BV713" s="174">
        <f>IF(AND(Input_Product=Elig!$C713,Elig_MatchAll_Ct&lt;22,$BC713=(Elig_MatchAll_Ct-1),AT713=0),Q713,0)</f>
        <v>0</v>
      </c>
      <c r="BW713" s="175">
        <f>IF(AND(Input_Product=Elig!$C713,Elig_MatchAll_Ct&lt;22,$BC713=(Elig_MatchAll_Ct-1),AU713=0),R713,0)</f>
        <v>0</v>
      </c>
      <c r="BX713" s="176">
        <f>IF(AND(Input_Product=Elig!$C713,Elig_MatchAll_Ct&lt;22,$BC713=(Elig_MatchAll_Ct-1),AU713=0),S713,0)</f>
        <v>0</v>
      </c>
      <c r="BY713" s="175">
        <f>IF(AND(Input_Product=Elig!$C713,Elig_MatchAll_Ct&lt;22,$BC713=(Elig_MatchAll_Ct-1),AV713=0),T713,0)</f>
        <v>0</v>
      </c>
      <c r="BZ713" s="176">
        <f>IF(AND(Input_Product=Elig!$C713,Elig_MatchAll_Ct&lt;22,$BC713=(Elig_MatchAll_Ct-1),AV713=0),U713,0)</f>
        <v>0</v>
      </c>
      <c r="CA713" s="175">
        <f>IF(AND(Input_Product=Elig!$C713,Elig_MatchAll_Ct&lt;22,$BC713=(Elig_MatchAll_Ct-1),AW713=0),V713,0)</f>
        <v>0</v>
      </c>
      <c r="CB713" s="176">
        <f>IF(AND(Input_Product=Elig!$C713,Elig_MatchAll_Ct&lt;22,$BC713=(Elig_MatchAll_Ct-1),AW713=0),W713,0)</f>
        <v>0</v>
      </c>
      <c r="CC713" s="175">
        <f>IF(AND(Input_Product=Elig!$C713,Elig_MatchAll_Ct&lt;22,$BC713=(Elig_MatchAll_Ct-1),AX713=0),X713,0)</f>
        <v>0</v>
      </c>
      <c r="CD713" s="176">
        <f>IF(AND(Input_Product=Elig!$C713,Elig_MatchAll_Ct&lt;22,$BC713=(Elig_MatchAll_Ct-1),AX713=0),Y713,0)</f>
        <v>0</v>
      </c>
      <c r="CE713" s="175">
        <f>IF(AND(Input_LTV&lt;=AE713,Input_Product=Elig!$C713,Elig_MatchAll_Ct&lt;22,$BC713=(Elig_MatchAll_Ct-1),AY713=0),Z713,0)</f>
        <v>0</v>
      </c>
      <c r="CF713" s="176">
        <f>IF(AND(Input_LTV&lt;=AE713,Input_Product=Elig!$C713,Elig_MatchAll_Ct&lt;22,$BC713=(Elig_MatchAll_Ct-1),AY713=0),AA713,0)</f>
        <v>0</v>
      </c>
      <c r="CG713" s="175">
        <f>IF(AND(Input_Product=Elig!$C713,Elig_MatchAll_Ct&lt;22,$BC713=(Elig_MatchAll_Ct-1),AZ713=0),AB713,0)</f>
        <v>0</v>
      </c>
      <c r="CH713" s="176">
        <f>IF(AND(Input_Product=Elig!$C713,Elig_MatchAll_Ct&lt;22,$BC713=(Elig_MatchAll_Ct-1),AZ713=0),AC713,0)</f>
        <v>0</v>
      </c>
      <c r="CI713" s="175">
        <f>IF(AND(Input_Product=Elig!$C713,Elig_MatchAll_Ct&lt;22,$BC713=(Elig_MatchAll_Ct-1),BA713=0),AD713,0)</f>
        <v>0</v>
      </c>
      <c r="CJ713" s="176">
        <f>IF(AND(Input_Product=Elig!$C713,Elig_MatchAll_Ct&lt;22,$BC713=(Elig_MatchAll_Ct-1),BA713=0),AE713,0)</f>
        <v>0</v>
      </c>
    </row>
    <row r="714" spans="1:88" ht="10.15" customHeight="1" x14ac:dyDescent="0.25">
      <c r="A714" s="1484" t="s">
        <v>76</v>
      </c>
      <c r="B714" s="1484" t="s">
        <v>1891</v>
      </c>
      <c r="C714" s="1485" t="str">
        <f t="shared" si="242"/>
        <v>Second NOO</v>
      </c>
      <c r="D714" s="1484" t="s">
        <v>1121</v>
      </c>
      <c r="E714" s="1484" t="s">
        <v>98</v>
      </c>
      <c r="F714" s="1484" t="s">
        <v>329</v>
      </c>
      <c r="G714" s="1545" t="s">
        <v>465</v>
      </c>
      <c r="H714" s="1486" t="s">
        <v>135</v>
      </c>
      <c r="I714" s="1484" t="s">
        <v>1141</v>
      </c>
      <c r="J714" s="1486" t="s">
        <v>1130</v>
      </c>
      <c r="K714" s="1486" t="s">
        <v>2464</v>
      </c>
      <c r="L714" s="1484" t="s">
        <v>428</v>
      </c>
      <c r="M714" s="1484" t="s">
        <v>1835</v>
      </c>
      <c r="N714" s="1486" t="s">
        <v>1844</v>
      </c>
      <c r="O714" s="1484" t="s">
        <v>309</v>
      </c>
      <c r="P714" s="1484" t="s">
        <v>2434</v>
      </c>
      <c r="Q714" s="1484" t="s">
        <v>293</v>
      </c>
      <c r="R714" s="1484">
        <v>200000</v>
      </c>
      <c r="S714" s="1484">
        <v>350000</v>
      </c>
      <c r="T714" s="1484">
        <v>0</v>
      </c>
      <c r="U714" s="1484">
        <f t="shared" si="249"/>
        <v>350000</v>
      </c>
      <c r="V714" s="1484">
        <v>0</v>
      </c>
      <c r="W714" s="1484">
        <v>50</v>
      </c>
      <c r="X714" s="1484">
        <v>0</v>
      </c>
      <c r="Y714" s="1484">
        <v>999</v>
      </c>
      <c r="Z714" s="1487">
        <v>660</v>
      </c>
      <c r="AA714" s="1487">
        <v>679</v>
      </c>
      <c r="AB714" s="1487">
        <v>0</v>
      </c>
      <c r="AC714" s="1487">
        <v>999999</v>
      </c>
      <c r="AD714" s="1484">
        <v>0</v>
      </c>
      <c r="AE714" s="1484">
        <v>60</v>
      </c>
      <c r="AF714" s="144">
        <v>1</v>
      </c>
      <c r="AG714" s="145">
        <v>0</v>
      </c>
      <c r="AH714" s="145">
        <v>1</v>
      </c>
      <c r="AI714" s="145">
        <v>1</v>
      </c>
      <c r="AJ714" s="145">
        <v>0</v>
      </c>
      <c r="AK714" s="145">
        <v>1</v>
      </c>
      <c r="AL714" s="145">
        <v>1</v>
      </c>
      <c r="AM714" s="145">
        <v>1</v>
      </c>
      <c r="AN714" s="145">
        <v>1</v>
      </c>
      <c r="AO714" s="145">
        <v>1</v>
      </c>
      <c r="AP714" s="145">
        <v>1</v>
      </c>
      <c r="AQ714" s="145">
        <v>1</v>
      </c>
      <c r="AR714" s="145">
        <v>1</v>
      </c>
      <c r="AS714" s="145">
        <v>1</v>
      </c>
      <c r="AT714" s="145">
        <v>1</v>
      </c>
      <c r="AU714" s="145">
        <f t="shared" si="236"/>
        <v>0</v>
      </c>
      <c r="AV714" s="145">
        <f t="shared" si="237"/>
        <v>1</v>
      </c>
      <c r="AW714" s="145">
        <f t="shared" si="238"/>
        <v>1</v>
      </c>
      <c r="AX714" s="145">
        <f t="shared" si="244"/>
        <v>1</v>
      </c>
      <c r="AY714" s="145">
        <f t="shared" si="239"/>
        <v>0</v>
      </c>
      <c r="AZ714" s="145">
        <f t="shared" si="240"/>
        <v>1</v>
      </c>
      <c r="BA714" s="146">
        <f t="shared" si="241"/>
        <v>0</v>
      </c>
      <c r="BB714" s="149">
        <f t="shared" si="245"/>
        <v>17</v>
      </c>
      <c r="BC714" s="150">
        <f t="shared" si="246"/>
        <v>17</v>
      </c>
      <c r="BD714" s="150">
        <f t="shared" si="247"/>
        <v>16</v>
      </c>
      <c r="BE714" s="211" t="str">
        <f t="shared" si="248"/>
        <v/>
      </c>
      <c r="BF714" s="205"/>
      <c r="BG714" s="205"/>
      <c r="BH714" s="188">
        <f>IF(AND(Input_Product=Elig!$C714,Elig_MatchAll_Ct&lt;22,$BC714=(Elig_MatchAll_Ct-1),AF714=0),C714,0)</f>
        <v>0</v>
      </c>
      <c r="BI714" s="188">
        <f>IF(AND(Input_Product=Elig!$C714,Elig_MatchAll_Ct&lt;22,$BC714=(Elig_MatchAll_Ct-1),AG714=0),D714,0)</f>
        <v>0</v>
      </c>
      <c r="BJ714" s="188">
        <f>IF(AND(Input_Product=Elig!$C714,Elig_MatchAll_Ct&lt;22,$BC714=(Elig_MatchAll_Ct-1),AH714=0),E714,0)</f>
        <v>0</v>
      </c>
      <c r="BK714" s="188">
        <f>IF(AND(Input_Product=Elig!$C714,Elig_MatchAll_Ct&lt;22,$BC714=(Elig_MatchAll_Ct-1),AI714=0),F714,0)</f>
        <v>0</v>
      </c>
      <c r="BL714" s="188">
        <f>IF(AND(Input_Product=Elig!$C714,Elig_MatchAll_Ct&lt;22,$BC714=(Elig_MatchAll_Ct-1),AJ714=0),G714,0)</f>
        <v>0</v>
      </c>
      <c r="BM714" s="188">
        <f>IF(AND(Input_Product=Elig!$C714,Elig_MatchAll_Ct&lt;22,$BC714=(Elig_MatchAll_Ct-1),AK714=0),H714,0)</f>
        <v>0</v>
      </c>
      <c r="BN714" s="188">
        <f>IF(AND(Input_Product=Elig!$C714,Elig_MatchAll_Ct&lt;22,$BC714=(Elig_MatchAll_Ct-1),AL714=0),I714,0)</f>
        <v>0</v>
      </c>
      <c r="BO714" s="188">
        <f>IF(AND(Input_Product=Elig!$C714,Elig_MatchAll_Ct&lt;22,$BC714=(Elig_MatchAll_Ct-1),AM714=0),J714,0)</f>
        <v>0</v>
      </c>
      <c r="BP714" s="188">
        <f>IF(AND(Input_Product=Elig!$C714,Elig_MatchAll_Ct&lt;22,$BC714=(Elig_MatchAll_Ct-1),AN714=0),K714,0)</f>
        <v>0</v>
      </c>
      <c r="BQ714" s="188">
        <f>IF(AND(Input_Product=Elig!$C714,Elig_MatchAll_Ct&lt;22,$BC714=(Elig_MatchAll_Ct-1),AP714=0),L714,0)</f>
        <v>0</v>
      </c>
      <c r="BR714" s="188">
        <f>IF(AND(Input_Product=Elig!$C714,Elig_MatchAll_Ct&lt;22,$BC714=(Elig_MatchAll_Ct-1),AO714=0),M714,0)</f>
        <v>0</v>
      </c>
      <c r="BS714" s="188">
        <f>IF(AND(Input_Product=Elig!$C714,Elig_MatchAll_Ct&lt;22,$BC714=(Elig_MatchAll_Ct-1),AQ714=0),N714,0)</f>
        <v>0</v>
      </c>
      <c r="BT714" s="188">
        <f>IF(AND(Input_Product=Elig!$C714,Elig_MatchAll_Ct&lt;22,$BC714=(Elig_MatchAll_Ct-1),AR714=0),O714,0)</f>
        <v>0</v>
      </c>
      <c r="BU714" s="188">
        <f>IF(AND(Input_Product=Elig!$C714,Elig_MatchAll_Ct&lt;22,$BC714=(Elig_MatchAll_Ct-1),AS714=0),P714,0)</f>
        <v>0</v>
      </c>
      <c r="BV714" s="189">
        <f>IF(AND(Input_Product=Elig!$C714,Elig_MatchAll_Ct&lt;22,$BC714=(Elig_MatchAll_Ct-1),AT714=0),Q714,0)</f>
        <v>0</v>
      </c>
      <c r="BW714" s="271">
        <f>IF(AND(Input_Product=Elig!$C714,Elig_MatchAll_Ct&lt;22,$BC714=(Elig_MatchAll_Ct-1),AU714=0),R714,0)</f>
        <v>0</v>
      </c>
      <c r="BX714" s="272">
        <f>IF(AND(Input_Product=Elig!$C714,Elig_MatchAll_Ct&lt;22,$BC714=(Elig_MatchAll_Ct-1),AU714=0),S714,0)</f>
        <v>0</v>
      </c>
      <c r="BY714" s="271">
        <f>IF(AND(Input_Product=Elig!$C714,Elig_MatchAll_Ct&lt;22,$BC714=(Elig_MatchAll_Ct-1),AV714=0),T714,0)</f>
        <v>0</v>
      </c>
      <c r="BZ714" s="272">
        <f>IF(AND(Input_Product=Elig!$C714,Elig_MatchAll_Ct&lt;22,$BC714=(Elig_MatchAll_Ct-1),AV714=0),U714,0)</f>
        <v>0</v>
      </c>
      <c r="CA714" s="271">
        <f>IF(AND(Input_Product=Elig!$C714,Elig_MatchAll_Ct&lt;22,$BC714=(Elig_MatchAll_Ct-1),AW714=0),V714,0)</f>
        <v>0</v>
      </c>
      <c r="CB714" s="272">
        <f>IF(AND(Input_Product=Elig!$C714,Elig_MatchAll_Ct&lt;22,$BC714=(Elig_MatchAll_Ct-1),AW714=0),W714,0)</f>
        <v>0</v>
      </c>
      <c r="CC714" s="271">
        <f>IF(AND(Input_Product=Elig!$C714,Elig_MatchAll_Ct&lt;22,$BC714=(Elig_MatchAll_Ct-1),AX714=0),X714,0)</f>
        <v>0</v>
      </c>
      <c r="CD714" s="272">
        <f>IF(AND(Input_Product=Elig!$C714,Elig_MatchAll_Ct&lt;22,$BC714=(Elig_MatchAll_Ct-1),AX714=0),Y714,0)</f>
        <v>0</v>
      </c>
      <c r="CE714" s="271">
        <f>IF(AND(Input_LTV&lt;=AE714,Input_Product=Elig!$C714,Elig_MatchAll_Ct&lt;22,$BC714=(Elig_MatchAll_Ct-1),AY714=0),Z714,0)</f>
        <v>0</v>
      </c>
      <c r="CF714" s="272">
        <f>IF(AND(Input_LTV&lt;=AE714,Input_Product=Elig!$C714,Elig_MatchAll_Ct&lt;22,$BC714=(Elig_MatchAll_Ct-1),AY714=0),AA714,0)</f>
        <v>0</v>
      </c>
      <c r="CG714" s="271">
        <f>IF(AND(Input_Product=Elig!$C714,Elig_MatchAll_Ct&lt;22,$BC714=(Elig_MatchAll_Ct-1),AZ714=0),AB714,0)</f>
        <v>0</v>
      </c>
      <c r="CH714" s="272">
        <f>IF(AND(Input_Product=Elig!$C714,Elig_MatchAll_Ct&lt;22,$BC714=(Elig_MatchAll_Ct-1),AZ714=0),AC714,0)</f>
        <v>0</v>
      </c>
      <c r="CI714" s="271">
        <f>IF(AND(Input_Product=Elig!$C714,Elig_MatchAll_Ct&lt;22,$BC714=(Elig_MatchAll_Ct-1),BA714=0),AD714,0)</f>
        <v>0</v>
      </c>
      <c r="CJ714" s="272">
        <f>IF(AND(Input_Product=Elig!$C714,Elig_MatchAll_Ct&lt;22,$BC714=(Elig_MatchAll_Ct-1),BA714=0),AE714,0)</f>
        <v>0</v>
      </c>
    </row>
    <row r="715" spans="1:88" ht="10.15" customHeight="1" x14ac:dyDescent="0.25">
      <c r="A715" s="1484" t="s">
        <v>76</v>
      </c>
      <c r="B715" s="1484" t="s">
        <v>1892</v>
      </c>
      <c r="C715" s="1489" t="str">
        <f t="shared" si="242"/>
        <v>Second NOO</v>
      </c>
      <c r="D715" s="1490" t="s">
        <v>1331</v>
      </c>
      <c r="E715" s="1490" t="s">
        <v>98</v>
      </c>
      <c r="F715" s="1490" t="s">
        <v>329</v>
      </c>
      <c r="G715" s="1537" t="s">
        <v>469</v>
      </c>
      <c r="H715" s="1490" t="s">
        <v>135</v>
      </c>
      <c r="I715" s="1488" t="s">
        <v>1141</v>
      </c>
      <c r="J715" s="1488" t="s">
        <v>1130</v>
      </c>
      <c r="K715" s="1490" t="s">
        <v>2464</v>
      </c>
      <c r="L715" s="1488" t="s">
        <v>428</v>
      </c>
      <c r="M715" s="1488" t="s">
        <v>1835</v>
      </c>
      <c r="N715" s="1490" t="s">
        <v>1844</v>
      </c>
      <c r="O715" s="1488" t="s">
        <v>309</v>
      </c>
      <c r="P715" s="1488" t="s">
        <v>2434</v>
      </c>
      <c r="Q715" s="1488" t="s">
        <v>293</v>
      </c>
      <c r="R715" s="1488">
        <v>50000</v>
      </c>
      <c r="S715" s="1488">
        <v>350000</v>
      </c>
      <c r="T715" s="1488">
        <v>0</v>
      </c>
      <c r="U715" s="1488">
        <f t="shared" si="243"/>
        <v>350000</v>
      </c>
      <c r="V715" s="1488">
        <v>0</v>
      </c>
      <c r="W715" s="1488">
        <v>50</v>
      </c>
      <c r="X715" s="1488">
        <v>0</v>
      </c>
      <c r="Y715" s="1488">
        <v>999</v>
      </c>
      <c r="Z715" s="1491">
        <v>720</v>
      </c>
      <c r="AA715" s="1491">
        <v>999</v>
      </c>
      <c r="AB715" s="1491">
        <v>0</v>
      </c>
      <c r="AC715" s="1491">
        <v>999999</v>
      </c>
      <c r="AD715" s="1488">
        <v>0</v>
      </c>
      <c r="AE715" s="1488">
        <v>75</v>
      </c>
      <c r="AF715" s="144">
        <v>1</v>
      </c>
      <c r="AG715" s="145">
        <v>1</v>
      </c>
      <c r="AH715" s="145">
        <v>1</v>
      </c>
      <c r="AI715" s="145">
        <v>1</v>
      </c>
      <c r="AJ715" s="145">
        <v>0</v>
      </c>
      <c r="AK715" s="145">
        <v>1</v>
      </c>
      <c r="AL715" s="145">
        <v>1</v>
      </c>
      <c r="AM715" s="145">
        <v>1</v>
      </c>
      <c r="AN715" s="145">
        <v>1</v>
      </c>
      <c r="AO715" s="145">
        <v>1</v>
      </c>
      <c r="AP715" s="145">
        <v>1</v>
      </c>
      <c r="AQ715" s="145">
        <v>1</v>
      </c>
      <c r="AR715" s="145">
        <v>1</v>
      </c>
      <c r="AS715" s="145">
        <v>1</v>
      </c>
      <c r="AT715" s="145">
        <v>1</v>
      </c>
      <c r="AU715" s="145">
        <f t="shared" si="236"/>
        <v>1</v>
      </c>
      <c r="AV715" s="145">
        <f t="shared" si="237"/>
        <v>1</v>
      </c>
      <c r="AW715" s="145">
        <f t="shared" si="238"/>
        <v>1</v>
      </c>
      <c r="AX715" s="145">
        <f t="shared" si="244"/>
        <v>1</v>
      </c>
      <c r="AY715" s="145">
        <f t="shared" si="239"/>
        <v>1</v>
      </c>
      <c r="AZ715" s="145">
        <f t="shared" si="240"/>
        <v>1</v>
      </c>
      <c r="BA715" s="146">
        <f t="shared" si="241"/>
        <v>1</v>
      </c>
      <c r="BB715" s="149">
        <f t="shared" si="245"/>
        <v>21</v>
      </c>
      <c r="BC715" s="150">
        <f t="shared" si="246"/>
        <v>20</v>
      </c>
      <c r="BD715" s="150">
        <f t="shared" si="247"/>
        <v>20</v>
      </c>
      <c r="BE715" s="211" t="str">
        <f t="shared" si="248"/>
        <v/>
      </c>
      <c r="BF715" s="194"/>
      <c r="BG715" s="194"/>
      <c r="BH715" s="190">
        <f>IF(AND(Input_Product=Elig!$C715,Elig_MatchAll_Ct&lt;22,$BC715=(Elig_MatchAll_Ct-1),AF715=0),C715,0)</f>
        <v>0</v>
      </c>
      <c r="BI715" s="190">
        <f>IF(AND(Input_Product=Elig!$C715,Elig_MatchAll_Ct&lt;22,$BC715=(Elig_MatchAll_Ct-1),AG715=0),D715,0)</f>
        <v>0</v>
      </c>
      <c r="BJ715" s="190">
        <f>IF(AND(Input_Product=Elig!$C715,Elig_MatchAll_Ct&lt;22,$BC715=(Elig_MatchAll_Ct-1),AH715=0),E715,0)</f>
        <v>0</v>
      </c>
      <c r="BK715" s="190">
        <f>IF(AND(Input_Product=Elig!$C715,Elig_MatchAll_Ct&lt;22,$BC715=(Elig_MatchAll_Ct-1),AI715=0),F715,0)</f>
        <v>0</v>
      </c>
      <c r="BL715" s="190">
        <f>IF(AND(Input_Product=Elig!$C715,Elig_MatchAll_Ct&lt;22,$BC715=(Elig_MatchAll_Ct-1),AJ715=0),G715,0)</f>
        <v>0</v>
      </c>
      <c r="BM715" s="190">
        <f>IF(AND(Input_Product=Elig!$C715,Elig_MatchAll_Ct&lt;22,$BC715=(Elig_MatchAll_Ct-1),AK715=0),H715,0)</f>
        <v>0</v>
      </c>
      <c r="BN715" s="190">
        <f>IF(AND(Input_Product=Elig!$C715,Elig_MatchAll_Ct&lt;22,$BC715=(Elig_MatchAll_Ct-1),AL715=0),I715,0)</f>
        <v>0</v>
      </c>
      <c r="BO715" s="190">
        <f>IF(AND(Input_Product=Elig!$C715,Elig_MatchAll_Ct&lt;22,$BC715=(Elig_MatchAll_Ct-1),AM715=0),J715,0)</f>
        <v>0</v>
      </c>
      <c r="BP715" s="190">
        <f>IF(AND(Input_Product=Elig!$C715,Elig_MatchAll_Ct&lt;22,$BC715=(Elig_MatchAll_Ct-1),AN715=0),K715,0)</f>
        <v>0</v>
      </c>
      <c r="BQ715" s="190">
        <f>IF(AND(Input_Product=Elig!$C715,Elig_MatchAll_Ct&lt;22,$BC715=(Elig_MatchAll_Ct-1),AP715=0),L715,0)</f>
        <v>0</v>
      </c>
      <c r="BR715" s="190">
        <f>IF(AND(Input_Product=Elig!$C715,Elig_MatchAll_Ct&lt;22,$BC715=(Elig_MatchAll_Ct-1),AO715=0),M715,0)</f>
        <v>0</v>
      </c>
      <c r="BS715" s="190">
        <f>IF(AND(Input_Product=Elig!$C715,Elig_MatchAll_Ct&lt;22,$BC715=(Elig_MatchAll_Ct-1),AQ715=0),N715,0)</f>
        <v>0</v>
      </c>
      <c r="BT715" s="190">
        <f>IF(AND(Input_Product=Elig!$C715,Elig_MatchAll_Ct&lt;22,$BC715=(Elig_MatchAll_Ct-1),AR715=0),O715,0)</f>
        <v>0</v>
      </c>
      <c r="BU715" s="190">
        <f>IF(AND(Input_Product=Elig!$C715,Elig_MatchAll_Ct&lt;22,$BC715=(Elig_MatchAll_Ct-1),AS715=0),P715,0)</f>
        <v>0</v>
      </c>
      <c r="BV715" s="191">
        <f>IF(AND(Input_Product=Elig!$C715,Elig_MatchAll_Ct&lt;22,$BC715=(Elig_MatchAll_Ct-1),AT715=0),Q715,0)</f>
        <v>0</v>
      </c>
      <c r="BW715" s="273">
        <f>IF(AND(Input_Product=Elig!$C715,Elig_MatchAll_Ct&lt;22,$BC715=(Elig_MatchAll_Ct-1),AU715=0),R715,0)</f>
        <v>0</v>
      </c>
      <c r="BX715" s="274">
        <f>IF(AND(Input_Product=Elig!$C715,Elig_MatchAll_Ct&lt;22,$BC715=(Elig_MatchAll_Ct-1),AU715=0),S715,0)</f>
        <v>0</v>
      </c>
      <c r="BY715" s="273">
        <f>IF(AND(Input_Product=Elig!$C715,Elig_MatchAll_Ct&lt;22,$BC715=(Elig_MatchAll_Ct-1),AV715=0),T715,0)</f>
        <v>0</v>
      </c>
      <c r="BZ715" s="274">
        <f>IF(AND(Input_Product=Elig!$C715,Elig_MatchAll_Ct&lt;22,$BC715=(Elig_MatchAll_Ct-1),AV715=0),U715,0)</f>
        <v>0</v>
      </c>
      <c r="CA715" s="273">
        <f>IF(AND(Input_Product=Elig!$C715,Elig_MatchAll_Ct&lt;22,$BC715=(Elig_MatchAll_Ct-1),AW715=0),V715,0)</f>
        <v>0</v>
      </c>
      <c r="CB715" s="274">
        <f>IF(AND(Input_Product=Elig!$C715,Elig_MatchAll_Ct&lt;22,$BC715=(Elig_MatchAll_Ct-1),AW715=0),W715,0)</f>
        <v>0</v>
      </c>
      <c r="CC715" s="273">
        <f>IF(AND(Input_Product=Elig!$C715,Elig_MatchAll_Ct&lt;22,$BC715=(Elig_MatchAll_Ct-1),AX715=0),X715,0)</f>
        <v>0</v>
      </c>
      <c r="CD715" s="274">
        <f>IF(AND(Input_Product=Elig!$C715,Elig_MatchAll_Ct&lt;22,$BC715=(Elig_MatchAll_Ct-1),AX715=0),Y715,0)</f>
        <v>0</v>
      </c>
      <c r="CE715" s="273">
        <f>IF(AND(Input_LTV&lt;=AE715,Input_Product=Elig!$C715,Elig_MatchAll_Ct&lt;22,$BC715=(Elig_MatchAll_Ct-1),AY715=0),Z715,0)</f>
        <v>0</v>
      </c>
      <c r="CF715" s="274">
        <f>IF(AND(Input_LTV&lt;=AE715,Input_Product=Elig!$C715,Elig_MatchAll_Ct&lt;22,$BC715=(Elig_MatchAll_Ct-1),AY715=0),AA715,0)</f>
        <v>0</v>
      </c>
      <c r="CG715" s="273">
        <f>IF(AND(Input_Product=Elig!$C715,Elig_MatchAll_Ct&lt;22,$BC715=(Elig_MatchAll_Ct-1),AZ715=0),AB715,0)</f>
        <v>0</v>
      </c>
      <c r="CH715" s="274">
        <f>IF(AND(Input_Product=Elig!$C715,Elig_MatchAll_Ct&lt;22,$BC715=(Elig_MatchAll_Ct-1),AZ715=0),AC715,0)</f>
        <v>0</v>
      </c>
      <c r="CI715" s="273">
        <f>IF(AND(Input_Product=Elig!$C715,Elig_MatchAll_Ct&lt;22,$BC715=(Elig_MatchAll_Ct-1),BA715=0),AD715,0)</f>
        <v>0</v>
      </c>
      <c r="CJ715" s="274">
        <f>IF(AND(Input_Product=Elig!$C715,Elig_MatchAll_Ct&lt;22,$BC715=(Elig_MatchAll_Ct-1),BA715=0),AE715,0)</f>
        <v>0</v>
      </c>
    </row>
    <row r="716" spans="1:88" ht="10.15" customHeight="1" x14ac:dyDescent="0.25">
      <c r="A716" s="1484" t="s">
        <v>76</v>
      </c>
      <c r="B716" s="1484" t="s">
        <v>1893</v>
      </c>
      <c r="C716" s="1485" t="str">
        <f t="shared" si="242"/>
        <v>Second NOO</v>
      </c>
      <c r="D716" s="1484" t="s">
        <v>1331</v>
      </c>
      <c r="E716" s="1484" t="s">
        <v>98</v>
      </c>
      <c r="F716" s="1484" t="s">
        <v>329</v>
      </c>
      <c r="G716" s="1544" t="s">
        <v>469</v>
      </c>
      <c r="H716" s="1486" t="s">
        <v>135</v>
      </c>
      <c r="I716" s="1484" t="s">
        <v>1141</v>
      </c>
      <c r="J716" s="1484" t="s">
        <v>1130</v>
      </c>
      <c r="K716" s="1486" t="s">
        <v>2464</v>
      </c>
      <c r="L716" s="1484" t="s">
        <v>428</v>
      </c>
      <c r="M716" s="1484" t="s">
        <v>1835</v>
      </c>
      <c r="N716" s="1486" t="s">
        <v>1844</v>
      </c>
      <c r="O716" s="1484" t="s">
        <v>309</v>
      </c>
      <c r="P716" s="1484" t="s">
        <v>2434</v>
      </c>
      <c r="Q716" s="1484" t="s">
        <v>293</v>
      </c>
      <c r="R716" s="1484">
        <v>50000</v>
      </c>
      <c r="S716" s="1484">
        <v>350000</v>
      </c>
      <c r="T716" s="1484">
        <v>0</v>
      </c>
      <c r="U716" s="1484">
        <f t="shared" si="243"/>
        <v>350000</v>
      </c>
      <c r="V716" s="1484">
        <v>0</v>
      </c>
      <c r="W716" s="1484">
        <v>50</v>
      </c>
      <c r="X716" s="1484">
        <v>0</v>
      </c>
      <c r="Y716" s="1484">
        <v>999</v>
      </c>
      <c r="Z716" s="1487">
        <v>700</v>
      </c>
      <c r="AA716" s="1487">
        <v>719</v>
      </c>
      <c r="AB716" s="1487">
        <v>0</v>
      </c>
      <c r="AC716" s="1487">
        <v>999999</v>
      </c>
      <c r="AD716" s="1484">
        <v>0</v>
      </c>
      <c r="AE716" s="1484">
        <v>70</v>
      </c>
      <c r="AF716" s="144">
        <v>1</v>
      </c>
      <c r="AG716" s="145">
        <v>1</v>
      </c>
      <c r="AH716" s="145">
        <v>1</v>
      </c>
      <c r="AI716" s="145">
        <v>1</v>
      </c>
      <c r="AJ716" s="145">
        <v>0</v>
      </c>
      <c r="AK716" s="145">
        <v>1</v>
      </c>
      <c r="AL716" s="145">
        <v>1</v>
      </c>
      <c r="AM716" s="145">
        <v>1</v>
      </c>
      <c r="AN716" s="145">
        <v>1</v>
      </c>
      <c r="AO716" s="145">
        <v>1</v>
      </c>
      <c r="AP716" s="145">
        <v>1</v>
      </c>
      <c r="AQ716" s="145">
        <v>1</v>
      </c>
      <c r="AR716" s="145">
        <v>1</v>
      </c>
      <c r="AS716" s="145">
        <v>1</v>
      </c>
      <c r="AT716" s="145">
        <v>1</v>
      </c>
      <c r="AU716" s="145">
        <f t="shared" si="236"/>
        <v>1</v>
      </c>
      <c r="AV716" s="145">
        <f t="shared" si="237"/>
        <v>1</v>
      </c>
      <c r="AW716" s="145">
        <f t="shared" si="238"/>
        <v>1</v>
      </c>
      <c r="AX716" s="145">
        <f t="shared" si="244"/>
        <v>1</v>
      </c>
      <c r="AY716" s="145">
        <f t="shared" si="239"/>
        <v>0</v>
      </c>
      <c r="AZ716" s="145">
        <f t="shared" si="240"/>
        <v>1</v>
      </c>
      <c r="BA716" s="146">
        <f t="shared" si="241"/>
        <v>1</v>
      </c>
      <c r="BB716" s="149">
        <f t="shared" si="245"/>
        <v>20</v>
      </c>
      <c r="BC716" s="150">
        <f t="shared" si="246"/>
        <v>19</v>
      </c>
      <c r="BD716" s="150">
        <f t="shared" si="247"/>
        <v>19</v>
      </c>
      <c r="BE716" s="211" t="str">
        <f t="shared" si="248"/>
        <v/>
      </c>
      <c r="BF716" s="205"/>
      <c r="BG716" s="205"/>
      <c r="BH716" s="173">
        <f>IF(AND(Input_Product=Elig!$C716,Elig_MatchAll_Ct&lt;22,$BC716=(Elig_MatchAll_Ct-1),AF716=0),C716,0)</f>
        <v>0</v>
      </c>
      <c r="BI716" s="173">
        <f>IF(AND(Input_Product=Elig!$C716,Elig_MatchAll_Ct&lt;22,$BC716=(Elig_MatchAll_Ct-1),AG716=0),D716,0)</f>
        <v>0</v>
      </c>
      <c r="BJ716" s="173">
        <f>IF(AND(Input_Product=Elig!$C716,Elig_MatchAll_Ct&lt;22,$BC716=(Elig_MatchAll_Ct-1),AH716=0),E716,0)</f>
        <v>0</v>
      </c>
      <c r="BK716" s="173">
        <f>IF(AND(Input_Product=Elig!$C716,Elig_MatchAll_Ct&lt;22,$BC716=(Elig_MatchAll_Ct-1),AI716=0),F716,0)</f>
        <v>0</v>
      </c>
      <c r="BL716" s="173">
        <f>IF(AND(Input_Product=Elig!$C716,Elig_MatchAll_Ct&lt;22,$BC716=(Elig_MatchAll_Ct-1),AJ716=0),G716,0)</f>
        <v>0</v>
      </c>
      <c r="BM716" s="173">
        <f>IF(AND(Input_Product=Elig!$C716,Elig_MatchAll_Ct&lt;22,$BC716=(Elig_MatchAll_Ct-1),AK716=0),H716,0)</f>
        <v>0</v>
      </c>
      <c r="BN716" s="173">
        <f>IF(AND(Input_Product=Elig!$C716,Elig_MatchAll_Ct&lt;22,$BC716=(Elig_MatchAll_Ct-1),AL716=0),I716,0)</f>
        <v>0</v>
      </c>
      <c r="BO716" s="173">
        <f>IF(AND(Input_Product=Elig!$C716,Elig_MatchAll_Ct&lt;22,$BC716=(Elig_MatchAll_Ct-1),AM716=0),J716,0)</f>
        <v>0</v>
      </c>
      <c r="BP716" s="173">
        <f>IF(AND(Input_Product=Elig!$C716,Elig_MatchAll_Ct&lt;22,$BC716=(Elig_MatchAll_Ct-1),AN716=0),K716,0)</f>
        <v>0</v>
      </c>
      <c r="BQ716" s="173">
        <f>IF(AND(Input_Product=Elig!$C716,Elig_MatchAll_Ct&lt;22,$BC716=(Elig_MatchAll_Ct-1),AP716=0),L716,0)</f>
        <v>0</v>
      </c>
      <c r="BR716" s="173">
        <f>IF(AND(Input_Product=Elig!$C716,Elig_MatchAll_Ct&lt;22,$BC716=(Elig_MatchAll_Ct-1),AO716=0),M716,0)</f>
        <v>0</v>
      </c>
      <c r="BS716" s="173">
        <f>IF(AND(Input_Product=Elig!$C716,Elig_MatchAll_Ct&lt;22,$BC716=(Elig_MatchAll_Ct-1),AQ716=0),N716,0)</f>
        <v>0</v>
      </c>
      <c r="BT716" s="173">
        <f>IF(AND(Input_Product=Elig!$C716,Elig_MatchAll_Ct&lt;22,$BC716=(Elig_MatchAll_Ct-1),AR716=0),O716,0)</f>
        <v>0</v>
      </c>
      <c r="BU716" s="173">
        <f>IF(AND(Input_Product=Elig!$C716,Elig_MatchAll_Ct&lt;22,$BC716=(Elig_MatchAll_Ct-1),AS716=0),P716,0)</f>
        <v>0</v>
      </c>
      <c r="BV716" s="174">
        <f>IF(AND(Input_Product=Elig!$C716,Elig_MatchAll_Ct&lt;22,$BC716=(Elig_MatchAll_Ct-1),AT716=0),Q716,0)</f>
        <v>0</v>
      </c>
      <c r="BW716" s="175">
        <f>IF(AND(Input_Product=Elig!$C716,Elig_MatchAll_Ct&lt;22,$BC716=(Elig_MatchAll_Ct-1),AU716=0),R716,0)</f>
        <v>0</v>
      </c>
      <c r="BX716" s="176">
        <f>IF(AND(Input_Product=Elig!$C716,Elig_MatchAll_Ct&lt;22,$BC716=(Elig_MatchAll_Ct-1),AU716=0),S716,0)</f>
        <v>0</v>
      </c>
      <c r="BY716" s="175">
        <f>IF(AND(Input_Product=Elig!$C716,Elig_MatchAll_Ct&lt;22,$BC716=(Elig_MatchAll_Ct-1),AV716=0),T716,0)</f>
        <v>0</v>
      </c>
      <c r="BZ716" s="176">
        <f>IF(AND(Input_Product=Elig!$C716,Elig_MatchAll_Ct&lt;22,$BC716=(Elig_MatchAll_Ct-1),AV716=0),U716,0)</f>
        <v>0</v>
      </c>
      <c r="CA716" s="175">
        <f>IF(AND(Input_Product=Elig!$C716,Elig_MatchAll_Ct&lt;22,$BC716=(Elig_MatchAll_Ct-1),AW716=0),V716,0)</f>
        <v>0</v>
      </c>
      <c r="CB716" s="176">
        <f>IF(AND(Input_Product=Elig!$C716,Elig_MatchAll_Ct&lt;22,$BC716=(Elig_MatchAll_Ct-1),AW716=0),W716,0)</f>
        <v>0</v>
      </c>
      <c r="CC716" s="175">
        <f>IF(AND(Input_Product=Elig!$C716,Elig_MatchAll_Ct&lt;22,$BC716=(Elig_MatchAll_Ct-1),AX716=0),X716,0)</f>
        <v>0</v>
      </c>
      <c r="CD716" s="176">
        <f>IF(AND(Input_Product=Elig!$C716,Elig_MatchAll_Ct&lt;22,$BC716=(Elig_MatchAll_Ct-1),AX716=0),Y716,0)</f>
        <v>0</v>
      </c>
      <c r="CE716" s="175">
        <f>IF(AND(Input_LTV&lt;=AE716,Input_Product=Elig!$C716,Elig_MatchAll_Ct&lt;22,$BC716=(Elig_MatchAll_Ct-1),AY716=0),Z716,0)</f>
        <v>0</v>
      </c>
      <c r="CF716" s="176">
        <f>IF(AND(Input_LTV&lt;=AE716,Input_Product=Elig!$C716,Elig_MatchAll_Ct&lt;22,$BC716=(Elig_MatchAll_Ct-1),AY716=0),AA716,0)</f>
        <v>0</v>
      </c>
      <c r="CG716" s="175">
        <f>IF(AND(Input_Product=Elig!$C716,Elig_MatchAll_Ct&lt;22,$BC716=(Elig_MatchAll_Ct-1),AZ716=0),AB716,0)</f>
        <v>0</v>
      </c>
      <c r="CH716" s="176">
        <f>IF(AND(Input_Product=Elig!$C716,Elig_MatchAll_Ct&lt;22,$BC716=(Elig_MatchAll_Ct-1),AZ716=0),AC716,0)</f>
        <v>0</v>
      </c>
      <c r="CI716" s="175">
        <f>IF(AND(Input_Product=Elig!$C716,Elig_MatchAll_Ct&lt;22,$BC716=(Elig_MatchAll_Ct-1),BA716=0),AD716,0)</f>
        <v>0</v>
      </c>
      <c r="CJ716" s="176">
        <f>IF(AND(Input_Product=Elig!$C716,Elig_MatchAll_Ct&lt;22,$BC716=(Elig_MatchAll_Ct-1),BA716=0),AE716,0)</f>
        <v>0</v>
      </c>
    </row>
    <row r="717" spans="1:88" ht="10.15" customHeight="1" x14ac:dyDescent="0.25">
      <c r="A717" s="1484" t="s">
        <v>76</v>
      </c>
      <c r="B717" s="1484" t="s">
        <v>1894</v>
      </c>
      <c r="C717" s="1485" t="str">
        <f t="shared" si="242"/>
        <v>Second NOO</v>
      </c>
      <c r="D717" s="1484" t="s">
        <v>1331</v>
      </c>
      <c r="E717" s="1484" t="s">
        <v>98</v>
      </c>
      <c r="F717" s="1484" t="s">
        <v>329</v>
      </c>
      <c r="G717" s="1544" t="s">
        <v>469</v>
      </c>
      <c r="H717" s="1486" t="s">
        <v>135</v>
      </c>
      <c r="I717" s="1484" t="s">
        <v>1141</v>
      </c>
      <c r="J717" s="1484" t="s">
        <v>1130</v>
      </c>
      <c r="K717" s="1486" t="s">
        <v>2464</v>
      </c>
      <c r="L717" s="1484" t="s">
        <v>428</v>
      </c>
      <c r="M717" s="1484" t="s">
        <v>1835</v>
      </c>
      <c r="N717" s="1486" t="s">
        <v>1844</v>
      </c>
      <c r="O717" s="1484" t="s">
        <v>309</v>
      </c>
      <c r="P717" s="1484" t="s">
        <v>2434</v>
      </c>
      <c r="Q717" s="1484" t="s">
        <v>293</v>
      </c>
      <c r="R717" s="1484">
        <v>50000</v>
      </c>
      <c r="S717" s="1484">
        <v>350000</v>
      </c>
      <c r="T717" s="1484">
        <v>0</v>
      </c>
      <c r="U717" s="1484">
        <f t="shared" si="243"/>
        <v>350000</v>
      </c>
      <c r="V717" s="1484">
        <v>0</v>
      </c>
      <c r="W717" s="1484">
        <v>50</v>
      </c>
      <c r="X717" s="1484">
        <v>0</v>
      </c>
      <c r="Y717" s="1484">
        <v>999</v>
      </c>
      <c r="Z717" s="1487">
        <v>680</v>
      </c>
      <c r="AA717" s="1487">
        <v>699</v>
      </c>
      <c r="AB717" s="1487">
        <v>0</v>
      </c>
      <c r="AC717" s="1487">
        <v>999999</v>
      </c>
      <c r="AD717" s="1484">
        <v>0</v>
      </c>
      <c r="AE717" s="1484">
        <v>65</v>
      </c>
      <c r="AF717" s="144">
        <v>1</v>
      </c>
      <c r="AG717" s="145">
        <v>1</v>
      </c>
      <c r="AH717" s="145">
        <v>1</v>
      </c>
      <c r="AI717" s="145">
        <v>1</v>
      </c>
      <c r="AJ717" s="145">
        <v>0</v>
      </c>
      <c r="AK717" s="145">
        <v>1</v>
      </c>
      <c r="AL717" s="145">
        <v>1</v>
      </c>
      <c r="AM717" s="145">
        <v>1</v>
      </c>
      <c r="AN717" s="145">
        <v>1</v>
      </c>
      <c r="AO717" s="145">
        <v>1</v>
      </c>
      <c r="AP717" s="145">
        <v>1</v>
      </c>
      <c r="AQ717" s="145">
        <v>1</v>
      </c>
      <c r="AR717" s="145">
        <v>1</v>
      </c>
      <c r="AS717" s="145">
        <v>1</v>
      </c>
      <c r="AT717" s="145">
        <v>1</v>
      </c>
      <c r="AU717" s="145">
        <f t="shared" si="236"/>
        <v>1</v>
      </c>
      <c r="AV717" s="145">
        <f t="shared" si="237"/>
        <v>1</v>
      </c>
      <c r="AW717" s="145">
        <f t="shared" si="238"/>
        <v>1</v>
      </c>
      <c r="AX717" s="145">
        <f t="shared" si="244"/>
        <v>1</v>
      </c>
      <c r="AY717" s="145">
        <f t="shared" si="239"/>
        <v>0</v>
      </c>
      <c r="AZ717" s="145">
        <f t="shared" si="240"/>
        <v>1</v>
      </c>
      <c r="BA717" s="146">
        <f t="shared" si="241"/>
        <v>0</v>
      </c>
      <c r="BB717" s="149">
        <f t="shared" si="245"/>
        <v>19</v>
      </c>
      <c r="BC717" s="150">
        <f t="shared" si="246"/>
        <v>19</v>
      </c>
      <c r="BD717" s="150">
        <f t="shared" si="247"/>
        <v>18</v>
      </c>
      <c r="BE717" s="211" t="str">
        <f t="shared" si="248"/>
        <v/>
      </c>
      <c r="BF717" s="205"/>
      <c r="BG717" s="205"/>
      <c r="BH717" s="173">
        <f>IF(AND(Input_Product=Elig!$C717,Elig_MatchAll_Ct&lt;22,$BC717=(Elig_MatchAll_Ct-1),AF717=0),C717,0)</f>
        <v>0</v>
      </c>
      <c r="BI717" s="173">
        <f>IF(AND(Input_Product=Elig!$C717,Elig_MatchAll_Ct&lt;22,$BC717=(Elig_MatchAll_Ct-1),AG717=0),D717,0)</f>
        <v>0</v>
      </c>
      <c r="BJ717" s="173">
        <f>IF(AND(Input_Product=Elig!$C717,Elig_MatchAll_Ct&lt;22,$BC717=(Elig_MatchAll_Ct-1),AH717=0),E717,0)</f>
        <v>0</v>
      </c>
      <c r="BK717" s="173">
        <f>IF(AND(Input_Product=Elig!$C717,Elig_MatchAll_Ct&lt;22,$BC717=(Elig_MatchAll_Ct-1),AI717=0),F717,0)</f>
        <v>0</v>
      </c>
      <c r="BL717" s="173">
        <f>IF(AND(Input_Product=Elig!$C717,Elig_MatchAll_Ct&lt;22,$BC717=(Elig_MatchAll_Ct-1),AJ717=0),G717,0)</f>
        <v>0</v>
      </c>
      <c r="BM717" s="173">
        <f>IF(AND(Input_Product=Elig!$C717,Elig_MatchAll_Ct&lt;22,$BC717=(Elig_MatchAll_Ct-1),AK717=0),H717,0)</f>
        <v>0</v>
      </c>
      <c r="BN717" s="173">
        <f>IF(AND(Input_Product=Elig!$C717,Elig_MatchAll_Ct&lt;22,$BC717=(Elig_MatchAll_Ct-1),AL717=0),I717,0)</f>
        <v>0</v>
      </c>
      <c r="BO717" s="173">
        <f>IF(AND(Input_Product=Elig!$C717,Elig_MatchAll_Ct&lt;22,$BC717=(Elig_MatchAll_Ct-1),AM717=0),J717,0)</f>
        <v>0</v>
      </c>
      <c r="BP717" s="173">
        <f>IF(AND(Input_Product=Elig!$C717,Elig_MatchAll_Ct&lt;22,$BC717=(Elig_MatchAll_Ct-1),AN717=0),K717,0)</f>
        <v>0</v>
      </c>
      <c r="BQ717" s="173">
        <f>IF(AND(Input_Product=Elig!$C717,Elig_MatchAll_Ct&lt;22,$BC717=(Elig_MatchAll_Ct-1),AP717=0),L717,0)</f>
        <v>0</v>
      </c>
      <c r="BR717" s="173">
        <f>IF(AND(Input_Product=Elig!$C717,Elig_MatchAll_Ct&lt;22,$BC717=(Elig_MatchAll_Ct-1),AO717=0),M717,0)</f>
        <v>0</v>
      </c>
      <c r="BS717" s="173">
        <f>IF(AND(Input_Product=Elig!$C717,Elig_MatchAll_Ct&lt;22,$BC717=(Elig_MatchAll_Ct-1),AQ717=0),N717,0)</f>
        <v>0</v>
      </c>
      <c r="BT717" s="173">
        <f>IF(AND(Input_Product=Elig!$C717,Elig_MatchAll_Ct&lt;22,$BC717=(Elig_MatchAll_Ct-1),AR717=0),O717,0)</f>
        <v>0</v>
      </c>
      <c r="BU717" s="173">
        <f>IF(AND(Input_Product=Elig!$C717,Elig_MatchAll_Ct&lt;22,$BC717=(Elig_MatchAll_Ct-1),AS717=0),P717,0)</f>
        <v>0</v>
      </c>
      <c r="BV717" s="174">
        <f>IF(AND(Input_Product=Elig!$C717,Elig_MatchAll_Ct&lt;22,$BC717=(Elig_MatchAll_Ct-1),AT717=0),Q717,0)</f>
        <v>0</v>
      </c>
      <c r="BW717" s="175">
        <f>IF(AND(Input_Product=Elig!$C717,Elig_MatchAll_Ct&lt;22,$BC717=(Elig_MatchAll_Ct-1),AU717=0),R717,0)</f>
        <v>0</v>
      </c>
      <c r="BX717" s="176">
        <f>IF(AND(Input_Product=Elig!$C717,Elig_MatchAll_Ct&lt;22,$BC717=(Elig_MatchAll_Ct-1),AU717=0),S717,0)</f>
        <v>0</v>
      </c>
      <c r="BY717" s="175">
        <f>IF(AND(Input_Product=Elig!$C717,Elig_MatchAll_Ct&lt;22,$BC717=(Elig_MatchAll_Ct-1),AV717=0),T717,0)</f>
        <v>0</v>
      </c>
      <c r="BZ717" s="176">
        <f>IF(AND(Input_Product=Elig!$C717,Elig_MatchAll_Ct&lt;22,$BC717=(Elig_MatchAll_Ct-1),AV717=0),U717,0)</f>
        <v>0</v>
      </c>
      <c r="CA717" s="175">
        <f>IF(AND(Input_Product=Elig!$C717,Elig_MatchAll_Ct&lt;22,$BC717=(Elig_MatchAll_Ct-1),AW717=0),V717,0)</f>
        <v>0</v>
      </c>
      <c r="CB717" s="176">
        <f>IF(AND(Input_Product=Elig!$C717,Elig_MatchAll_Ct&lt;22,$BC717=(Elig_MatchAll_Ct-1),AW717=0),W717,0)</f>
        <v>0</v>
      </c>
      <c r="CC717" s="175">
        <f>IF(AND(Input_Product=Elig!$C717,Elig_MatchAll_Ct&lt;22,$BC717=(Elig_MatchAll_Ct-1),AX717=0),X717,0)</f>
        <v>0</v>
      </c>
      <c r="CD717" s="176">
        <f>IF(AND(Input_Product=Elig!$C717,Elig_MatchAll_Ct&lt;22,$BC717=(Elig_MatchAll_Ct-1),AX717=0),Y717,0)</f>
        <v>0</v>
      </c>
      <c r="CE717" s="175">
        <f>IF(AND(Input_LTV&lt;=AE717,Input_Product=Elig!$C717,Elig_MatchAll_Ct&lt;22,$BC717=(Elig_MatchAll_Ct-1),AY717=0),Z717,0)</f>
        <v>0</v>
      </c>
      <c r="CF717" s="176">
        <f>IF(AND(Input_LTV&lt;=AE717,Input_Product=Elig!$C717,Elig_MatchAll_Ct&lt;22,$BC717=(Elig_MatchAll_Ct-1),AY717=0),AA717,0)</f>
        <v>0</v>
      </c>
      <c r="CG717" s="175">
        <f>IF(AND(Input_Product=Elig!$C717,Elig_MatchAll_Ct&lt;22,$BC717=(Elig_MatchAll_Ct-1),AZ717=0),AB717,0)</f>
        <v>0</v>
      </c>
      <c r="CH717" s="176">
        <f>IF(AND(Input_Product=Elig!$C717,Elig_MatchAll_Ct&lt;22,$BC717=(Elig_MatchAll_Ct-1),AZ717=0),AC717,0)</f>
        <v>0</v>
      </c>
      <c r="CI717" s="175">
        <f>IF(AND(Input_Product=Elig!$C717,Elig_MatchAll_Ct&lt;22,$BC717=(Elig_MatchAll_Ct-1),BA717=0),AD717,0)</f>
        <v>0</v>
      </c>
      <c r="CJ717" s="176">
        <f>IF(AND(Input_Product=Elig!$C717,Elig_MatchAll_Ct&lt;22,$BC717=(Elig_MatchAll_Ct-1),BA717=0),AE717,0)</f>
        <v>0</v>
      </c>
    </row>
    <row r="718" spans="1:88" ht="10.15" customHeight="1" x14ac:dyDescent="0.25">
      <c r="A718" s="1484" t="s">
        <v>76</v>
      </c>
      <c r="B718" s="1484" t="s">
        <v>1895</v>
      </c>
      <c r="C718" s="1485" t="str">
        <f t="shared" si="242"/>
        <v>Second NOO</v>
      </c>
      <c r="D718" s="1484" t="s">
        <v>1331</v>
      </c>
      <c r="E718" s="1484" t="s">
        <v>98</v>
      </c>
      <c r="F718" s="1484" t="s">
        <v>329</v>
      </c>
      <c r="G718" s="1545" t="s">
        <v>469</v>
      </c>
      <c r="H718" s="1486" t="s">
        <v>135</v>
      </c>
      <c r="I718" s="1484" t="s">
        <v>1141</v>
      </c>
      <c r="J718" s="1484" t="s">
        <v>1130</v>
      </c>
      <c r="K718" s="1486" t="s">
        <v>2464</v>
      </c>
      <c r="L718" s="1484" t="s">
        <v>428</v>
      </c>
      <c r="M718" s="1484" t="s">
        <v>1835</v>
      </c>
      <c r="N718" s="1486" t="s">
        <v>1844</v>
      </c>
      <c r="O718" s="1484" t="s">
        <v>309</v>
      </c>
      <c r="P718" s="1484" t="s">
        <v>2434</v>
      </c>
      <c r="Q718" s="1484" t="s">
        <v>293</v>
      </c>
      <c r="R718" s="1484">
        <v>50000</v>
      </c>
      <c r="S718" s="1484">
        <v>350000</v>
      </c>
      <c r="T718" s="1484">
        <v>0</v>
      </c>
      <c r="U718" s="1484">
        <f t="shared" si="243"/>
        <v>350000</v>
      </c>
      <c r="V718" s="1484">
        <v>0</v>
      </c>
      <c r="W718" s="1484">
        <v>50</v>
      </c>
      <c r="X718" s="1484">
        <v>0</v>
      </c>
      <c r="Y718" s="1484">
        <v>999</v>
      </c>
      <c r="Z718" s="1487">
        <v>660</v>
      </c>
      <c r="AA718" s="1487">
        <v>679</v>
      </c>
      <c r="AB718" s="1487">
        <v>0</v>
      </c>
      <c r="AC718" s="1487">
        <v>999999</v>
      </c>
      <c r="AD718" s="1484">
        <v>0</v>
      </c>
      <c r="AE718" s="1484">
        <v>60</v>
      </c>
      <c r="AF718" s="144">
        <v>1</v>
      </c>
      <c r="AG718" s="145">
        <v>1</v>
      </c>
      <c r="AH718" s="145">
        <v>1</v>
      </c>
      <c r="AI718" s="145">
        <v>1</v>
      </c>
      <c r="AJ718" s="145">
        <v>0</v>
      </c>
      <c r="AK718" s="145">
        <v>1</v>
      </c>
      <c r="AL718" s="145">
        <v>1</v>
      </c>
      <c r="AM718" s="145">
        <v>1</v>
      </c>
      <c r="AN718" s="145">
        <v>1</v>
      </c>
      <c r="AO718" s="145">
        <v>1</v>
      </c>
      <c r="AP718" s="145">
        <v>1</v>
      </c>
      <c r="AQ718" s="145">
        <v>1</v>
      </c>
      <c r="AR718" s="145">
        <v>1</v>
      </c>
      <c r="AS718" s="145">
        <v>1</v>
      </c>
      <c r="AT718" s="145">
        <v>1</v>
      </c>
      <c r="AU718" s="145">
        <f t="shared" si="236"/>
        <v>1</v>
      </c>
      <c r="AV718" s="145">
        <f t="shared" si="237"/>
        <v>1</v>
      </c>
      <c r="AW718" s="145">
        <f t="shared" si="238"/>
        <v>1</v>
      </c>
      <c r="AX718" s="145">
        <f t="shared" si="244"/>
        <v>1</v>
      </c>
      <c r="AY718" s="145">
        <f t="shared" si="239"/>
        <v>0</v>
      </c>
      <c r="AZ718" s="145">
        <f t="shared" si="240"/>
        <v>1</v>
      </c>
      <c r="BA718" s="146">
        <f t="shared" si="241"/>
        <v>0</v>
      </c>
      <c r="BB718" s="149">
        <f t="shared" si="245"/>
        <v>19</v>
      </c>
      <c r="BC718" s="150">
        <f t="shared" si="246"/>
        <v>19</v>
      </c>
      <c r="BD718" s="150">
        <f t="shared" si="247"/>
        <v>18</v>
      </c>
      <c r="BE718" s="211" t="str">
        <f t="shared" si="248"/>
        <v/>
      </c>
      <c r="BF718" s="205"/>
      <c r="BG718" s="205"/>
      <c r="BH718" s="188">
        <f>IF(AND(Input_Product=Elig!$C718,Elig_MatchAll_Ct&lt;22,$BC718=(Elig_MatchAll_Ct-1),AF718=0),C718,0)</f>
        <v>0</v>
      </c>
      <c r="BI718" s="188">
        <f>IF(AND(Input_Product=Elig!$C718,Elig_MatchAll_Ct&lt;22,$BC718=(Elig_MatchAll_Ct-1),AG718=0),D718,0)</f>
        <v>0</v>
      </c>
      <c r="BJ718" s="188">
        <f>IF(AND(Input_Product=Elig!$C718,Elig_MatchAll_Ct&lt;22,$BC718=(Elig_MatchAll_Ct-1),AH718=0),E718,0)</f>
        <v>0</v>
      </c>
      <c r="BK718" s="188">
        <f>IF(AND(Input_Product=Elig!$C718,Elig_MatchAll_Ct&lt;22,$BC718=(Elig_MatchAll_Ct-1),AI718=0),F718,0)</f>
        <v>0</v>
      </c>
      <c r="BL718" s="188">
        <f>IF(AND(Input_Product=Elig!$C718,Elig_MatchAll_Ct&lt;22,$BC718=(Elig_MatchAll_Ct-1),AJ718=0),G718,0)</f>
        <v>0</v>
      </c>
      <c r="BM718" s="188">
        <f>IF(AND(Input_Product=Elig!$C718,Elig_MatchAll_Ct&lt;22,$BC718=(Elig_MatchAll_Ct-1),AK718=0),H718,0)</f>
        <v>0</v>
      </c>
      <c r="BN718" s="188">
        <f>IF(AND(Input_Product=Elig!$C718,Elig_MatchAll_Ct&lt;22,$BC718=(Elig_MatchAll_Ct-1),AL718=0),I718,0)</f>
        <v>0</v>
      </c>
      <c r="BO718" s="188">
        <f>IF(AND(Input_Product=Elig!$C718,Elig_MatchAll_Ct&lt;22,$BC718=(Elig_MatchAll_Ct-1),AM718=0),J718,0)</f>
        <v>0</v>
      </c>
      <c r="BP718" s="188">
        <f>IF(AND(Input_Product=Elig!$C718,Elig_MatchAll_Ct&lt;22,$BC718=(Elig_MatchAll_Ct-1),AN718=0),K718,0)</f>
        <v>0</v>
      </c>
      <c r="BQ718" s="188">
        <f>IF(AND(Input_Product=Elig!$C718,Elig_MatchAll_Ct&lt;22,$BC718=(Elig_MatchAll_Ct-1),AP718=0),L718,0)</f>
        <v>0</v>
      </c>
      <c r="BR718" s="188">
        <f>IF(AND(Input_Product=Elig!$C718,Elig_MatchAll_Ct&lt;22,$BC718=(Elig_MatchAll_Ct-1),AO718=0),M718,0)</f>
        <v>0</v>
      </c>
      <c r="BS718" s="188">
        <f>IF(AND(Input_Product=Elig!$C718,Elig_MatchAll_Ct&lt;22,$BC718=(Elig_MatchAll_Ct-1),AQ718=0),N718,0)</f>
        <v>0</v>
      </c>
      <c r="BT718" s="188">
        <f>IF(AND(Input_Product=Elig!$C718,Elig_MatchAll_Ct&lt;22,$BC718=(Elig_MatchAll_Ct-1),AR718=0),O718,0)</f>
        <v>0</v>
      </c>
      <c r="BU718" s="188">
        <f>IF(AND(Input_Product=Elig!$C718,Elig_MatchAll_Ct&lt;22,$BC718=(Elig_MatchAll_Ct-1),AS718=0),P718,0)</f>
        <v>0</v>
      </c>
      <c r="BV718" s="189">
        <f>IF(AND(Input_Product=Elig!$C718,Elig_MatchAll_Ct&lt;22,$BC718=(Elig_MatchAll_Ct-1),AT718=0),Q718,0)</f>
        <v>0</v>
      </c>
      <c r="BW718" s="271">
        <f>IF(AND(Input_Product=Elig!$C718,Elig_MatchAll_Ct&lt;22,$BC718=(Elig_MatchAll_Ct-1),AU718=0),R718,0)</f>
        <v>0</v>
      </c>
      <c r="BX718" s="272">
        <f>IF(AND(Input_Product=Elig!$C718,Elig_MatchAll_Ct&lt;22,$BC718=(Elig_MatchAll_Ct-1),AU718=0),S718,0)</f>
        <v>0</v>
      </c>
      <c r="BY718" s="271">
        <f>IF(AND(Input_Product=Elig!$C718,Elig_MatchAll_Ct&lt;22,$BC718=(Elig_MatchAll_Ct-1),AV718=0),T718,0)</f>
        <v>0</v>
      </c>
      <c r="BZ718" s="272">
        <f>IF(AND(Input_Product=Elig!$C718,Elig_MatchAll_Ct&lt;22,$BC718=(Elig_MatchAll_Ct-1),AV718=0),U718,0)</f>
        <v>0</v>
      </c>
      <c r="CA718" s="271">
        <f>IF(AND(Input_Product=Elig!$C718,Elig_MatchAll_Ct&lt;22,$BC718=(Elig_MatchAll_Ct-1),AW718=0),V718,0)</f>
        <v>0</v>
      </c>
      <c r="CB718" s="272">
        <f>IF(AND(Input_Product=Elig!$C718,Elig_MatchAll_Ct&lt;22,$BC718=(Elig_MatchAll_Ct-1),AW718=0),W718,0)</f>
        <v>0</v>
      </c>
      <c r="CC718" s="271">
        <f>IF(AND(Input_Product=Elig!$C718,Elig_MatchAll_Ct&lt;22,$BC718=(Elig_MatchAll_Ct-1),AX718=0),X718,0)</f>
        <v>0</v>
      </c>
      <c r="CD718" s="272">
        <f>IF(AND(Input_Product=Elig!$C718,Elig_MatchAll_Ct&lt;22,$BC718=(Elig_MatchAll_Ct-1),AX718=0),Y718,0)</f>
        <v>0</v>
      </c>
      <c r="CE718" s="271">
        <f>IF(AND(Input_LTV&lt;=AE718,Input_Product=Elig!$C718,Elig_MatchAll_Ct&lt;22,$BC718=(Elig_MatchAll_Ct-1),AY718=0),Z718,0)</f>
        <v>0</v>
      </c>
      <c r="CF718" s="272">
        <f>IF(AND(Input_LTV&lt;=AE718,Input_Product=Elig!$C718,Elig_MatchAll_Ct&lt;22,$BC718=(Elig_MatchAll_Ct-1),AY718=0),AA718,0)</f>
        <v>0</v>
      </c>
      <c r="CG718" s="271">
        <f>IF(AND(Input_Product=Elig!$C718,Elig_MatchAll_Ct&lt;22,$BC718=(Elig_MatchAll_Ct-1),AZ718=0),AB718,0)</f>
        <v>0</v>
      </c>
      <c r="CH718" s="272">
        <f>IF(AND(Input_Product=Elig!$C718,Elig_MatchAll_Ct&lt;22,$BC718=(Elig_MatchAll_Ct-1),AZ718=0),AC718,0)</f>
        <v>0</v>
      </c>
      <c r="CI718" s="271">
        <f>IF(AND(Input_Product=Elig!$C718,Elig_MatchAll_Ct&lt;22,$BC718=(Elig_MatchAll_Ct-1),BA718=0),AD718,0)</f>
        <v>0</v>
      </c>
      <c r="CJ718" s="272">
        <f>IF(AND(Input_Product=Elig!$C718,Elig_MatchAll_Ct&lt;22,$BC718=(Elig_MatchAll_Ct-1),BA718=0),AE718,0)</f>
        <v>0</v>
      </c>
    </row>
    <row r="719" spans="1:88" ht="10.15" customHeight="1" x14ac:dyDescent="0.25">
      <c r="A719" s="1484" t="s">
        <v>76</v>
      </c>
      <c r="B719" s="1484" t="s">
        <v>1896</v>
      </c>
      <c r="C719" s="1489" t="str">
        <f t="shared" si="242"/>
        <v>Second NOO</v>
      </c>
      <c r="D719" s="1490" t="s">
        <v>1121</v>
      </c>
      <c r="E719" s="1490" t="s">
        <v>98</v>
      </c>
      <c r="F719" s="1490" t="s">
        <v>329</v>
      </c>
      <c r="G719" s="1537" t="s">
        <v>469</v>
      </c>
      <c r="H719" s="1490" t="s">
        <v>135</v>
      </c>
      <c r="I719" s="1488" t="s">
        <v>1141</v>
      </c>
      <c r="J719" s="1488" t="s">
        <v>1130</v>
      </c>
      <c r="K719" s="1490" t="s">
        <v>2464</v>
      </c>
      <c r="L719" s="1488" t="s">
        <v>428</v>
      </c>
      <c r="M719" s="1488" t="s">
        <v>1835</v>
      </c>
      <c r="N719" s="1490" t="s">
        <v>1844</v>
      </c>
      <c r="O719" s="1488" t="s">
        <v>309</v>
      </c>
      <c r="P719" s="1488" t="s">
        <v>2434</v>
      </c>
      <c r="Q719" s="1488" t="s">
        <v>293</v>
      </c>
      <c r="R719" s="1488">
        <v>200000</v>
      </c>
      <c r="S719" s="1488">
        <v>350000</v>
      </c>
      <c r="T719" s="1488">
        <v>0</v>
      </c>
      <c r="U719" s="1488">
        <f t="shared" si="243"/>
        <v>350000</v>
      </c>
      <c r="V719" s="1488">
        <v>0</v>
      </c>
      <c r="W719" s="1488">
        <v>50</v>
      </c>
      <c r="X719" s="1488">
        <v>0</v>
      </c>
      <c r="Y719" s="1488">
        <v>999</v>
      </c>
      <c r="Z719" s="1491">
        <v>720</v>
      </c>
      <c r="AA719" s="1491">
        <v>999</v>
      </c>
      <c r="AB719" s="1491">
        <v>0</v>
      </c>
      <c r="AC719" s="1491">
        <v>999999</v>
      </c>
      <c r="AD719" s="1488">
        <v>0</v>
      </c>
      <c r="AE719" s="1488">
        <v>75</v>
      </c>
      <c r="AF719" s="144">
        <v>1</v>
      </c>
      <c r="AG719" s="145">
        <v>0</v>
      </c>
      <c r="AH719" s="145">
        <v>1</v>
      </c>
      <c r="AI719" s="145">
        <v>1</v>
      </c>
      <c r="AJ719" s="145">
        <v>0</v>
      </c>
      <c r="AK719" s="145">
        <v>1</v>
      </c>
      <c r="AL719" s="145">
        <v>1</v>
      </c>
      <c r="AM719" s="145">
        <v>1</v>
      </c>
      <c r="AN719" s="145">
        <v>1</v>
      </c>
      <c r="AO719" s="145">
        <v>1</v>
      </c>
      <c r="AP719" s="145">
        <v>1</v>
      </c>
      <c r="AQ719" s="145">
        <v>1</v>
      </c>
      <c r="AR719" s="145">
        <v>1</v>
      </c>
      <c r="AS719" s="145">
        <v>1</v>
      </c>
      <c r="AT719" s="145">
        <v>1</v>
      </c>
      <c r="AU719" s="145">
        <f t="shared" si="236"/>
        <v>0</v>
      </c>
      <c r="AV719" s="145">
        <f t="shared" si="237"/>
        <v>1</v>
      </c>
      <c r="AW719" s="145">
        <f t="shared" si="238"/>
        <v>1</v>
      </c>
      <c r="AX719" s="145">
        <f t="shared" si="244"/>
        <v>1</v>
      </c>
      <c r="AY719" s="145">
        <f t="shared" si="239"/>
        <v>1</v>
      </c>
      <c r="AZ719" s="145">
        <f t="shared" si="240"/>
        <v>1</v>
      </c>
      <c r="BA719" s="146">
        <f t="shared" si="241"/>
        <v>1</v>
      </c>
      <c r="BB719" s="149">
        <f t="shared" si="245"/>
        <v>19</v>
      </c>
      <c r="BC719" s="150">
        <f t="shared" si="246"/>
        <v>18</v>
      </c>
      <c r="BD719" s="150">
        <f t="shared" si="247"/>
        <v>18</v>
      </c>
      <c r="BE719" s="211" t="str">
        <f t="shared" si="248"/>
        <v/>
      </c>
      <c r="BF719" s="194"/>
      <c r="BG719" s="194"/>
      <c r="BH719" s="190">
        <f>IF(AND(Input_Product=Elig!$C719,Elig_MatchAll_Ct&lt;22,$BC719=(Elig_MatchAll_Ct-1),AF719=0),C719,0)</f>
        <v>0</v>
      </c>
      <c r="BI719" s="190">
        <f>IF(AND(Input_Product=Elig!$C719,Elig_MatchAll_Ct&lt;22,$BC719=(Elig_MatchAll_Ct-1),AG719=0),D719,0)</f>
        <v>0</v>
      </c>
      <c r="BJ719" s="190">
        <f>IF(AND(Input_Product=Elig!$C719,Elig_MatchAll_Ct&lt;22,$BC719=(Elig_MatchAll_Ct-1),AH719=0),E719,0)</f>
        <v>0</v>
      </c>
      <c r="BK719" s="190">
        <f>IF(AND(Input_Product=Elig!$C719,Elig_MatchAll_Ct&lt;22,$BC719=(Elig_MatchAll_Ct-1),AI719=0),F719,0)</f>
        <v>0</v>
      </c>
      <c r="BL719" s="190">
        <f>IF(AND(Input_Product=Elig!$C719,Elig_MatchAll_Ct&lt;22,$BC719=(Elig_MatchAll_Ct-1),AJ719=0),G719,0)</f>
        <v>0</v>
      </c>
      <c r="BM719" s="190">
        <f>IF(AND(Input_Product=Elig!$C719,Elig_MatchAll_Ct&lt;22,$BC719=(Elig_MatchAll_Ct-1),AK719=0),H719,0)</f>
        <v>0</v>
      </c>
      <c r="BN719" s="190">
        <f>IF(AND(Input_Product=Elig!$C719,Elig_MatchAll_Ct&lt;22,$BC719=(Elig_MatchAll_Ct-1),AL719=0),I719,0)</f>
        <v>0</v>
      </c>
      <c r="BO719" s="190">
        <f>IF(AND(Input_Product=Elig!$C719,Elig_MatchAll_Ct&lt;22,$BC719=(Elig_MatchAll_Ct-1),AM719=0),J719,0)</f>
        <v>0</v>
      </c>
      <c r="BP719" s="190">
        <f>IF(AND(Input_Product=Elig!$C719,Elig_MatchAll_Ct&lt;22,$BC719=(Elig_MatchAll_Ct-1),AN719=0),K719,0)</f>
        <v>0</v>
      </c>
      <c r="BQ719" s="190">
        <f>IF(AND(Input_Product=Elig!$C719,Elig_MatchAll_Ct&lt;22,$BC719=(Elig_MatchAll_Ct-1),AP719=0),L719,0)</f>
        <v>0</v>
      </c>
      <c r="BR719" s="190">
        <f>IF(AND(Input_Product=Elig!$C719,Elig_MatchAll_Ct&lt;22,$BC719=(Elig_MatchAll_Ct-1),AO719=0),M719,0)</f>
        <v>0</v>
      </c>
      <c r="BS719" s="190">
        <f>IF(AND(Input_Product=Elig!$C719,Elig_MatchAll_Ct&lt;22,$BC719=(Elig_MatchAll_Ct-1),AQ719=0),N719,0)</f>
        <v>0</v>
      </c>
      <c r="BT719" s="190">
        <f>IF(AND(Input_Product=Elig!$C719,Elig_MatchAll_Ct&lt;22,$BC719=(Elig_MatchAll_Ct-1),AR719=0),O719,0)</f>
        <v>0</v>
      </c>
      <c r="BU719" s="190">
        <f>IF(AND(Input_Product=Elig!$C719,Elig_MatchAll_Ct&lt;22,$BC719=(Elig_MatchAll_Ct-1),AS719=0),P719,0)</f>
        <v>0</v>
      </c>
      <c r="BV719" s="191">
        <f>IF(AND(Input_Product=Elig!$C719,Elig_MatchAll_Ct&lt;22,$BC719=(Elig_MatchAll_Ct-1),AT719=0),Q719,0)</f>
        <v>0</v>
      </c>
      <c r="BW719" s="273">
        <f>IF(AND(Input_Product=Elig!$C719,Elig_MatchAll_Ct&lt;22,$BC719=(Elig_MatchAll_Ct-1),AU719=0),R719,0)</f>
        <v>0</v>
      </c>
      <c r="BX719" s="274">
        <f>IF(AND(Input_Product=Elig!$C719,Elig_MatchAll_Ct&lt;22,$BC719=(Elig_MatchAll_Ct-1),AU719=0),S719,0)</f>
        <v>0</v>
      </c>
      <c r="BY719" s="273">
        <f>IF(AND(Input_Product=Elig!$C719,Elig_MatchAll_Ct&lt;22,$BC719=(Elig_MatchAll_Ct-1),AV719=0),T719,0)</f>
        <v>0</v>
      </c>
      <c r="BZ719" s="274">
        <f>IF(AND(Input_Product=Elig!$C719,Elig_MatchAll_Ct&lt;22,$BC719=(Elig_MatchAll_Ct-1),AV719=0),U719,0)</f>
        <v>0</v>
      </c>
      <c r="CA719" s="273">
        <f>IF(AND(Input_Product=Elig!$C719,Elig_MatchAll_Ct&lt;22,$BC719=(Elig_MatchAll_Ct-1),AW719=0),V719,0)</f>
        <v>0</v>
      </c>
      <c r="CB719" s="274">
        <f>IF(AND(Input_Product=Elig!$C719,Elig_MatchAll_Ct&lt;22,$BC719=(Elig_MatchAll_Ct-1),AW719=0),W719,0)</f>
        <v>0</v>
      </c>
      <c r="CC719" s="273">
        <f>IF(AND(Input_Product=Elig!$C719,Elig_MatchAll_Ct&lt;22,$BC719=(Elig_MatchAll_Ct-1),AX719=0),X719,0)</f>
        <v>0</v>
      </c>
      <c r="CD719" s="274">
        <f>IF(AND(Input_Product=Elig!$C719,Elig_MatchAll_Ct&lt;22,$BC719=(Elig_MatchAll_Ct-1),AX719=0),Y719,0)</f>
        <v>0</v>
      </c>
      <c r="CE719" s="273">
        <f>IF(AND(Input_LTV&lt;=AE719,Input_Product=Elig!$C719,Elig_MatchAll_Ct&lt;22,$BC719=(Elig_MatchAll_Ct-1),AY719=0),Z719,0)</f>
        <v>0</v>
      </c>
      <c r="CF719" s="274">
        <f>IF(AND(Input_LTV&lt;=AE719,Input_Product=Elig!$C719,Elig_MatchAll_Ct&lt;22,$BC719=(Elig_MatchAll_Ct-1),AY719=0),AA719,0)</f>
        <v>0</v>
      </c>
      <c r="CG719" s="273">
        <f>IF(AND(Input_Product=Elig!$C719,Elig_MatchAll_Ct&lt;22,$BC719=(Elig_MatchAll_Ct-1),AZ719=0),AB719,0)</f>
        <v>0</v>
      </c>
      <c r="CH719" s="274">
        <f>IF(AND(Input_Product=Elig!$C719,Elig_MatchAll_Ct&lt;22,$BC719=(Elig_MatchAll_Ct-1),AZ719=0),AC719,0)</f>
        <v>0</v>
      </c>
      <c r="CI719" s="273">
        <f>IF(AND(Input_Product=Elig!$C719,Elig_MatchAll_Ct&lt;22,$BC719=(Elig_MatchAll_Ct-1),BA719=0),AD719,0)</f>
        <v>0</v>
      </c>
      <c r="CJ719" s="274">
        <f>IF(AND(Input_Product=Elig!$C719,Elig_MatchAll_Ct&lt;22,$BC719=(Elig_MatchAll_Ct-1),BA719=0),AE719,0)</f>
        <v>0</v>
      </c>
    </row>
    <row r="720" spans="1:88" ht="10.15" customHeight="1" x14ac:dyDescent="0.25">
      <c r="A720" s="1484" t="s">
        <v>76</v>
      </c>
      <c r="B720" s="1484" t="s">
        <v>1897</v>
      </c>
      <c r="C720" s="1485" t="str">
        <f t="shared" si="242"/>
        <v>Second NOO</v>
      </c>
      <c r="D720" s="1484" t="s">
        <v>1121</v>
      </c>
      <c r="E720" s="1484" t="s">
        <v>98</v>
      </c>
      <c r="F720" s="1484" t="s">
        <v>329</v>
      </c>
      <c r="G720" s="1544" t="s">
        <v>469</v>
      </c>
      <c r="H720" s="1486" t="s">
        <v>135</v>
      </c>
      <c r="I720" s="1484" t="s">
        <v>1141</v>
      </c>
      <c r="J720" s="1484" t="s">
        <v>1130</v>
      </c>
      <c r="K720" s="1486" t="s">
        <v>2464</v>
      </c>
      <c r="L720" s="1484" t="s">
        <v>428</v>
      </c>
      <c r="M720" s="1484" t="s">
        <v>1835</v>
      </c>
      <c r="N720" s="1486" t="s">
        <v>1844</v>
      </c>
      <c r="O720" s="1484" t="s">
        <v>309</v>
      </c>
      <c r="P720" s="1484" t="s">
        <v>2434</v>
      </c>
      <c r="Q720" s="1484" t="s">
        <v>293</v>
      </c>
      <c r="R720" s="1484">
        <v>200000</v>
      </c>
      <c r="S720" s="1484">
        <v>350000</v>
      </c>
      <c r="T720" s="1484">
        <v>0</v>
      </c>
      <c r="U720" s="1484">
        <f t="shared" si="243"/>
        <v>350000</v>
      </c>
      <c r="V720" s="1484">
        <v>0</v>
      </c>
      <c r="W720" s="1484">
        <v>50</v>
      </c>
      <c r="X720" s="1484">
        <v>0</v>
      </c>
      <c r="Y720" s="1484">
        <v>999</v>
      </c>
      <c r="Z720" s="1487">
        <v>700</v>
      </c>
      <c r="AA720" s="1487">
        <v>719</v>
      </c>
      <c r="AB720" s="1487">
        <v>0</v>
      </c>
      <c r="AC720" s="1487">
        <v>999999</v>
      </c>
      <c r="AD720" s="1484">
        <v>0</v>
      </c>
      <c r="AE720" s="1484">
        <v>70</v>
      </c>
      <c r="AF720" s="144">
        <v>1</v>
      </c>
      <c r="AG720" s="145">
        <v>0</v>
      </c>
      <c r="AH720" s="145">
        <v>1</v>
      </c>
      <c r="AI720" s="145">
        <v>1</v>
      </c>
      <c r="AJ720" s="145">
        <v>0</v>
      </c>
      <c r="AK720" s="145">
        <v>1</v>
      </c>
      <c r="AL720" s="145">
        <v>1</v>
      </c>
      <c r="AM720" s="145">
        <v>1</v>
      </c>
      <c r="AN720" s="145">
        <v>1</v>
      </c>
      <c r="AO720" s="145">
        <v>1</v>
      </c>
      <c r="AP720" s="145">
        <v>1</v>
      </c>
      <c r="AQ720" s="145">
        <v>1</v>
      </c>
      <c r="AR720" s="145">
        <v>1</v>
      </c>
      <c r="AS720" s="145">
        <v>1</v>
      </c>
      <c r="AT720" s="145">
        <v>1</v>
      </c>
      <c r="AU720" s="145">
        <f t="shared" si="236"/>
        <v>0</v>
      </c>
      <c r="AV720" s="145">
        <f t="shared" si="237"/>
        <v>1</v>
      </c>
      <c r="AW720" s="145">
        <f t="shared" si="238"/>
        <v>1</v>
      </c>
      <c r="AX720" s="145">
        <f t="shared" si="244"/>
        <v>1</v>
      </c>
      <c r="AY720" s="145">
        <f t="shared" si="239"/>
        <v>0</v>
      </c>
      <c r="AZ720" s="145">
        <f t="shared" si="240"/>
        <v>1</v>
      </c>
      <c r="BA720" s="146">
        <f t="shared" si="241"/>
        <v>1</v>
      </c>
      <c r="BB720" s="149">
        <f t="shared" si="245"/>
        <v>18</v>
      </c>
      <c r="BC720" s="150">
        <f t="shared" si="246"/>
        <v>17</v>
      </c>
      <c r="BD720" s="150">
        <f t="shared" si="247"/>
        <v>17</v>
      </c>
      <c r="BE720" s="211" t="str">
        <f t="shared" si="248"/>
        <v/>
      </c>
      <c r="BF720" s="205"/>
      <c r="BG720" s="205"/>
      <c r="BH720" s="173">
        <f>IF(AND(Input_Product=Elig!$C720,Elig_MatchAll_Ct&lt;22,$BC720=(Elig_MatchAll_Ct-1),AF720=0),C720,0)</f>
        <v>0</v>
      </c>
      <c r="BI720" s="173">
        <f>IF(AND(Input_Product=Elig!$C720,Elig_MatchAll_Ct&lt;22,$BC720=(Elig_MatchAll_Ct-1),AG720=0),D720,0)</f>
        <v>0</v>
      </c>
      <c r="BJ720" s="173">
        <f>IF(AND(Input_Product=Elig!$C720,Elig_MatchAll_Ct&lt;22,$BC720=(Elig_MatchAll_Ct-1),AH720=0),E720,0)</f>
        <v>0</v>
      </c>
      <c r="BK720" s="173">
        <f>IF(AND(Input_Product=Elig!$C720,Elig_MatchAll_Ct&lt;22,$BC720=(Elig_MatchAll_Ct-1),AI720=0),F720,0)</f>
        <v>0</v>
      </c>
      <c r="BL720" s="173">
        <f>IF(AND(Input_Product=Elig!$C720,Elig_MatchAll_Ct&lt;22,$BC720=(Elig_MatchAll_Ct-1),AJ720=0),G720,0)</f>
        <v>0</v>
      </c>
      <c r="BM720" s="173">
        <f>IF(AND(Input_Product=Elig!$C720,Elig_MatchAll_Ct&lt;22,$BC720=(Elig_MatchAll_Ct-1),AK720=0),H720,0)</f>
        <v>0</v>
      </c>
      <c r="BN720" s="173">
        <f>IF(AND(Input_Product=Elig!$C720,Elig_MatchAll_Ct&lt;22,$BC720=(Elig_MatchAll_Ct-1),AL720=0),I720,0)</f>
        <v>0</v>
      </c>
      <c r="BO720" s="173">
        <f>IF(AND(Input_Product=Elig!$C720,Elig_MatchAll_Ct&lt;22,$BC720=(Elig_MatchAll_Ct-1),AM720=0),J720,0)</f>
        <v>0</v>
      </c>
      <c r="BP720" s="173">
        <f>IF(AND(Input_Product=Elig!$C720,Elig_MatchAll_Ct&lt;22,$BC720=(Elig_MatchAll_Ct-1),AN720=0),K720,0)</f>
        <v>0</v>
      </c>
      <c r="BQ720" s="173">
        <f>IF(AND(Input_Product=Elig!$C720,Elig_MatchAll_Ct&lt;22,$BC720=(Elig_MatchAll_Ct-1),AP720=0),L720,0)</f>
        <v>0</v>
      </c>
      <c r="BR720" s="173">
        <f>IF(AND(Input_Product=Elig!$C720,Elig_MatchAll_Ct&lt;22,$BC720=(Elig_MatchAll_Ct-1),AO720=0),M720,0)</f>
        <v>0</v>
      </c>
      <c r="BS720" s="173">
        <f>IF(AND(Input_Product=Elig!$C720,Elig_MatchAll_Ct&lt;22,$BC720=(Elig_MatchAll_Ct-1),AQ720=0),N720,0)</f>
        <v>0</v>
      </c>
      <c r="BT720" s="173">
        <f>IF(AND(Input_Product=Elig!$C720,Elig_MatchAll_Ct&lt;22,$BC720=(Elig_MatchAll_Ct-1),AR720=0),O720,0)</f>
        <v>0</v>
      </c>
      <c r="BU720" s="173">
        <f>IF(AND(Input_Product=Elig!$C720,Elig_MatchAll_Ct&lt;22,$BC720=(Elig_MatchAll_Ct-1),AS720=0),P720,0)</f>
        <v>0</v>
      </c>
      <c r="BV720" s="174">
        <f>IF(AND(Input_Product=Elig!$C720,Elig_MatchAll_Ct&lt;22,$BC720=(Elig_MatchAll_Ct-1),AT720=0),Q720,0)</f>
        <v>0</v>
      </c>
      <c r="BW720" s="175">
        <f>IF(AND(Input_Product=Elig!$C720,Elig_MatchAll_Ct&lt;22,$BC720=(Elig_MatchAll_Ct-1),AU720=0),R720,0)</f>
        <v>0</v>
      </c>
      <c r="BX720" s="176">
        <f>IF(AND(Input_Product=Elig!$C720,Elig_MatchAll_Ct&lt;22,$BC720=(Elig_MatchAll_Ct-1),AU720=0),S720,0)</f>
        <v>0</v>
      </c>
      <c r="BY720" s="175">
        <f>IF(AND(Input_Product=Elig!$C720,Elig_MatchAll_Ct&lt;22,$BC720=(Elig_MatchAll_Ct-1),AV720=0),T720,0)</f>
        <v>0</v>
      </c>
      <c r="BZ720" s="176">
        <f>IF(AND(Input_Product=Elig!$C720,Elig_MatchAll_Ct&lt;22,$BC720=(Elig_MatchAll_Ct-1),AV720=0),U720,0)</f>
        <v>0</v>
      </c>
      <c r="CA720" s="175">
        <f>IF(AND(Input_Product=Elig!$C720,Elig_MatchAll_Ct&lt;22,$BC720=(Elig_MatchAll_Ct-1),AW720=0),V720,0)</f>
        <v>0</v>
      </c>
      <c r="CB720" s="176">
        <f>IF(AND(Input_Product=Elig!$C720,Elig_MatchAll_Ct&lt;22,$BC720=(Elig_MatchAll_Ct-1),AW720=0),W720,0)</f>
        <v>0</v>
      </c>
      <c r="CC720" s="175">
        <f>IF(AND(Input_Product=Elig!$C720,Elig_MatchAll_Ct&lt;22,$BC720=(Elig_MatchAll_Ct-1),AX720=0),X720,0)</f>
        <v>0</v>
      </c>
      <c r="CD720" s="176">
        <f>IF(AND(Input_Product=Elig!$C720,Elig_MatchAll_Ct&lt;22,$BC720=(Elig_MatchAll_Ct-1),AX720=0),Y720,0)</f>
        <v>0</v>
      </c>
      <c r="CE720" s="175">
        <f>IF(AND(Input_LTV&lt;=AE720,Input_Product=Elig!$C720,Elig_MatchAll_Ct&lt;22,$BC720=(Elig_MatchAll_Ct-1),AY720=0),Z720,0)</f>
        <v>0</v>
      </c>
      <c r="CF720" s="176">
        <f>IF(AND(Input_LTV&lt;=AE720,Input_Product=Elig!$C720,Elig_MatchAll_Ct&lt;22,$BC720=(Elig_MatchAll_Ct-1),AY720=0),AA720,0)</f>
        <v>0</v>
      </c>
      <c r="CG720" s="175">
        <f>IF(AND(Input_Product=Elig!$C720,Elig_MatchAll_Ct&lt;22,$BC720=(Elig_MatchAll_Ct-1),AZ720=0),AB720,0)</f>
        <v>0</v>
      </c>
      <c r="CH720" s="176">
        <f>IF(AND(Input_Product=Elig!$C720,Elig_MatchAll_Ct&lt;22,$BC720=(Elig_MatchAll_Ct-1),AZ720=0),AC720,0)</f>
        <v>0</v>
      </c>
      <c r="CI720" s="175">
        <f>IF(AND(Input_Product=Elig!$C720,Elig_MatchAll_Ct&lt;22,$BC720=(Elig_MatchAll_Ct-1),BA720=0),AD720,0)</f>
        <v>0</v>
      </c>
      <c r="CJ720" s="176">
        <f>IF(AND(Input_Product=Elig!$C720,Elig_MatchAll_Ct&lt;22,$BC720=(Elig_MatchAll_Ct-1),BA720=0),AE720,0)</f>
        <v>0</v>
      </c>
    </row>
    <row r="721" spans="1:88" ht="10.15" customHeight="1" x14ac:dyDescent="0.25">
      <c r="A721" s="1484" t="s">
        <v>76</v>
      </c>
      <c r="B721" s="1484" t="s">
        <v>1898</v>
      </c>
      <c r="C721" s="1485" t="str">
        <f t="shared" si="242"/>
        <v>Second NOO</v>
      </c>
      <c r="D721" s="1484" t="s">
        <v>1121</v>
      </c>
      <c r="E721" s="1484" t="s">
        <v>98</v>
      </c>
      <c r="F721" s="1484" t="s">
        <v>329</v>
      </c>
      <c r="G721" s="1544" t="s">
        <v>469</v>
      </c>
      <c r="H721" s="1486" t="s">
        <v>135</v>
      </c>
      <c r="I721" s="1484" t="s">
        <v>1141</v>
      </c>
      <c r="J721" s="1484" t="s">
        <v>1130</v>
      </c>
      <c r="K721" s="1486" t="s">
        <v>2464</v>
      </c>
      <c r="L721" s="1484" t="s">
        <v>428</v>
      </c>
      <c r="M721" s="1484" t="s">
        <v>1835</v>
      </c>
      <c r="N721" s="1486" t="s">
        <v>1844</v>
      </c>
      <c r="O721" s="1484" t="s">
        <v>309</v>
      </c>
      <c r="P721" s="1484" t="s">
        <v>2434</v>
      </c>
      <c r="Q721" s="1484" t="s">
        <v>293</v>
      </c>
      <c r="R721" s="1484">
        <v>200000</v>
      </c>
      <c r="S721" s="1484">
        <v>350000</v>
      </c>
      <c r="T721" s="1484">
        <v>0</v>
      </c>
      <c r="U721" s="1484">
        <f t="shared" si="243"/>
        <v>350000</v>
      </c>
      <c r="V721" s="1484">
        <v>0</v>
      </c>
      <c r="W721" s="1484">
        <v>50</v>
      </c>
      <c r="X721" s="1484">
        <v>0</v>
      </c>
      <c r="Y721" s="1484">
        <v>999</v>
      </c>
      <c r="Z721" s="1487">
        <v>680</v>
      </c>
      <c r="AA721" s="1487">
        <v>699</v>
      </c>
      <c r="AB721" s="1487">
        <v>0</v>
      </c>
      <c r="AC721" s="1487">
        <v>999999</v>
      </c>
      <c r="AD721" s="1484">
        <v>0</v>
      </c>
      <c r="AE721" s="1484">
        <v>65</v>
      </c>
      <c r="AF721" s="144">
        <v>1</v>
      </c>
      <c r="AG721" s="145">
        <v>0</v>
      </c>
      <c r="AH721" s="145">
        <v>1</v>
      </c>
      <c r="AI721" s="145">
        <v>1</v>
      </c>
      <c r="AJ721" s="145">
        <v>0</v>
      </c>
      <c r="AK721" s="145">
        <v>1</v>
      </c>
      <c r="AL721" s="145">
        <v>1</v>
      </c>
      <c r="AM721" s="145">
        <v>1</v>
      </c>
      <c r="AN721" s="145">
        <v>1</v>
      </c>
      <c r="AO721" s="145">
        <v>1</v>
      </c>
      <c r="AP721" s="145">
        <v>1</v>
      </c>
      <c r="AQ721" s="145">
        <v>1</v>
      </c>
      <c r="AR721" s="145">
        <v>1</v>
      </c>
      <c r="AS721" s="145">
        <v>1</v>
      </c>
      <c r="AT721" s="145">
        <v>1</v>
      </c>
      <c r="AU721" s="145">
        <f t="shared" si="236"/>
        <v>0</v>
      </c>
      <c r="AV721" s="145">
        <f t="shared" si="237"/>
        <v>1</v>
      </c>
      <c r="AW721" s="145">
        <f t="shared" si="238"/>
        <v>1</v>
      </c>
      <c r="AX721" s="145">
        <f t="shared" si="244"/>
        <v>1</v>
      </c>
      <c r="AY721" s="145">
        <f t="shared" si="239"/>
        <v>0</v>
      </c>
      <c r="AZ721" s="145">
        <f t="shared" si="240"/>
        <v>1</v>
      </c>
      <c r="BA721" s="146">
        <f t="shared" si="241"/>
        <v>0</v>
      </c>
      <c r="BB721" s="149">
        <f t="shared" si="245"/>
        <v>17</v>
      </c>
      <c r="BC721" s="150">
        <f t="shared" si="246"/>
        <v>17</v>
      </c>
      <c r="BD721" s="150">
        <f t="shared" si="247"/>
        <v>16</v>
      </c>
      <c r="BE721" s="211" t="str">
        <f t="shared" si="248"/>
        <v/>
      </c>
      <c r="BF721" s="205"/>
      <c r="BG721" s="205"/>
      <c r="BH721" s="173">
        <f>IF(AND(Input_Product=Elig!$C721,Elig_MatchAll_Ct&lt;22,$BC721=(Elig_MatchAll_Ct-1),AF721=0),C721,0)</f>
        <v>0</v>
      </c>
      <c r="BI721" s="173">
        <f>IF(AND(Input_Product=Elig!$C721,Elig_MatchAll_Ct&lt;22,$BC721=(Elig_MatchAll_Ct-1),AG721=0),D721,0)</f>
        <v>0</v>
      </c>
      <c r="BJ721" s="173">
        <f>IF(AND(Input_Product=Elig!$C721,Elig_MatchAll_Ct&lt;22,$BC721=(Elig_MatchAll_Ct-1),AH721=0),E721,0)</f>
        <v>0</v>
      </c>
      <c r="BK721" s="173">
        <f>IF(AND(Input_Product=Elig!$C721,Elig_MatchAll_Ct&lt;22,$BC721=(Elig_MatchAll_Ct-1),AI721=0),F721,0)</f>
        <v>0</v>
      </c>
      <c r="BL721" s="173">
        <f>IF(AND(Input_Product=Elig!$C721,Elig_MatchAll_Ct&lt;22,$BC721=(Elig_MatchAll_Ct-1),AJ721=0),G721,0)</f>
        <v>0</v>
      </c>
      <c r="BM721" s="173">
        <f>IF(AND(Input_Product=Elig!$C721,Elig_MatchAll_Ct&lt;22,$BC721=(Elig_MatchAll_Ct-1),AK721=0),H721,0)</f>
        <v>0</v>
      </c>
      <c r="BN721" s="173">
        <f>IF(AND(Input_Product=Elig!$C721,Elig_MatchAll_Ct&lt;22,$BC721=(Elig_MatchAll_Ct-1),AL721=0),I721,0)</f>
        <v>0</v>
      </c>
      <c r="BO721" s="173">
        <f>IF(AND(Input_Product=Elig!$C721,Elig_MatchAll_Ct&lt;22,$BC721=(Elig_MatchAll_Ct-1),AM721=0),J721,0)</f>
        <v>0</v>
      </c>
      <c r="BP721" s="173">
        <f>IF(AND(Input_Product=Elig!$C721,Elig_MatchAll_Ct&lt;22,$BC721=(Elig_MatchAll_Ct-1),AN721=0),K721,0)</f>
        <v>0</v>
      </c>
      <c r="BQ721" s="173">
        <f>IF(AND(Input_Product=Elig!$C721,Elig_MatchAll_Ct&lt;22,$BC721=(Elig_MatchAll_Ct-1),AP721=0),L721,0)</f>
        <v>0</v>
      </c>
      <c r="BR721" s="173">
        <f>IF(AND(Input_Product=Elig!$C721,Elig_MatchAll_Ct&lt;22,$BC721=(Elig_MatchAll_Ct-1),AO721=0),M721,0)</f>
        <v>0</v>
      </c>
      <c r="BS721" s="173">
        <f>IF(AND(Input_Product=Elig!$C721,Elig_MatchAll_Ct&lt;22,$BC721=(Elig_MatchAll_Ct-1),AQ721=0),N721,0)</f>
        <v>0</v>
      </c>
      <c r="BT721" s="173">
        <f>IF(AND(Input_Product=Elig!$C721,Elig_MatchAll_Ct&lt;22,$BC721=(Elig_MatchAll_Ct-1),AR721=0),O721,0)</f>
        <v>0</v>
      </c>
      <c r="BU721" s="173">
        <f>IF(AND(Input_Product=Elig!$C721,Elig_MatchAll_Ct&lt;22,$BC721=(Elig_MatchAll_Ct-1),AS721=0),P721,0)</f>
        <v>0</v>
      </c>
      <c r="BV721" s="174">
        <f>IF(AND(Input_Product=Elig!$C721,Elig_MatchAll_Ct&lt;22,$BC721=(Elig_MatchAll_Ct-1),AT721=0),Q721,0)</f>
        <v>0</v>
      </c>
      <c r="BW721" s="175">
        <f>IF(AND(Input_Product=Elig!$C721,Elig_MatchAll_Ct&lt;22,$BC721=(Elig_MatchAll_Ct-1),AU721=0),R721,0)</f>
        <v>0</v>
      </c>
      <c r="BX721" s="176">
        <f>IF(AND(Input_Product=Elig!$C721,Elig_MatchAll_Ct&lt;22,$BC721=(Elig_MatchAll_Ct-1),AU721=0),S721,0)</f>
        <v>0</v>
      </c>
      <c r="BY721" s="175">
        <f>IF(AND(Input_Product=Elig!$C721,Elig_MatchAll_Ct&lt;22,$BC721=(Elig_MatchAll_Ct-1),AV721=0),T721,0)</f>
        <v>0</v>
      </c>
      <c r="BZ721" s="176">
        <f>IF(AND(Input_Product=Elig!$C721,Elig_MatchAll_Ct&lt;22,$BC721=(Elig_MatchAll_Ct-1),AV721=0),U721,0)</f>
        <v>0</v>
      </c>
      <c r="CA721" s="175">
        <f>IF(AND(Input_Product=Elig!$C721,Elig_MatchAll_Ct&lt;22,$BC721=(Elig_MatchAll_Ct-1),AW721=0),V721,0)</f>
        <v>0</v>
      </c>
      <c r="CB721" s="176">
        <f>IF(AND(Input_Product=Elig!$C721,Elig_MatchAll_Ct&lt;22,$BC721=(Elig_MatchAll_Ct-1),AW721=0),W721,0)</f>
        <v>0</v>
      </c>
      <c r="CC721" s="175">
        <f>IF(AND(Input_Product=Elig!$C721,Elig_MatchAll_Ct&lt;22,$BC721=(Elig_MatchAll_Ct-1),AX721=0),X721,0)</f>
        <v>0</v>
      </c>
      <c r="CD721" s="176">
        <f>IF(AND(Input_Product=Elig!$C721,Elig_MatchAll_Ct&lt;22,$BC721=(Elig_MatchAll_Ct-1),AX721=0),Y721,0)</f>
        <v>0</v>
      </c>
      <c r="CE721" s="175">
        <f>IF(AND(Input_LTV&lt;=AE721,Input_Product=Elig!$C721,Elig_MatchAll_Ct&lt;22,$BC721=(Elig_MatchAll_Ct-1),AY721=0),Z721,0)</f>
        <v>0</v>
      </c>
      <c r="CF721" s="176">
        <f>IF(AND(Input_LTV&lt;=AE721,Input_Product=Elig!$C721,Elig_MatchAll_Ct&lt;22,$BC721=(Elig_MatchAll_Ct-1),AY721=0),AA721,0)</f>
        <v>0</v>
      </c>
      <c r="CG721" s="175">
        <f>IF(AND(Input_Product=Elig!$C721,Elig_MatchAll_Ct&lt;22,$BC721=(Elig_MatchAll_Ct-1),AZ721=0),AB721,0)</f>
        <v>0</v>
      </c>
      <c r="CH721" s="176">
        <f>IF(AND(Input_Product=Elig!$C721,Elig_MatchAll_Ct&lt;22,$BC721=(Elig_MatchAll_Ct-1),AZ721=0),AC721,0)</f>
        <v>0</v>
      </c>
      <c r="CI721" s="175">
        <f>IF(AND(Input_Product=Elig!$C721,Elig_MatchAll_Ct&lt;22,$BC721=(Elig_MatchAll_Ct-1),BA721=0),AD721,0)</f>
        <v>0</v>
      </c>
      <c r="CJ721" s="176">
        <f>IF(AND(Input_Product=Elig!$C721,Elig_MatchAll_Ct&lt;22,$BC721=(Elig_MatchAll_Ct-1),BA721=0),AE721,0)</f>
        <v>0</v>
      </c>
    </row>
    <row r="722" spans="1:88" ht="10.15" customHeight="1" x14ac:dyDescent="0.25">
      <c r="A722" s="1484" t="s">
        <v>76</v>
      </c>
      <c r="B722" s="1484" t="s">
        <v>1899</v>
      </c>
      <c r="C722" s="1485" t="str">
        <f t="shared" si="242"/>
        <v>Second NOO</v>
      </c>
      <c r="D722" s="1484" t="s">
        <v>1121</v>
      </c>
      <c r="E722" s="1484" t="s">
        <v>98</v>
      </c>
      <c r="F722" s="1484" t="s">
        <v>329</v>
      </c>
      <c r="G722" s="1545" t="s">
        <v>469</v>
      </c>
      <c r="H722" s="1486" t="s">
        <v>135</v>
      </c>
      <c r="I722" s="1484" t="s">
        <v>1141</v>
      </c>
      <c r="J722" s="1486" t="s">
        <v>1130</v>
      </c>
      <c r="K722" s="1486" t="s">
        <v>2464</v>
      </c>
      <c r="L722" s="1484" t="s">
        <v>428</v>
      </c>
      <c r="M722" s="1484" t="s">
        <v>1835</v>
      </c>
      <c r="N722" s="1486" t="s">
        <v>1844</v>
      </c>
      <c r="O722" s="1484" t="s">
        <v>309</v>
      </c>
      <c r="P722" s="1484" t="s">
        <v>2434</v>
      </c>
      <c r="Q722" s="1484" t="s">
        <v>293</v>
      </c>
      <c r="R722" s="1484">
        <v>200000</v>
      </c>
      <c r="S722" s="1484">
        <v>350000</v>
      </c>
      <c r="T722" s="1484">
        <v>0</v>
      </c>
      <c r="U722" s="1484">
        <f t="shared" si="243"/>
        <v>350000</v>
      </c>
      <c r="V722" s="1484">
        <v>0</v>
      </c>
      <c r="W722" s="1484">
        <v>50</v>
      </c>
      <c r="X722" s="1484">
        <v>0</v>
      </c>
      <c r="Y722" s="1484">
        <v>999</v>
      </c>
      <c r="Z722" s="1487">
        <v>660</v>
      </c>
      <c r="AA722" s="1487">
        <v>679</v>
      </c>
      <c r="AB722" s="1487">
        <v>0</v>
      </c>
      <c r="AC722" s="1487">
        <v>999999</v>
      </c>
      <c r="AD722" s="1484">
        <v>0</v>
      </c>
      <c r="AE722" s="1484">
        <v>60</v>
      </c>
      <c r="AF722" s="144">
        <v>1</v>
      </c>
      <c r="AG722" s="145">
        <v>0</v>
      </c>
      <c r="AH722" s="145">
        <v>1</v>
      </c>
      <c r="AI722" s="145">
        <v>1</v>
      </c>
      <c r="AJ722" s="145">
        <v>0</v>
      </c>
      <c r="AK722" s="145">
        <v>1</v>
      </c>
      <c r="AL722" s="145">
        <v>1</v>
      </c>
      <c r="AM722" s="145">
        <v>1</v>
      </c>
      <c r="AN722" s="145">
        <v>1</v>
      </c>
      <c r="AO722" s="145">
        <v>1</v>
      </c>
      <c r="AP722" s="145">
        <v>1</v>
      </c>
      <c r="AQ722" s="145">
        <v>1</v>
      </c>
      <c r="AR722" s="145">
        <v>1</v>
      </c>
      <c r="AS722" s="145">
        <v>1</v>
      </c>
      <c r="AT722" s="145">
        <v>1</v>
      </c>
      <c r="AU722" s="145">
        <f t="shared" si="236"/>
        <v>0</v>
      </c>
      <c r="AV722" s="145">
        <f t="shared" si="237"/>
        <v>1</v>
      </c>
      <c r="AW722" s="145">
        <f t="shared" si="238"/>
        <v>1</v>
      </c>
      <c r="AX722" s="145">
        <f t="shared" si="244"/>
        <v>1</v>
      </c>
      <c r="AY722" s="145">
        <f t="shared" si="239"/>
        <v>0</v>
      </c>
      <c r="AZ722" s="145">
        <f t="shared" si="240"/>
        <v>1</v>
      </c>
      <c r="BA722" s="146">
        <f t="shared" si="241"/>
        <v>0</v>
      </c>
      <c r="BB722" s="149">
        <f t="shared" si="245"/>
        <v>17</v>
      </c>
      <c r="BC722" s="150">
        <f t="shared" si="246"/>
        <v>17</v>
      </c>
      <c r="BD722" s="150">
        <f t="shared" si="247"/>
        <v>16</v>
      </c>
      <c r="BE722" s="211" t="str">
        <f t="shared" si="248"/>
        <v/>
      </c>
      <c r="BF722" s="205"/>
      <c r="BG722" s="205"/>
      <c r="BH722" s="188">
        <f>IF(AND(Input_Product=Elig!$C722,Elig_MatchAll_Ct&lt;22,$BC722=(Elig_MatchAll_Ct-1),AF722=0),C722,0)</f>
        <v>0</v>
      </c>
      <c r="BI722" s="188">
        <f>IF(AND(Input_Product=Elig!$C722,Elig_MatchAll_Ct&lt;22,$BC722=(Elig_MatchAll_Ct-1),AG722=0),D722,0)</f>
        <v>0</v>
      </c>
      <c r="BJ722" s="188">
        <f>IF(AND(Input_Product=Elig!$C722,Elig_MatchAll_Ct&lt;22,$BC722=(Elig_MatchAll_Ct-1),AH722=0),E722,0)</f>
        <v>0</v>
      </c>
      <c r="BK722" s="188">
        <f>IF(AND(Input_Product=Elig!$C722,Elig_MatchAll_Ct&lt;22,$BC722=(Elig_MatchAll_Ct-1),AI722=0),F722,0)</f>
        <v>0</v>
      </c>
      <c r="BL722" s="188">
        <f>IF(AND(Input_Product=Elig!$C722,Elig_MatchAll_Ct&lt;22,$BC722=(Elig_MatchAll_Ct-1),AJ722=0),G722,0)</f>
        <v>0</v>
      </c>
      <c r="BM722" s="188">
        <f>IF(AND(Input_Product=Elig!$C722,Elig_MatchAll_Ct&lt;22,$BC722=(Elig_MatchAll_Ct-1),AK722=0),H722,0)</f>
        <v>0</v>
      </c>
      <c r="BN722" s="188">
        <f>IF(AND(Input_Product=Elig!$C722,Elig_MatchAll_Ct&lt;22,$BC722=(Elig_MatchAll_Ct-1),AL722=0),I722,0)</f>
        <v>0</v>
      </c>
      <c r="BO722" s="188">
        <f>IF(AND(Input_Product=Elig!$C722,Elig_MatchAll_Ct&lt;22,$BC722=(Elig_MatchAll_Ct-1),AM722=0),J722,0)</f>
        <v>0</v>
      </c>
      <c r="BP722" s="188">
        <f>IF(AND(Input_Product=Elig!$C722,Elig_MatchAll_Ct&lt;22,$BC722=(Elig_MatchAll_Ct-1),AN722=0),K722,0)</f>
        <v>0</v>
      </c>
      <c r="BQ722" s="188">
        <f>IF(AND(Input_Product=Elig!$C722,Elig_MatchAll_Ct&lt;22,$BC722=(Elig_MatchAll_Ct-1),AP722=0),L722,0)</f>
        <v>0</v>
      </c>
      <c r="BR722" s="188">
        <f>IF(AND(Input_Product=Elig!$C722,Elig_MatchAll_Ct&lt;22,$BC722=(Elig_MatchAll_Ct-1),AO722=0),M722,0)</f>
        <v>0</v>
      </c>
      <c r="BS722" s="188">
        <f>IF(AND(Input_Product=Elig!$C722,Elig_MatchAll_Ct&lt;22,$BC722=(Elig_MatchAll_Ct-1),AQ722=0),N722,0)</f>
        <v>0</v>
      </c>
      <c r="BT722" s="188">
        <f>IF(AND(Input_Product=Elig!$C722,Elig_MatchAll_Ct&lt;22,$BC722=(Elig_MatchAll_Ct-1),AR722=0),O722,0)</f>
        <v>0</v>
      </c>
      <c r="BU722" s="188">
        <f>IF(AND(Input_Product=Elig!$C722,Elig_MatchAll_Ct&lt;22,$BC722=(Elig_MatchAll_Ct-1),AS722=0),P722,0)</f>
        <v>0</v>
      </c>
      <c r="BV722" s="189">
        <f>IF(AND(Input_Product=Elig!$C722,Elig_MatchAll_Ct&lt;22,$BC722=(Elig_MatchAll_Ct-1),AT722=0),Q722,0)</f>
        <v>0</v>
      </c>
      <c r="BW722" s="271">
        <f>IF(AND(Input_Product=Elig!$C722,Elig_MatchAll_Ct&lt;22,$BC722=(Elig_MatchAll_Ct-1),AU722=0),R722,0)</f>
        <v>0</v>
      </c>
      <c r="BX722" s="272">
        <f>IF(AND(Input_Product=Elig!$C722,Elig_MatchAll_Ct&lt;22,$BC722=(Elig_MatchAll_Ct-1),AU722=0),S722,0)</f>
        <v>0</v>
      </c>
      <c r="BY722" s="271">
        <f>IF(AND(Input_Product=Elig!$C722,Elig_MatchAll_Ct&lt;22,$BC722=(Elig_MatchAll_Ct-1),AV722=0),T722,0)</f>
        <v>0</v>
      </c>
      <c r="BZ722" s="272">
        <f>IF(AND(Input_Product=Elig!$C722,Elig_MatchAll_Ct&lt;22,$BC722=(Elig_MatchAll_Ct-1),AV722=0),U722,0)</f>
        <v>0</v>
      </c>
      <c r="CA722" s="271">
        <f>IF(AND(Input_Product=Elig!$C722,Elig_MatchAll_Ct&lt;22,$BC722=(Elig_MatchAll_Ct-1),AW722=0),V722,0)</f>
        <v>0</v>
      </c>
      <c r="CB722" s="272">
        <f>IF(AND(Input_Product=Elig!$C722,Elig_MatchAll_Ct&lt;22,$BC722=(Elig_MatchAll_Ct-1),AW722=0),W722,0)</f>
        <v>0</v>
      </c>
      <c r="CC722" s="271">
        <f>IF(AND(Input_Product=Elig!$C722,Elig_MatchAll_Ct&lt;22,$BC722=(Elig_MatchAll_Ct-1),AX722=0),X722,0)</f>
        <v>0</v>
      </c>
      <c r="CD722" s="272">
        <f>IF(AND(Input_Product=Elig!$C722,Elig_MatchAll_Ct&lt;22,$BC722=(Elig_MatchAll_Ct-1),AX722=0),Y722,0)</f>
        <v>0</v>
      </c>
      <c r="CE722" s="271">
        <f>IF(AND(Input_LTV&lt;=AE722,Input_Product=Elig!$C722,Elig_MatchAll_Ct&lt;22,$BC722=(Elig_MatchAll_Ct-1),AY722=0),Z722,0)</f>
        <v>0</v>
      </c>
      <c r="CF722" s="272">
        <f>IF(AND(Input_LTV&lt;=AE722,Input_Product=Elig!$C722,Elig_MatchAll_Ct&lt;22,$BC722=(Elig_MatchAll_Ct-1),AY722=0),AA722,0)</f>
        <v>0</v>
      </c>
      <c r="CG722" s="271">
        <f>IF(AND(Input_Product=Elig!$C722,Elig_MatchAll_Ct&lt;22,$BC722=(Elig_MatchAll_Ct-1),AZ722=0),AB722,0)</f>
        <v>0</v>
      </c>
      <c r="CH722" s="272">
        <f>IF(AND(Input_Product=Elig!$C722,Elig_MatchAll_Ct&lt;22,$BC722=(Elig_MatchAll_Ct-1),AZ722=0),AC722,0)</f>
        <v>0</v>
      </c>
      <c r="CI722" s="271">
        <f>IF(AND(Input_Product=Elig!$C722,Elig_MatchAll_Ct&lt;22,$BC722=(Elig_MatchAll_Ct-1),BA722=0),AD722,0)</f>
        <v>0</v>
      </c>
      <c r="CJ722" s="272">
        <f>IF(AND(Input_Product=Elig!$C722,Elig_MatchAll_Ct&lt;22,$BC722=(Elig_MatchAll_Ct-1),BA722=0),AE722,0)</f>
        <v>0</v>
      </c>
    </row>
    <row r="723" spans="1:88" ht="10.15" customHeight="1" x14ac:dyDescent="0.25">
      <c r="A723" s="1484" t="s">
        <v>76</v>
      </c>
      <c r="B723" s="1484" t="s">
        <v>1900</v>
      </c>
      <c r="C723" s="1489" t="str">
        <f t="shared" si="242"/>
        <v>Second NOO</v>
      </c>
      <c r="D723" s="1490" t="s">
        <v>1331</v>
      </c>
      <c r="E723" s="1490" t="s">
        <v>98</v>
      </c>
      <c r="F723" s="1490" t="s">
        <v>329</v>
      </c>
      <c r="G723" s="1490" t="s">
        <v>178</v>
      </c>
      <c r="H723" s="1490" t="s">
        <v>135</v>
      </c>
      <c r="I723" s="1488" t="s">
        <v>1141</v>
      </c>
      <c r="J723" s="1488" t="s">
        <v>1130</v>
      </c>
      <c r="K723" s="1490" t="s">
        <v>2464</v>
      </c>
      <c r="L723" s="1488" t="s">
        <v>428</v>
      </c>
      <c r="M723" s="1488" t="s">
        <v>1835</v>
      </c>
      <c r="N723" s="1490" t="s">
        <v>1844</v>
      </c>
      <c r="O723" s="1488" t="s">
        <v>309</v>
      </c>
      <c r="P723" s="1488" t="s">
        <v>2434</v>
      </c>
      <c r="Q723" s="1488" t="s">
        <v>293</v>
      </c>
      <c r="R723" s="1488">
        <v>50000</v>
      </c>
      <c r="S723" s="1488">
        <v>350000</v>
      </c>
      <c r="T723" s="1488">
        <v>0</v>
      </c>
      <c r="U723" s="1488">
        <f t="shared" si="243"/>
        <v>350000</v>
      </c>
      <c r="V723" s="1488">
        <v>0</v>
      </c>
      <c r="W723" s="1488">
        <v>50</v>
      </c>
      <c r="X723" s="1488">
        <v>0</v>
      </c>
      <c r="Y723" s="1488">
        <v>999</v>
      </c>
      <c r="Z723" s="1491">
        <v>720</v>
      </c>
      <c r="AA723" s="1491">
        <v>999</v>
      </c>
      <c r="AB723" s="1491">
        <v>0</v>
      </c>
      <c r="AC723" s="1491">
        <v>999999</v>
      </c>
      <c r="AD723" s="1488">
        <v>0</v>
      </c>
      <c r="AE723" s="1488">
        <v>70</v>
      </c>
      <c r="AF723" s="144">
        <v>1</v>
      </c>
      <c r="AG723" s="145">
        <v>1</v>
      </c>
      <c r="AH723" s="145">
        <v>1</v>
      </c>
      <c r="AI723" s="145">
        <v>1</v>
      </c>
      <c r="AJ723" s="145">
        <v>0</v>
      </c>
      <c r="AK723" s="145">
        <v>1</v>
      </c>
      <c r="AL723" s="145">
        <v>1</v>
      </c>
      <c r="AM723" s="145">
        <v>1</v>
      </c>
      <c r="AN723" s="145">
        <v>1</v>
      </c>
      <c r="AO723" s="145">
        <v>1</v>
      </c>
      <c r="AP723" s="145">
        <v>1</v>
      </c>
      <c r="AQ723" s="145">
        <v>1</v>
      </c>
      <c r="AR723" s="145">
        <v>1</v>
      </c>
      <c r="AS723" s="145">
        <v>1</v>
      </c>
      <c r="AT723" s="145">
        <v>1</v>
      </c>
      <c r="AU723" s="145">
        <f t="shared" si="236"/>
        <v>1</v>
      </c>
      <c r="AV723" s="145">
        <f t="shared" si="237"/>
        <v>1</v>
      </c>
      <c r="AW723" s="145">
        <f t="shared" si="238"/>
        <v>1</v>
      </c>
      <c r="AX723" s="145">
        <f t="shared" si="244"/>
        <v>1</v>
      </c>
      <c r="AY723" s="145">
        <f t="shared" si="239"/>
        <v>1</v>
      </c>
      <c r="AZ723" s="145">
        <f t="shared" si="240"/>
        <v>1</v>
      </c>
      <c r="BA723" s="146">
        <f t="shared" si="241"/>
        <v>1</v>
      </c>
      <c r="BB723" s="149">
        <f t="shared" si="245"/>
        <v>21</v>
      </c>
      <c r="BC723" s="150">
        <f t="shared" si="246"/>
        <v>20</v>
      </c>
      <c r="BD723" s="150">
        <f t="shared" si="247"/>
        <v>20</v>
      </c>
      <c r="BE723" s="211" t="str">
        <f t="shared" si="248"/>
        <v/>
      </c>
      <c r="BF723" s="194"/>
      <c r="BG723" s="194"/>
      <c r="BH723" s="190">
        <f>IF(AND(Input_Product=Elig!$C723,Elig_MatchAll_Ct&lt;22,$BC723=(Elig_MatchAll_Ct-1),AF723=0),C723,0)</f>
        <v>0</v>
      </c>
      <c r="BI723" s="190">
        <f>IF(AND(Input_Product=Elig!$C723,Elig_MatchAll_Ct&lt;22,$BC723=(Elig_MatchAll_Ct-1),AG723=0),D723,0)</f>
        <v>0</v>
      </c>
      <c r="BJ723" s="190">
        <f>IF(AND(Input_Product=Elig!$C723,Elig_MatchAll_Ct&lt;22,$BC723=(Elig_MatchAll_Ct-1),AH723=0),E723,0)</f>
        <v>0</v>
      </c>
      <c r="BK723" s="190">
        <f>IF(AND(Input_Product=Elig!$C723,Elig_MatchAll_Ct&lt;22,$BC723=(Elig_MatchAll_Ct-1),AI723=0),F723,0)</f>
        <v>0</v>
      </c>
      <c r="BL723" s="190">
        <f>IF(AND(Input_Product=Elig!$C723,Elig_MatchAll_Ct&lt;22,$BC723=(Elig_MatchAll_Ct-1),AJ723=0),G723,0)</f>
        <v>0</v>
      </c>
      <c r="BM723" s="190">
        <f>IF(AND(Input_Product=Elig!$C723,Elig_MatchAll_Ct&lt;22,$BC723=(Elig_MatchAll_Ct-1),AK723=0),H723,0)</f>
        <v>0</v>
      </c>
      <c r="BN723" s="190">
        <f>IF(AND(Input_Product=Elig!$C723,Elig_MatchAll_Ct&lt;22,$BC723=(Elig_MatchAll_Ct-1),AL723=0),I723,0)</f>
        <v>0</v>
      </c>
      <c r="BO723" s="190">
        <f>IF(AND(Input_Product=Elig!$C723,Elig_MatchAll_Ct&lt;22,$BC723=(Elig_MatchAll_Ct-1),AM723=0),J723,0)</f>
        <v>0</v>
      </c>
      <c r="BP723" s="190">
        <f>IF(AND(Input_Product=Elig!$C723,Elig_MatchAll_Ct&lt;22,$BC723=(Elig_MatchAll_Ct-1),AN723=0),K723,0)</f>
        <v>0</v>
      </c>
      <c r="BQ723" s="190">
        <f>IF(AND(Input_Product=Elig!$C723,Elig_MatchAll_Ct&lt;22,$BC723=(Elig_MatchAll_Ct-1),AP723=0),L723,0)</f>
        <v>0</v>
      </c>
      <c r="BR723" s="190">
        <f>IF(AND(Input_Product=Elig!$C723,Elig_MatchAll_Ct&lt;22,$BC723=(Elig_MatchAll_Ct-1),AO723=0),M723,0)</f>
        <v>0</v>
      </c>
      <c r="BS723" s="190">
        <f>IF(AND(Input_Product=Elig!$C723,Elig_MatchAll_Ct&lt;22,$BC723=(Elig_MatchAll_Ct-1),AQ723=0),N723,0)</f>
        <v>0</v>
      </c>
      <c r="BT723" s="190">
        <f>IF(AND(Input_Product=Elig!$C723,Elig_MatchAll_Ct&lt;22,$BC723=(Elig_MatchAll_Ct-1),AR723=0),O723,0)</f>
        <v>0</v>
      </c>
      <c r="BU723" s="190">
        <f>IF(AND(Input_Product=Elig!$C723,Elig_MatchAll_Ct&lt;22,$BC723=(Elig_MatchAll_Ct-1),AS723=0),P723,0)</f>
        <v>0</v>
      </c>
      <c r="BV723" s="191">
        <f>IF(AND(Input_Product=Elig!$C723,Elig_MatchAll_Ct&lt;22,$BC723=(Elig_MatchAll_Ct-1),AT723=0),Q723,0)</f>
        <v>0</v>
      </c>
      <c r="BW723" s="273">
        <f>IF(AND(Input_Product=Elig!$C723,Elig_MatchAll_Ct&lt;22,$BC723=(Elig_MatchAll_Ct-1),AU723=0),R723,0)</f>
        <v>0</v>
      </c>
      <c r="BX723" s="274">
        <f>IF(AND(Input_Product=Elig!$C723,Elig_MatchAll_Ct&lt;22,$BC723=(Elig_MatchAll_Ct-1),AU723=0),S723,0)</f>
        <v>0</v>
      </c>
      <c r="BY723" s="273">
        <f>IF(AND(Input_Product=Elig!$C723,Elig_MatchAll_Ct&lt;22,$BC723=(Elig_MatchAll_Ct-1),AV723=0),T723,0)</f>
        <v>0</v>
      </c>
      <c r="BZ723" s="274">
        <f>IF(AND(Input_Product=Elig!$C723,Elig_MatchAll_Ct&lt;22,$BC723=(Elig_MatchAll_Ct-1),AV723=0),U723,0)</f>
        <v>0</v>
      </c>
      <c r="CA723" s="273">
        <f>IF(AND(Input_Product=Elig!$C723,Elig_MatchAll_Ct&lt;22,$BC723=(Elig_MatchAll_Ct-1),AW723=0),V723,0)</f>
        <v>0</v>
      </c>
      <c r="CB723" s="274">
        <f>IF(AND(Input_Product=Elig!$C723,Elig_MatchAll_Ct&lt;22,$BC723=(Elig_MatchAll_Ct-1),AW723=0),W723,0)</f>
        <v>0</v>
      </c>
      <c r="CC723" s="273">
        <f>IF(AND(Input_Product=Elig!$C723,Elig_MatchAll_Ct&lt;22,$BC723=(Elig_MatchAll_Ct-1),AX723=0),X723,0)</f>
        <v>0</v>
      </c>
      <c r="CD723" s="274">
        <f>IF(AND(Input_Product=Elig!$C723,Elig_MatchAll_Ct&lt;22,$BC723=(Elig_MatchAll_Ct-1),AX723=0),Y723,0)</f>
        <v>0</v>
      </c>
      <c r="CE723" s="273">
        <f>IF(AND(Input_LTV&lt;=AE723,Input_Product=Elig!$C723,Elig_MatchAll_Ct&lt;22,$BC723=(Elig_MatchAll_Ct-1),AY723=0),Z723,0)</f>
        <v>0</v>
      </c>
      <c r="CF723" s="274">
        <f>IF(AND(Input_LTV&lt;=AE723,Input_Product=Elig!$C723,Elig_MatchAll_Ct&lt;22,$BC723=(Elig_MatchAll_Ct-1),AY723=0),AA723,0)</f>
        <v>0</v>
      </c>
      <c r="CG723" s="273">
        <f>IF(AND(Input_Product=Elig!$C723,Elig_MatchAll_Ct&lt;22,$BC723=(Elig_MatchAll_Ct-1),AZ723=0),AB723,0)</f>
        <v>0</v>
      </c>
      <c r="CH723" s="274">
        <f>IF(AND(Input_Product=Elig!$C723,Elig_MatchAll_Ct&lt;22,$BC723=(Elig_MatchAll_Ct-1),AZ723=0),AC723,0)</f>
        <v>0</v>
      </c>
      <c r="CI723" s="273">
        <f>IF(AND(Input_Product=Elig!$C723,Elig_MatchAll_Ct&lt;22,$BC723=(Elig_MatchAll_Ct-1),BA723=0),AD723,0)</f>
        <v>0</v>
      </c>
      <c r="CJ723" s="274">
        <f>IF(AND(Input_Product=Elig!$C723,Elig_MatchAll_Ct&lt;22,$BC723=(Elig_MatchAll_Ct-1),BA723=0),AE723,0)</f>
        <v>0</v>
      </c>
    </row>
    <row r="724" spans="1:88" ht="10.15" customHeight="1" x14ac:dyDescent="0.25">
      <c r="A724" s="1484" t="s">
        <v>76</v>
      </c>
      <c r="B724" s="1484" t="s">
        <v>1901</v>
      </c>
      <c r="C724" s="1485" t="str">
        <f t="shared" si="242"/>
        <v>Second NOO</v>
      </c>
      <c r="D724" s="1484" t="s">
        <v>1331</v>
      </c>
      <c r="E724" s="1484" t="s">
        <v>98</v>
      </c>
      <c r="F724" s="1484" t="s">
        <v>329</v>
      </c>
      <c r="G724" s="1486" t="s">
        <v>178</v>
      </c>
      <c r="H724" s="1486" t="s">
        <v>135</v>
      </c>
      <c r="I724" s="1484" t="s">
        <v>1141</v>
      </c>
      <c r="J724" s="1484" t="s">
        <v>1130</v>
      </c>
      <c r="K724" s="1486" t="s">
        <v>2464</v>
      </c>
      <c r="L724" s="1484" t="s">
        <v>428</v>
      </c>
      <c r="M724" s="1484" t="s">
        <v>1835</v>
      </c>
      <c r="N724" s="1486" t="s">
        <v>1844</v>
      </c>
      <c r="O724" s="1484" t="s">
        <v>309</v>
      </c>
      <c r="P724" s="1484" t="s">
        <v>2434</v>
      </c>
      <c r="Q724" s="1484" t="s">
        <v>293</v>
      </c>
      <c r="R724" s="1484">
        <v>50000</v>
      </c>
      <c r="S724" s="1484">
        <v>350000</v>
      </c>
      <c r="T724" s="1484">
        <v>0</v>
      </c>
      <c r="U724" s="1484">
        <f t="shared" si="243"/>
        <v>350000</v>
      </c>
      <c r="V724" s="1484">
        <v>0</v>
      </c>
      <c r="W724" s="1484">
        <v>50</v>
      </c>
      <c r="X724" s="1484">
        <v>0</v>
      </c>
      <c r="Y724" s="1484">
        <v>999</v>
      </c>
      <c r="Z724" s="1487">
        <v>700</v>
      </c>
      <c r="AA724" s="1487">
        <v>719</v>
      </c>
      <c r="AB724" s="1487">
        <v>0</v>
      </c>
      <c r="AC724" s="1487">
        <v>999999</v>
      </c>
      <c r="AD724" s="1484">
        <v>0</v>
      </c>
      <c r="AE724" s="1484">
        <v>65</v>
      </c>
      <c r="AF724" s="144">
        <v>1</v>
      </c>
      <c r="AG724" s="145">
        <v>1</v>
      </c>
      <c r="AH724" s="145">
        <v>1</v>
      </c>
      <c r="AI724" s="145">
        <v>1</v>
      </c>
      <c r="AJ724" s="145">
        <v>0</v>
      </c>
      <c r="AK724" s="145">
        <v>1</v>
      </c>
      <c r="AL724" s="145">
        <v>1</v>
      </c>
      <c r="AM724" s="145">
        <v>1</v>
      </c>
      <c r="AN724" s="145">
        <v>1</v>
      </c>
      <c r="AO724" s="145">
        <v>1</v>
      </c>
      <c r="AP724" s="145">
        <v>1</v>
      </c>
      <c r="AQ724" s="145">
        <v>1</v>
      </c>
      <c r="AR724" s="145">
        <v>1</v>
      </c>
      <c r="AS724" s="145">
        <v>1</v>
      </c>
      <c r="AT724" s="145">
        <v>1</v>
      </c>
      <c r="AU724" s="145">
        <f t="shared" si="236"/>
        <v>1</v>
      </c>
      <c r="AV724" s="145">
        <f t="shared" si="237"/>
        <v>1</v>
      </c>
      <c r="AW724" s="145">
        <f t="shared" si="238"/>
        <v>1</v>
      </c>
      <c r="AX724" s="145">
        <f t="shared" si="244"/>
        <v>1</v>
      </c>
      <c r="AY724" s="145">
        <f t="shared" si="239"/>
        <v>0</v>
      </c>
      <c r="AZ724" s="145">
        <f t="shared" si="240"/>
        <v>1</v>
      </c>
      <c r="BA724" s="146">
        <f t="shared" si="241"/>
        <v>0</v>
      </c>
      <c r="BB724" s="149">
        <f t="shared" si="245"/>
        <v>19</v>
      </c>
      <c r="BC724" s="150">
        <f t="shared" si="246"/>
        <v>19</v>
      </c>
      <c r="BD724" s="150">
        <f t="shared" si="247"/>
        <v>18</v>
      </c>
      <c r="BE724" s="211" t="str">
        <f t="shared" si="248"/>
        <v/>
      </c>
      <c r="BF724" s="205"/>
      <c r="BG724" s="205"/>
      <c r="BH724" s="173">
        <f>IF(AND(Input_Product=Elig!$C724,Elig_MatchAll_Ct&lt;22,$BC724=(Elig_MatchAll_Ct-1),AF724=0),C724,0)</f>
        <v>0</v>
      </c>
      <c r="BI724" s="173">
        <f>IF(AND(Input_Product=Elig!$C724,Elig_MatchAll_Ct&lt;22,$BC724=(Elig_MatchAll_Ct-1),AG724=0),D724,0)</f>
        <v>0</v>
      </c>
      <c r="BJ724" s="173">
        <f>IF(AND(Input_Product=Elig!$C724,Elig_MatchAll_Ct&lt;22,$BC724=(Elig_MatchAll_Ct-1),AH724=0),E724,0)</f>
        <v>0</v>
      </c>
      <c r="BK724" s="173">
        <f>IF(AND(Input_Product=Elig!$C724,Elig_MatchAll_Ct&lt;22,$BC724=(Elig_MatchAll_Ct-1),AI724=0),F724,0)</f>
        <v>0</v>
      </c>
      <c r="BL724" s="173">
        <f>IF(AND(Input_Product=Elig!$C724,Elig_MatchAll_Ct&lt;22,$BC724=(Elig_MatchAll_Ct-1),AJ724=0),G724,0)</f>
        <v>0</v>
      </c>
      <c r="BM724" s="173">
        <f>IF(AND(Input_Product=Elig!$C724,Elig_MatchAll_Ct&lt;22,$BC724=(Elig_MatchAll_Ct-1),AK724=0),H724,0)</f>
        <v>0</v>
      </c>
      <c r="BN724" s="173">
        <f>IF(AND(Input_Product=Elig!$C724,Elig_MatchAll_Ct&lt;22,$BC724=(Elig_MatchAll_Ct-1),AL724=0),I724,0)</f>
        <v>0</v>
      </c>
      <c r="BO724" s="173">
        <f>IF(AND(Input_Product=Elig!$C724,Elig_MatchAll_Ct&lt;22,$BC724=(Elig_MatchAll_Ct-1),AM724=0),J724,0)</f>
        <v>0</v>
      </c>
      <c r="BP724" s="173">
        <f>IF(AND(Input_Product=Elig!$C724,Elig_MatchAll_Ct&lt;22,$BC724=(Elig_MatchAll_Ct-1),AN724=0),K724,0)</f>
        <v>0</v>
      </c>
      <c r="BQ724" s="173">
        <f>IF(AND(Input_Product=Elig!$C724,Elig_MatchAll_Ct&lt;22,$BC724=(Elig_MatchAll_Ct-1),AP724=0),L724,0)</f>
        <v>0</v>
      </c>
      <c r="BR724" s="173">
        <f>IF(AND(Input_Product=Elig!$C724,Elig_MatchAll_Ct&lt;22,$BC724=(Elig_MatchAll_Ct-1),AO724=0),M724,0)</f>
        <v>0</v>
      </c>
      <c r="BS724" s="173">
        <f>IF(AND(Input_Product=Elig!$C724,Elig_MatchAll_Ct&lt;22,$BC724=(Elig_MatchAll_Ct-1),AQ724=0),N724,0)</f>
        <v>0</v>
      </c>
      <c r="BT724" s="173">
        <f>IF(AND(Input_Product=Elig!$C724,Elig_MatchAll_Ct&lt;22,$BC724=(Elig_MatchAll_Ct-1),AR724=0),O724,0)</f>
        <v>0</v>
      </c>
      <c r="BU724" s="173">
        <f>IF(AND(Input_Product=Elig!$C724,Elig_MatchAll_Ct&lt;22,$BC724=(Elig_MatchAll_Ct-1),AS724=0),P724,0)</f>
        <v>0</v>
      </c>
      <c r="BV724" s="174">
        <f>IF(AND(Input_Product=Elig!$C724,Elig_MatchAll_Ct&lt;22,$BC724=(Elig_MatchAll_Ct-1),AT724=0),Q724,0)</f>
        <v>0</v>
      </c>
      <c r="BW724" s="175">
        <f>IF(AND(Input_Product=Elig!$C724,Elig_MatchAll_Ct&lt;22,$BC724=(Elig_MatchAll_Ct-1),AU724=0),R724,0)</f>
        <v>0</v>
      </c>
      <c r="BX724" s="176">
        <f>IF(AND(Input_Product=Elig!$C724,Elig_MatchAll_Ct&lt;22,$BC724=(Elig_MatchAll_Ct-1),AU724=0),S724,0)</f>
        <v>0</v>
      </c>
      <c r="BY724" s="175">
        <f>IF(AND(Input_Product=Elig!$C724,Elig_MatchAll_Ct&lt;22,$BC724=(Elig_MatchAll_Ct-1),AV724=0),T724,0)</f>
        <v>0</v>
      </c>
      <c r="BZ724" s="176">
        <f>IF(AND(Input_Product=Elig!$C724,Elig_MatchAll_Ct&lt;22,$BC724=(Elig_MatchAll_Ct-1),AV724=0),U724,0)</f>
        <v>0</v>
      </c>
      <c r="CA724" s="175">
        <f>IF(AND(Input_Product=Elig!$C724,Elig_MatchAll_Ct&lt;22,$BC724=(Elig_MatchAll_Ct-1),AW724=0),V724,0)</f>
        <v>0</v>
      </c>
      <c r="CB724" s="176">
        <f>IF(AND(Input_Product=Elig!$C724,Elig_MatchAll_Ct&lt;22,$BC724=(Elig_MatchAll_Ct-1),AW724=0),W724,0)</f>
        <v>0</v>
      </c>
      <c r="CC724" s="175">
        <f>IF(AND(Input_Product=Elig!$C724,Elig_MatchAll_Ct&lt;22,$BC724=(Elig_MatchAll_Ct-1),AX724=0),X724,0)</f>
        <v>0</v>
      </c>
      <c r="CD724" s="176">
        <f>IF(AND(Input_Product=Elig!$C724,Elig_MatchAll_Ct&lt;22,$BC724=(Elig_MatchAll_Ct-1),AX724=0),Y724,0)</f>
        <v>0</v>
      </c>
      <c r="CE724" s="175">
        <f>IF(AND(Input_LTV&lt;=AE724,Input_Product=Elig!$C724,Elig_MatchAll_Ct&lt;22,$BC724=(Elig_MatchAll_Ct-1),AY724=0),Z724,0)</f>
        <v>0</v>
      </c>
      <c r="CF724" s="176">
        <f>IF(AND(Input_LTV&lt;=AE724,Input_Product=Elig!$C724,Elig_MatchAll_Ct&lt;22,$BC724=(Elig_MatchAll_Ct-1),AY724=0),AA724,0)</f>
        <v>0</v>
      </c>
      <c r="CG724" s="175">
        <f>IF(AND(Input_Product=Elig!$C724,Elig_MatchAll_Ct&lt;22,$BC724=(Elig_MatchAll_Ct-1),AZ724=0),AB724,0)</f>
        <v>0</v>
      </c>
      <c r="CH724" s="176">
        <f>IF(AND(Input_Product=Elig!$C724,Elig_MatchAll_Ct&lt;22,$BC724=(Elig_MatchAll_Ct-1),AZ724=0),AC724,0)</f>
        <v>0</v>
      </c>
      <c r="CI724" s="175">
        <f>IF(AND(Input_Product=Elig!$C724,Elig_MatchAll_Ct&lt;22,$BC724=(Elig_MatchAll_Ct-1),BA724=0),AD724,0)</f>
        <v>0</v>
      </c>
      <c r="CJ724" s="176">
        <f>IF(AND(Input_Product=Elig!$C724,Elig_MatchAll_Ct&lt;22,$BC724=(Elig_MatchAll_Ct-1),BA724=0),AE724,0)</f>
        <v>0</v>
      </c>
    </row>
    <row r="725" spans="1:88" ht="10.15" customHeight="1" x14ac:dyDescent="0.25">
      <c r="A725" s="1484" t="s">
        <v>76</v>
      </c>
      <c r="B725" s="1484" t="s">
        <v>1902</v>
      </c>
      <c r="C725" s="1485" t="str">
        <f t="shared" si="242"/>
        <v>Second NOO</v>
      </c>
      <c r="D725" s="1484" t="s">
        <v>1331</v>
      </c>
      <c r="E725" s="1484" t="s">
        <v>98</v>
      </c>
      <c r="F725" s="1484" t="s">
        <v>329</v>
      </c>
      <c r="G725" s="1486" t="s">
        <v>178</v>
      </c>
      <c r="H725" s="1486" t="s">
        <v>135</v>
      </c>
      <c r="I725" s="1484" t="s">
        <v>1141</v>
      </c>
      <c r="J725" s="1484" t="s">
        <v>1130</v>
      </c>
      <c r="K725" s="1486" t="s">
        <v>2464</v>
      </c>
      <c r="L725" s="1484" t="s">
        <v>428</v>
      </c>
      <c r="M725" s="1484" t="s">
        <v>1835</v>
      </c>
      <c r="N725" s="1486" t="s">
        <v>1844</v>
      </c>
      <c r="O725" s="1484" t="s">
        <v>309</v>
      </c>
      <c r="P725" s="1484" t="s">
        <v>2434</v>
      </c>
      <c r="Q725" s="1484" t="s">
        <v>293</v>
      </c>
      <c r="R725" s="1484">
        <v>50000</v>
      </c>
      <c r="S725" s="1484">
        <v>350000</v>
      </c>
      <c r="T725" s="1484">
        <v>0</v>
      </c>
      <c r="U725" s="1484">
        <f t="shared" si="243"/>
        <v>350000</v>
      </c>
      <c r="V725" s="1484">
        <v>0</v>
      </c>
      <c r="W725" s="1484">
        <v>50</v>
      </c>
      <c r="X725" s="1484">
        <v>0</v>
      </c>
      <c r="Y725" s="1484">
        <v>999</v>
      </c>
      <c r="Z725" s="1487">
        <v>680</v>
      </c>
      <c r="AA725" s="1487">
        <v>699</v>
      </c>
      <c r="AB725" s="1487">
        <v>0</v>
      </c>
      <c r="AC725" s="1487">
        <v>999999</v>
      </c>
      <c r="AD725" s="1484">
        <v>0</v>
      </c>
      <c r="AE725" s="1484">
        <v>60</v>
      </c>
      <c r="AF725" s="144">
        <v>1</v>
      </c>
      <c r="AG725" s="145">
        <v>1</v>
      </c>
      <c r="AH725" s="145">
        <v>1</v>
      </c>
      <c r="AI725" s="145">
        <v>1</v>
      </c>
      <c r="AJ725" s="145">
        <v>0</v>
      </c>
      <c r="AK725" s="145">
        <v>1</v>
      </c>
      <c r="AL725" s="145">
        <v>1</v>
      </c>
      <c r="AM725" s="145">
        <v>1</v>
      </c>
      <c r="AN725" s="145">
        <v>1</v>
      </c>
      <c r="AO725" s="145">
        <v>1</v>
      </c>
      <c r="AP725" s="145">
        <v>1</v>
      </c>
      <c r="AQ725" s="145">
        <v>1</v>
      </c>
      <c r="AR725" s="145">
        <v>1</v>
      </c>
      <c r="AS725" s="145">
        <v>1</v>
      </c>
      <c r="AT725" s="145">
        <v>1</v>
      </c>
      <c r="AU725" s="145">
        <f t="shared" si="236"/>
        <v>1</v>
      </c>
      <c r="AV725" s="145">
        <f t="shared" si="237"/>
        <v>1</v>
      </c>
      <c r="AW725" s="145">
        <f t="shared" si="238"/>
        <v>1</v>
      </c>
      <c r="AX725" s="145">
        <f t="shared" si="244"/>
        <v>1</v>
      </c>
      <c r="AY725" s="145">
        <f t="shared" si="239"/>
        <v>0</v>
      </c>
      <c r="AZ725" s="145">
        <f t="shared" si="240"/>
        <v>1</v>
      </c>
      <c r="BA725" s="146">
        <f t="shared" si="241"/>
        <v>0</v>
      </c>
      <c r="BB725" s="149">
        <f t="shared" si="245"/>
        <v>19</v>
      </c>
      <c r="BC725" s="150">
        <f t="shared" si="246"/>
        <v>19</v>
      </c>
      <c r="BD725" s="150">
        <f t="shared" si="247"/>
        <v>18</v>
      </c>
      <c r="BE725" s="211" t="str">
        <f t="shared" si="248"/>
        <v/>
      </c>
      <c r="BF725" s="205"/>
      <c r="BG725" s="205"/>
      <c r="BH725" s="173">
        <f>IF(AND(Input_Product=Elig!$C725,Elig_MatchAll_Ct&lt;22,$BC725=(Elig_MatchAll_Ct-1),AF725=0),C725,0)</f>
        <v>0</v>
      </c>
      <c r="BI725" s="173">
        <f>IF(AND(Input_Product=Elig!$C725,Elig_MatchAll_Ct&lt;22,$BC725=(Elig_MatchAll_Ct-1),AG725=0),D725,0)</f>
        <v>0</v>
      </c>
      <c r="BJ725" s="173">
        <f>IF(AND(Input_Product=Elig!$C725,Elig_MatchAll_Ct&lt;22,$BC725=(Elig_MatchAll_Ct-1),AH725=0),E725,0)</f>
        <v>0</v>
      </c>
      <c r="BK725" s="173">
        <f>IF(AND(Input_Product=Elig!$C725,Elig_MatchAll_Ct&lt;22,$BC725=(Elig_MatchAll_Ct-1),AI725=0),F725,0)</f>
        <v>0</v>
      </c>
      <c r="BL725" s="173">
        <f>IF(AND(Input_Product=Elig!$C725,Elig_MatchAll_Ct&lt;22,$BC725=(Elig_MatchAll_Ct-1),AJ725=0),G725,0)</f>
        <v>0</v>
      </c>
      <c r="BM725" s="173">
        <f>IF(AND(Input_Product=Elig!$C725,Elig_MatchAll_Ct&lt;22,$BC725=(Elig_MatchAll_Ct-1),AK725=0),H725,0)</f>
        <v>0</v>
      </c>
      <c r="BN725" s="173">
        <f>IF(AND(Input_Product=Elig!$C725,Elig_MatchAll_Ct&lt;22,$BC725=(Elig_MatchAll_Ct-1),AL725=0),I725,0)</f>
        <v>0</v>
      </c>
      <c r="BO725" s="173">
        <f>IF(AND(Input_Product=Elig!$C725,Elig_MatchAll_Ct&lt;22,$BC725=(Elig_MatchAll_Ct-1),AM725=0),J725,0)</f>
        <v>0</v>
      </c>
      <c r="BP725" s="173">
        <f>IF(AND(Input_Product=Elig!$C725,Elig_MatchAll_Ct&lt;22,$BC725=(Elig_MatchAll_Ct-1),AN725=0),K725,0)</f>
        <v>0</v>
      </c>
      <c r="BQ725" s="173">
        <f>IF(AND(Input_Product=Elig!$C725,Elig_MatchAll_Ct&lt;22,$BC725=(Elig_MatchAll_Ct-1),AP725=0),L725,0)</f>
        <v>0</v>
      </c>
      <c r="BR725" s="173">
        <f>IF(AND(Input_Product=Elig!$C725,Elig_MatchAll_Ct&lt;22,$BC725=(Elig_MatchAll_Ct-1),AO725=0),M725,0)</f>
        <v>0</v>
      </c>
      <c r="BS725" s="173">
        <f>IF(AND(Input_Product=Elig!$C725,Elig_MatchAll_Ct&lt;22,$BC725=(Elig_MatchAll_Ct-1),AQ725=0),N725,0)</f>
        <v>0</v>
      </c>
      <c r="BT725" s="173">
        <f>IF(AND(Input_Product=Elig!$C725,Elig_MatchAll_Ct&lt;22,$BC725=(Elig_MatchAll_Ct-1),AR725=0),O725,0)</f>
        <v>0</v>
      </c>
      <c r="BU725" s="173">
        <f>IF(AND(Input_Product=Elig!$C725,Elig_MatchAll_Ct&lt;22,$BC725=(Elig_MatchAll_Ct-1),AS725=0),P725,0)</f>
        <v>0</v>
      </c>
      <c r="BV725" s="174">
        <f>IF(AND(Input_Product=Elig!$C725,Elig_MatchAll_Ct&lt;22,$BC725=(Elig_MatchAll_Ct-1),AT725=0),Q725,0)</f>
        <v>0</v>
      </c>
      <c r="BW725" s="175">
        <f>IF(AND(Input_Product=Elig!$C725,Elig_MatchAll_Ct&lt;22,$BC725=(Elig_MatchAll_Ct-1),AU725=0),R725,0)</f>
        <v>0</v>
      </c>
      <c r="BX725" s="176">
        <f>IF(AND(Input_Product=Elig!$C725,Elig_MatchAll_Ct&lt;22,$BC725=(Elig_MatchAll_Ct-1),AU725=0),S725,0)</f>
        <v>0</v>
      </c>
      <c r="BY725" s="175">
        <f>IF(AND(Input_Product=Elig!$C725,Elig_MatchAll_Ct&lt;22,$BC725=(Elig_MatchAll_Ct-1),AV725=0),T725,0)</f>
        <v>0</v>
      </c>
      <c r="BZ725" s="176">
        <f>IF(AND(Input_Product=Elig!$C725,Elig_MatchAll_Ct&lt;22,$BC725=(Elig_MatchAll_Ct-1),AV725=0),U725,0)</f>
        <v>0</v>
      </c>
      <c r="CA725" s="175">
        <f>IF(AND(Input_Product=Elig!$C725,Elig_MatchAll_Ct&lt;22,$BC725=(Elig_MatchAll_Ct-1),AW725=0),V725,0)</f>
        <v>0</v>
      </c>
      <c r="CB725" s="176">
        <f>IF(AND(Input_Product=Elig!$C725,Elig_MatchAll_Ct&lt;22,$BC725=(Elig_MatchAll_Ct-1),AW725=0),W725,0)</f>
        <v>0</v>
      </c>
      <c r="CC725" s="175">
        <f>IF(AND(Input_Product=Elig!$C725,Elig_MatchAll_Ct&lt;22,$BC725=(Elig_MatchAll_Ct-1),AX725=0),X725,0)</f>
        <v>0</v>
      </c>
      <c r="CD725" s="176">
        <f>IF(AND(Input_Product=Elig!$C725,Elig_MatchAll_Ct&lt;22,$BC725=(Elig_MatchAll_Ct-1),AX725=0),Y725,0)</f>
        <v>0</v>
      </c>
      <c r="CE725" s="175">
        <f>IF(AND(Input_LTV&lt;=AE725,Input_Product=Elig!$C725,Elig_MatchAll_Ct&lt;22,$BC725=(Elig_MatchAll_Ct-1),AY725=0),Z725,0)</f>
        <v>0</v>
      </c>
      <c r="CF725" s="176">
        <f>IF(AND(Input_LTV&lt;=AE725,Input_Product=Elig!$C725,Elig_MatchAll_Ct&lt;22,$BC725=(Elig_MatchAll_Ct-1),AY725=0),AA725,0)</f>
        <v>0</v>
      </c>
      <c r="CG725" s="175">
        <f>IF(AND(Input_Product=Elig!$C725,Elig_MatchAll_Ct&lt;22,$BC725=(Elig_MatchAll_Ct-1),AZ725=0),AB725,0)</f>
        <v>0</v>
      </c>
      <c r="CH725" s="176">
        <f>IF(AND(Input_Product=Elig!$C725,Elig_MatchAll_Ct&lt;22,$BC725=(Elig_MatchAll_Ct-1),AZ725=0),AC725,0)</f>
        <v>0</v>
      </c>
      <c r="CI725" s="175">
        <f>IF(AND(Input_Product=Elig!$C725,Elig_MatchAll_Ct&lt;22,$BC725=(Elig_MatchAll_Ct-1),BA725=0),AD725,0)</f>
        <v>0</v>
      </c>
      <c r="CJ725" s="176">
        <f>IF(AND(Input_Product=Elig!$C725,Elig_MatchAll_Ct&lt;22,$BC725=(Elig_MatchAll_Ct-1),BA725=0),AE725,0)</f>
        <v>0</v>
      </c>
    </row>
    <row r="726" spans="1:88" ht="10.15" customHeight="1" x14ac:dyDescent="0.25">
      <c r="A726" s="1484" t="s">
        <v>76</v>
      </c>
      <c r="B726" s="1484" t="s">
        <v>1903</v>
      </c>
      <c r="C726" s="1485" t="str">
        <f t="shared" si="242"/>
        <v>Second NOO</v>
      </c>
      <c r="D726" s="1484" t="s">
        <v>1331</v>
      </c>
      <c r="E726" s="1484" t="s">
        <v>98</v>
      </c>
      <c r="F726" s="1484" t="s">
        <v>329</v>
      </c>
      <c r="G726" s="1486" t="s">
        <v>178</v>
      </c>
      <c r="H726" s="1486" t="s">
        <v>135</v>
      </c>
      <c r="I726" s="1484" t="s">
        <v>1141</v>
      </c>
      <c r="J726" s="1484" t="s">
        <v>1130</v>
      </c>
      <c r="K726" s="1486" t="s">
        <v>2464</v>
      </c>
      <c r="L726" s="1484" t="s">
        <v>428</v>
      </c>
      <c r="M726" s="1484" t="s">
        <v>1835</v>
      </c>
      <c r="N726" s="1486" t="s">
        <v>1844</v>
      </c>
      <c r="O726" s="1484" t="s">
        <v>309</v>
      </c>
      <c r="P726" s="1484" t="s">
        <v>2434</v>
      </c>
      <c r="Q726" s="1484" t="s">
        <v>293</v>
      </c>
      <c r="R726" s="1484">
        <v>50000</v>
      </c>
      <c r="S726" s="1484">
        <v>350000</v>
      </c>
      <c r="T726" s="1484">
        <v>0</v>
      </c>
      <c r="U726" s="1484">
        <f t="shared" si="243"/>
        <v>350000</v>
      </c>
      <c r="V726" s="1484">
        <v>0</v>
      </c>
      <c r="W726" s="1484">
        <v>50</v>
      </c>
      <c r="X726" s="1484">
        <v>0</v>
      </c>
      <c r="Y726" s="1484">
        <v>999</v>
      </c>
      <c r="Z726" s="1487">
        <v>660</v>
      </c>
      <c r="AA726" s="1487">
        <v>679</v>
      </c>
      <c r="AB726" s="1487">
        <v>0</v>
      </c>
      <c r="AC726" s="1487">
        <v>999999</v>
      </c>
      <c r="AD726" s="1484">
        <v>0</v>
      </c>
      <c r="AE726" s="1484">
        <v>55</v>
      </c>
      <c r="AF726" s="144">
        <v>1</v>
      </c>
      <c r="AG726" s="145">
        <v>1</v>
      </c>
      <c r="AH726" s="145">
        <v>1</v>
      </c>
      <c r="AI726" s="145">
        <v>1</v>
      </c>
      <c r="AJ726" s="145">
        <v>0</v>
      </c>
      <c r="AK726" s="145">
        <v>1</v>
      </c>
      <c r="AL726" s="145">
        <v>1</v>
      </c>
      <c r="AM726" s="145">
        <v>1</v>
      </c>
      <c r="AN726" s="145">
        <v>1</v>
      </c>
      <c r="AO726" s="145">
        <v>1</v>
      </c>
      <c r="AP726" s="145">
        <v>1</v>
      </c>
      <c r="AQ726" s="145">
        <v>1</v>
      </c>
      <c r="AR726" s="145">
        <v>1</v>
      </c>
      <c r="AS726" s="145">
        <v>1</v>
      </c>
      <c r="AT726" s="145">
        <v>1</v>
      </c>
      <c r="AU726" s="145">
        <f t="shared" si="236"/>
        <v>1</v>
      </c>
      <c r="AV726" s="145">
        <f t="shared" si="237"/>
        <v>1</v>
      </c>
      <c r="AW726" s="145">
        <f t="shared" si="238"/>
        <v>1</v>
      </c>
      <c r="AX726" s="145">
        <f t="shared" si="244"/>
        <v>1</v>
      </c>
      <c r="AY726" s="145">
        <f t="shared" si="239"/>
        <v>0</v>
      </c>
      <c r="AZ726" s="145">
        <f t="shared" si="240"/>
        <v>1</v>
      </c>
      <c r="BA726" s="146">
        <f t="shared" si="241"/>
        <v>0</v>
      </c>
      <c r="BB726" s="149">
        <f t="shared" si="245"/>
        <v>19</v>
      </c>
      <c r="BC726" s="150">
        <f t="shared" si="246"/>
        <v>19</v>
      </c>
      <c r="BD726" s="150">
        <f t="shared" si="247"/>
        <v>18</v>
      </c>
      <c r="BE726" s="211" t="str">
        <f t="shared" si="248"/>
        <v/>
      </c>
      <c r="BF726" s="205"/>
      <c r="BG726" s="205"/>
      <c r="BH726" s="188">
        <f>IF(AND(Input_Product=Elig!$C726,Elig_MatchAll_Ct&lt;22,$BC726=(Elig_MatchAll_Ct-1),AF726=0),C726,0)</f>
        <v>0</v>
      </c>
      <c r="BI726" s="188">
        <f>IF(AND(Input_Product=Elig!$C726,Elig_MatchAll_Ct&lt;22,$BC726=(Elig_MatchAll_Ct-1),AG726=0),D726,0)</f>
        <v>0</v>
      </c>
      <c r="BJ726" s="188">
        <f>IF(AND(Input_Product=Elig!$C726,Elig_MatchAll_Ct&lt;22,$BC726=(Elig_MatchAll_Ct-1),AH726=0),E726,0)</f>
        <v>0</v>
      </c>
      <c r="BK726" s="188">
        <f>IF(AND(Input_Product=Elig!$C726,Elig_MatchAll_Ct&lt;22,$BC726=(Elig_MatchAll_Ct-1),AI726=0),F726,0)</f>
        <v>0</v>
      </c>
      <c r="BL726" s="188">
        <f>IF(AND(Input_Product=Elig!$C726,Elig_MatchAll_Ct&lt;22,$BC726=(Elig_MatchAll_Ct-1),AJ726=0),G726,0)</f>
        <v>0</v>
      </c>
      <c r="BM726" s="188">
        <f>IF(AND(Input_Product=Elig!$C726,Elig_MatchAll_Ct&lt;22,$BC726=(Elig_MatchAll_Ct-1),AK726=0),H726,0)</f>
        <v>0</v>
      </c>
      <c r="BN726" s="188">
        <f>IF(AND(Input_Product=Elig!$C726,Elig_MatchAll_Ct&lt;22,$BC726=(Elig_MatchAll_Ct-1),AL726=0),I726,0)</f>
        <v>0</v>
      </c>
      <c r="BO726" s="188">
        <f>IF(AND(Input_Product=Elig!$C726,Elig_MatchAll_Ct&lt;22,$BC726=(Elig_MatchAll_Ct-1),AM726=0),J726,0)</f>
        <v>0</v>
      </c>
      <c r="BP726" s="188">
        <f>IF(AND(Input_Product=Elig!$C726,Elig_MatchAll_Ct&lt;22,$BC726=(Elig_MatchAll_Ct-1),AN726=0),K726,0)</f>
        <v>0</v>
      </c>
      <c r="BQ726" s="188">
        <f>IF(AND(Input_Product=Elig!$C726,Elig_MatchAll_Ct&lt;22,$BC726=(Elig_MatchAll_Ct-1),AP726=0),L726,0)</f>
        <v>0</v>
      </c>
      <c r="BR726" s="188">
        <f>IF(AND(Input_Product=Elig!$C726,Elig_MatchAll_Ct&lt;22,$BC726=(Elig_MatchAll_Ct-1),AO726=0),M726,0)</f>
        <v>0</v>
      </c>
      <c r="BS726" s="188">
        <f>IF(AND(Input_Product=Elig!$C726,Elig_MatchAll_Ct&lt;22,$BC726=(Elig_MatchAll_Ct-1),AQ726=0),N726,0)</f>
        <v>0</v>
      </c>
      <c r="BT726" s="188">
        <f>IF(AND(Input_Product=Elig!$C726,Elig_MatchAll_Ct&lt;22,$BC726=(Elig_MatchAll_Ct-1),AR726=0),O726,0)</f>
        <v>0</v>
      </c>
      <c r="BU726" s="188">
        <f>IF(AND(Input_Product=Elig!$C726,Elig_MatchAll_Ct&lt;22,$BC726=(Elig_MatchAll_Ct-1),AS726=0),P726,0)</f>
        <v>0</v>
      </c>
      <c r="BV726" s="189">
        <f>IF(AND(Input_Product=Elig!$C726,Elig_MatchAll_Ct&lt;22,$BC726=(Elig_MatchAll_Ct-1),AT726=0),Q726,0)</f>
        <v>0</v>
      </c>
      <c r="BW726" s="271">
        <f>IF(AND(Input_Product=Elig!$C726,Elig_MatchAll_Ct&lt;22,$BC726=(Elig_MatchAll_Ct-1),AU726=0),R726,0)</f>
        <v>0</v>
      </c>
      <c r="BX726" s="272">
        <f>IF(AND(Input_Product=Elig!$C726,Elig_MatchAll_Ct&lt;22,$BC726=(Elig_MatchAll_Ct-1),AU726=0),S726,0)</f>
        <v>0</v>
      </c>
      <c r="BY726" s="271">
        <f>IF(AND(Input_Product=Elig!$C726,Elig_MatchAll_Ct&lt;22,$BC726=(Elig_MatchAll_Ct-1),AV726=0),T726,0)</f>
        <v>0</v>
      </c>
      <c r="BZ726" s="272">
        <f>IF(AND(Input_Product=Elig!$C726,Elig_MatchAll_Ct&lt;22,$BC726=(Elig_MatchAll_Ct-1),AV726=0),U726,0)</f>
        <v>0</v>
      </c>
      <c r="CA726" s="271">
        <f>IF(AND(Input_Product=Elig!$C726,Elig_MatchAll_Ct&lt;22,$BC726=(Elig_MatchAll_Ct-1),AW726=0),V726,0)</f>
        <v>0</v>
      </c>
      <c r="CB726" s="272">
        <f>IF(AND(Input_Product=Elig!$C726,Elig_MatchAll_Ct&lt;22,$BC726=(Elig_MatchAll_Ct-1),AW726=0),W726,0)</f>
        <v>0</v>
      </c>
      <c r="CC726" s="271">
        <f>IF(AND(Input_Product=Elig!$C726,Elig_MatchAll_Ct&lt;22,$BC726=(Elig_MatchAll_Ct-1),AX726=0),X726,0)</f>
        <v>0</v>
      </c>
      <c r="CD726" s="272">
        <f>IF(AND(Input_Product=Elig!$C726,Elig_MatchAll_Ct&lt;22,$BC726=(Elig_MatchAll_Ct-1),AX726=0),Y726,0)</f>
        <v>0</v>
      </c>
      <c r="CE726" s="271">
        <f>IF(AND(Input_LTV&lt;=AE726,Input_Product=Elig!$C726,Elig_MatchAll_Ct&lt;22,$BC726=(Elig_MatchAll_Ct-1),AY726=0),Z726,0)</f>
        <v>0</v>
      </c>
      <c r="CF726" s="272">
        <f>IF(AND(Input_LTV&lt;=AE726,Input_Product=Elig!$C726,Elig_MatchAll_Ct&lt;22,$BC726=(Elig_MatchAll_Ct-1),AY726=0),AA726,0)</f>
        <v>0</v>
      </c>
      <c r="CG726" s="271">
        <f>IF(AND(Input_Product=Elig!$C726,Elig_MatchAll_Ct&lt;22,$BC726=(Elig_MatchAll_Ct-1),AZ726=0),AB726,0)</f>
        <v>0</v>
      </c>
      <c r="CH726" s="272">
        <f>IF(AND(Input_Product=Elig!$C726,Elig_MatchAll_Ct&lt;22,$BC726=(Elig_MatchAll_Ct-1),AZ726=0),AC726,0)</f>
        <v>0</v>
      </c>
      <c r="CI726" s="271">
        <f>IF(AND(Input_Product=Elig!$C726,Elig_MatchAll_Ct&lt;22,$BC726=(Elig_MatchAll_Ct-1),BA726=0),AD726,0)</f>
        <v>0</v>
      </c>
      <c r="CJ726" s="272">
        <f>IF(AND(Input_Product=Elig!$C726,Elig_MatchAll_Ct&lt;22,$BC726=(Elig_MatchAll_Ct-1),BA726=0),AE726,0)</f>
        <v>0</v>
      </c>
    </row>
    <row r="727" spans="1:88" ht="10.15" customHeight="1" x14ac:dyDescent="0.25">
      <c r="A727" s="1484" t="s">
        <v>76</v>
      </c>
      <c r="B727" s="1484" t="s">
        <v>1904</v>
      </c>
      <c r="C727" s="1489" t="str">
        <f t="shared" si="242"/>
        <v>Second NOO</v>
      </c>
      <c r="D727" s="1490" t="s">
        <v>1121</v>
      </c>
      <c r="E727" s="1490" t="s">
        <v>98</v>
      </c>
      <c r="F727" s="1490" t="s">
        <v>329</v>
      </c>
      <c r="G727" s="1490" t="s">
        <v>178</v>
      </c>
      <c r="H727" s="1490" t="s">
        <v>135</v>
      </c>
      <c r="I727" s="1488" t="s">
        <v>1141</v>
      </c>
      <c r="J727" s="1488" t="s">
        <v>1130</v>
      </c>
      <c r="K727" s="1490" t="s">
        <v>2464</v>
      </c>
      <c r="L727" s="1488" t="s">
        <v>428</v>
      </c>
      <c r="M727" s="1488" t="s">
        <v>1835</v>
      </c>
      <c r="N727" s="1490" t="s">
        <v>1844</v>
      </c>
      <c r="O727" s="1488" t="s">
        <v>309</v>
      </c>
      <c r="P727" s="1488" t="s">
        <v>2434</v>
      </c>
      <c r="Q727" s="1488" t="s">
        <v>293</v>
      </c>
      <c r="R727" s="1488">
        <v>200000</v>
      </c>
      <c r="S727" s="1488">
        <v>350000</v>
      </c>
      <c r="T727" s="1488">
        <v>0</v>
      </c>
      <c r="U727" s="1488">
        <f t="shared" si="243"/>
        <v>350000</v>
      </c>
      <c r="V727" s="1488">
        <v>0</v>
      </c>
      <c r="W727" s="1488">
        <v>50</v>
      </c>
      <c r="X727" s="1488">
        <v>0</v>
      </c>
      <c r="Y727" s="1488">
        <v>999</v>
      </c>
      <c r="Z727" s="1491">
        <v>720</v>
      </c>
      <c r="AA727" s="1491">
        <v>999</v>
      </c>
      <c r="AB727" s="1491">
        <v>0</v>
      </c>
      <c r="AC727" s="1491">
        <v>999999</v>
      </c>
      <c r="AD727" s="1488">
        <v>0</v>
      </c>
      <c r="AE727" s="1488">
        <v>70</v>
      </c>
      <c r="AF727" s="144">
        <v>1</v>
      </c>
      <c r="AG727" s="145">
        <v>0</v>
      </c>
      <c r="AH727" s="145">
        <v>1</v>
      </c>
      <c r="AI727" s="145">
        <v>1</v>
      </c>
      <c r="AJ727" s="145">
        <v>0</v>
      </c>
      <c r="AK727" s="145">
        <v>1</v>
      </c>
      <c r="AL727" s="145">
        <v>1</v>
      </c>
      <c r="AM727" s="145">
        <v>1</v>
      </c>
      <c r="AN727" s="145">
        <v>1</v>
      </c>
      <c r="AO727" s="145">
        <v>1</v>
      </c>
      <c r="AP727" s="145">
        <v>1</v>
      </c>
      <c r="AQ727" s="145">
        <v>1</v>
      </c>
      <c r="AR727" s="145">
        <v>1</v>
      </c>
      <c r="AS727" s="145">
        <v>1</v>
      </c>
      <c r="AT727" s="145">
        <v>1</v>
      </c>
      <c r="AU727" s="145">
        <f t="shared" si="236"/>
        <v>0</v>
      </c>
      <c r="AV727" s="145">
        <f t="shared" si="237"/>
        <v>1</v>
      </c>
      <c r="AW727" s="145">
        <f t="shared" si="238"/>
        <v>1</v>
      </c>
      <c r="AX727" s="145">
        <f t="shared" si="244"/>
        <v>1</v>
      </c>
      <c r="AY727" s="145">
        <f t="shared" si="239"/>
        <v>1</v>
      </c>
      <c r="AZ727" s="145">
        <f t="shared" si="240"/>
        <v>1</v>
      </c>
      <c r="BA727" s="146">
        <f t="shared" si="241"/>
        <v>1</v>
      </c>
      <c r="BB727" s="149">
        <f t="shared" si="245"/>
        <v>19</v>
      </c>
      <c r="BC727" s="150">
        <f t="shared" si="246"/>
        <v>18</v>
      </c>
      <c r="BD727" s="150">
        <f t="shared" si="247"/>
        <v>18</v>
      </c>
      <c r="BE727" s="211" t="str">
        <f t="shared" si="248"/>
        <v/>
      </c>
      <c r="BF727" s="194"/>
      <c r="BG727" s="194"/>
      <c r="BH727" s="190">
        <f>IF(AND(Input_Product=Elig!$C727,Elig_MatchAll_Ct&lt;22,$BC727=(Elig_MatchAll_Ct-1),AF727=0),C727,0)</f>
        <v>0</v>
      </c>
      <c r="BI727" s="190">
        <f>IF(AND(Input_Product=Elig!$C727,Elig_MatchAll_Ct&lt;22,$BC727=(Elig_MatchAll_Ct-1),AG727=0),D727,0)</f>
        <v>0</v>
      </c>
      <c r="BJ727" s="190">
        <f>IF(AND(Input_Product=Elig!$C727,Elig_MatchAll_Ct&lt;22,$BC727=(Elig_MatchAll_Ct-1),AH727=0),E727,0)</f>
        <v>0</v>
      </c>
      <c r="BK727" s="190">
        <f>IF(AND(Input_Product=Elig!$C727,Elig_MatchAll_Ct&lt;22,$BC727=(Elig_MatchAll_Ct-1),AI727=0),F727,0)</f>
        <v>0</v>
      </c>
      <c r="BL727" s="190">
        <f>IF(AND(Input_Product=Elig!$C727,Elig_MatchAll_Ct&lt;22,$BC727=(Elig_MatchAll_Ct-1),AJ727=0),G727,0)</f>
        <v>0</v>
      </c>
      <c r="BM727" s="190">
        <f>IF(AND(Input_Product=Elig!$C727,Elig_MatchAll_Ct&lt;22,$BC727=(Elig_MatchAll_Ct-1),AK727=0),H727,0)</f>
        <v>0</v>
      </c>
      <c r="BN727" s="190">
        <f>IF(AND(Input_Product=Elig!$C727,Elig_MatchAll_Ct&lt;22,$BC727=(Elig_MatchAll_Ct-1),AL727=0),I727,0)</f>
        <v>0</v>
      </c>
      <c r="BO727" s="190">
        <f>IF(AND(Input_Product=Elig!$C727,Elig_MatchAll_Ct&lt;22,$BC727=(Elig_MatchAll_Ct-1),AM727=0),J727,0)</f>
        <v>0</v>
      </c>
      <c r="BP727" s="190">
        <f>IF(AND(Input_Product=Elig!$C727,Elig_MatchAll_Ct&lt;22,$BC727=(Elig_MatchAll_Ct-1),AN727=0),K727,0)</f>
        <v>0</v>
      </c>
      <c r="BQ727" s="190">
        <f>IF(AND(Input_Product=Elig!$C727,Elig_MatchAll_Ct&lt;22,$BC727=(Elig_MatchAll_Ct-1),AP727=0),L727,0)</f>
        <v>0</v>
      </c>
      <c r="BR727" s="190">
        <f>IF(AND(Input_Product=Elig!$C727,Elig_MatchAll_Ct&lt;22,$BC727=(Elig_MatchAll_Ct-1),AO727=0),M727,0)</f>
        <v>0</v>
      </c>
      <c r="BS727" s="190">
        <f>IF(AND(Input_Product=Elig!$C727,Elig_MatchAll_Ct&lt;22,$BC727=(Elig_MatchAll_Ct-1),AQ727=0),N727,0)</f>
        <v>0</v>
      </c>
      <c r="BT727" s="190">
        <f>IF(AND(Input_Product=Elig!$C727,Elig_MatchAll_Ct&lt;22,$BC727=(Elig_MatchAll_Ct-1),AR727=0),O727,0)</f>
        <v>0</v>
      </c>
      <c r="BU727" s="190">
        <f>IF(AND(Input_Product=Elig!$C727,Elig_MatchAll_Ct&lt;22,$BC727=(Elig_MatchAll_Ct-1),AS727=0),P727,0)</f>
        <v>0</v>
      </c>
      <c r="BV727" s="191">
        <f>IF(AND(Input_Product=Elig!$C727,Elig_MatchAll_Ct&lt;22,$BC727=(Elig_MatchAll_Ct-1),AT727=0),Q727,0)</f>
        <v>0</v>
      </c>
      <c r="BW727" s="273">
        <f>IF(AND(Input_Product=Elig!$C727,Elig_MatchAll_Ct&lt;22,$BC727=(Elig_MatchAll_Ct-1),AU727=0),R727,0)</f>
        <v>0</v>
      </c>
      <c r="BX727" s="274">
        <f>IF(AND(Input_Product=Elig!$C727,Elig_MatchAll_Ct&lt;22,$BC727=(Elig_MatchAll_Ct-1),AU727=0),S727,0)</f>
        <v>0</v>
      </c>
      <c r="BY727" s="273">
        <f>IF(AND(Input_Product=Elig!$C727,Elig_MatchAll_Ct&lt;22,$BC727=(Elig_MatchAll_Ct-1),AV727=0),T727,0)</f>
        <v>0</v>
      </c>
      <c r="BZ727" s="274">
        <f>IF(AND(Input_Product=Elig!$C727,Elig_MatchAll_Ct&lt;22,$BC727=(Elig_MatchAll_Ct-1),AV727=0),U727,0)</f>
        <v>0</v>
      </c>
      <c r="CA727" s="273">
        <f>IF(AND(Input_Product=Elig!$C727,Elig_MatchAll_Ct&lt;22,$BC727=(Elig_MatchAll_Ct-1),AW727=0),V727,0)</f>
        <v>0</v>
      </c>
      <c r="CB727" s="274">
        <f>IF(AND(Input_Product=Elig!$C727,Elig_MatchAll_Ct&lt;22,$BC727=(Elig_MatchAll_Ct-1),AW727=0),W727,0)</f>
        <v>0</v>
      </c>
      <c r="CC727" s="273">
        <f>IF(AND(Input_Product=Elig!$C727,Elig_MatchAll_Ct&lt;22,$BC727=(Elig_MatchAll_Ct-1),AX727=0),X727,0)</f>
        <v>0</v>
      </c>
      <c r="CD727" s="274">
        <f>IF(AND(Input_Product=Elig!$C727,Elig_MatchAll_Ct&lt;22,$BC727=(Elig_MatchAll_Ct-1),AX727=0),Y727,0)</f>
        <v>0</v>
      </c>
      <c r="CE727" s="273">
        <f>IF(AND(Input_LTV&lt;=AE727,Input_Product=Elig!$C727,Elig_MatchAll_Ct&lt;22,$BC727=(Elig_MatchAll_Ct-1),AY727=0),Z727,0)</f>
        <v>0</v>
      </c>
      <c r="CF727" s="274">
        <f>IF(AND(Input_LTV&lt;=AE727,Input_Product=Elig!$C727,Elig_MatchAll_Ct&lt;22,$BC727=(Elig_MatchAll_Ct-1),AY727=0),AA727,0)</f>
        <v>0</v>
      </c>
      <c r="CG727" s="273">
        <f>IF(AND(Input_Product=Elig!$C727,Elig_MatchAll_Ct&lt;22,$BC727=(Elig_MatchAll_Ct-1),AZ727=0),AB727,0)</f>
        <v>0</v>
      </c>
      <c r="CH727" s="274">
        <f>IF(AND(Input_Product=Elig!$C727,Elig_MatchAll_Ct&lt;22,$BC727=(Elig_MatchAll_Ct-1),AZ727=0),AC727,0)</f>
        <v>0</v>
      </c>
      <c r="CI727" s="273">
        <f>IF(AND(Input_Product=Elig!$C727,Elig_MatchAll_Ct&lt;22,$BC727=(Elig_MatchAll_Ct-1),BA727=0),AD727,0)</f>
        <v>0</v>
      </c>
      <c r="CJ727" s="274">
        <f>IF(AND(Input_Product=Elig!$C727,Elig_MatchAll_Ct&lt;22,$BC727=(Elig_MatchAll_Ct-1),BA727=0),AE727,0)</f>
        <v>0</v>
      </c>
    </row>
    <row r="728" spans="1:88" ht="10.15" customHeight="1" x14ac:dyDescent="0.25">
      <c r="A728" s="1484" t="s">
        <v>76</v>
      </c>
      <c r="B728" s="1484" t="s">
        <v>1905</v>
      </c>
      <c r="C728" s="1485" t="str">
        <f t="shared" si="242"/>
        <v>Second NOO</v>
      </c>
      <c r="D728" s="1484" t="s">
        <v>1121</v>
      </c>
      <c r="E728" s="1484" t="s">
        <v>98</v>
      </c>
      <c r="F728" s="1484" t="s">
        <v>329</v>
      </c>
      <c r="G728" s="1486" t="s">
        <v>178</v>
      </c>
      <c r="H728" s="1486" t="s">
        <v>135</v>
      </c>
      <c r="I728" s="1484" t="s">
        <v>1141</v>
      </c>
      <c r="J728" s="1484" t="s">
        <v>1130</v>
      </c>
      <c r="K728" s="1486" t="s">
        <v>2464</v>
      </c>
      <c r="L728" s="1484" t="s">
        <v>428</v>
      </c>
      <c r="M728" s="1484" t="s">
        <v>1835</v>
      </c>
      <c r="N728" s="1486" t="s">
        <v>1844</v>
      </c>
      <c r="O728" s="1484" t="s">
        <v>309</v>
      </c>
      <c r="P728" s="1484" t="s">
        <v>2434</v>
      </c>
      <c r="Q728" s="1484" t="s">
        <v>293</v>
      </c>
      <c r="R728" s="1484">
        <v>200000</v>
      </c>
      <c r="S728" s="1484">
        <v>350000</v>
      </c>
      <c r="T728" s="1484">
        <v>0</v>
      </c>
      <c r="U728" s="1484">
        <f t="shared" si="243"/>
        <v>350000</v>
      </c>
      <c r="V728" s="1484">
        <v>0</v>
      </c>
      <c r="W728" s="1484">
        <v>50</v>
      </c>
      <c r="X728" s="1484">
        <v>0</v>
      </c>
      <c r="Y728" s="1484">
        <v>999</v>
      </c>
      <c r="Z728" s="1487">
        <v>700</v>
      </c>
      <c r="AA728" s="1487">
        <v>719</v>
      </c>
      <c r="AB728" s="1487">
        <v>0</v>
      </c>
      <c r="AC728" s="1487">
        <v>999999</v>
      </c>
      <c r="AD728" s="1484">
        <v>0</v>
      </c>
      <c r="AE728" s="1484">
        <v>65</v>
      </c>
      <c r="AF728" s="144">
        <v>1</v>
      </c>
      <c r="AG728" s="145">
        <v>0</v>
      </c>
      <c r="AH728" s="145">
        <v>1</v>
      </c>
      <c r="AI728" s="145">
        <v>1</v>
      </c>
      <c r="AJ728" s="145">
        <v>0</v>
      </c>
      <c r="AK728" s="145">
        <v>1</v>
      </c>
      <c r="AL728" s="145">
        <v>1</v>
      </c>
      <c r="AM728" s="145">
        <v>1</v>
      </c>
      <c r="AN728" s="145">
        <v>1</v>
      </c>
      <c r="AO728" s="145">
        <v>1</v>
      </c>
      <c r="AP728" s="145">
        <v>1</v>
      </c>
      <c r="AQ728" s="145">
        <v>1</v>
      </c>
      <c r="AR728" s="145">
        <v>1</v>
      </c>
      <c r="AS728" s="145">
        <v>1</v>
      </c>
      <c r="AT728" s="145">
        <v>1</v>
      </c>
      <c r="AU728" s="145">
        <f t="shared" si="236"/>
        <v>0</v>
      </c>
      <c r="AV728" s="145">
        <f t="shared" si="237"/>
        <v>1</v>
      </c>
      <c r="AW728" s="145">
        <f t="shared" si="238"/>
        <v>1</v>
      </c>
      <c r="AX728" s="145">
        <f t="shared" si="244"/>
        <v>1</v>
      </c>
      <c r="AY728" s="145">
        <f t="shared" si="239"/>
        <v>0</v>
      </c>
      <c r="AZ728" s="145">
        <f t="shared" si="240"/>
        <v>1</v>
      </c>
      <c r="BA728" s="146">
        <f t="shared" si="241"/>
        <v>0</v>
      </c>
      <c r="BB728" s="149">
        <f t="shared" si="245"/>
        <v>17</v>
      </c>
      <c r="BC728" s="150">
        <f t="shared" si="246"/>
        <v>17</v>
      </c>
      <c r="BD728" s="150">
        <f t="shared" si="247"/>
        <v>16</v>
      </c>
      <c r="BE728" s="211" t="str">
        <f t="shared" si="248"/>
        <v/>
      </c>
      <c r="BF728" s="205"/>
      <c r="BG728" s="205"/>
      <c r="BH728" s="173">
        <f>IF(AND(Input_Product=Elig!$C728,Elig_MatchAll_Ct&lt;22,$BC728=(Elig_MatchAll_Ct-1),AF728=0),C728,0)</f>
        <v>0</v>
      </c>
      <c r="BI728" s="173">
        <f>IF(AND(Input_Product=Elig!$C728,Elig_MatchAll_Ct&lt;22,$BC728=(Elig_MatchAll_Ct-1),AG728=0),D728,0)</f>
        <v>0</v>
      </c>
      <c r="BJ728" s="173">
        <f>IF(AND(Input_Product=Elig!$C728,Elig_MatchAll_Ct&lt;22,$BC728=(Elig_MatchAll_Ct-1),AH728=0),E728,0)</f>
        <v>0</v>
      </c>
      <c r="BK728" s="173">
        <f>IF(AND(Input_Product=Elig!$C728,Elig_MatchAll_Ct&lt;22,$BC728=(Elig_MatchAll_Ct-1),AI728=0),F728,0)</f>
        <v>0</v>
      </c>
      <c r="BL728" s="173">
        <f>IF(AND(Input_Product=Elig!$C728,Elig_MatchAll_Ct&lt;22,$BC728=(Elig_MatchAll_Ct-1),AJ728=0),G728,0)</f>
        <v>0</v>
      </c>
      <c r="BM728" s="173">
        <f>IF(AND(Input_Product=Elig!$C728,Elig_MatchAll_Ct&lt;22,$BC728=(Elig_MatchAll_Ct-1),AK728=0),H728,0)</f>
        <v>0</v>
      </c>
      <c r="BN728" s="173">
        <f>IF(AND(Input_Product=Elig!$C728,Elig_MatchAll_Ct&lt;22,$BC728=(Elig_MatchAll_Ct-1),AL728=0),I728,0)</f>
        <v>0</v>
      </c>
      <c r="BO728" s="173">
        <f>IF(AND(Input_Product=Elig!$C728,Elig_MatchAll_Ct&lt;22,$BC728=(Elig_MatchAll_Ct-1),AM728=0),J728,0)</f>
        <v>0</v>
      </c>
      <c r="BP728" s="173">
        <f>IF(AND(Input_Product=Elig!$C728,Elig_MatchAll_Ct&lt;22,$BC728=(Elig_MatchAll_Ct-1),AN728=0),K728,0)</f>
        <v>0</v>
      </c>
      <c r="BQ728" s="173">
        <f>IF(AND(Input_Product=Elig!$C728,Elig_MatchAll_Ct&lt;22,$BC728=(Elig_MatchAll_Ct-1),AP728=0),L728,0)</f>
        <v>0</v>
      </c>
      <c r="BR728" s="173">
        <f>IF(AND(Input_Product=Elig!$C728,Elig_MatchAll_Ct&lt;22,$BC728=(Elig_MatchAll_Ct-1),AO728=0),M728,0)</f>
        <v>0</v>
      </c>
      <c r="BS728" s="173">
        <f>IF(AND(Input_Product=Elig!$C728,Elig_MatchAll_Ct&lt;22,$BC728=(Elig_MatchAll_Ct-1),AQ728=0),N728,0)</f>
        <v>0</v>
      </c>
      <c r="BT728" s="173">
        <f>IF(AND(Input_Product=Elig!$C728,Elig_MatchAll_Ct&lt;22,$BC728=(Elig_MatchAll_Ct-1),AR728=0),O728,0)</f>
        <v>0</v>
      </c>
      <c r="BU728" s="173">
        <f>IF(AND(Input_Product=Elig!$C728,Elig_MatchAll_Ct&lt;22,$BC728=(Elig_MatchAll_Ct-1),AS728=0),P728,0)</f>
        <v>0</v>
      </c>
      <c r="BV728" s="174">
        <f>IF(AND(Input_Product=Elig!$C728,Elig_MatchAll_Ct&lt;22,$BC728=(Elig_MatchAll_Ct-1),AT728=0),Q728,0)</f>
        <v>0</v>
      </c>
      <c r="BW728" s="175">
        <f>IF(AND(Input_Product=Elig!$C728,Elig_MatchAll_Ct&lt;22,$BC728=(Elig_MatchAll_Ct-1),AU728=0),R728,0)</f>
        <v>0</v>
      </c>
      <c r="BX728" s="176">
        <f>IF(AND(Input_Product=Elig!$C728,Elig_MatchAll_Ct&lt;22,$BC728=(Elig_MatchAll_Ct-1),AU728=0),S728,0)</f>
        <v>0</v>
      </c>
      <c r="BY728" s="175">
        <f>IF(AND(Input_Product=Elig!$C728,Elig_MatchAll_Ct&lt;22,$BC728=(Elig_MatchAll_Ct-1),AV728=0),T728,0)</f>
        <v>0</v>
      </c>
      <c r="BZ728" s="176">
        <f>IF(AND(Input_Product=Elig!$C728,Elig_MatchAll_Ct&lt;22,$BC728=(Elig_MatchAll_Ct-1),AV728=0),U728,0)</f>
        <v>0</v>
      </c>
      <c r="CA728" s="175">
        <f>IF(AND(Input_Product=Elig!$C728,Elig_MatchAll_Ct&lt;22,$BC728=(Elig_MatchAll_Ct-1),AW728=0),V728,0)</f>
        <v>0</v>
      </c>
      <c r="CB728" s="176">
        <f>IF(AND(Input_Product=Elig!$C728,Elig_MatchAll_Ct&lt;22,$BC728=(Elig_MatchAll_Ct-1),AW728=0),W728,0)</f>
        <v>0</v>
      </c>
      <c r="CC728" s="175">
        <f>IF(AND(Input_Product=Elig!$C728,Elig_MatchAll_Ct&lt;22,$BC728=(Elig_MatchAll_Ct-1),AX728=0),X728,0)</f>
        <v>0</v>
      </c>
      <c r="CD728" s="176">
        <f>IF(AND(Input_Product=Elig!$C728,Elig_MatchAll_Ct&lt;22,$BC728=(Elig_MatchAll_Ct-1),AX728=0),Y728,0)</f>
        <v>0</v>
      </c>
      <c r="CE728" s="175">
        <f>IF(AND(Input_LTV&lt;=AE728,Input_Product=Elig!$C728,Elig_MatchAll_Ct&lt;22,$BC728=(Elig_MatchAll_Ct-1),AY728=0),Z728,0)</f>
        <v>0</v>
      </c>
      <c r="CF728" s="176">
        <f>IF(AND(Input_LTV&lt;=AE728,Input_Product=Elig!$C728,Elig_MatchAll_Ct&lt;22,$BC728=(Elig_MatchAll_Ct-1),AY728=0),AA728,0)</f>
        <v>0</v>
      </c>
      <c r="CG728" s="175">
        <f>IF(AND(Input_Product=Elig!$C728,Elig_MatchAll_Ct&lt;22,$BC728=(Elig_MatchAll_Ct-1),AZ728=0),AB728,0)</f>
        <v>0</v>
      </c>
      <c r="CH728" s="176">
        <f>IF(AND(Input_Product=Elig!$C728,Elig_MatchAll_Ct&lt;22,$BC728=(Elig_MatchAll_Ct-1),AZ728=0),AC728,0)</f>
        <v>0</v>
      </c>
      <c r="CI728" s="175">
        <f>IF(AND(Input_Product=Elig!$C728,Elig_MatchAll_Ct&lt;22,$BC728=(Elig_MatchAll_Ct-1),BA728=0),AD728,0)</f>
        <v>0</v>
      </c>
      <c r="CJ728" s="176">
        <f>IF(AND(Input_Product=Elig!$C728,Elig_MatchAll_Ct&lt;22,$BC728=(Elig_MatchAll_Ct-1),BA728=0),AE728,0)</f>
        <v>0</v>
      </c>
    </row>
    <row r="729" spans="1:88" ht="10.15" customHeight="1" x14ac:dyDescent="0.25">
      <c r="A729" s="1484" t="s">
        <v>76</v>
      </c>
      <c r="B729" s="1484" t="s">
        <v>1906</v>
      </c>
      <c r="C729" s="1485" t="str">
        <f t="shared" si="242"/>
        <v>Second NOO</v>
      </c>
      <c r="D729" s="1484" t="s">
        <v>1121</v>
      </c>
      <c r="E729" s="1484" t="s">
        <v>98</v>
      </c>
      <c r="F729" s="1484" t="s">
        <v>329</v>
      </c>
      <c r="G729" s="1486" t="s">
        <v>178</v>
      </c>
      <c r="H729" s="1486" t="s">
        <v>135</v>
      </c>
      <c r="I729" s="1484" t="s">
        <v>1141</v>
      </c>
      <c r="J729" s="1484" t="s">
        <v>1130</v>
      </c>
      <c r="K729" s="1486" t="s">
        <v>2464</v>
      </c>
      <c r="L729" s="1484" t="s">
        <v>428</v>
      </c>
      <c r="M729" s="1484" t="s">
        <v>1835</v>
      </c>
      <c r="N729" s="1486" t="s">
        <v>1844</v>
      </c>
      <c r="O729" s="1484" t="s">
        <v>309</v>
      </c>
      <c r="P729" s="1484" t="s">
        <v>2434</v>
      </c>
      <c r="Q729" s="1484" t="s">
        <v>293</v>
      </c>
      <c r="R729" s="1484">
        <v>200000</v>
      </c>
      <c r="S729" s="1484">
        <v>350000</v>
      </c>
      <c r="T729" s="1484">
        <v>0</v>
      </c>
      <c r="U729" s="1484">
        <f t="shared" si="243"/>
        <v>350000</v>
      </c>
      <c r="V729" s="1484">
        <v>0</v>
      </c>
      <c r="W729" s="1484">
        <v>50</v>
      </c>
      <c r="X729" s="1484">
        <v>0</v>
      </c>
      <c r="Y729" s="1484">
        <v>999</v>
      </c>
      <c r="Z729" s="1487">
        <v>680</v>
      </c>
      <c r="AA729" s="1487">
        <v>699</v>
      </c>
      <c r="AB729" s="1487">
        <v>0</v>
      </c>
      <c r="AC729" s="1487">
        <v>999999</v>
      </c>
      <c r="AD729" s="1484">
        <v>0</v>
      </c>
      <c r="AE729" s="1484">
        <v>60</v>
      </c>
      <c r="AF729" s="144">
        <v>1</v>
      </c>
      <c r="AG729" s="145">
        <v>0</v>
      </c>
      <c r="AH729" s="145">
        <v>1</v>
      </c>
      <c r="AI729" s="145">
        <v>1</v>
      </c>
      <c r="AJ729" s="145">
        <v>0</v>
      </c>
      <c r="AK729" s="145">
        <v>1</v>
      </c>
      <c r="AL729" s="145">
        <v>1</v>
      </c>
      <c r="AM729" s="145">
        <v>1</v>
      </c>
      <c r="AN729" s="145">
        <v>1</v>
      </c>
      <c r="AO729" s="145">
        <v>1</v>
      </c>
      <c r="AP729" s="145">
        <v>1</v>
      </c>
      <c r="AQ729" s="145">
        <v>1</v>
      </c>
      <c r="AR729" s="145">
        <v>1</v>
      </c>
      <c r="AS729" s="145">
        <v>1</v>
      </c>
      <c r="AT729" s="145">
        <v>1</v>
      </c>
      <c r="AU729" s="145">
        <f t="shared" si="236"/>
        <v>0</v>
      </c>
      <c r="AV729" s="145">
        <f t="shared" si="237"/>
        <v>1</v>
      </c>
      <c r="AW729" s="145">
        <f t="shared" si="238"/>
        <v>1</v>
      </c>
      <c r="AX729" s="145">
        <f t="shared" si="244"/>
        <v>1</v>
      </c>
      <c r="AY729" s="145">
        <f t="shared" si="239"/>
        <v>0</v>
      </c>
      <c r="AZ729" s="145">
        <f t="shared" si="240"/>
        <v>1</v>
      </c>
      <c r="BA729" s="146">
        <f t="shared" si="241"/>
        <v>0</v>
      </c>
      <c r="BB729" s="149">
        <f t="shared" si="245"/>
        <v>17</v>
      </c>
      <c r="BC729" s="150">
        <f t="shared" si="246"/>
        <v>17</v>
      </c>
      <c r="BD729" s="150">
        <f t="shared" si="247"/>
        <v>16</v>
      </c>
      <c r="BE729" s="211" t="str">
        <f t="shared" si="248"/>
        <v/>
      </c>
      <c r="BF729" s="205"/>
      <c r="BG729" s="205"/>
      <c r="BH729" s="173">
        <f>IF(AND(Input_Product=Elig!$C729,Elig_MatchAll_Ct&lt;22,$BC729=(Elig_MatchAll_Ct-1),AF729=0),C729,0)</f>
        <v>0</v>
      </c>
      <c r="BI729" s="173">
        <f>IF(AND(Input_Product=Elig!$C729,Elig_MatchAll_Ct&lt;22,$BC729=(Elig_MatchAll_Ct-1),AG729=0),D729,0)</f>
        <v>0</v>
      </c>
      <c r="BJ729" s="173">
        <f>IF(AND(Input_Product=Elig!$C729,Elig_MatchAll_Ct&lt;22,$BC729=(Elig_MatchAll_Ct-1),AH729=0),E729,0)</f>
        <v>0</v>
      </c>
      <c r="BK729" s="173">
        <f>IF(AND(Input_Product=Elig!$C729,Elig_MatchAll_Ct&lt;22,$BC729=(Elig_MatchAll_Ct-1),AI729=0),F729,0)</f>
        <v>0</v>
      </c>
      <c r="BL729" s="173">
        <f>IF(AND(Input_Product=Elig!$C729,Elig_MatchAll_Ct&lt;22,$BC729=(Elig_MatchAll_Ct-1),AJ729=0),G729,0)</f>
        <v>0</v>
      </c>
      <c r="BM729" s="173">
        <f>IF(AND(Input_Product=Elig!$C729,Elig_MatchAll_Ct&lt;22,$BC729=(Elig_MatchAll_Ct-1),AK729=0),H729,0)</f>
        <v>0</v>
      </c>
      <c r="BN729" s="173">
        <f>IF(AND(Input_Product=Elig!$C729,Elig_MatchAll_Ct&lt;22,$BC729=(Elig_MatchAll_Ct-1),AL729=0),I729,0)</f>
        <v>0</v>
      </c>
      <c r="BO729" s="173">
        <f>IF(AND(Input_Product=Elig!$C729,Elig_MatchAll_Ct&lt;22,$BC729=(Elig_MatchAll_Ct-1),AM729=0),J729,0)</f>
        <v>0</v>
      </c>
      <c r="BP729" s="173">
        <f>IF(AND(Input_Product=Elig!$C729,Elig_MatchAll_Ct&lt;22,$BC729=(Elig_MatchAll_Ct-1),AN729=0),K729,0)</f>
        <v>0</v>
      </c>
      <c r="BQ729" s="173">
        <f>IF(AND(Input_Product=Elig!$C729,Elig_MatchAll_Ct&lt;22,$BC729=(Elig_MatchAll_Ct-1),AP729=0),L729,0)</f>
        <v>0</v>
      </c>
      <c r="BR729" s="173">
        <f>IF(AND(Input_Product=Elig!$C729,Elig_MatchAll_Ct&lt;22,$BC729=(Elig_MatchAll_Ct-1),AO729=0),M729,0)</f>
        <v>0</v>
      </c>
      <c r="BS729" s="173">
        <f>IF(AND(Input_Product=Elig!$C729,Elig_MatchAll_Ct&lt;22,$BC729=(Elig_MatchAll_Ct-1),AQ729=0),N729,0)</f>
        <v>0</v>
      </c>
      <c r="BT729" s="173">
        <f>IF(AND(Input_Product=Elig!$C729,Elig_MatchAll_Ct&lt;22,$BC729=(Elig_MatchAll_Ct-1),AR729=0),O729,0)</f>
        <v>0</v>
      </c>
      <c r="BU729" s="173">
        <f>IF(AND(Input_Product=Elig!$C729,Elig_MatchAll_Ct&lt;22,$BC729=(Elig_MatchAll_Ct-1),AS729=0),P729,0)</f>
        <v>0</v>
      </c>
      <c r="BV729" s="174">
        <f>IF(AND(Input_Product=Elig!$C729,Elig_MatchAll_Ct&lt;22,$BC729=(Elig_MatchAll_Ct-1),AT729=0),Q729,0)</f>
        <v>0</v>
      </c>
      <c r="BW729" s="175">
        <f>IF(AND(Input_Product=Elig!$C729,Elig_MatchAll_Ct&lt;22,$BC729=(Elig_MatchAll_Ct-1),AU729=0),R729,0)</f>
        <v>0</v>
      </c>
      <c r="BX729" s="176">
        <f>IF(AND(Input_Product=Elig!$C729,Elig_MatchAll_Ct&lt;22,$BC729=(Elig_MatchAll_Ct-1),AU729=0),S729,0)</f>
        <v>0</v>
      </c>
      <c r="BY729" s="175">
        <f>IF(AND(Input_Product=Elig!$C729,Elig_MatchAll_Ct&lt;22,$BC729=(Elig_MatchAll_Ct-1),AV729=0),T729,0)</f>
        <v>0</v>
      </c>
      <c r="BZ729" s="176">
        <f>IF(AND(Input_Product=Elig!$C729,Elig_MatchAll_Ct&lt;22,$BC729=(Elig_MatchAll_Ct-1),AV729=0),U729,0)</f>
        <v>0</v>
      </c>
      <c r="CA729" s="175">
        <f>IF(AND(Input_Product=Elig!$C729,Elig_MatchAll_Ct&lt;22,$BC729=(Elig_MatchAll_Ct-1),AW729=0),V729,0)</f>
        <v>0</v>
      </c>
      <c r="CB729" s="176">
        <f>IF(AND(Input_Product=Elig!$C729,Elig_MatchAll_Ct&lt;22,$BC729=(Elig_MatchAll_Ct-1),AW729=0),W729,0)</f>
        <v>0</v>
      </c>
      <c r="CC729" s="175">
        <f>IF(AND(Input_Product=Elig!$C729,Elig_MatchAll_Ct&lt;22,$BC729=(Elig_MatchAll_Ct-1),AX729=0),X729,0)</f>
        <v>0</v>
      </c>
      <c r="CD729" s="176">
        <f>IF(AND(Input_Product=Elig!$C729,Elig_MatchAll_Ct&lt;22,$BC729=(Elig_MatchAll_Ct-1),AX729=0),Y729,0)</f>
        <v>0</v>
      </c>
      <c r="CE729" s="175">
        <f>IF(AND(Input_LTV&lt;=AE729,Input_Product=Elig!$C729,Elig_MatchAll_Ct&lt;22,$BC729=(Elig_MatchAll_Ct-1),AY729=0),Z729,0)</f>
        <v>0</v>
      </c>
      <c r="CF729" s="176">
        <f>IF(AND(Input_LTV&lt;=AE729,Input_Product=Elig!$C729,Elig_MatchAll_Ct&lt;22,$BC729=(Elig_MatchAll_Ct-1),AY729=0),AA729,0)</f>
        <v>0</v>
      </c>
      <c r="CG729" s="175">
        <f>IF(AND(Input_Product=Elig!$C729,Elig_MatchAll_Ct&lt;22,$BC729=(Elig_MatchAll_Ct-1),AZ729=0),AB729,0)</f>
        <v>0</v>
      </c>
      <c r="CH729" s="176">
        <f>IF(AND(Input_Product=Elig!$C729,Elig_MatchAll_Ct&lt;22,$BC729=(Elig_MatchAll_Ct-1),AZ729=0),AC729,0)</f>
        <v>0</v>
      </c>
      <c r="CI729" s="175">
        <f>IF(AND(Input_Product=Elig!$C729,Elig_MatchAll_Ct&lt;22,$BC729=(Elig_MatchAll_Ct-1),BA729=0),AD729,0)</f>
        <v>0</v>
      </c>
      <c r="CJ729" s="176">
        <f>IF(AND(Input_Product=Elig!$C729,Elig_MatchAll_Ct&lt;22,$BC729=(Elig_MatchAll_Ct-1),BA729=0),AE729,0)</f>
        <v>0</v>
      </c>
    </row>
    <row r="730" spans="1:88" ht="10.15" customHeight="1" x14ac:dyDescent="0.25">
      <c r="A730" s="1484" t="s">
        <v>76</v>
      </c>
      <c r="B730" s="1484" t="s">
        <v>1907</v>
      </c>
      <c r="C730" s="1485" t="str">
        <f t="shared" si="242"/>
        <v>Second NOO</v>
      </c>
      <c r="D730" s="1484" t="s">
        <v>1121</v>
      </c>
      <c r="E730" s="1484" t="s">
        <v>98</v>
      </c>
      <c r="F730" s="1484" t="s">
        <v>329</v>
      </c>
      <c r="G730" s="1486" t="s">
        <v>178</v>
      </c>
      <c r="H730" s="1486" t="s">
        <v>135</v>
      </c>
      <c r="I730" s="1484" t="s">
        <v>1141</v>
      </c>
      <c r="J730" s="1486" t="s">
        <v>1130</v>
      </c>
      <c r="K730" s="1486" t="s">
        <v>2464</v>
      </c>
      <c r="L730" s="1484" t="s">
        <v>428</v>
      </c>
      <c r="M730" s="1484" t="s">
        <v>1835</v>
      </c>
      <c r="N730" s="1486" t="s">
        <v>1844</v>
      </c>
      <c r="O730" s="1484" t="s">
        <v>309</v>
      </c>
      <c r="P730" s="1484" t="s">
        <v>2434</v>
      </c>
      <c r="Q730" s="1484" t="s">
        <v>293</v>
      </c>
      <c r="R730" s="1484">
        <v>200000</v>
      </c>
      <c r="S730" s="1484">
        <v>350000</v>
      </c>
      <c r="T730" s="1484">
        <v>0</v>
      </c>
      <c r="U730" s="1484">
        <f t="shared" si="243"/>
        <v>350000</v>
      </c>
      <c r="V730" s="1484">
        <v>0</v>
      </c>
      <c r="W730" s="1484">
        <v>50</v>
      </c>
      <c r="X730" s="1484">
        <v>0</v>
      </c>
      <c r="Y730" s="1484">
        <v>999</v>
      </c>
      <c r="Z730" s="1487">
        <v>660</v>
      </c>
      <c r="AA730" s="1487">
        <v>679</v>
      </c>
      <c r="AB730" s="1487">
        <v>0</v>
      </c>
      <c r="AC730" s="1487">
        <v>999999</v>
      </c>
      <c r="AD730" s="1484">
        <v>0</v>
      </c>
      <c r="AE730" s="1484">
        <v>55</v>
      </c>
      <c r="AF730" s="144">
        <v>1</v>
      </c>
      <c r="AG730" s="145">
        <v>0</v>
      </c>
      <c r="AH730" s="145">
        <v>1</v>
      </c>
      <c r="AI730" s="145">
        <v>1</v>
      </c>
      <c r="AJ730" s="145">
        <v>0</v>
      </c>
      <c r="AK730" s="145">
        <v>1</v>
      </c>
      <c r="AL730" s="145">
        <v>1</v>
      </c>
      <c r="AM730" s="145">
        <v>1</v>
      </c>
      <c r="AN730" s="145">
        <v>1</v>
      </c>
      <c r="AO730" s="145">
        <v>1</v>
      </c>
      <c r="AP730" s="145">
        <v>1</v>
      </c>
      <c r="AQ730" s="145">
        <v>1</v>
      </c>
      <c r="AR730" s="145">
        <v>1</v>
      </c>
      <c r="AS730" s="145">
        <v>1</v>
      </c>
      <c r="AT730" s="145">
        <v>1</v>
      </c>
      <c r="AU730" s="145">
        <f t="shared" si="236"/>
        <v>0</v>
      </c>
      <c r="AV730" s="145">
        <f t="shared" si="237"/>
        <v>1</v>
      </c>
      <c r="AW730" s="145">
        <f t="shared" si="238"/>
        <v>1</v>
      </c>
      <c r="AX730" s="145">
        <f t="shared" si="244"/>
        <v>1</v>
      </c>
      <c r="AY730" s="145">
        <f t="shared" si="239"/>
        <v>0</v>
      </c>
      <c r="AZ730" s="145">
        <f t="shared" si="240"/>
        <v>1</v>
      </c>
      <c r="BA730" s="146">
        <f t="shared" si="241"/>
        <v>0</v>
      </c>
      <c r="BB730" s="149">
        <f t="shared" si="245"/>
        <v>17</v>
      </c>
      <c r="BC730" s="150">
        <f t="shared" si="246"/>
        <v>17</v>
      </c>
      <c r="BD730" s="150">
        <f t="shared" si="247"/>
        <v>16</v>
      </c>
      <c r="BE730" s="211" t="str">
        <f t="shared" si="248"/>
        <v/>
      </c>
      <c r="BF730" s="205"/>
      <c r="BG730" s="205"/>
      <c r="BH730" s="188">
        <f>IF(AND(Input_Product=Elig!$C730,Elig_MatchAll_Ct&lt;22,$BC730=(Elig_MatchAll_Ct-1),AF730=0),C730,0)</f>
        <v>0</v>
      </c>
      <c r="BI730" s="188">
        <f>IF(AND(Input_Product=Elig!$C730,Elig_MatchAll_Ct&lt;22,$BC730=(Elig_MatchAll_Ct-1),AG730=0),D730,0)</f>
        <v>0</v>
      </c>
      <c r="BJ730" s="188">
        <f>IF(AND(Input_Product=Elig!$C730,Elig_MatchAll_Ct&lt;22,$BC730=(Elig_MatchAll_Ct-1),AH730=0),E730,0)</f>
        <v>0</v>
      </c>
      <c r="BK730" s="188">
        <f>IF(AND(Input_Product=Elig!$C730,Elig_MatchAll_Ct&lt;22,$BC730=(Elig_MatchAll_Ct-1),AI730=0),F730,0)</f>
        <v>0</v>
      </c>
      <c r="BL730" s="188">
        <f>IF(AND(Input_Product=Elig!$C730,Elig_MatchAll_Ct&lt;22,$BC730=(Elig_MatchAll_Ct-1),AJ730=0),G730,0)</f>
        <v>0</v>
      </c>
      <c r="BM730" s="188">
        <f>IF(AND(Input_Product=Elig!$C730,Elig_MatchAll_Ct&lt;22,$BC730=(Elig_MatchAll_Ct-1),AK730=0),H730,0)</f>
        <v>0</v>
      </c>
      <c r="BN730" s="188">
        <f>IF(AND(Input_Product=Elig!$C730,Elig_MatchAll_Ct&lt;22,$BC730=(Elig_MatchAll_Ct-1),AL730=0),I730,0)</f>
        <v>0</v>
      </c>
      <c r="BO730" s="188">
        <f>IF(AND(Input_Product=Elig!$C730,Elig_MatchAll_Ct&lt;22,$BC730=(Elig_MatchAll_Ct-1),AM730=0),J730,0)</f>
        <v>0</v>
      </c>
      <c r="BP730" s="188">
        <f>IF(AND(Input_Product=Elig!$C730,Elig_MatchAll_Ct&lt;22,$BC730=(Elig_MatchAll_Ct-1),AN730=0),K730,0)</f>
        <v>0</v>
      </c>
      <c r="BQ730" s="188">
        <f>IF(AND(Input_Product=Elig!$C730,Elig_MatchAll_Ct&lt;22,$BC730=(Elig_MatchAll_Ct-1),AP730=0),L730,0)</f>
        <v>0</v>
      </c>
      <c r="BR730" s="188">
        <f>IF(AND(Input_Product=Elig!$C730,Elig_MatchAll_Ct&lt;22,$BC730=(Elig_MatchAll_Ct-1),AO730=0),M730,0)</f>
        <v>0</v>
      </c>
      <c r="BS730" s="188">
        <f>IF(AND(Input_Product=Elig!$C730,Elig_MatchAll_Ct&lt;22,$BC730=(Elig_MatchAll_Ct-1),AQ730=0),N730,0)</f>
        <v>0</v>
      </c>
      <c r="BT730" s="188">
        <f>IF(AND(Input_Product=Elig!$C730,Elig_MatchAll_Ct&lt;22,$BC730=(Elig_MatchAll_Ct-1),AR730=0),O730,0)</f>
        <v>0</v>
      </c>
      <c r="BU730" s="188">
        <f>IF(AND(Input_Product=Elig!$C730,Elig_MatchAll_Ct&lt;22,$BC730=(Elig_MatchAll_Ct-1),AS730=0),P730,0)</f>
        <v>0</v>
      </c>
      <c r="BV730" s="189">
        <f>IF(AND(Input_Product=Elig!$C730,Elig_MatchAll_Ct&lt;22,$BC730=(Elig_MatchAll_Ct-1),AT730=0),Q730,0)</f>
        <v>0</v>
      </c>
      <c r="BW730" s="271">
        <f>IF(AND(Input_Product=Elig!$C730,Elig_MatchAll_Ct&lt;22,$BC730=(Elig_MatchAll_Ct-1),AU730=0),R730,0)</f>
        <v>0</v>
      </c>
      <c r="BX730" s="272">
        <f>IF(AND(Input_Product=Elig!$C730,Elig_MatchAll_Ct&lt;22,$BC730=(Elig_MatchAll_Ct-1),AU730=0),S730,0)</f>
        <v>0</v>
      </c>
      <c r="BY730" s="271">
        <f>IF(AND(Input_Product=Elig!$C730,Elig_MatchAll_Ct&lt;22,$BC730=(Elig_MatchAll_Ct-1),AV730=0),T730,0)</f>
        <v>0</v>
      </c>
      <c r="BZ730" s="272">
        <f>IF(AND(Input_Product=Elig!$C730,Elig_MatchAll_Ct&lt;22,$BC730=(Elig_MatchAll_Ct-1),AV730=0),U730,0)</f>
        <v>0</v>
      </c>
      <c r="CA730" s="271">
        <f>IF(AND(Input_Product=Elig!$C730,Elig_MatchAll_Ct&lt;22,$BC730=(Elig_MatchAll_Ct-1),AW730=0),V730,0)</f>
        <v>0</v>
      </c>
      <c r="CB730" s="272">
        <f>IF(AND(Input_Product=Elig!$C730,Elig_MatchAll_Ct&lt;22,$BC730=(Elig_MatchAll_Ct-1),AW730=0),W730,0)</f>
        <v>0</v>
      </c>
      <c r="CC730" s="271">
        <f>IF(AND(Input_Product=Elig!$C730,Elig_MatchAll_Ct&lt;22,$BC730=(Elig_MatchAll_Ct-1),AX730=0),X730,0)</f>
        <v>0</v>
      </c>
      <c r="CD730" s="272">
        <f>IF(AND(Input_Product=Elig!$C730,Elig_MatchAll_Ct&lt;22,$BC730=(Elig_MatchAll_Ct-1),AX730=0),Y730,0)</f>
        <v>0</v>
      </c>
      <c r="CE730" s="271">
        <f>IF(AND(Input_LTV&lt;=AE730,Input_Product=Elig!$C730,Elig_MatchAll_Ct&lt;22,$BC730=(Elig_MatchAll_Ct-1),AY730=0),Z730,0)</f>
        <v>0</v>
      </c>
      <c r="CF730" s="272">
        <f>IF(AND(Input_LTV&lt;=AE730,Input_Product=Elig!$C730,Elig_MatchAll_Ct&lt;22,$BC730=(Elig_MatchAll_Ct-1),AY730=0),AA730,0)</f>
        <v>0</v>
      </c>
      <c r="CG730" s="271">
        <f>IF(AND(Input_Product=Elig!$C730,Elig_MatchAll_Ct&lt;22,$BC730=(Elig_MatchAll_Ct-1),AZ730=0),AB730,0)</f>
        <v>0</v>
      </c>
      <c r="CH730" s="272">
        <f>IF(AND(Input_Product=Elig!$C730,Elig_MatchAll_Ct&lt;22,$BC730=(Elig_MatchAll_Ct-1),AZ730=0),AC730,0)</f>
        <v>0</v>
      </c>
      <c r="CI730" s="271">
        <f>IF(AND(Input_Product=Elig!$C730,Elig_MatchAll_Ct&lt;22,$BC730=(Elig_MatchAll_Ct-1),BA730=0),AD730,0)</f>
        <v>0</v>
      </c>
      <c r="CJ730" s="272">
        <f>IF(AND(Input_Product=Elig!$C730,Elig_MatchAll_Ct&lt;22,$BC730=(Elig_MatchAll_Ct-1),BA730=0),AE730,0)</f>
        <v>0</v>
      </c>
    </row>
    <row r="731" spans="1:88" ht="10.15" customHeight="1" x14ac:dyDescent="0.25">
      <c r="A731" s="1484" t="s">
        <v>76</v>
      </c>
      <c r="B731" s="1484" t="s">
        <v>1908</v>
      </c>
      <c r="C731" s="1489" t="str">
        <f t="shared" si="242"/>
        <v>Second NOO</v>
      </c>
      <c r="D731" s="1490" t="s">
        <v>1331</v>
      </c>
      <c r="E731" s="1490" t="s">
        <v>98</v>
      </c>
      <c r="F731" s="1490" t="s">
        <v>329</v>
      </c>
      <c r="G731" s="1546" t="s">
        <v>180</v>
      </c>
      <c r="H731" s="1490" t="s">
        <v>135</v>
      </c>
      <c r="I731" s="1488" t="s">
        <v>1141</v>
      </c>
      <c r="J731" s="1488" t="s">
        <v>1130</v>
      </c>
      <c r="K731" s="1490" t="s">
        <v>2464</v>
      </c>
      <c r="L731" s="1488" t="s">
        <v>428</v>
      </c>
      <c r="M731" s="1488" t="s">
        <v>1835</v>
      </c>
      <c r="N731" s="1546" t="s">
        <v>1844</v>
      </c>
      <c r="O731" s="1488" t="s">
        <v>2196</v>
      </c>
      <c r="P731" s="1488" t="s">
        <v>2434</v>
      </c>
      <c r="Q731" s="1488" t="s">
        <v>293</v>
      </c>
      <c r="R731" s="1488">
        <v>50000</v>
      </c>
      <c r="S731" s="1488">
        <v>350000</v>
      </c>
      <c r="T731" s="1488">
        <v>0</v>
      </c>
      <c r="U731" s="1488">
        <f t="shared" si="243"/>
        <v>350000</v>
      </c>
      <c r="V731" s="1488">
        <v>0</v>
      </c>
      <c r="W731" s="1488">
        <v>50</v>
      </c>
      <c r="X731" s="1542">
        <v>1</v>
      </c>
      <c r="Y731" s="1488">
        <v>999</v>
      </c>
      <c r="Z731" s="1491">
        <v>720</v>
      </c>
      <c r="AA731" s="1491">
        <v>999</v>
      </c>
      <c r="AB731" s="1491">
        <v>0</v>
      </c>
      <c r="AC731" s="1491">
        <v>999999</v>
      </c>
      <c r="AD731" s="1488">
        <v>0</v>
      </c>
      <c r="AE731" s="1542">
        <v>80</v>
      </c>
      <c r="AF731" s="144">
        <v>1</v>
      </c>
      <c r="AG731" s="145">
        <v>1</v>
      </c>
      <c r="AH731" s="145">
        <v>1</v>
      </c>
      <c r="AI731" s="145">
        <v>1</v>
      </c>
      <c r="AJ731" s="145">
        <v>1</v>
      </c>
      <c r="AK731" s="145">
        <v>1</v>
      </c>
      <c r="AL731" s="145">
        <v>1</v>
      </c>
      <c r="AM731" s="145">
        <v>1</v>
      </c>
      <c r="AN731" s="145">
        <v>1</v>
      </c>
      <c r="AO731" s="145">
        <v>1</v>
      </c>
      <c r="AP731" s="145">
        <v>1</v>
      </c>
      <c r="AQ731" s="145">
        <v>1</v>
      </c>
      <c r="AR731" s="145">
        <v>1</v>
      </c>
      <c r="AS731" s="145">
        <v>1</v>
      </c>
      <c r="AT731" s="145">
        <v>1</v>
      </c>
      <c r="AU731" s="145">
        <f t="shared" si="236"/>
        <v>1</v>
      </c>
      <c r="AV731" s="145">
        <f t="shared" si="237"/>
        <v>1</v>
      </c>
      <c r="AW731" s="145">
        <f t="shared" si="238"/>
        <v>1</v>
      </c>
      <c r="AX731" s="145">
        <f t="shared" si="244"/>
        <v>1</v>
      </c>
      <c r="AY731" s="145">
        <f t="shared" si="239"/>
        <v>1</v>
      </c>
      <c r="AZ731" s="145">
        <f t="shared" si="240"/>
        <v>1</v>
      </c>
      <c r="BA731" s="146">
        <f t="shared" si="241"/>
        <v>1</v>
      </c>
      <c r="BB731" s="149">
        <f t="shared" si="245"/>
        <v>22</v>
      </c>
      <c r="BC731" s="150">
        <f t="shared" si="246"/>
        <v>21</v>
      </c>
      <c r="BD731" s="150">
        <f t="shared" si="247"/>
        <v>21</v>
      </c>
      <c r="BE731" s="211" t="str">
        <f t="shared" si="248"/>
        <v>Second NOO</v>
      </c>
      <c r="BF731" s="194"/>
      <c r="BG731" s="194"/>
      <c r="BH731" s="190">
        <f>IF(AND(Input_Product=Elig!$C731,Elig_MatchAll_Ct&lt;22,$BC731=(Elig_MatchAll_Ct-1),AF731=0),C731,0)</f>
        <v>0</v>
      </c>
      <c r="BI731" s="190">
        <f>IF(AND(Input_Product=Elig!$C731,Elig_MatchAll_Ct&lt;22,$BC731=(Elig_MatchAll_Ct-1),AG731=0),D731,0)</f>
        <v>0</v>
      </c>
      <c r="BJ731" s="190">
        <f>IF(AND(Input_Product=Elig!$C731,Elig_MatchAll_Ct&lt;22,$BC731=(Elig_MatchAll_Ct-1),AH731=0),E731,0)</f>
        <v>0</v>
      </c>
      <c r="BK731" s="190">
        <f>IF(AND(Input_Product=Elig!$C731,Elig_MatchAll_Ct&lt;22,$BC731=(Elig_MatchAll_Ct-1),AI731=0),F731,0)</f>
        <v>0</v>
      </c>
      <c r="BL731" s="190">
        <f>IF(AND(Input_Product=Elig!$C731,Elig_MatchAll_Ct&lt;22,$BC731=(Elig_MatchAll_Ct-1),AJ731=0),G731,0)</f>
        <v>0</v>
      </c>
      <c r="BM731" s="190">
        <f>IF(AND(Input_Product=Elig!$C731,Elig_MatchAll_Ct&lt;22,$BC731=(Elig_MatchAll_Ct-1),AK731=0),H731,0)</f>
        <v>0</v>
      </c>
      <c r="BN731" s="190">
        <f>IF(AND(Input_Product=Elig!$C731,Elig_MatchAll_Ct&lt;22,$BC731=(Elig_MatchAll_Ct-1),AL731=0),I731,0)</f>
        <v>0</v>
      </c>
      <c r="BO731" s="190">
        <f>IF(AND(Input_Product=Elig!$C731,Elig_MatchAll_Ct&lt;22,$BC731=(Elig_MatchAll_Ct-1),AM731=0),J731,0)</f>
        <v>0</v>
      </c>
      <c r="BP731" s="190">
        <f>IF(AND(Input_Product=Elig!$C731,Elig_MatchAll_Ct&lt;22,$BC731=(Elig_MatchAll_Ct-1),AN731=0),K731,0)</f>
        <v>0</v>
      </c>
      <c r="BQ731" s="190">
        <f>IF(AND(Input_Product=Elig!$C731,Elig_MatchAll_Ct&lt;22,$BC731=(Elig_MatchAll_Ct-1),AP731=0),L731,0)</f>
        <v>0</v>
      </c>
      <c r="BR731" s="190">
        <f>IF(AND(Input_Product=Elig!$C731,Elig_MatchAll_Ct&lt;22,$BC731=(Elig_MatchAll_Ct-1),AO731=0),M731,0)</f>
        <v>0</v>
      </c>
      <c r="BS731" s="190">
        <f>IF(AND(Input_Product=Elig!$C731,Elig_MatchAll_Ct&lt;22,$BC731=(Elig_MatchAll_Ct-1),AQ731=0),N731,0)</f>
        <v>0</v>
      </c>
      <c r="BT731" s="190">
        <f>IF(AND(Input_Product=Elig!$C731,Elig_MatchAll_Ct&lt;22,$BC731=(Elig_MatchAll_Ct-1),AR731=0),O731,0)</f>
        <v>0</v>
      </c>
      <c r="BU731" s="190">
        <f>IF(AND(Input_Product=Elig!$C731,Elig_MatchAll_Ct&lt;22,$BC731=(Elig_MatchAll_Ct-1),AS731=0),P731,0)</f>
        <v>0</v>
      </c>
      <c r="BV731" s="191">
        <f>IF(AND(Input_Product=Elig!$C731,Elig_MatchAll_Ct&lt;22,$BC731=(Elig_MatchAll_Ct-1),AT731=0),Q731,0)</f>
        <v>0</v>
      </c>
      <c r="BW731" s="273">
        <f>IF(AND(Input_Product=Elig!$C731,Elig_MatchAll_Ct&lt;22,$BC731=(Elig_MatchAll_Ct-1),AU731=0),R731,0)</f>
        <v>0</v>
      </c>
      <c r="BX731" s="274">
        <f>IF(AND(Input_Product=Elig!$C731,Elig_MatchAll_Ct&lt;22,$BC731=(Elig_MatchAll_Ct-1),AU731=0),S731,0)</f>
        <v>0</v>
      </c>
      <c r="BY731" s="273">
        <f>IF(AND(Input_Product=Elig!$C731,Elig_MatchAll_Ct&lt;22,$BC731=(Elig_MatchAll_Ct-1),AV731=0),T731,0)</f>
        <v>0</v>
      </c>
      <c r="BZ731" s="274">
        <f>IF(AND(Input_Product=Elig!$C731,Elig_MatchAll_Ct&lt;22,$BC731=(Elig_MatchAll_Ct-1),AV731=0),U731,0)</f>
        <v>0</v>
      </c>
      <c r="CA731" s="273">
        <f>IF(AND(Input_Product=Elig!$C731,Elig_MatchAll_Ct&lt;22,$BC731=(Elig_MatchAll_Ct-1),AW731=0),V731,0)</f>
        <v>0</v>
      </c>
      <c r="CB731" s="274">
        <f>IF(AND(Input_Product=Elig!$C731,Elig_MatchAll_Ct&lt;22,$BC731=(Elig_MatchAll_Ct-1),AW731=0),W731,0)</f>
        <v>0</v>
      </c>
      <c r="CC731" s="273">
        <f>IF(AND(Input_Product=Elig!$C731,Elig_MatchAll_Ct&lt;22,$BC731=(Elig_MatchAll_Ct-1),AX731=0),X731,0)</f>
        <v>0</v>
      </c>
      <c r="CD731" s="274">
        <f>IF(AND(Input_Product=Elig!$C731,Elig_MatchAll_Ct&lt;22,$BC731=(Elig_MatchAll_Ct-1),AX731=0),Y731,0)</f>
        <v>0</v>
      </c>
      <c r="CE731" s="273">
        <f>IF(AND(Input_LTV&lt;=AE731,Input_Product=Elig!$C731,Elig_MatchAll_Ct&lt;22,$BC731=(Elig_MatchAll_Ct-1),AY731=0),Z731,0)</f>
        <v>0</v>
      </c>
      <c r="CF731" s="274">
        <f>IF(AND(Input_LTV&lt;=AE731,Input_Product=Elig!$C731,Elig_MatchAll_Ct&lt;22,$BC731=(Elig_MatchAll_Ct-1),AY731=0),AA731,0)</f>
        <v>0</v>
      </c>
      <c r="CG731" s="273">
        <f>IF(AND(Input_Product=Elig!$C731,Elig_MatchAll_Ct&lt;22,$BC731=(Elig_MatchAll_Ct-1),AZ731=0),AB731,0)</f>
        <v>0</v>
      </c>
      <c r="CH731" s="274">
        <f>IF(AND(Input_Product=Elig!$C731,Elig_MatchAll_Ct&lt;22,$BC731=(Elig_MatchAll_Ct-1),AZ731=0),AC731,0)</f>
        <v>0</v>
      </c>
      <c r="CI731" s="273">
        <f>IF(AND(Input_Product=Elig!$C731,Elig_MatchAll_Ct&lt;22,$BC731=(Elig_MatchAll_Ct-1),BA731=0),AD731,0)</f>
        <v>0</v>
      </c>
      <c r="CJ731" s="274">
        <f>IF(AND(Input_Product=Elig!$C731,Elig_MatchAll_Ct&lt;22,$BC731=(Elig_MatchAll_Ct-1),BA731=0),AE731,0)</f>
        <v>0</v>
      </c>
    </row>
    <row r="732" spans="1:88" ht="10.15" customHeight="1" x14ac:dyDescent="0.25">
      <c r="A732" s="1484" t="s">
        <v>76</v>
      </c>
      <c r="B732" s="1484" t="s">
        <v>1909</v>
      </c>
      <c r="C732" s="1485" t="str">
        <f t="shared" si="242"/>
        <v>Second NOO</v>
      </c>
      <c r="D732" s="1484" t="s">
        <v>1331</v>
      </c>
      <c r="E732" s="1484" t="s">
        <v>98</v>
      </c>
      <c r="F732" s="1484" t="s">
        <v>329</v>
      </c>
      <c r="G732" s="1547" t="s">
        <v>180</v>
      </c>
      <c r="H732" s="1486" t="s">
        <v>135</v>
      </c>
      <c r="I732" s="1484" t="s">
        <v>1141</v>
      </c>
      <c r="J732" s="1484" t="s">
        <v>1130</v>
      </c>
      <c r="K732" s="1486" t="s">
        <v>2464</v>
      </c>
      <c r="L732" s="1484" t="s">
        <v>428</v>
      </c>
      <c r="M732" s="1484" t="s">
        <v>1835</v>
      </c>
      <c r="N732" s="1547" t="s">
        <v>1844</v>
      </c>
      <c r="O732" s="1484" t="s">
        <v>2196</v>
      </c>
      <c r="P732" s="1484" t="s">
        <v>2434</v>
      </c>
      <c r="Q732" s="1484" t="s">
        <v>293</v>
      </c>
      <c r="R732" s="1484">
        <v>50000</v>
      </c>
      <c r="S732" s="1484">
        <v>350000</v>
      </c>
      <c r="T732" s="1484">
        <v>0</v>
      </c>
      <c r="U732" s="1484">
        <f t="shared" si="243"/>
        <v>350000</v>
      </c>
      <c r="V732" s="1484">
        <v>0</v>
      </c>
      <c r="W732" s="1484">
        <v>50</v>
      </c>
      <c r="X732" s="1543">
        <v>1</v>
      </c>
      <c r="Y732" s="1484">
        <v>999</v>
      </c>
      <c r="Z732" s="1487">
        <v>700</v>
      </c>
      <c r="AA732" s="1487">
        <v>719</v>
      </c>
      <c r="AB732" s="1487">
        <v>0</v>
      </c>
      <c r="AC732" s="1487">
        <v>999999</v>
      </c>
      <c r="AD732" s="1484">
        <v>0</v>
      </c>
      <c r="AE732" s="1543">
        <v>75</v>
      </c>
      <c r="AF732" s="144">
        <v>1</v>
      </c>
      <c r="AG732" s="145">
        <v>1</v>
      </c>
      <c r="AH732" s="145">
        <v>1</v>
      </c>
      <c r="AI732" s="145">
        <v>1</v>
      </c>
      <c r="AJ732" s="145">
        <v>1</v>
      </c>
      <c r="AK732" s="145">
        <v>1</v>
      </c>
      <c r="AL732" s="145">
        <v>1</v>
      </c>
      <c r="AM732" s="145">
        <v>1</v>
      </c>
      <c r="AN732" s="145">
        <v>1</v>
      </c>
      <c r="AO732" s="145">
        <v>1</v>
      </c>
      <c r="AP732" s="145">
        <v>1</v>
      </c>
      <c r="AQ732" s="145">
        <v>1</v>
      </c>
      <c r="AR732" s="145">
        <v>1</v>
      </c>
      <c r="AS732" s="145">
        <v>1</v>
      </c>
      <c r="AT732" s="145">
        <v>1</v>
      </c>
      <c r="AU732" s="145">
        <f t="shared" si="236"/>
        <v>1</v>
      </c>
      <c r="AV732" s="145">
        <f t="shared" si="237"/>
        <v>1</v>
      </c>
      <c r="AW732" s="145">
        <f t="shared" si="238"/>
        <v>1</v>
      </c>
      <c r="AX732" s="145">
        <f t="shared" si="244"/>
        <v>1</v>
      </c>
      <c r="AY732" s="145">
        <f t="shared" si="239"/>
        <v>0</v>
      </c>
      <c r="AZ732" s="145">
        <f t="shared" si="240"/>
        <v>1</v>
      </c>
      <c r="BA732" s="146">
        <f t="shared" si="241"/>
        <v>1</v>
      </c>
      <c r="BB732" s="149">
        <f t="shared" si="245"/>
        <v>21</v>
      </c>
      <c r="BC732" s="150">
        <f t="shared" si="246"/>
        <v>20</v>
      </c>
      <c r="BD732" s="150">
        <f t="shared" si="247"/>
        <v>20</v>
      </c>
      <c r="BE732" s="211" t="str">
        <f t="shared" si="248"/>
        <v/>
      </c>
      <c r="BF732" s="205"/>
      <c r="BG732" s="205"/>
      <c r="BH732" s="173">
        <f>IF(AND(Input_Product=Elig!$C732,Elig_MatchAll_Ct&lt;22,$BC732=(Elig_MatchAll_Ct-1),AF732=0),C732,0)</f>
        <v>0</v>
      </c>
      <c r="BI732" s="173">
        <f>IF(AND(Input_Product=Elig!$C732,Elig_MatchAll_Ct&lt;22,$BC732=(Elig_MatchAll_Ct-1),AG732=0),D732,0)</f>
        <v>0</v>
      </c>
      <c r="BJ732" s="173">
        <f>IF(AND(Input_Product=Elig!$C732,Elig_MatchAll_Ct&lt;22,$BC732=(Elig_MatchAll_Ct-1),AH732=0),E732,0)</f>
        <v>0</v>
      </c>
      <c r="BK732" s="173">
        <f>IF(AND(Input_Product=Elig!$C732,Elig_MatchAll_Ct&lt;22,$BC732=(Elig_MatchAll_Ct-1),AI732=0),F732,0)</f>
        <v>0</v>
      </c>
      <c r="BL732" s="173">
        <f>IF(AND(Input_Product=Elig!$C732,Elig_MatchAll_Ct&lt;22,$BC732=(Elig_MatchAll_Ct-1),AJ732=0),G732,0)</f>
        <v>0</v>
      </c>
      <c r="BM732" s="173">
        <f>IF(AND(Input_Product=Elig!$C732,Elig_MatchAll_Ct&lt;22,$BC732=(Elig_MatchAll_Ct-1),AK732=0),H732,0)</f>
        <v>0</v>
      </c>
      <c r="BN732" s="173">
        <f>IF(AND(Input_Product=Elig!$C732,Elig_MatchAll_Ct&lt;22,$BC732=(Elig_MatchAll_Ct-1),AL732=0),I732,0)</f>
        <v>0</v>
      </c>
      <c r="BO732" s="173">
        <f>IF(AND(Input_Product=Elig!$C732,Elig_MatchAll_Ct&lt;22,$BC732=(Elig_MatchAll_Ct-1),AM732=0),J732,0)</f>
        <v>0</v>
      </c>
      <c r="BP732" s="173">
        <f>IF(AND(Input_Product=Elig!$C732,Elig_MatchAll_Ct&lt;22,$BC732=(Elig_MatchAll_Ct-1),AN732=0),K732,0)</f>
        <v>0</v>
      </c>
      <c r="BQ732" s="173">
        <f>IF(AND(Input_Product=Elig!$C732,Elig_MatchAll_Ct&lt;22,$BC732=(Elig_MatchAll_Ct-1),AP732=0),L732,0)</f>
        <v>0</v>
      </c>
      <c r="BR732" s="173">
        <f>IF(AND(Input_Product=Elig!$C732,Elig_MatchAll_Ct&lt;22,$BC732=(Elig_MatchAll_Ct-1),AO732=0),M732,0)</f>
        <v>0</v>
      </c>
      <c r="BS732" s="173">
        <f>IF(AND(Input_Product=Elig!$C732,Elig_MatchAll_Ct&lt;22,$BC732=(Elig_MatchAll_Ct-1),AQ732=0),N732,0)</f>
        <v>0</v>
      </c>
      <c r="BT732" s="173">
        <f>IF(AND(Input_Product=Elig!$C732,Elig_MatchAll_Ct&lt;22,$BC732=(Elig_MatchAll_Ct-1),AR732=0),O732,0)</f>
        <v>0</v>
      </c>
      <c r="BU732" s="173">
        <f>IF(AND(Input_Product=Elig!$C732,Elig_MatchAll_Ct&lt;22,$BC732=(Elig_MatchAll_Ct-1),AS732=0),P732,0)</f>
        <v>0</v>
      </c>
      <c r="BV732" s="174">
        <f>IF(AND(Input_Product=Elig!$C732,Elig_MatchAll_Ct&lt;22,$BC732=(Elig_MatchAll_Ct-1),AT732=0),Q732,0)</f>
        <v>0</v>
      </c>
      <c r="BW732" s="175">
        <f>IF(AND(Input_Product=Elig!$C732,Elig_MatchAll_Ct&lt;22,$BC732=(Elig_MatchAll_Ct-1),AU732=0),R732,0)</f>
        <v>0</v>
      </c>
      <c r="BX732" s="176">
        <f>IF(AND(Input_Product=Elig!$C732,Elig_MatchAll_Ct&lt;22,$BC732=(Elig_MatchAll_Ct-1),AU732=0),S732,0)</f>
        <v>0</v>
      </c>
      <c r="BY732" s="175">
        <f>IF(AND(Input_Product=Elig!$C732,Elig_MatchAll_Ct&lt;22,$BC732=(Elig_MatchAll_Ct-1),AV732=0),T732,0)</f>
        <v>0</v>
      </c>
      <c r="BZ732" s="176">
        <f>IF(AND(Input_Product=Elig!$C732,Elig_MatchAll_Ct&lt;22,$BC732=(Elig_MatchAll_Ct-1),AV732=0),U732,0)</f>
        <v>0</v>
      </c>
      <c r="CA732" s="175">
        <f>IF(AND(Input_Product=Elig!$C732,Elig_MatchAll_Ct&lt;22,$BC732=(Elig_MatchAll_Ct-1),AW732=0),V732,0)</f>
        <v>0</v>
      </c>
      <c r="CB732" s="176">
        <f>IF(AND(Input_Product=Elig!$C732,Elig_MatchAll_Ct&lt;22,$BC732=(Elig_MatchAll_Ct-1),AW732=0),W732,0)</f>
        <v>0</v>
      </c>
      <c r="CC732" s="175">
        <f>IF(AND(Input_Product=Elig!$C732,Elig_MatchAll_Ct&lt;22,$BC732=(Elig_MatchAll_Ct-1),AX732=0),X732,0)</f>
        <v>0</v>
      </c>
      <c r="CD732" s="176">
        <f>IF(AND(Input_Product=Elig!$C732,Elig_MatchAll_Ct&lt;22,$BC732=(Elig_MatchAll_Ct-1),AX732=0),Y732,0)</f>
        <v>0</v>
      </c>
      <c r="CE732" s="175">
        <f>IF(AND(Input_LTV&lt;=AE732,Input_Product=Elig!$C732,Elig_MatchAll_Ct&lt;22,$BC732=(Elig_MatchAll_Ct-1),AY732=0),Z732,0)</f>
        <v>0</v>
      </c>
      <c r="CF732" s="176">
        <f>IF(AND(Input_LTV&lt;=AE732,Input_Product=Elig!$C732,Elig_MatchAll_Ct&lt;22,$BC732=(Elig_MatchAll_Ct-1),AY732=0),AA732,0)</f>
        <v>0</v>
      </c>
      <c r="CG732" s="175">
        <f>IF(AND(Input_Product=Elig!$C732,Elig_MatchAll_Ct&lt;22,$BC732=(Elig_MatchAll_Ct-1),AZ732=0),AB732,0)</f>
        <v>0</v>
      </c>
      <c r="CH732" s="176">
        <f>IF(AND(Input_Product=Elig!$C732,Elig_MatchAll_Ct&lt;22,$BC732=(Elig_MatchAll_Ct-1),AZ732=0),AC732,0)</f>
        <v>0</v>
      </c>
      <c r="CI732" s="175">
        <f>IF(AND(Input_Product=Elig!$C732,Elig_MatchAll_Ct&lt;22,$BC732=(Elig_MatchAll_Ct-1),BA732=0),AD732,0)</f>
        <v>0</v>
      </c>
      <c r="CJ732" s="176">
        <f>IF(AND(Input_Product=Elig!$C732,Elig_MatchAll_Ct&lt;22,$BC732=(Elig_MatchAll_Ct-1),BA732=0),AE732,0)</f>
        <v>0</v>
      </c>
    </row>
    <row r="733" spans="1:88" ht="10.15" customHeight="1" x14ac:dyDescent="0.25">
      <c r="A733" s="1484" t="s">
        <v>76</v>
      </c>
      <c r="B733" s="1484" t="s">
        <v>1910</v>
      </c>
      <c r="C733" s="1485" t="str">
        <f t="shared" si="242"/>
        <v>Second NOO</v>
      </c>
      <c r="D733" s="1484" t="s">
        <v>1331</v>
      </c>
      <c r="E733" s="1484" t="s">
        <v>98</v>
      </c>
      <c r="F733" s="1484" t="s">
        <v>329</v>
      </c>
      <c r="G733" s="1547" t="s">
        <v>180</v>
      </c>
      <c r="H733" s="1486" t="s">
        <v>135</v>
      </c>
      <c r="I733" s="1484" t="s">
        <v>1141</v>
      </c>
      <c r="J733" s="1484" t="s">
        <v>1130</v>
      </c>
      <c r="K733" s="1486" t="s">
        <v>2464</v>
      </c>
      <c r="L733" s="1484" t="s">
        <v>428</v>
      </c>
      <c r="M733" s="1484" t="s">
        <v>1835</v>
      </c>
      <c r="N733" s="1547" t="s">
        <v>1844</v>
      </c>
      <c r="O733" s="1484" t="s">
        <v>2196</v>
      </c>
      <c r="P733" s="1484" t="s">
        <v>2434</v>
      </c>
      <c r="Q733" s="1484" t="s">
        <v>293</v>
      </c>
      <c r="R733" s="1484">
        <v>50000</v>
      </c>
      <c r="S733" s="1484">
        <v>350000</v>
      </c>
      <c r="T733" s="1484">
        <v>0</v>
      </c>
      <c r="U733" s="1484">
        <f t="shared" si="243"/>
        <v>350000</v>
      </c>
      <c r="V733" s="1484">
        <v>0</v>
      </c>
      <c r="W733" s="1484">
        <v>50</v>
      </c>
      <c r="X733" s="1543">
        <v>1</v>
      </c>
      <c r="Y733" s="1484">
        <v>999</v>
      </c>
      <c r="Z733" s="1487">
        <v>680</v>
      </c>
      <c r="AA733" s="1487">
        <v>699</v>
      </c>
      <c r="AB733" s="1487">
        <v>0</v>
      </c>
      <c r="AC733" s="1487">
        <v>999999</v>
      </c>
      <c r="AD733" s="1484">
        <v>0</v>
      </c>
      <c r="AE733" s="1543">
        <v>70</v>
      </c>
      <c r="AF733" s="144">
        <v>1</v>
      </c>
      <c r="AG733" s="145">
        <v>1</v>
      </c>
      <c r="AH733" s="145">
        <v>1</v>
      </c>
      <c r="AI733" s="145">
        <v>1</v>
      </c>
      <c r="AJ733" s="145">
        <v>1</v>
      </c>
      <c r="AK733" s="145">
        <v>1</v>
      </c>
      <c r="AL733" s="145">
        <v>1</v>
      </c>
      <c r="AM733" s="145">
        <v>1</v>
      </c>
      <c r="AN733" s="145">
        <v>1</v>
      </c>
      <c r="AO733" s="145">
        <v>1</v>
      </c>
      <c r="AP733" s="145">
        <v>1</v>
      </c>
      <c r="AQ733" s="145">
        <v>1</v>
      </c>
      <c r="AR733" s="145">
        <v>1</v>
      </c>
      <c r="AS733" s="145">
        <v>1</v>
      </c>
      <c r="AT733" s="145">
        <v>1</v>
      </c>
      <c r="AU733" s="145">
        <f t="shared" si="236"/>
        <v>1</v>
      </c>
      <c r="AV733" s="145">
        <f t="shared" si="237"/>
        <v>1</v>
      </c>
      <c r="AW733" s="145">
        <f t="shared" si="238"/>
        <v>1</v>
      </c>
      <c r="AX733" s="145">
        <f t="shared" si="244"/>
        <v>1</v>
      </c>
      <c r="AY733" s="145">
        <f t="shared" si="239"/>
        <v>0</v>
      </c>
      <c r="AZ733" s="145">
        <f t="shared" si="240"/>
        <v>1</v>
      </c>
      <c r="BA733" s="146">
        <f t="shared" si="241"/>
        <v>1</v>
      </c>
      <c r="BB733" s="149">
        <f t="shared" si="245"/>
        <v>21</v>
      </c>
      <c r="BC733" s="150">
        <f t="shared" si="246"/>
        <v>20</v>
      </c>
      <c r="BD733" s="150">
        <f t="shared" si="247"/>
        <v>20</v>
      </c>
      <c r="BE733" s="211" t="str">
        <f t="shared" si="248"/>
        <v/>
      </c>
      <c r="BF733" s="205"/>
      <c r="BG733" s="205"/>
      <c r="BH733" s="173">
        <f>IF(AND(Input_Product=Elig!$C733,Elig_MatchAll_Ct&lt;22,$BC733=(Elig_MatchAll_Ct-1),AF733=0),C733,0)</f>
        <v>0</v>
      </c>
      <c r="BI733" s="173">
        <f>IF(AND(Input_Product=Elig!$C733,Elig_MatchAll_Ct&lt;22,$BC733=(Elig_MatchAll_Ct-1),AG733=0),D733,0)</f>
        <v>0</v>
      </c>
      <c r="BJ733" s="173">
        <f>IF(AND(Input_Product=Elig!$C733,Elig_MatchAll_Ct&lt;22,$BC733=(Elig_MatchAll_Ct-1),AH733=0),E733,0)</f>
        <v>0</v>
      </c>
      <c r="BK733" s="173">
        <f>IF(AND(Input_Product=Elig!$C733,Elig_MatchAll_Ct&lt;22,$BC733=(Elig_MatchAll_Ct-1),AI733=0),F733,0)</f>
        <v>0</v>
      </c>
      <c r="BL733" s="173">
        <f>IF(AND(Input_Product=Elig!$C733,Elig_MatchAll_Ct&lt;22,$BC733=(Elig_MatchAll_Ct-1),AJ733=0),G733,0)</f>
        <v>0</v>
      </c>
      <c r="BM733" s="173">
        <f>IF(AND(Input_Product=Elig!$C733,Elig_MatchAll_Ct&lt;22,$BC733=(Elig_MatchAll_Ct-1),AK733=0),H733,0)</f>
        <v>0</v>
      </c>
      <c r="BN733" s="173">
        <f>IF(AND(Input_Product=Elig!$C733,Elig_MatchAll_Ct&lt;22,$BC733=(Elig_MatchAll_Ct-1),AL733=0),I733,0)</f>
        <v>0</v>
      </c>
      <c r="BO733" s="173">
        <f>IF(AND(Input_Product=Elig!$C733,Elig_MatchAll_Ct&lt;22,$BC733=(Elig_MatchAll_Ct-1),AM733=0),J733,0)</f>
        <v>0</v>
      </c>
      <c r="BP733" s="173">
        <f>IF(AND(Input_Product=Elig!$C733,Elig_MatchAll_Ct&lt;22,$BC733=(Elig_MatchAll_Ct-1),AN733=0),K733,0)</f>
        <v>0</v>
      </c>
      <c r="BQ733" s="173">
        <f>IF(AND(Input_Product=Elig!$C733,Elig_MatchAll_Ct&lt;22,$BC733=(Elig_MatchAll_Ct-1),AP733=0),L733,0)</f>
        <v>0</v>
      </c>
      <c r="BR733" s="173">
        <f>IF(AND(Input_Product=Elig!$C733,Elig_MatchAll_Ct&lt;22,$BC733=(Elig_MatchAll_Ct-1),AO733=0),M733,0)</f>
        <v>0</v>
      </c>
      <c r="BS733" s="173">
        <f>IF(AND(Input_Product=Elig!$C733,Elig_MatchAll_Ct&lt;22,$BC733=(Elig_MatchAll_Ct-1),AQ733=0),N733,0)</f>
        <v>0</v>
      </c>
      <c r="BT733" s="173">
        <f>IF(AND(Input_Product=Elig!$C733,Elig_MatchAll_Ct&lt;22,$BC733=(Elig_MatchAll_Ct-1),AR733=0),O733,0)</f>
        <v>0</v>
      </c>
      <c r="BU733" s="173">
        <f>IF(AND(Input_Product=Elig!$C733,Elig_MatchAll_Ct&lt;22,$BC733=(Elig_MatchAll_Ct-1),AS733=0),P733,0)</f>
        <v>0</v>
      </c>
      <c r="BV733" s="174">
        <f>IF(AND(Input_Product=Elig!$C733,Elig_MatchAll_Ct&lt;22,$BC733=(Elig_MatchAll_Ct-1),AT733=0),Q733,0)</f>
        <v>0</v>
      </c>
      <c r="BW733" s="175">
        <f>IF(AND(Input_Product=Elig!$C733,Elig_MatchAll_Ct&lt;22,$BC733=(Elig_MatchAll_Ct-1),AU733=0),R733,0)</f>
        <v>0</v>
      </c>
      <c r="BX733" s="176">
        <f>IF(AND(Input_Product=Elig!$C733,Elig_MatchAll_Ct&lt;22,$BC733=(Elig_MatchAll_Ct-1),AU733=0),S733,0)</f>
        <v>0</v>
      </c>
      <c r="BY733" s="175">
        <f>IF(AND(Input_Product=Elig!$C733,Elig_MatchAll_Ct&lt;22,$BC733=(Elig_MatchAll_Ct-1),AV733=0),T733,0)</f>
        <v>0</v>
      </c>
      <c r="BZ733" s="176">
        <f>IF(AND(Input_Product=Elig!$C733,Elig_MatchAll_Ct&lt;22,$BC733=(Elig_MatchAll_Ct-1),AV733=0),U733,0)</f>
        <v>0</v>
      </c>
      <c r="CA733" s="175">
        <f>IF(AND(Input_Product=Elig!$C733,Elig_MatchAll_Ct&lt;22,$BC733=(Elig_MatchAll_Ct-1),AW733=0),V733,0)</f>
        <v>0</v>
      </c>
      <c r="CB733" s="176">
        <f>IF(AND(Input_Product=Elig!$C733,Elig_MatchAll_Ct&lt;22,$BC733=(Elig_MatchAll_Ct-1),AW733=0),W733,0)</f>
        <v>0</v>
      </c>
      <c r="CC733" s="175">
        <f>IF(AND(Input_Product=Elig!$C733,Elig_MatchAll_Ct&lt;22,$BC733=(Elig_MatchAll_Ct-1),AX733=0),X733,0)</f>
        <v>0</v>
      </c>
      <c r="CD733" s="176">
        <f>IF(AND(Input_Product=Elig!$C733,Elig_MatchAll_Ct&lt;22,$BC733=(Elig_MatchAll_Ct-1),AX733=0),Y733,0)</f>
        <v>0</v>
      </c>
      <c r="CE733" s="175">
        <f>IF(AND(Input_LTV&lt;=AE733,Input_Product=Elig!$C733,Elig_MatchAll_Ct&lt;22,$BC733=(Elig_MatchAll_Ct-1),AY733=0),Z733,0)</f>
        <v>0</v>
      </c>
      <c r="CF733" s="176">
        <f>IF(AND(Input_LTV&lt;=AE733,Input_Product=Elig!$C733,Elig_MatchAll_Ct&lt;22,$BC733=(Elig_MatchAll_Ct-1),AY733=0),AA733,0)</f>
        <v>0</v>
      </c>
      <c r="CG733" s="175">
        <f>IF(AND(Input_Product=Elig!$C733,Elig_MatchAll_Ct&lt;22,$BC733=(Elig_MatchAll_Ct-1),AZ733=0),AB733,0)</f>
        <v>0</v>
      </c>
      <c r="CH733" s="176">
        <f>IF(AND(Input_Product=Elig!$C733,Elig_MatchAll_Ct&lt;22,$BC733=(Elig_MatchAll_Ct-1),AZ733=0),AC733,0)</f>
        <v>0</v>
      </c>
      <c r="CI733" s="175">
        <f>IF(AND(Input_Product=Elig!$C733,Elig_MatchAll_Ct&lt;22,$BC733=(Elig_MatchAll_Ct-1),BA733=0),AD733,0)</f>
        <v>0</v>
      </c>
      <c r="CJ733" s="176">
        <f>IF(AND(Input_Product=Elig!$C733,Elig_MatchAll_Ct&lt;22,$BC733=(Elig_MatchAll_Ct-1),BA733=0),AE733,0)</f>
        <v>0</v>
      </c>
    </row>
    <row r="734" spans="1:88" ht="10.15" customHeight="1" x14ac:dyDescent="0.25">
      <c r="A734" s="1484" t="s">
        <v>76</v>
      </c>
      <c r="B734" s="1484" t="s">
        <v>1911</v>
      </c>
      <c r="C734" s="1489" t="str">
        <f t="shared" si="242"/>
        <v>Second NOO</v>
      </c>
      <c r="D734" s="1490" t="s">
        <v>1121</v>
      </c>
      <c r="E734" s="1490" t="s">
        <v>98</v>
      </c>
      <c r="F734" s="1490" t="s">
        <v>329</v>
      </c>
      <c r="G734" s="1546" t="s">
        <v>180</v>
      </c>
      <c r="H734" s="1490" t="s">
        <v>135</v>
      </c>
      <c r="I734" s="1488" t="s">
        <v>1141</v>
      </c>
      <c r="J734" s="1488" t="s">
        <v>1130</v>
      </c>
      <c r="K734" s="1490" t="s">
        <v>2464</v>
      </c>
      <c r="L734" s="1488" t="s">
        <v>428</v>
      </c>
      <c r="M734" s="1488" t="s">
        <v>1835</v>
      </c>
      <c r="N734" s="1546" t="s">
        <v>1844</v>
      </c>
      <c r="O734" s="1488" t="s">
        <v>2196</v>
      </c>
      <c r="P734" s="1488" t="s">
        <v>2434</v>
      </c>
      <c r="Q734" s="1488" t="s">
        <v>293</v>
      </c>
      <c r="R734" s="1488">
        <v>200000</v>
      </c>
      <c r="S734" s="1488">
        <v>350000</v>
      </c>
      <c r="T734" s="1488">
        <v>0</v>
      </c>
      <c r="U734" s="1488">
        <f t="shared" si="243"/>
        <v>350000</v>
      </c>
      <c r="V734" s="1488">
        <v>0</v>
      </c>
      <c r="W734" s="1488">
        <v>50</v>
      </c>
      <c r="X734" s="1542">
        <v>1</v>
      </c>
      <c r="Y734" s="1488">
        <v>999</v>
      </c>
      <c r="Z734" s="1491">
        <v>720</v>
      </c>
      <c r="AA734" s="1491">
        <v>999</v>
      </c>
      <c r="AB734" s="1491">
        <v>0</v>
      </c>
      <c r="AC734" s="1491">
        <v>999999</v>
      </c>
      <c r="AD734" s="1488">
        <v>0</v>
      </c>
      <c r="AE734" s="1542">
        <v>80</v>
      </c>
      <c r="AF734" s="144">
        <v>1</v>
      </c>
      <c r="AG734" s="145">
        <v>0</v>
      </c>
      <c r="AH734" s="145">
        <v>1</v>
      </c>
      <c r="AI734" s="145">
        <v>1</v>
      </c>
      <c r="AJ734" s="145">
        <v>1</v>
      </c>
      <c r="AK734" s="145">
        <v>1</v>
      </c>
      <c r="AL734" s="145">
        <v>1</v>
      </c>
      <c r="AM734" s="145">
        <v>1</v>
      </c>
      <c r="AN734" s="145">
        <v>1</v>
      </c>
      <c r="AO734" s="145">
        <v>1</v>
      </c>
      <c r="AP734" s="145">
        <v>1</v>
      </c>
      <c r="AQ734" s="145">
        <v>1</v>
      </c>
      <c r="AR734" s="145">
        <v>1</v>
      </c>
      <c r="AS734" s="145">
        <v>1</v>
      </c>
      <c r="AT734" s="145">
        <v>1</v>
      </c>
      <c r="AU734" s="145">
        <f t="shared" si="236"/>
        <v>0</v>
      </c>
      <c r="AV734" s="145">
        <f t="shared" si="237"/>
        <v>1</v>
      </c>
      <c r="AW734" s="145">
        <f t="shared" si="238"/>
        <v>1</v>
      </c>
      <c r="AX734" s="145">
        <f t="shared" si="244"/>
        <v>1</v>
      </c>
      <c r="AY734" s="145">
        <f t="shared" si="239"/>
        <v>1</v>
      </c>
      <c r="AZ734" s="145">
        <f t="shared" si="240"/>
        <v>1</v>
      </c>
      <c r="BA734" s="146">
        <f t="shared" si="241"/>
        <v>1</v>
      </c>
      <c r="BB734" s="149">
        <f t="shared" si="245"/>
        <v>20</v>
      </c>
      <c r="BC734" s="150">
        <f t="shared" si="246"/>
        <v>19</v>
      </c>
      <c r="BD734" s="150">
        <f t="shared" si="247"/>
        <v>19</v>
      </c>
      <c r="BE734" s="211" t="str">
        <f t="shared" si="248"/>
        <v/>
      </c>
      <c r="BF734" s="194"/>
      <c r="BG734" s="194"/>
      <c r="BH734" s="190">
        <f>IF(AND(Input_Product=Elig!$C734,Elig_MatchAll_Ct&lt;22,$BC734=(Elig_MatchAll_Ct-1),AF734=0),C734,0)</f>
        <v>0</v>
      </c>
      <c r="BI734" s="190">
        <f>IF(AND(Input_Product=Elig!$C734,Elig_MatchAll_Ct&lt;22,$BC734=(Elig_MatchAll_Ct-1),AG734=0),D734,0)</f>
        <v>0</v>
      </c>
      <c r="BJ734" s="190">
        <f>IF(AND(Input_Product=Elig!$C734,Elig_MatchAll_Ct&lt;22,$BC734=(Elig_MatchAll_Ct-1),AH734=0),E734,0)</f>
        <v>0</v>
      </c>
      <c r="BK734" s="190">
        <f>IF(AND(Input_Product=Elig!$C734,Elig_MatchAll_Ct&lt;22,$BC734=(Elig_MatchAll_Ct-1),AI734=0),F734,0)</f>
        <v>0</v>
      </c>
      <c r="BL734" s="190">
        <f>IF(AND(Input_Product=Elig!$C734,Elig_MatchAll_Ct&lt;22,$BC734=(Elig_MatchAll_Ct-1),AJ734=0),G734,0)</f>
        <v>0</v>
      </c>
      <c r="BM734" s="190">
        <f>IF(AND(Input_Product=Elig!$C734,Elig_MatchAll_Ct&lt;22,$BC734=(Elig_MatchAll_Ct-1),AK734=0),H734,0)</f>
        <v>0</v>
      </c>
      <c r="BN734" s="190">
        <f>IF(AND(Input_Product=Elig!$C734,Elig_MatchAll_Ct&lt;22,$BC734=(Elig_MatchAll_Ct-1),AL734=0),I734,0)</f>
        <v>0</v>
      </c>
      <c r="BO734" s="190">
        <f>IF(AND(Input_Product=Elig!$C734,Elig_MatchAll_Ct&lt;22,$BC734=(Elig_MatchAll_Ct-1),AM734=0),J734,0)</f>
        <v>0</v>
      </c>
      <c r="BP734" s="190">
        <f>IF(AND(Input_Product=Elig!$C734,Elig_MatchAll_Ct&lt;22,$BC734=(Elig_MatchAll_Ct-1),AN734=0),K734,0)</f>
        <v>0</v>
      </c>
      <c r="BQ734" s="190">
        <f>IF(AND(Input_Product=Elig!$C734,Elig_MatchAll_Ct&lt;22,$BC734=(Elig_MatchAll_Ct-1),AP734=0),L734,0)</f>
        <v>0</v>
      </c>
      <c r="BR734" s="190">
        <f>IF(AND(Input_Product=Elig!$C734,Elig_MatchAll_Ct&lt;22,$BC734=(Elig_MatchAll_Ct-1),AO734=0),M734,0)</f>
        <v>0</v>
      </c>
      <c r="BS734" s="190">
        <f>IF(AND(Input_Product=Elig!$C734,Elig_MatchAll_Ct&lt;22,$BC734=(Elig_MatchAll_Ct-1),AQ734=0),N734,0)</f>
        <v>0</v>
      </c>
      <c r="BT734" s="190">
        <f>IF(AND(Input_Product=Elig!$C734,Elig_MatchAll_Ct&lt;22,$BC734=(Elig_MatchAll_Ct-1),AR734=0),O734,0)</f>
        <v>0</v>
      </c>
      <c r="BU734" s="190">
        <f>IF(AND(Input_Product=Elig!$C734,Elig_MatchAll_Ct&lt;22,$BC734=(Elig_MatchAll_Ct-1),AS734=0),P734,0)</f>
        <v>0</v>
      </c>
      <c r="BV734" s="191">
        <f>IF(AND(Input_Product=Elig!$C734,Elig_MatchAll_Ct&lt;22,$BC734=(Elig_MatchAll_Ct-1),AT734=0),Q734,0)</f>
        <v>0</v>
      </c>
      <c r="BW734" s="273">
        <f>IF(AND(Input_Product=Elig!$C734,Elig_MatchAll_Ct&lt;22,$BC734=(Elig_MatchAll_Ct-1),AU734=0),R734,0)</f>
        <v>0</v>
      </c>
      <c r="BX734" s="274">
        <f>IF(AND(Input_Product=Elig!$C734,Elig_MatchAll_Ct&lt;22,$BC734=(Elig_MatchAll_Ct-1),AU734=0),S734,0)</f>
        <v>0</v>
      </c>
      <c r="BY734" s="273">
        <f>IF(AND(Input_Product=Elig!$C734,Elig_MatchAll_Ct&lt;22,$BC734=(Elig_MatchAll_Ct-1),AV734=0),T734,0)</f>
        <v>0</v>
      </c>
      <c r="BZ734" s="274">
        <f>IF(AND(Input_Product=Elig!$C734,Elig_MatchAll_Ct&lt;22,$BC734=(Elig_MatchAll_Ct-1),AV734=0),U734,0)</f>
        <v>0</v>
      </c>
      <c r="CA734" s="273">
        <f>IF(AND(Input_Product=Elig!$C734,Elig_MatchAll_Ct&lt;22,$BC734=(Elig_MatchAll_Ct-1),AW734=0),V734,0)</f>
        <v>0</v>
      </c>
      <c r="CB734" s="274">
        <f>IF(AND(Input_Product=Elig!$C734,Elig_MatchAll_Ct&lt;22,$BC734=(Elig_MatchAll_Ct-1),AW734=0),W734,0)</f>
        <v>0</v>
      </c>
      <c r="CC734" s="273">
        <f>IF(AND(Input_Product=Elig!$C734,Elig_MatchAll_Ct&lt;22,$BC734=(Elig_MatchAll_Ct-1),AX734=0),X734,0)</f>
        <v>0</v>
      </c>
      <c r="CD734" s="274">
        <f>IF(AND(Input_Product=Elig!$C734,Elig_MatchAll_Ct&lt;22,$BC734=(Elig_MatchAll_Ct-1),AX734=0),Y734,0)</f>
        <v>0</v>
      </c>
      <c r="CE734" s="273">
        <f>IF(AND(Input_LTV&lt;=AE734,Input_Product=Elig!$C734,Elig_MatchAll_Ct&lt;22,$BC734=(Elig_MatchAll_Ct-1),AY734=0),Z734,0)</f>
        <v>0</v>
      </c>
      <c r="CF734" s="274">
        <f>IF(AND(Input_LTV&lt;=AE734,Input_Product=Elig!$C734,Elig_MatchAll_Ct&lt;22,$BC734=(Elig_MatchAll_Ct-1),AY734=0),AA734,0)</f>
        <v>0</v>
      </c>
      <c r="CG734" s="273">
        <f>IF(AND(Input_Product=Elig!$C734,Elig_MatchAll_Ct&lt;22,$BC734=(Elig_MatchAll_Ct-1),AZ734=0),AB734,0)</f>
        <v>0</v>
      </c>
      <c r="CH734" s="274">
        <f>IF(AND(Input_Product=Elig!$C734,Elig_MatchAll_Ct&lt;22,$BC734=(Elig_MatchAll_Ct-1),AZ734=0),AC734,0)</f>
        <v>0</v>
      </c>
      <c r="CI734" s="273">
        <f>IF(AND(Input_Product=Elig!$C734,Elig_MatchAll_Ct&lt;22,$BC734=(Elig_MatchAll_Ct-1),BA734=0),AD734,0)</f>
        <v>0</v>
      </c>
      <c r="CJ734" s="274">
        <f>IF(AND(Input_Product=Elig!$C734,Elig_MatchAll_Ct&lt;22,$BC734=(Elig_MatchAll_Ct-1),BA734=0),AE734,0)</f>
        <v>0</v>
      </c>
    </row>
    <row r="735" spans="1:88" ht="10.15" customHeight="1" x14ac:dyDescent="0.25">
      <c r="A735" s="1484" t="s">
        <v>76</v>
      </c>
      <c r="B735" s="1484" t="s">
        <v>1912</v>
      </c>
      <c r="C735" s="1485" t="str">
        <f t="shared" si="242"/>
        <v>Second NOO</v>
      </c>
      <c r="D735" s="1484" t="s">
        <v>1121</v>
      </c>
      <c r="E735" s="1484" t="s">
        <v>98</v>
      </c>
      <c r="F735" s="1484" t="s">
        <v>329</v>
      </c>
      <c r="G735" s="1547" t="s">
        <v>180</v>
      </c>
      <c r="H735" s="1486" t="s">
        <v>135</v>
      </c>
      <c r="I735" s="1484" t="s">
        <v>1141</v>
      </c>
      <c r="J735" s="1484" t="s">
        <v>1130</v>
      </c>
      <c r="K735" s="1486" t="s">
        <v>2464</v>
      </c>
      <c r="L735" s="1484" t="s">
        <v>428</v>
      </c>
      <c r="M735" s="1484" t="s">
        <v>1835</v>
      </c>
      <c r="N735" s="1547" t="s">
        <v>1844</v>
      </c>
      <c r="O735" s="1484" t="s">
        <v>2196</v>
      </c>
      <c r="P735" s="1484" t="s">
        <v>2434</v>
      </c>
      <c r="Q735" s="1484" t="s">
        <v>293</v>
      </c>
      <c r="R735" s="1484">
        <v>200000</v>
      </c>
      <c r="S735" s="1484">
        <v>350000</v>
      </c>
      <c r="T735" s="1484">
        <v>0</v>
      </c>
      <c r="U735" s="1484">
        <f t="shared" si="243"/>
        <v>350000</v>
      </c>
      <c r="V735" s="1484">
        <v>0</v>
      </c>
      <c r="W735" s="1484">
        <v>50</v>
      </c>
      <c r="X735" s="1543">
        <v>1</v>
      </c>
      <c r="Y735" s="1484">
        <v>999</v>
      </c>
      <c r="Z735" s="1487">
        <v>700</v>
      </c>
      <c r="AA735" s="1487">
        <v>719</v>
      </c>
      <c r="AB735" s="1487">
        <v>0</v>
      </c>
      <c r="AC735" s="1487">
        <v>999999</v>
      </c>
      <c r="AD735" s="1484">
        <v>0</v>
      </c>
      <c r="AE735" s="1543">
        <v>75</v>
      </c>
      <c r="AF735" s="144">
        <v>1</v>
      </c>
      <c r="AG735" s="145">
        <v>0</v>
      </c>
      <c r="AH735" s="145">
        <v>1</v>
      </c>
      <c r="AI735" s="145">
        <v>1</v>
      </c>
      <c r="AJ735" s="145">
        <v>1</v>
      </c>
      <c r="AK735" s="145">
        <v>1</v>
      </c>
      <c r="AL735" s="145">
        <v>1</v>
      </c>
      <c r="AM735" s="145">
        <v>1</v>
      </c>
      <c r="AN735" s="145">
        <v>1</v>
      </c>
      <c r="AO735" s="145">
        <v>1</v>
      </c>
      <c r="AP735" s="145">
        <v>1</v>
      </c>
      <c r="AQ735" s="145">
        <v>1</v>
      </c>
      <c r="AR735" s="145">
        <v>1</v>
      </c>
      <c r="AS735" s="145">
        <v>1</v>
      </c>
      <c r="AT735" s="145">
        <v>1</v>
      </c>
      <c r="AU735" s="145">
        <f t="shared" si="236"/>
        <v>0</v>
      </c>
      <c r="AV735" s="145">
        <f t="shared" si="237"/>
        <v>1</v>
      </c>
      <c r="AW735" s="145">
        <f t="shared" si="238"/>
        <v>1</v>
      </c>
      <c r="AX735" s="145">
        <f t="shared" si="244"/>
        <v>1</v>
      </c>
      <c r="AY735" s="145">
        <f t="shared" si="239"/>
        <v>0</v>
      </c>
      <c r="AZ735" s="145">
        <f t="shared" si="240"/>
        <v>1</v>
      </c>
      <c r="BA735" s="146">
        <f t="shared" si="241"/>
        <v>1</v>
      </c>
      <c r="BB735" s="149">
        <f t="shared" si="245"/>
        <v>19</v>
      </c>
      <c r="BC735" s="150">
        <f t="shared" si="246"/>
        <v>18</v>
      </c>
      <c r="BD735" s="150">
        <f t="shared" si="247"/>
        <v>18</v>
      </c>
      <c r="BE735" s="211" t="str">
        <f t="shared" si="248"/>
        <v/>
      </c>
      <c r="BF735" s="205"/>
      <c r="BG735" s="205"/>
      <c r="BH735" s="173">
        <f>IF(AND(Input_Product=Elig!$C735,Elig_MatchAll_Ct&lt;22,$BC735=(Elig_MatchAll_Ct-1),AF735=0),C735,0)</f>
        <v>0</v>
      </c>
      <c r="BI735" s="173">
        <f>IF(AND(Input_Product=Elig!$C735,Elig_MatchAll_Ct&lt;22,$BC735=(Elig_MatchAll_Ct-1),AG735=0),D735,0)</f>
        <v>0</v>
      </c>
      <c r="BJ735" s="173">
        <f>IF(AND(Input_Product=Elig!$C735,Elig_MatchAll_Ct&lt;22,$BC735=(Elig_MatchAll_Ct-1),AH735=0),E735,0)</f>
        <v>0</v>
      </c>
      <c r="BK735" s="173">
        <f>IF(AND(Input_Product=Elig!$C735,Elig_MatchAll_Ct&lt;22,$BC735=(Elig_MatchAll_Ct-1),AI735=0),F735,0)</f>
        <v>0</v>
      </c>
      <c r="BL735" s="173">
        <f>IF(AND(Input_Product=Elig!$C735,Elig_MatchAll_Ct&lt;22,$BC735=(Elig_MatchAll_Ct-1),AJ735=0),G735,0)</f>
        <v>0</v>
      </c>
      <c r="BM735" s="173">
        <f>IF(AND(Input_Product=Elig!$C735,Elig_MatchAll_Ct&lt;22,$BC735=(Elig_MatchAll_Ct-1),AK735=0),H735,0)</f>
        <v>0</v>
      </c>
      <c r="BN735" s="173">
        <f>IF(AND(Input_Product=Elig!$C735,Elig_MatchAll_Ct&lt;22,$BC735=(Elig_MatchAll_Ct-1),AL735=0),I735,0)</f>
        <v>0</v>
      </c>
      <c r="BO735" s="173">
        <f>IF(AND(Input_Product=Elig!$C735,Elig_MatchAll_Ct&lt;22,$BC735=(Elig_MatchAll_Ct-1),AM735=0),J735,0)</f>
        <v>0</v>
      </c>
      <c r="BP735" s="173">
        <f>IF(AND(Input_Product=Elig!$C735,Elig_MatchAll_Ct&lt;22,$BC735=(Elig_MatchAll_Ct-1),AN735=0),K735,0)</f>
        <v>0</v>
      </c>
      <c r="BQ735" s="173">
        <f>IF(AND(Input_Product=Elig!$C735,Elig_MatchAll_Ct&lt;22,$BC735=(Elig_MatchAll_Ct-1),AP735=0),L735,0)</f>
        <v>0</v>
      </c>
      <c r="BR735" s="173">
        <f>IF(AND(Input_Product=Elig!$C735,Elig_MatchAll_Ct&lt;22,$BC735=(Elig_MatchAll_Ct-1),AO735=0),M735,0)</f>
        <v>0</v>
      </c>
      <c r="BS735" s="173">
        <f>IF(AND(Input_Product=Elig!$C735,Elig_MatchAll_Ct&lt;22,$BC735=(Elig_MatchAll_Ct-1),AQ735=0),N735,0)</f>
        <v>0</v>
      </c>
      <c r="BT735" s="173">
        <f>IF(AND(Input_Product=Elig!$C735,Elig_MatchAll_Ct&lt;22,$BC735=(Elig_MatchAll_Ct-1),AR735=0),O735,0)</f>
        <v>0</v>
      </c>
      <c r="BU735" s="173">
        <f>IF(AND(Input_Product=Elig!$C735,Elig_MatchAll_Ct&lt;22,$BC735=(Elig_MatchAll_Ct-1),AS735=0),P735,0)</f>
        <v>0</v>
      </c>
      <c r="BV735" s="174">
        <f>IF(AND(Input_Product=Elig!$C735,Elig_MatchAll_Ct&lt;22,$BC735=(Elig_MatchAll_Ct-1),AT735=0),Q735,0)</f>
        <v>0</v>
      </c>
      <c r="BW735" s="175">
        <f>IF(AND(Input_Product=Elig!$C735,Elig_MatchAll_Ct&lt;22,$BC735=(Elig_MatchAll_Ct-1),AU735=0),R735,0)</f>
        <v>0</v>
      </c>
      <c r="BX735" s="176">
        <f>IF(AND(Input_Product=Elig!$C735,Elig_MatchAll_Ct&lt;22,$BC735=(Elig_MatchAll_Ct-1),AU735=0),S735,0)</f>
        <v>0</v>
      </c>
      <c r="BY735" s="175">
        <f>IF(AND(Input_Product=Elig!$C735,Elig_MatchAll_Ct&lt;22,$BC735=(Elig_MatchAll_Ct-1),AV735=0),T735,0)</f>
        <v>0</v>
      </c>
      <c r="BZ735" s="176">
        <f>IF(AND(Input_Product=Elig!$C735,Elig_MatchAll_Ct&lt;22,$BC735=(Elig_MatchAll_Ct-1),AV735=0),U735,0)</f>
        <v>0</v>
      </c>
      <c r="CA735" s="175">
        <f>IF(AND(Input_Product=Elig!$C735,Elig_MatchAll_Ct&lt;22,$BC735=(Elig_MatchAll_Ct-1),AW735=0),V735,0)</f>
        <v>0</v>
      </c>
      <c r="CB735" s="176">
        <f>IF(AND(Input_Product=Elig!$C735,Elig_MatchAll_Ct&lt;22,$BC735=(Elig_MatchAll_Ct-1),AW735=0),W735,0)</f>
        <v>0</v>
      </c>
      <c r="CC735" s="175">
        <f>IF(AND(Input_Product=Elig!$C735,Elig_MatchAll_Ct&lt;22,$BC735=(Elig_MatchAll_Ct-1),AX735=0),X735,0)</f>
        <v>0</v>
      </c>
      <c r="CD735" s="176">
        <f>IF(AND(Input_Product=Elig!$C735,Elig_MatchAll_Ct&lt;22,$BC735=(Elig_MatchAll_Ct-1),AX735=0),Y735,0)</f>
        <v>0</v>
      </c>
      <c r="CE735" s="175">
        <f>IF(AND(Input_LTV&lt;=AE735,Input_Product=Elig!$C735,Elig_MatchAll_Ct&lt;22,$BC735=(Elig_MatchAll_Ct-1),AY735=0),Z735,0)</f>
        <v>0</v>
      </c>
      <c r="CF735" s="176">
        <f>IF(AND(Input_LTV&lt;=AE735,Input_Product=Elig!$C735,Elig_MatchAll_Ct&lt;22,$BC735=(Elig_MatchAll_Ct-1),AY735=0),AA735,0)</f>
        <v>0</v>
      </c>
      <c r="CG735" s="175">
        <f>IF(AND(Input_Product=Elig!$C735,Elig_MatchAll_Ct&lt;22,$BC735=(Elig_MatchAll_Ct-1),AZ735=0),AB735,0)</f>
        <v>0</v>
      </c>
      <c r="CH735" s="176">
        <f>IF(AND(Input_Product=Elig!$C735,Elig_MatchAll_Ct&lt;22,$BC735=(Elig_MatchAll_Ct-1),AZ735=0),AC735,0)</f>
        <v>0</v>
      </c>
      <c r="CI735" s="175">
        <f>IF(AND(Input_Product=Elig!$C735,Elig_MatchAll_Ct&lt;22,$BC735=(Elig_MatchAll_Ct-1),BA735=0),AD735,0)</f>
        <v>0</v>
      </c>
      <c r="CJ735" s="176">
        <f>IF(AND(Input_Product=Elig!$C735,Elig_MatchAll_Ct&lt;22,$BC735=(Elig_MatchAll_Ct-1),BA735=0),AE735,0)</f>
        <v>0</v>
      </c>
    </row>
    <row r="736" spans="1:88" ht="10.15" customHeight="1" x14ac:dyDescent="0.25">
      <c r="A736" s="1484" t="s">
        <v>76</v>
      </c>
      <c r="B736" s="1484" t="s">
        <v>1913</v>
      </c>
      <c r="C736" s="1485" t="str">
        <f t="shared" si="242"/>
        <v>Second NOO</v>
      </c>
      <c r="D736" s="1484" t="s">
        <v>1121</v>
      </c>
      <c r="E736" s="1484" t="s">
        <v>98</v>
      </c>
      <c r="F736" s="1484" t="s">
        <v>329</v>
      </c>
      <c r="G736" s="1547" t="s">
        <v>180</v>
      </c>
      <c r="H736" s="1486" t="s">
        <v>135</v>
      </c>
      <c r="I736" s="1484" t="s">
        <v>1141</v>
      </c>
      <c r="J736" s="1484" t="s">
        <v>1130</v>
      </c>
      <c r="K736" s="1486" t="s">
        <v>2464</v>
      </c>
      <c r="L736" s="1484" t="s">
        <v>428</v>
      </c>
      <c r="M736" s="1484" t="s">
        <v>1835</v>
      </c>
      <c r="N736" s="1547" t="s">
        <v>1844</v>
      </c>
      <c r="O736" s="1484" t="s">
        <v>2196</v>
      </c>
      <c r="P736" s="1484" t="s">
        <v>2434</v>
      </c>
      <c r="Q736" s="1484" t="s">
        <v>293</v>
      </c>
      <c r="R736" s="1484">
        <v>200000</v>
      </c>
      <c r="S736" s="1484">
        <v>350000</v>
      </c>
      <c r="T736" s="1484">
        <v>0</v>
      </c>
      <c r="U736" s="1484">
        <f t="shared" si="243"/>
        <v>350000</v>
      </c>
      <c r="V736" s="1484">
        <v>0</v>
      </c>
      <c r="W736" s="1484">
        <v>50</v>
      </c>
      <c r="X736" s="1543">
        <v>1</v>
      </c>
      <c r="Y736" s="1484">
        <v>999</v>
      </c>
      <c r="Z736" s="1487">
        <v>680</v>
      </c>
      <c r="AA736" s="1487">
        <v>699</v>
      </c>
      <c r="AB736" s="1487">
        <v>0</v>
      </c>
      <c r="AC736" s="1487">
        <v>999999</v>
      </c>
      <c r="AD736" s="1484">
        <v>0</v>
      </c>
      <c r="AE736" s="1543">
        <v>70</v>
      </c>
      <c r="AF736" s="144">
        <v>1</v>
      </c>
      <c r="AG736" s="145">
        <v>0</v>
      </c>
      <c r="AH736" s="145">
        <v>1</v>
      </c>
      <c r="AI736" s="145">
        <v>1</v>
      </c>
      <c r="AJ736" s="145">
        <v>1</v>
      </c>
      <c r="AK736" s="145">
        <v>1</v>
      </c>
      <c r="AL736" s="145">
        <v>1</v>
      </c>
      <c r="AM736" s="145">
        <v>1</v>
      </c>
      <c r="AN736" s="145">
        <v>1</v>
      </c>
      <c r="AO736" s="145">
        <v>1</v>
      </c>
      <c r="AP736" s="145">
        <v>1</v>
      </c>
      <c r="AQ736" s="145">
        <v>1</v>
      </c>
      <c r="AR736" s="145">
        <v>1</v>
      </c>
      <c r="AS736" s="145">
        <v>1</v>
      </c>
      <c r="AT736" s="145">
        <v>1</v>
      </c>
      <c r="AU736" s="145">
        <f t="shared" si="236"/>
        <v>0</v>
      </c>
      <c r="AV736" s="145">
        <f t="shared" si="237"/>
        <v>1</v>
      </c>
      <c r="AW736" s="145">
        <f t="shared" si="238"/>
        <v>1</v>
      </c>
      <c r="AX736" s="145">
        <f t="shared" si="244"/>
        <v>1</v>
      </c>
      <c r="AY736" s="145">
        <f t="shared" si="239"/>
        <v>0</v>
      </c>
      <c r="AZ736" s="145">
        <f t="shared" si="240"/>
        <v>1</v>
      </c>
      <c r="BA736" s="146">
        <f t="shared" si="241"/>
        <v>1</v>
      </c>
      <c r="BB736" s="149">
        <f t="shared" si="245"/>
        <v>19</v>
      </c>
      <c r="BC736" s="150">
        <f t="shared" si="246"/>
        <v>18</v>
      </c>
      <c r="BD736" s="150">
        <f t="shared" si="247"/>
        <v>18</v>
      </c>
      <c r="BE736" s="211" t="str">
        <f t="shared" si="248"/>
        <v/>
      </c>
      <c r="BF736" s="205"/>
      <c r="BG736" s="205"/>
      <c r="BH736" s="173">
        <f>IF(AND(Input_Product=Elig!$C736,Elig_MatchAll_Ct&lt;22,$BC736=(Elig_MatchAll_Ct-1),AF736=0),C736,0)</f>
        <v>0</v>
      </c>
      <c r="BI736" s="173">
        <f>IF(AND(Input_Product=Elig!$C736,Elig_MatchAll_Ct&lt;22,$BC736=(Elig_MatchAll_Ct-1),AG736=0),D736,0)</f>
        <v>0</v>
      </c>
      <c r="BJ736" s="173">
        <f>IF(AND(Input_Product=Elig!$C736,Elig_MatchAll_Ct&lt;22,$BC736=(Elig_MatchAll_Ct-1),AH736=0),E736,0)</f>
        <v>0</v>
      </c>
      <c r="BK736" s="173">
        <f>IF(AND(Input_Product=Elig!$C736,Elig_MatchAll_Ct&lt;22,$BC736=(Elig_MatchAll_Ct-1),AI736=0),F736,0)</f>
        <v>0</v>
      </c>
      <c r="BL736" s="173">
        <f>IF(AND(Input_Product=Elig!$C736,Elig_MatchAll_Ct&lt;22,$BC736=(Elig_MatchAll_Ct-1),AJ736=0),G736,0)</f>
        <v>0</v>
      </c>
      <c r="BM736" s="173">
        <f>IF(AND(Input_Product=Elig!$C736,Elig_MatchAll_Ct&lt;22,$BC736=(Elig_MatchAll_Ct-1),AK736=0),H736,0)</f>
        <v>0</v>
      </c>
      <c r="BN736" s="173">
        <f>IF(AND(Input_Product=Elig!$C736,Elig_MatchAll_Ct&lt;22,$BC736=(Elig_MatchAll_Ct-1),AL736=0),I736,0)</f>
        <v>0</v>
      </c>
      <c r="BO736" s="173">
        <f>IF(AND(Input_Product=Elig!$C736,Elig_MatchAll_Ct&lt;22,$BC736=(Elig_MatchAll_Ct-1),AM736=0),J736,0)</f>
        <v>0</v>
      </c>
      <c r="BP736" s="173">
        <f>IF(AND(Input_Product=Elig!$C736,Elig_MatchAll_Ct&lt;22,$BC736=(Elig_MatchAll_Ct-1),AN736=0),K736,0)</f>
        <v>0</v>
      </c>
      <c r="BQ736" s="173">
        <f>IF(AND(Input_Product=Elig!$C736,Elig_MatchAll_Ct&lt;22,$BC736=(Elig_MatchAll_Ct-1),AP736=0),L736,0)</f>
        <v>0</v>
      </c>
      <c r="BR736" s="173">
        <f>IF(AND(Input_Product=Elig!$C736,Elig_MatchAll_Ct&lt;22,$BC736=(Elig_MatchAll_Ct-1),AO736=0),M736,0)</f>
        <v>0</v>
      </c>
      <c r="BS736" s="173">
        <f>IF(AND(Input_Product=Elig!$C736,Elig_MatchAll_Ct&lt;22,$BC736=(Elig_MatchAll_Ct-1),AQ736=0),N736,0)</f>
        <v>0</v>
      </c>
      <c r="BT736" s="173">
        <f>IF(AND(Input_Product=Elig!$C736,Elig_MatchAll_Ct&lt;22,$BC736=(Elig_MatchAll_Ct-1),AR736=0),O736,0)</f>
        <v>0</v>
      </c>
      <c r="BU736" s="173">
        <f>IF(AND(Input_Product=Elig!$C736,Elig_MatchAll_Ct&lt;22,$BC736=(Elig_MatchAll_Ct-1),AS736=0),P736,0)</f>
        <v>0</v>
      </c>
      <c r="BV736" s="174">
        <f>IF(AND(Input_Product=Elig!$C736,Elig_MatchAll_Ct&lt;22,$BC736=(Elig_MatchAll_Ct-1),AT736=0),Q736,0)</f>
        <v>0</v>
      </c>
      <c r="BW736" s="175">
        <f>IF(AND(Input_Product=Elig!$C736,Elig_MatchAll_Ct&lt;22,$BC736=(Elig_MatchAll_Ct-1),AU736=0),R736,0)</f>
        <v>0</v>
      </c>
      <c r="BX736" s="176">
        <f>IF(AND(Input_Product=Elig!$C736,Elig_MatchAll_Ct&lt;22,$BC736=(Elig_MatchAll_Ct-1),AU736=0),S736,0)</f>
        <v>0</v>
      </c>
      <c r="BY736" s="175">
        <f>IF(AND(Input_Product=Elig!$C736,Elig_MatchAll_Ct&lt;22,$BC736=(Elig_MatchAll_Ct-1),AV736=0),T736,0)</f>
        <v>0</v>
      </c>
      <c r="BZ736" s="176">
        <f>IF(AND(Input_Product=Elig!$C736,Elig_MatchAll_Ct&lt;22,$BC736=(Elig_MatchAll_Ct-1),AV736=0),U736,0)</f>
        <v>0</v>
      </c>
      <c r="CA736" s="175">
        <f>IF(AND(Input_Product=Elig!$C736,Elig_MatchAll_Ct&lt;22,$BC736=(Elig_MatchAll_Ct-1),AW736=0),V736,0)</f>
        <v>0</v>
      </c>
      <c r="CB736" s="176">
        <f>IF(AND(Input_Product=Elig!$C736,Elig_MatchAll_Ct&lt;22,$BC736=(Elig_MatchAll_Ct-1),AW736=0),W736,0)</f>
        <v>0</v>
      </c>
      <c r="CC736" s="175">
        <f>IF(AND(Input_Product=Elig!$C736,Elig_MatchAll_Ct&lt;22,$BC736=(Elig_MatchAll_Ct-1),AX736=0),X736,0)</f>
        <v>0</v>
      </c>
      <c r="CD736" s="176">
        <f>IF(AND(Input_Product=Elig!$C736,Elig_MatchAll_Ct&lt;22,$BC736=(Elig_MatchAll_Ct-1),AX736=0),Y736,0)</f>
        <v>0</v>
      </c>
      <c r="CE736" s="175">
        <f>IF(AND(Input_LTV&lt;=AE736,Input_Product=Elig!$C736,Elig_MatchAll_Ct&lt;22,$BC736=(Elig_MatchAll_Ct-1),AY736=0),Z736,0)</f>
        <v>0</v>
      </c>
      <c r="CF736" s="176">
        <f>IF(AND(Input_LTV&lt;=AE736,Input_Product=Elig!$C736,Elig_MatchAll_Ct&lt;22,$BC736=(Elig_MatchAll_Ct-1),AY736=0),AA736,0)</f>
        <v>0</v>
      </c>
      <c r="CG736" s="175">
        <f>IF(AND(Input_Product=Elig!$C736,Elig_MatchAll_Ct&lt;22,$BC736=(Elig_MatchAll_Ct-1),AZ736=0),AB736,0)</f>
        <v>0</v>
      </c>
      <c r="CH736" s="176">
        <f>IF(AND(Input_Product=Elig!$C736,Elig_MatchAll_Ct&lt;22,$BC736=(Elig_MatchAll_Ct-1),AZ736=0),AC736,0)</f>
        <v>0</v>
      </c>
      <c r="CI736" s="175">
        <f>IF(AND(Input_Product=Elig!$C736,Elig_MatchAll_Ct&lt;22,$BC736=(Elig_MatchAll_Ct-1),BA736=0),AD736,0)</f>
        <v>0</v>
      </c>
      <c r="CJ736" s="176">
        <f>IF(AND(Input_Product=Elig!$C736,Elig_MatchAll_Ct&lt;22,$BC736=(Elig_MatchAll_Ct-1),BA736=0),AE736,0)</f>
        <v>0</v>
      </c>
    </row>
    <row r="737" spans="1:88" ht="10.15" customHeight="1" x14ac:dyDescent="0.25">
      <c r="A737" s="1484" t="s">
        <v>76</v>
      </c>
      <c r="B737" s="1484" t="s">
        <v>1935</v>
      </c>
      <c r="C737" s="1489" t="str">
        <f t="shared" si="242"/>
        <v>Second NOO</v>
      </c>
      <c r="D737" s="1490" t="s">
        <v>1338</v>
      </c>
      <c r="E737" s="1490" t="s">
        <v>98</v>
      </c>
      <c r="F737" s="1490" t="s">
        <v>329</v>
      </c>
      <c r="G737" s="1490" t="s">
        <v>302</v>
      </c>
      <c r="H737" s="1490" t="s">
        <v>135</v>
      </c>
      <c r="I737" s="1488" t="s">
        <v>1141</v>
      </c>
      <c r="J737" s="1488" t="s">
        <v>1130</v>
      </c>
      <c r="K737" s="1490" t="s">
        <v>2464</v>
      </c>
      <c r="L737" s="1488" t="s">
        <v>428</v>
      </c>
      <c r="M737" s="1488" t="s">
        <v>1835</v>
      </c>
      <c r="N737" s="1490" t="s">
        <v>1844</v>
      </c>
      <c r="O737" s="1488" t="s">
        <v>309</v>
      </c>
      <c r="P737" s="1488" t="s">
        <v>2434</v>
      </c>
      <c r="Q737" s="1488" t="s">
        <v>293</v>
      </c>
      <c r="R737" s="1488">
        <v>350000.01</v>
      </c>
      <c r="S737" s="1542">
        <v>500000</v>
      </c>
      <c r="T737" s="1488">
        <v>0</v>
      </c>
      <c r="U737" s="1488">
        <f t="shared" si="243"/>
        <v>500000</v>
      </c>
      <c r="V737" s="1488">
        <v>0</v>
      </c>
      <c r="W737" s="1488">
        <v>50</v>
      </c>
      <c r="X737" s="1488">
        <v>0</v>
      </c>
      <c r="Y737" s="1488">
        <v>999</v>
      </c>
      <c r="Z737" s="1491">
        <v>720</v>
      </c>
      <c r="AA737" s="1491">
        <v>999</v>
      </c>
      <c r="AB737" s="1491">
        <v>0</v>
      </c>
      <c r="AC737" s="1491">
        <v>999999</v>
      </c>
      <c r="AD737" s="1488">
        <v>0</v>
      </c>
      <c r="AE737" s="1488">
        <v>80</v>
      </c>
      <c r="AF737" s="144">
        <v>1</v>
      </c>
      <c r="AG737" s="145">
        <v>1</v>
      </c>
      <c r="AH737" s="145">
        <v>1</v>
      </c>
      <c r="AI737" s="145">
        <v>1</v>
      </c>
      <c r="AJ737" s="145">
        <v>0</v>
      </c>
      <c r="AK737" s="145">
        <v>1</v>
      </c>
      <c r="AL737" s="145">
        <v>1</v>
      </c>
      <c r="AM737" s="145">
        <v>1</v>
      </c>
      <c r="AN737" s="145">
        <v>1</v>
      </c>
      <c r="AO737" s="145">
        <v>1</v>
      </c>
      <c r="AP737" s="145">
        <v>1</v>
      </c>
      <c r="AQ737" s="145">
        <v>1</v>
      </c>
      <c r="AR737" s="145">
        <v>1</v>
      </c>
      <c r="AS737" s="145">
        <v>1</v>
      </c>
      <c r="AT737" s="145">
        <v>1</v>
      </c>
      <c r="AU737" s="145">
        <f t="shared" si="236"/>
        <v>0</v>
      </c>
      <c r="AV737" s="145">
        <f t="shared" si="237"/>
        <v>1</v>
      </c>
      <c r="AW737" s="145">
        <f t="shared" si="238"/>
        <v>1</v>
      </c>
      <c r="AX737" s="145">
        <f t="shared" si="244"/>
        <v>1</v>
      </c>
      <c r="AY737" s="145">
        <f t="shared" si="239"/>
        <v>1</v>
      </c>
      <c r="AZ737" s="145">
        <f t="shared" si="240"/>
        <v>1</v>
      </c>
      <c r="BA737" s="146">
        <f t="shared" si="241"/>
        <v>1</v>
      </c>
      <c r="BB737" s="149">
        <f t="shared" si="245"/>
        <v>20</v>
      </c>
      <c r="BC737" s="150">
        <f t="shared" si="246"/>
        <v>19</v>
      </c>
      <c r="BD737" s="150">
        <f t="shared" si="247"/>
        <v>19</v>
      </c>
      <c r="BE737" s="211" t="str">
        <f t="shared" si="248"/>
        <v/>
      </c>
      <c r="BF737" s="194"/>
      <c r="BG737" s="194"/>
      <c r="BH737" s="190">
        <f>IF(AND(Input_Product=Elig!$C737,Elig_MatchAll_Ct&lt;22,$BC737=(Elig_MatchAll_Ct-1),AF737=0),C737,0)</f>
        <v>0</v>
      </c>
      <c r="BI737" s="190">
        <f>IF(AND(Input_Product=Elig!$C737,Elig_MatchAll_Ct&lt;22,$BC737=(Elig_MatchAll_Ct-1),AG737=0),D737,0)</f>
        <v>0</v>
      </c>
      <c r="BJ737" s="190">
        <f>IF(AND(Input_Product=Elig!$C737,Elig_MatchAll_Ct&lt;22,$BC737=(Elig_MatchAll_Ct-1),AH737=0),E737,0)</f>
        <v>0</v>
      </c>
      <c r="BK737" s="190">
        <f>IF(AND(Input_Product=Elig!$C737,Elig_MatchAll_Ct&lt;22,$BC737=(Elig_MatchAll_Ct-1),AI737=0),F737,0)</f>
        <v>0</v>
      </c>
      <c r="BL737" s="190">
        <f>IF(AND(Input_Product=Elig!$C737,Elig_MatchAll_Ct&lt;22,$BC737=(Elig_MatchAll_Ct-1),AJ737=0),G737,0)</f>
        <v>0</v>
      </c>
      <c r="BM737" s="190">
        <f>IF(AND(Input_Product=Elig!$C737,Elig_MatchAll_Ct&lt;22,$BC737=(Elig_MatchAll_Ct-1),AK737=0),H737,0)</f>
        <v>0</v>
      </c>
      <c r="BN737" s="190">
        <f>IF(AND(Input_Product=Elig!$C737,Elig_MatchAll_Ct&lt;22,$BC737=(Elig_MatchAll_Ct-1),AL737=0),I737,0)</f>
        <v>0</v>
      </c>
      <c r="BO737" s="190">
        <f>IF(AND(Input_Product=Elig!$C737,Elig_MatchAll_Ct&lt;22,$BC737=(Elig_MatchAll_Ct-1),AM737=0),J737,0)</f>
        <v>0</v>
      </c>
      <c r="BP737" s="190">
        <f>IF(AND(Input_Product=Elig!$C737,Elig_MatchAll_Ct&lt;22,$BC737=(Elig_MatchAll_Ct-1),AN737=0),K737,0)</f>
        <v>0</v>
      </c>
      <c r="BQ737" s="190">
        <f>IF(AND(Input_Product=Elig!$C737,Elig_MatchAll_Ct&lt;22,$BC737=(Elig_MatchAll_Ct-1),AP737=0),L737,0)</f>
        <v>0</v>
      </c>
      <c r="BR737" s="190">
        <f>IF(AND(Input_Product=Elig!$C737,Elig_MatchAll_Ct&lt;22,$BC737=(Elig_MatchAll_Ct-1),AO737=0),M737,0)</f>
        <v>0</v>
      </c>
      <c r="BS737" s="190">
        <f>IF(AND(Input_Product=Elig!$C737,Elig_MatchAll_Ct&lt;22,$BC737=(Elig_MatchAll_Ct-1),AQ737=0),N737,0)</f>
        <v>0</v>
      </c>
      <c r="BT737" s="190">
        <f>IF(AND(Input_Product=Elig!$C737,Elig_MatchAll_Ct&lt;22,$BC737=(Elig_MatchAll_Ct-1),AR737=0),O737,0)</f>
        <v>0</v>
      </c>
      <c r="BU737" s="190">
        <f>IF(AND(Input_Product=Elig!$C737,Elig_MatchAll_Ct&lt;22,$BC737=(Elig_MatchAll_Ct-1),AS737=0),P737,0)</f>
        <v>0</v>
      </c>
      <c r="BV737" s="191">
        <f>IF(AND(Input_Product=Elig!$C737,Elig_MatchAll_Ct&lt;22,$BC737=(Elig_MatchAll_Ct-1),AT737=0),Q737,0)</f>
        <v>0</v>
      </c>
      <c r="BW737" s="273">
        <f>IF(AND(Input_Product=Elig!$C737,Elig_MatchAll_Ct&lt;22,$BC737=(Elig_MatchAll_Ct-1),AU737=0),R737,0)</f>
        <v>0</v>
      </c>
      <c r="BX737" s="274">
        <f>IF(AND(Input_Product=Elig!$C737,Elig_MatchAll_Ct&lt;22,$BC737=(Elig_MatchAll_Ct-1),AU737=0),S737,0)</f>
        <v>0</v>
      </c>
      <c r="BY737" s="273">
        <f>IF(AND(Input_Product=Elig!$C737,Elig_MatchAll_Ct&lt;22,$BC737=(Elig_MatchAll_Ct-1),AV737=0),T737,0)</f>
        <v>0</v>
      </c>
      <c r="BZ737" s="274">
        <f>IF(AND(Input_Product=Elig!$C737,Elig_MatchAll_Ct&lt;22,$BC737=(Elig_MatchAll_Ct-1),AV737=0),U737,0)</f>
        <v>0</v>
      </c>
      <c r="CA737" s="273">
        <f>IF(AND(Input_Product=Elig!$C737,Elig_MatchAll_Ct&lt;22,$BC737=(Elig_MatchAll_Ct-1),AW737=0),V737,0)</f>
        <v>0</v>
      </c>
      <c r="CB737" s="274">
        <f>IF(AND(Input_Product=Elig!$C737,Elig_MatchAll_Ct&lt;22,$BC737=(Elig_MatchAll_Ct-1),AW737=0),W737,0)</f>
        <v>0</v>
      </c>
      <c r="CC737" s="273">
        <f>IF(AND(Input_Product=Elig!$C737,Elig_MatchAll_Ct&lt;22,$BC737=(Elig_MatchAll_Ct-1),AX737=0),X737,0)</f>
        <v>0</v>
      </c>
      <c r="CD737" s="274">
        <f>IF(AND(Input_Product=Elig!$C737,Elig_MatchAll_Ct&lt;22,$BC737=(Elig_MatchAll_Ct-1),AX737=0),Y737,0)</f>
        <v>0</v>
      </c>
      <c r="CE737" s="273">
        <f>IF(AND(Input_LTV&lt;=AE737,Input_Product=Elig!$C737,Elig_MatchAll_Ct&lt;22,$BC737=(Elig_MatchAll_Ct-1),AY737=0),Z737,0)</f>
        <v>0</v>
      </c>
      <c r="CF737" s="274">
        <f>IF(AND(Input_LTV&lt;=AE737,Input_Product=Elig!$C737,Elig_MatchAll_Ct&lt;22,$BC737=(Elig_MatchAll_Ct-1),AY737=0),AA737,0)</f>
        <v>0</v>
      </c>
      <c r="CG737" s="273">
        <f>IF(AND(Input_Product=Elig!$C737,Elig_MatchAll_Ct&lt;22,$BC737=(Elig_MatchAll_Ct-1),AZ737=0),AB737,0)</f>
        <v>0</v>
      </c>
      <c r="CH737" s="274">
        <f>IF(AND(Input_Product=Elig!$C737,Elig_MatchAll_Ct&lt;22,$BC737=(Elig_MatchAll_Ct-1),AZ737=0),AC737,0)</f>
        <v>0</v>
      </c>
      <c r="CI737" s="273">
        <f>IF(AND(Input_Product=Elig!$C737,Elig_MatchAll_Ct&lt;22,$BC737=(Elig_MatchAll_Ct-1),BA737=0),AD737,0)</f>
        <v>0</v>
      </c>
      <c r="CJ737" s="274">
        <f>IF(AND(Input_Product=Elig!$C737,Elig_MatchAll_Ct&lt;22,$BC737=(Elig_MatchAll_Ct-1),BA737=0),AE737,0)</f>
        <v>0</v>
      </c>
    </row>
    <row r="738" spans="1:88" ht="10.15" customHeight="1" x14ac:dyDescent="0.25">
      <c r="A738" s="1484" t="s">
        <v>76</v>
      </c>
      <c r="B738" s="1484" t="s">
        <v>1936</v>
      </c>
      <c r="C738" s="1485" t="str">
        <f t="shared" si="242"/>
        <v>Second NOO</v>
      </c>
      <c r="D738" s="1484" t="s">
        <v>1338</v>
      </c>
      <c r="E738" s="1484" t="s">
        <v>98</v>
      </c>
      <c r="F738" s="1484" t="s">
        <v>329</v>
      </c>
      <c r="G738" s="1486" t="s">
        <v>302</v>
      </c>
      <c r="H738" s="1486" t="s">
        <v>135</v>
      </c>
      <c r="I738" s="1484" t="s">
        <v>1141</v>
      </c>
      <c r="J738" s="1484" t="s">
        <v>1130</v>
      </c>
      <c r="K738" s="1486" t="s">
        <v>2464</v>
      </c>
      <c r="L738" s="1484" t="s">
        <v>428</v>
      </c>
      <c r="M738" s="1484" t="s">
        <v>1835</v>
      </c>
      <c r="N738" s="1486" t="s">
        <v>1844</v>
      </c>
      <c r="O738" s="1484" t="s">
        <v>309</v>
      </c>
      <c r="P738" s="1484" t="s">
        <v>2434</v>
      </c>
      <c r="Q738" s="1484" t="s">
        <v>293</v>
      </c>
      <c r="R738" s="1484">
        <v>350000.01</v>
      </c>
      <c r="S738" s="1543">
        <v>500000</v>
      </c>
      <c r="T738" s="1484">
        <v>0</v>
      </c>
      <c r="U738" s="1484">
        <f t="shared" si="243"/>
        <v>500000</v>
      </c>
      <c r="V738" s="1484">
        <v>0</v>
      </c>
      <c r="W738" s="1484">
        <v>50</v>
      </c>
      <c r="X738" s="1484">
        <v>0</v>
      </c>
      <c r="Y738" s="1484">
        <v>999</v>
      </c>
      <c r="Z738" s="1487">
        <v>700</v>
      </c>
      <c r="AA738" s="1487">
        <v>719</v>
      </c>
      <c r="AB738" s="1487">
        <v>0</v>
      </c>
      <c r="AC738" s="1487">
        <v>999999</v>
      </c>
      <c r="AD738" s="1484">
        <v>0</v>
      </c>
      <c r="AE738" s="1543">
        <v>80</v>
      </c>
      <c r="AF738" s="144">
        <v>1</v>
      </c>
      <c r="AG738" s="145">
        <v>1</v>
      </c>
      <c r="AH738" s="145">
        <v>1</v>
      </c>
      <c r="AI738" s="145">
        <v>1</v>
      </c>
      <c r="AJ738" s="145">
        <v>0</v>
      </c>
      <c r="AK738" s="145">
        <v>1</v>
      </c>
      <c r="AL738" s="145">
        <v>1</v>
      </c>
      <c r="AM738" s="145">
        <v>1</v>
      </c>
      <c r="AN738" s="145">
        <v>1</v>
      </c>
      <c r="AO738" s="145">
        <v>1</v>
      </c>
      <c r="AP738" s="145">
        <v>1</v>
      </c>
      <c r="AQ738" s="145">
        <v>1</v>
      </c>
      <c r="AR738" s="145">
        <v>1</v>
      </c>
      <c r="AS738" s="145">
        <v>1</v>
      </c>
      <c r="AT738" s="145">
        <v>1</v>
      </c>
      <c r="AU738" s="145">
        <f t="shared" si="236"/>
        <v>0</v>
      </c>
      <c r="AV738" s="145">
        <f t="shared" si="237"/>
        <v>1</v>
      </c>
      <c r="AW738" s="145">
        <f t="shared" si="238"/>
        <v>1</v>
      </c>
      <c r="AX738" s="145">
        <f t="shared" si="244"/>
        <v>1</v>
      </c>
      <c r="AY738" s="145">
        <f t="shared" si="239"/>
        <v>0</v>
      </c>
      <c r="AZ738" s="145">
        <f t="shared" si="240"/>
        <v>1</v>
      </c>
      <c r="BA738" s="146">
        <f t="shared" si="241"/>
        <v>1</v>
      </c>
      <c r="BB738" s="149">
        <f t="shared" si="245"/>
        <v>19</v>
      </c>
      <c r="BC738" s="150">
        <f t="shared" si="246"/>
        <v>18</v>
      </c>
      <c r="BD738" s="150">
        <f t="shared" si="247"/>
        <v>18</v>
      </c>
      <c r="BE738" s="211" t="str">
        <f t="shared" si="248"/>
        <v/>
      </c>
      <c r="BF738" s="205"/>
      <c r="BG738" s="205"/>
      <c r="BH738" s="173">
        <f>IF(AND(Input_Product=Elig!$C738,Elig_MatchAll_Ct&lt;22,$BC738=(Elig_MatchAll_Ct-1),AF738=0),C738,0)</f>
        <v>0</v>
      </c>
      <c r="BI738" s="173">
        <f>IF(AND(Input_Product=Elig!$C738,Elig_MatchAll_Ct&lt;22,$BC738=(Elig_MatchAll_Ct-1),AG738=0),D738,0)</f>
        <v>0</v>
      </c>
      <c r="BJ738" s="173">
        <f>IF(AND(Input_Product=Elig!$C738,Elig_MatchAll_Ct&lt;22,$BC738=(Elig_MatchAll_Ct-1),AH738=0),E738,0)</f>
        <v>0</v>
      </c>
      <c r="BK738" s="173">
        <f>IF(AND(Input_Product=Elig!$C738,Elig_MatchAll_Ct&lt;22,$BC738=(Elig_MatchAll_Ct-1),AI738=0),F738,0)</f>
        <v>0</v>
      </c>
      <c r="BL738" s="173">
        <f>IF(AND(Input_Product=Elig!$C738,Elig_MatchAll_Ct&lt;22,$BC738=(Elig_MatchAll_Ct-1),AJ738=0),G738,0)</f>
        <v>0</v>
      </c>
      <c r="BM738" s="173">
        <f>IF(AND(Input_Product=Elig!$C738,Elig_MatchAll_Ct&lt;22,$BC738=(Elig_MatchAll_Ct-1),AK738=0),H738,0)</f>
        <v>0</v>
      </c>
      <c r="BN738" s="173">
        <f>IF(AND(Input_Product=Elig!$C738,Elig_MatchAll_Ct&lt;22,$BC738=(Elig_MatchAll_Ct-1),AL738=0),I738,0)</f>
        <v>0</v>
      </c>
      <c r="BO738" s="173">
        <f>IF(AND(Input_Product=Elig!$C738,Elig_MatchAll_Ct&lt;22,$BC738=(Elig_MatchAll_Ct-1),AM738=0),J738,0)</f>
        <v>0</v>
      </c>
      <c r="BP738" s="173">
        <f>IF(AND(Input_Product=Elig!$C738,Elig_MatchAll_Ct&lt;22,$BC738=(Elig_MatchAll_Ct-1),AN738=0),K738,0)</f>
        <v>0</v>
      </c>
      <c r="BQ738" s="173">
        <f>IF(AND(Input_Product=Elig!$C738,Elig_MatchAll_Ct&lt;22,$BC738=(Elig_MatchAll_Ct-1),AP738=0),L738,0)</f>
        <v>0</v>
      </c>
      <c r="BR738" s="173">
        <f>IF(AND(Input_Product=Elig!$C738,Elig_MatchAll_Ct&lt;22,$BC738=(Elig_MatchAll_Ct-1),AO738=0),M738,0)</f>
        <v>0</v>
      </c>
      <c r="BS738" s="173">
        <f>IF(AND(Input_Product=Elig!$C738,Elig_MatchAll_Ct&lt;22,$BC738=(Elig_MatchAll_Ct-1),AQ738=0),N738,0)</f>
        <v>0</v>
      </c>
      <c r="BT738" s="173">
        <f>IF(AND(Input_Product=Elig!$C738,Elig_MatchAll_Ct&lt;22,$BC738=(Elig_MatchAll_Ct-1),AR738=0),O738,0)</f>
        <v>0</v>
      </c>
      <c r="BU738" s="173">
        <f>IF(AND(Input_Product=Elig!$C738,Elig_MatchAll_Ct&lt;22,$BC738=(Elig_MatchAll_Ct-1),AS738=0),P738,0)</f>
        <v>0</v>
      </c>
      <c r="BV738" s="174">
        <f>IF(AND(Input_Product=Elig!$C738,Elig_MatchAll_Ct&lt;22,$BC738=(Elig_MatchAll_Ct-1),AT738=0),Q738,0)</f>
        <v>0</v>
      </c>
      <c r="BW738" s="175">
        <f>IF(AND(Input_Product=Elig!$C738,Elig_MatchAll_Ct&lt;22,$BC738=(Elig_MatchAll_Ct-1),AU738=0),R738,0)</f>
        <v>0</v>
      </c>
      <c r="BX738" s="176">
        <f>IF(AND(Input_Product=Elig!$C738,Elig_MatchAll_Ct&lt;22,$BC738=(Elig_MatchAll_Ct-1),AU738=0),S738,0)</f>
        <v>0</v>
      </c>
      <c r="BY738" s="175">
        <f>IF(AND(Input_Product=Elig!$C738,Elig_MatchAll_Ct&lt;22,$BC738=(Elig_MatchAll_Ct-1),AV738=0),T738,0)</f>
        <v>0</v>
      </c>
      <c r="BZ738" s="176">
        <f>IF(AND(Input_Product=Elig!$C738,Elig_MatchAll_Ct&lt;22,$BC738=(Elig_MatchAll_Ct-1),AV738=0),U738,0)</f>
        <v>0</v>
      </c>
      <c r="CA738" s="175">
        <f>IF(AND(Input_Product=Elig!$C738,Elig_MatchAll_Ct&lt;22,$BC738=(Elig_MatchAll_Ct-1),AW738=0),V738,0)</f>
        <v>0</v>
      </c>
      <c r="CB738" s="176">
        <f>IF(AND(Input_Product=Elig!$C738,Elig_MatchAll_Ct&lt;22,$BC738=(Elig_MatchAll_Ct-1),AW738=0),W738,0)</f>
        <v>0</v>
      </c>
      <c r="CC738" s="175">
        <f>IF(AND(Input_Product=Elig!$C738,Elig_MatchAll_Ct&lt;22,$BC738=(Elig_MatchAll_Ct-1),AX738=0),X738,0)</f>
        <v>0</v>
      </c>
      <c r="CD738" s="176">
        <f>IF(AND(Input_Product=Elig!$C738,Elig_MatchAll_Ct&lt;22,$BC738=(Elig_MatchAll_Ct-1),AX738=0),Y738,0)</f>
        <v>0</v>
      </c>
      <c r="CE738" s="175">
        <f>IF(AND(Input_LTV&lt;=AE738,Input_Product=Elig!$C738,Elig_MatchAll_Ct&lt;22,$BC738=(Elig_MatchAll_Ct-1),AY738=0),Z738,0)</f>
        <v>0</v>
      </c>
      <c r="CF738" s="176">
        <f>IF(AND(Input_LTV&lt;=AE738,Input_Product=Elig!$C738,Elig_MatchAll_Ct&lt;22,$BC738=(Elig_MatchAll_Ct-1),AY738=0),AA738,0)</f>
        <v>0</v>
      </c>
      <c r="CG738" s="175">
        <f>IF(AND(Input_Product=Elig!$C738,Elig_MatchAll_Ct&lt;22,$BC738=(Elig_MatchAll_Ct-1),AZ738=0),AB738,0)</f>
        <v>0</v>
      </c>
      <c r="CH738" s="176">
        <f>IF(AND(Input_Product=Elig!$C738,Elig_MatchAll_Ct&lt;22,$BC738=(Elig_MatchAll_Ct-1),AZ738=0),AC738,0)</f>
        <v>0</v>
      </c>
      <c r="CI738" s="175">
        <f>IF(AND(Input_Product=Elig!$C738,Elig_MatchAll_Ct&lt;22,$BC738=(Elig_MatchAll_Ct-1),BA738=0),AD738,0)</f>
        <v>0</v>
      </c>
      <c r="CJ738" s="176">
        <f>IF(AND(Input_Product=Elig!$C738,Elig_MatchAll_Ct&lt;22,$BC738=(Elig_MatchAll_Ct-1),BA738=0),AE738,0)</f>
        <v>0</v>
      </c>
    </row>
    <row r="739" spans="1:88" ht="10.15" customHeight="1" x14ac:dyDescent="0.25">
      <c r="A739" s="1484" t="s">
        <v>76</v>
      </c>
      <c r="B739" s="1484" t="s">
        <v>1937</v>
      </c>
      <c r="C739" s="1485" t="str">
        <f t="shared" si="242"/>
        <v>Second NOO</v>
      </c>
      <c r="D739" s="1484" t="s">
        <v>1338</v>
      </c>
      <c r="E739" s="1484" t="s">
        <v>98</v>
      </c>
      <c r="F739" s="1484" t="s">
        <v>329</v>
      </c>
      <c r="G739" s="1486" t="s">
        <v>302</v>
      </c>
      <c r="H739" s="1486" t="s">
        <v>135</v>
      </c>
      <c r="I739" s="1484" t="s">
        <v>1141</v>
      </c>
      <c r="J739" s="1484" t="s">
        <v>1130</v>
      </c>
      <c r="K739" s="1486" t="s">
        <v>2464</v>
      </c>
      <c r="L739" s="1484" t="s">
        <v>428</v>
      </c>
      <c r="M739" s="1484" t="s">
        <v>1835</v>
      </c>
      <c r="N739" s="1486" t="s">
        <v>1844</v>
      </c>
      <c r="O739" s="1484" t="s">
        <v>309</v>
      </c>
      <c r="P739" s="1484" t="s">
        <v>2434</v>
      </c>
      <c r="Q739" s="1484" t="s">
        <v>293</v>
      </c>
      <c r="R739" s="1484">
        <v>350000.01</v>
      </c>
      <c r="S739" s="1543">
        <v>500000</v>
      </c>
      <c r="T739" s="1484">
        <v>0</v>
      </c>
      <c r="U739" s="1484">
        <f t="shared" si="243"/>
        <v>500000</v>
      </c>
      <c r="V739" s="1484">
        <v>0</v>
      </c>
      <c r="W739" s="1484">
        <v>50</v>
      </c>
      <c r="X739" s="1484">
        <v>0</v>
      </c>
      <c r="Y739" s="1484">
        <v>999</v>
      </c>
      <c r="Z739" s="1487">
        <v>680</v>
      </c>
      <c r="AA739" s="1487">
        <v>699</v>
      </c>
      <c r="AB739" s="1487">
        <v>0</v>
      </c>
      <c r="AC739" s="1487">
        <v>999999</v>
      </c>
      <c r="AD739" s="1484">
        <v>0</v>
      </c>
      <c r="AE739" s="1484">
        <v>70</v>
      </c>
      <c r="AF739" s="144">
        <v>1</v>
      </c>
      <c r="AG739" s="145">
        <v>1</v>
      </c>
      <c r="AH739" s="145">
        <v>1</v>
      </c>
      <c r="AI739" s="145">
        <v>1</v>
      </c>
      <c r="AJ739" s="145">
        <v>0</v>
      </c>
      <c r="AK739" s="145">
        <v>1</v>
      </c>
      <c r="AL739" s="145">
        <v>1</v>
      </c>
      <c r="AM739" s="145">
        <v>1</v>
      </c>
      <c r="AN739" s="145">
        <v>1</v>
      </c>
      <c r="AO739" s="145">
        <v>1</v>
      </c>
      <c r="AP739" s="145">
        <v>1</v>
      </c>
      <c r="AQ739" s="145">
        <v>1</v>
      </c>
      <c r="AR739" s="145">
        <v>1</v>
      </c>
      <c r="AS739" s="145">
        <v>1</v>
      </c>
      <c r="AT739" s="145">
        <v>1</v>
      </c>
      <c r="AU739" s="145">
        <f t="shared" si="236"/>
        <v>0</v>
      </c>
      <c r="AV739" s="145">
        <f t="shared" si="237"/>
        <v>1</v>
      </c>
      <c r="AW739" s="145">
        <f t="shared" si="238"/>
        <v>1</v>
      </c>
      <c r="AX739" s="145">
        <f t="shared" si="244"/>
        <v>1</v>
      </c>
      <c r="AY739" s="145">
        <f t="shared" si="239"/>
        <v>0</v>
      </c>
      <c r="AZ739" s="145">
        <f t="shared" si="240"/>
        <v>1</v>
      </c>
      <c r="BA739" s="146">
        <f t="shared" si="241"/>
        <v>1</v>
      </c>
      <c r="BB739" s="149">
        <f t="shared" si="245"/>
        <v>19</v>
      </c>
      <c r="BC739" s="150">
        <f t="shared" si="246"/>
        <v>18</v>
      </c>
      <c r="BD739" s="150">
        <f t="shared" si="247"/>
        <v>18</v>
      </c>
      <c r="BE739" s="211" t="str">
        <f t="shared" si="248"/>
        <v/>
      </c>
      <c r="BF739" s="205"/>
      <c r="BG739" s="205"/>
      <c r="BH739" s="173">
        <f>IF(AND(Input_Product=Elig!$C739,Elig_MatchAll_Ct&lt;22,$BC739=(Elig_MatchAll_Ct-1),AF739=0),C739,0)</f>
        <v>0</v>
      </c>
      <c r="BI739" s="173">
        <f>IF(AND(Input_Product=Elig!$C739,Elig_MatchAll_Ct&lt;22,$BC739=(Elig_MatchAll_Ct-1),AG739=0),D739,0)</f>
        <v>0</v>
      </c>
      <c r="BJ739" s="173">
        <f>IF(AND(Input_Product=Elig!$C739,Elig_MatchAll_Ct&lt;22,$BC739=(Elig_MatchAll_Ct-1),AH739=0),E739,0)</f>
        <v>0</v>
      </c>
      <c r="BK739" s="173">
        <f>IF(AND(Input_Product=Elig!$C739,Elig_MatchAll_Ct&lt;22,$BC739=(Elig_MatchAll_Ct-1),AI739=0),F739,0)</f>
        <v>0</v>
      </c>
      <c r="BL739" s="173">
        <f>IF(AND(Input_Product=Elig!$C739,Elig_MatchAll_Ct&lt;22,$BC739=(Elig_MatchAll_Ct-1),AJ739=0),G739,0)</f>
        <v>0</v>
      </c>
      <c r="BM739" s="173">
        <f>IF(AND(Input_Product=Elig!$C739,Elig_MatchAll_Ct&lt;22,$BC739=(Elig_MatchAll_Ct-1),AK739=0),H739,0)</f>
        <v>0</v>
      </c>
      <c r="BN739" s="173">
        <f>IF(AND(Input_Product=Elig!$C739,Elig_MatchAll_Ct&lt;22,$BC739=(Elig_MatchAll_Ct-1),AL739=0),I739,0)</f>
        <v>0</v>
      </c>
      <c r="BO739" s="173">
        <f>IF(AND(Input_Product=Elig!$C739,Elig_MatchAll_Ct&lt;22,$BC739=(Elig_MatchAll_Ct-1),AM739=0),J739,0)</f>
        <v>0</v>
      </c>
      <c r="BP739" s="173">
        <f>IF(AND(Input_Product=Elig!$C739,Elig_MatchAll_Ct&lt;22,$BC739=(Elig_MatchAll_Ct-1),AN739=0),K739,0)</f>
        <v>0</v>
      </c>
      <c r="BQ739" s="173">
        <f>IF(AND(Input_Product=Elig!$C739,Elig_MatchAll_Ct&lt;22,$BC739=(Elig_MatchAll_Ct-1),AP739=0),L739,0)</f>
        <v>0</v>
      </c>
      <c r="BR739" s="173">
        <f>IF(AND(Input_Product=Elig!$C739,Elig_MatchAll_Ct&lt;22,$BC739=(Elig_MatchAll_Ct-1),AO739=0),M739,0)</f>
        <v>0</v>
      </c>
      <c r="BS739" s="173">
        <f>IF(AND(Input_Product=Elig!$C739,Elig_MatchAll_Ct&lt;22,$BC739=(Elig_MatchAll_Ct-1),AQ739=0),N739,0)</f>
        <v>0</v>
      </c>
      <c r="BT739" s="173">
        <f>IF(AND(Input_Product=Elig!$C739,Elig_MatchAll_Ct&lt;22,$BC739=(Elig_MatchAll_Ct-1),AR739=0),O739,0)</f>
        <v>0</v>
      </c>
      <c r="BU739" s="173">
        <f>IF(AND(Input_Product=Elig!$C739,Elig_MatchAll_Ct&lt;22,$BC739=(Elig_MatchAll_Ct-1),AS739=0),P739,0)</f>
        <v>0</v>
      </c>
      <c r="BV739" s="174">
        <f>IF(AND(Input_Product=Elig!$C739,Elig_MatchAll_Ct&lt;22,$BC739=(Elig_MatchAll_Ct-1),AT739=0),Q739,0)</f>
        <v>0</v>
      </c>
      <c r="BW739" s="175">
        <f>IF(AND(Input_Product=Elig!$C739,Elig_MatchAll_Ct&lt;22,$BC739=(Elig_MatchAll_Ct-1),AU739=0),R739,0)</f>
        <v>0</v>
      </c>
      <c r="BX739" s="176">
        <f>IF(AND(Input_Product=Elig!$C739,Elig_MatchAll_Ct&lt;22,$BC739=(Elig_MatchAll_Ct-1),AU739=0),S739,0)</f>
        <v>0</v>
      </c>
      <c r="BY739" s="175">
        <f>IF(AND(Input_Product=Elig!$C739,Elig_MatchAll_Ct&lt;22,$BC739=(Elig_MatchAll_Ct-1),AV739=0),T739,0)</f>
        <v>0</v>
      </c>
      <c r="BZ739" s="176">
        <f>IF(AND(Input_Product=Elig!$C739,Elig_MatchAll_Ct&lt;22,$BC739=(Elig_MatchAll_Ct-1),AV739=0),U739,0)</f>
        <v>0</v>
      </c>
      <c r="CA739" s="175">
        <f>IF(AND(Input_Product=Elig!$C739,Elig_MatchAll_Ct&lt;22,$BC739=(Elig_MatchAll_Ct-1),AW739=0),V739,0)</f>
        <v>0</v>
      </c>
      <c r="CB739" s="176">
        <f>IF(AND(Input_Product=Elig!$C739,Elig_MatchAll_Ct&lt;22,$BC739=(Elig_MatchAll_Ct-1),AW739=0),W739,0)</f>
        <v>0</v>
      </c>
      <c r="CC739" s="175">
        <f>IF(AND(Input_Product=Elig!$C739,Elig_MatchAll_Ct&lt;22,$BC739=(Elig_MatchAll_Ct-1),AX739=0),X739,0)</f>
        <v>0</v>
      </c>
      <c r="CD739" s="176">
        <f>IF(AND(Input_Product=Elig!$C739,Elig_MatchAll_Ct&lt;22,$BC739=(Elig_MatchAll_Ct-1),AX739=0),Y739,0)</f>
        <v>0</v>
      </c>
      <c r="CE739" s="175">
        <f>IF(AND(Input_LTV&lt;=AE739,Input_Product=Elig!$C739,Elig_MatchAll_Ct&lt;22,$BC739=(Elig_MatchAll_Ct-1),AY739=0),Z739,0)</f>
        <v>0</v>
      </c>
      <c r="CF739" s="176">
        <f>IF(AND(Input_LTV&lt;=AE739,Input_Product=Elig!$C739,Elig_MatchAll_Ct&lt;22,$BC739=(Elig_MatchAll_Ct-1),AY739=0),AA739,0)</f>
        <v>0</v>
      </c>
      <c r="CG739" s="175">
        <f>IF(AND(Input_Product=Elig!$C739,Elig_MatchAll_Ct&lt;22,$BC739=(Elig_MatchAll_Ct-1),AZ739=0),AB739,0)</f>
        <v>0</v>
      </c>
      <c r="CH739" s="176">
        <f>IF(AND(Input_Product=Elig!$C739,Elig_MatchAll_Ct&lt;22,$BC739=(Elig_MatchAll_Ct-1),AZ739=0),AC739,0)</f>
        <v>0</v>
      </c>
      <c r="CI739" s="175">
        <f>IF(AND(Input_Product=Elig!$C739,Elig_MatchAll_Ct&lt;22,$BC739=(Elig_MatchAll_Ct-1),BA739=0),AD739,0)</f>
        <v>0</v>
      </c>
      <c r="CJ739" s="176">
        <f>IF(AND(Input_Product=Elig!$C739,Elig_MatchAll_Ct&lt;22,$BC739=(Elig_MatchAll_Ct-1),BA739=0),AE739,0)</f>
        <v>0</v>
      </c>
    </row>
    <row r="740" spans="1:88" ht="10.15" customHeight="1" x14ac:dyDescent="0.25">
      <c r="A740" s="1484" t="s">
        <v>76</v>
      </c>
      <c r="B740" s="1484" t="s">
        <v>1938</v>
      </c>
      <c r="C740" s="1485" t="str">
        <f t="shared" si="242"/>
        <v>Second NOO</v>
      </c>
      <c r="D740" s="1484" t="s">
        <v>1338</v>
      </c>
      <c r="E740" s="1484" t="s">
        <v>98</v>
      </c>
      <c r="F740" s="1484" t="s">
        <v>329</v>
      </c>
      <c r="G740" s="1486" t="s">
        <v>302</v>
      </c>
      <c r="H740" s="1486" t="s">
        <v>135</v>
      </c>
      <c r="I740" s="1484" t="s">
        <v>1141</v>
      </c>
      <c r="J740" s="1484" t="s">
        <v>1130</v>
      </c>
      <c r="K740" s="1486" t="s">
        <v>2464</v>
      </c>
      <c r="L740" s="1484" t="s">
        <v>428</v>
      </c>
      <c r="M740" s="1484" t="s">
        <v>1835</v>
      </c>
      <c r="N740" s="1486" t="s">
        <v>1844</v>
      </c>
      <c r="O740" s="1484" t="s">
        <v>309</v>
      </c>
      <c r="P740" s="1484" t="s">
        <v>2434</v>
      </c>
      <c r="Q740" s="1484" t="s">
        <v>293</v>
      </c>
      <c r="R740" s="1484">
        <v>350000.01</v>
      </c>
      <c r="S740" s="1543">
        <v>500000</v>
      </c>
      <c r="T740" s="1484">
        <v>0</v>
      </c>
      <c r="U740" s="1484">
        <f t="shared" si="243"/>
        <v>500000</v>
      </c>
      <c r="V740" s="1484">
        <v>0</v>
      </c>
      <c r="W740" s="1484">
        <v>50</v>
      </c>
      <c r="X740" s="1484">
        <v>0</v>
      </c>
      <c r="Y740" s="1484">
        <v>999</v>
      </c>
      <c r="Z740" s="1487">
        <v>660</v>
      </c>
      <c r="AA740" s="1487">
        <v>679</v>
      </c>
      <c r="AB740" s="1487">
        <v>0</v>
      </c>
      <c r="AC740" s="1487">
        <v>999999</v>
      </c>
      <c r="AD740" s="1484">
        <v>0</v>
      </c>
      <c r="AE740" s="1484">
        <v>65</v>
      </c>
      <c r="AF740" s="144">
        <v>1</v>
      </c>
      <c r="AG740" s="145">
        <v>1</v>
      </c>
      <c r="AH740" s="145">
        <v>1</v>
      </c>
      <c r="AI740" s="145">
        <v>1</v>
      </c>
      <c r="AJ740" s="145">
        <v>0</v>
      </c>
      <c r="AK740" s="145">
        <v>1</v>
      </c>
      <c r="AL740" s="145">
        <v>1</v>
      </c>
      <c r="AM740" s="145">
        <v>1</v>
      </c>
      <c r="AN740" s="145">
        <v>1</v>
      </c>
      <c r="AO740" s="145">
        <v>1</v>
      </c>
      <c r="AP740" s="145">
        <v>1</v>
      </c>
      <c r="AQ740" s="145">
        <v>1</v>
      </c>
      <c r="AR740" s="145">
        <v>1</v>
      </c>
      <c r="AS740" s="145">
        <v>1</v>
      </c>
      <c r="AT740" s="145">
        <v>1</v>
      </c>
      <c r="AU740" s="145">
        <f t="shared" si="236"/>
        <v>0</v>
      </c>
      <c r="AV740" s="145">
        <f t="shared" si="237"/>
        <v>1</v>
      </c>
      <c r="AW740" s="145">
        <f t="shared" si="238"/>
        <v>1</v>
      </c>
      <c r="AX740" s="145">
        <f t="shared" si="244"/>
        <v>1</v>
      </c>
      <c r="AY740" s="145">
        <f t="shared" si="239"/>
        <v>0</v>
      </c>
      <c r="AZ740" s="145">
        <f t="shared" si="240"/>
        <v>1</v>
      </c>
      <c r="BA740" s="146">
        <f t="shared" si="241"/>
        <v>0</v>
      </c>
      <c r="BB740" s="149">
        <f t="shared" si="245"/>
        <v>18</v>
      </c>
      <c r="BC740" s="150">
        <f t="shared" si="246"/>
        <v>18</v>
      </c>
      <c r="BD740" s="150">
        <f t="shared" si="247"/>
        <v>17</v>
      </c>
      <c r="BE740" s="211" t="str">
        <f t="shared" si="248"/>
        <v/>
      </c>
      <c r="BF740" s="205"/>
      <c r="BG740" s="205"/>
      <c r="BH740" s="188">
        <f>IF(AND(Input_Product=Elig!$C740,Elig_MatchAll_Ct&lt;22,$BC740=(Elig_MatchAll_Ct-1),AF740=0),C740,0)</f>
        <v>0</v>
      </c>
      <c r="BI740" s="188">
        <f>IF(AND(Input_Product=Elig!$C740,Elig_MatchAll_Ct&lt;22,$BC740=(Elig_MatchAll_Ct-1),AG740=0),D740,0)</f>
        <v>0</v>
      </c>
      <c r="BJ740" s="188">
        <f>IF(AND(Input_Product=Elig!$C740,Elig_MatchAll_Ct&lt;22,$BC740=(Elig_MatchAll_Ct-1),AH740=0),E740,0)</f>
        <v>0</v>
      </c>
      <c r="BK740" s="188">
        <f>IF(AND(Input_Product=Elig!$C740,Elig_MatchAll_Ct&lt;22,$BC740=(Elig_MatchAll_Ct-1),AI740=0),F740,0)</f>
        <v>0</v>
      </c>
      <c r="BL740" s="188">
        <f>IF(AND(Input_Product=Elig!$C740,Elig_MatchAll_Ct&lt;22,$BC740=(Elig_MatchAll_Ct-1),AJ740=0),G740,0)</f>
        <v>0</v>
      </c>
      <c r="BM740" s="188">
        <f>IF(AND(Input_Product=Elig!$C740,Elig_MatchAll_Ct&lt;22,$BC740=(Elig_MatchAll_Ct-1),AK740=0),H740,0)</f>
        <v>0</v>
      </c>
      <c r="BN740" s="188">
        <f>IF(AND(Input_Product=Elig!$C740,Elig_MatchAll_Ct&lt;22,$BC740=(Elig_MatchAll_Ct-1),AL740=0),I740,0)</f>
        <v>0</v>
      </c>
      <c r="BO740" s="188">
        <f>IF(AND(Input_Product=Elig!$C740,Elig_MatchAll_Ct&lt;22,$BC740=(Elig_MatchAll_Ct-1),AM740=0),J740,0)</f>
        <v>0</v>
      </c>
      <c r="BP740" s="188">
        <f>IF(AND(Input_Product=Elig!$C740,Elig_MatchAll_Ct&lt;22,$BC740=(Elig_MatchAll_Ct-1),AN740=0),K740,0)</f>
        <v>0</v>
      </c>
      <c r="BQ740" s="188">
        <f>IF(AND(Input_Product=Elig!$C740,Elig_MatchAll_Ct&lt;22,$BC740=(Elig_MatchAll_Ct-1),AP740=0),L740,0)</f>
        <v>0</v>
      </c>
      <c r="BR740" s="188">
        <f>IF(AND(Input_Product=Elig!$C740,Elig_MatchAll_Ct&lt;22,$BC740=(Elig_MatchAll_Ct-1),AO740=0),M740,0)</f>
        <v>0</v>
      </c>
      <c r="BS740" s="188">
        <f>IF(AND(Input_Product=Elig!$C740,Elig_MatchAll_Ct&lt;22,$BC740=(Elig_MatchAll_Ct-1),AQ740=0),N740,0)</f>
        <v>0</v>
      </c>
      <c r="BT740" s="188">
        <f>IF(AND(Input_Product=Elig!$C740,Elig_MatchAll_Ct&lt;22,$BC740=(Elig_MatchAll_Ct-1),AR740=0),O740,0)</f>
        <v>0</v>
      </c>
      <c r="BU740" s="188">
        <f>IF(AND(Input_Product=Elig!$C740,Elig_MatchAll_Ct&lt;22,$BC740=(Elig_MatchAll_Ct-1),AS740=0),P740,0)</f>
        <v>0</v>
      </c>
      <c r="BV740" s="189">
        <f>IF(AND(Input_Product=Elig!$C740,Elig_MatchAll_Ct&lt;22,$BC740=(Elig_MatchAll_Ct-1),AT740=0),Q740,0)</f>
        <v>0</v>
      </c>
      <c r="BW740" s="271">
        <f>IF(AND(Input_Product=Elig!$C740,Elig_MatchAll_Ct&lt;22,$BC740=(Elig_MatchAll_Ct-1),AU740=0),R740,0)</f>
        <v>0</v>
      </c>
      <c r="BX740" s="272">
        <f>IF(AND(Input_Product=Elig!$C740,Elig_MatchAll_Ct&lt;22,$BC740=(Elig_MatchAll_Ct-1),AU740=0),S740,0)</f>
        <v>0</v>
      </c>
      <c r="BY740" s="271">
        <f>IF(AND(Input_Product=Elig!$C740,Elig_MatchAll_Ct&lt;22,$BC740=(Elig_MatchAll_Ct-1),AV740=0),T740,0)</f>
        <v>0</v>
      </c>
      <c r="BZ740" s="272">
        <f>IF(AND(Input_Product=Elig!$C740,Elig_MatchAll_Ct&lt;22,$BC740=(Elig_MatchAll_Ct-1),AV740=0),U740,0)</f>
        <v>0</v>
      </c>
      <c r="CA740" s="271">
        <f>IF(AND(Input_Product=Elig!$C740,Elig_MatchAll_Ct&lt;22,$BC740=(Elig_MatchAll_Ct-1),AW740=0),V740,0)</f>
        <v>0</v>
      </c>
      <c r="CB740" s="272">
        <f>IF(AND(Input_Product=Elig!$C740,Elig_MatchAll_Ct&lt;22,$BC740=(Elig_MatchAll_Ct-1),AW740=0),W740,0)</f>
        <v>0</v>
      </c>
      <c r="CC740" s="271">
        <f>IF(AND(Input_Product=Elig!$C740,Elig_MatchAll_Ct&lt;22,$BC740=(Elig_MatchAll_Ct-1),AX740=0),X740,0)</f>
        <v>0</v>
      </c>
      <c r="CD740" s="272">
        <f>IF(AND(Input_Product=Elig!$C740,Elig_MatchAll_Ct&lt;22,$BC740=(Elig_MatchAll_Ct-1),AX740=0),Y740,0)</f>
        <v>0</v>
      </c>
      <c r="CE740" s="271">
        <f>IF(AND(Input_LTV&lt;=AE740,Input_Product=Elig!$C740,Elig_MatchAll_Ct&lt;22,$BC740=(Elig_MatchAll_Ct-1),AY740=0),Z740,0)</f>
        <v>0</v>
      </c>
      <c r="CF740" s="272">
        <f>IF(AND(Input_LTV&lt;=AE740,Input_Product=Elig!$C740,Elig_MatchAll_Ct&lt;22,$BC740=(Elig_MatchAll_Ct-1),AY740=0),AA740,0)</f>
        <v>0</v>
      </c>
      <c r="CG740" s="271">
        <f>IF(AND(Input_Product=Elig!$C740,Elig_MatchAll_Ct&lt;22,$BC740=(Elig_MatchAll_Ct-1),AZ740=0),AB740,0)</f>
        <v>0</v>
      </c>
      <c r="CH740" s="272">
        <f>IF(AND(Input_Product=Elig!$C740,Elig_MatchAll_Ct&lt;22,$BC740=(Elig_MatchAll_Ct-1),AZ740=0),AC740,0)</f>
        <v>0</v>
      </c>
      <c r="CI740" s="271">
        <f>IF(AND(Input_Product=Elig!$C740,Elig_MatchAll_Ct&lt;22,$BC740=(Elig_MatchAll_Ct-1),BA740=0),AD740,0)</f>
        <v>0</v>
      </c>
      <c r="CJ740" s="272">
        <f>IF(AND(Input_Product=Elig!$C740,Elig_MatchAll_Ct&lt;22,$BC740=(Elig_MatchAll_Ct-1),BA740=0),AE740,0)</f>
        <v>0</v>
      </c>
    </row>
    <row r="741" spans="1:88" ht="10.15" customHeight="1" x14ac:dyDescent="0.25">
      <c r="A741" s="1484" t="s">
        <v>76</v>
      </c>
      <c r="B741" s="1484" t="s">
        <v>1939</v>
      </c>
      <c r="C741" s="1489" t="str">
        <f t="shared" si="242"/>
        <v>Second NOO</v>
      </c>
      <c r="D741" s="1490" t="s">
        <v>1338</v>
      </c>
      <c r="E741" s="1490" t="s">
        <v>98</v>
      </c>
      <c r="F741" s="1490" t="s">
        <v>329</v>
      </c>
      <c r="G741" s="1537" t="s">
        <v>174</v>
      </c>
      <c r="H741" s="1490" t="s">
        <v>444</v>
      </c>
      <c r="I741" s="1488" t="s">
        <v>1141</v>
      </c>
      <c r="J741" s="1488" t="s">
        <v>1130</v>
      </c>
      <c r="K741" s="1490" t="s">
        <v>2464</v>
      </c>
      <c r="L741" s="1488" t="s">
        <v>428</v>
      </c>
      <c r="M741" s="1488" t="s">
        <v>1835</v>
      </c>
      <c r="N741" s="1490" t="s">
        <v>1844</v>
      </c>
      <c r="O741" s="1488" t="s">
        <v>309</v>
      </c>
      <c r="P741" s="1488" t="s">
        <v>2434</v>
      </c>
      <c r="Q741" s="1488" t="s">
        <v>293</v>
      </c>
      <c r="R741" s="1488">
        <v>350000.01</v>
      </c>
      <c r="S741" s="1542">
        <v>500000</v>
      </c>
      <c r="T741" s="1488">
        <v>0</v>
      </c>
      <c r="U741" s="1488">
        <f t="shared" si="243"/>
        <v>500000</v>
      </c>
      <c r="V741" s="1488">
        <v>0</v>
      </c>
      <c r="W741" s="1488">
        <v>50</v>
      </c>
      <c r="X741" s="1488">
        <v>0</v>
      </c>
      <c r="Y741" s="1488">
        <v>999</v>
      </c>
      <c r="Z741" s="1491">
        <v>720</v>
      </c>
      <c r="AA741" s="1491">
        <v>999</v>
      </c>
      <c r="AB741" s="1491">
        <v>0</v>
      </c>
      <c r="AC741" s="1491">
        <v>999999</v>
      </c>
      <c r="AD741" s="1488">
        <v>0</v>
      </c>
      <c r="AE741" s="1542">
        <v>75</v>
      </c>
      <c r="AF741" s="144">
        <v>1</v>
      </c>
      <c r="AG741" s="145">
        <v>1</v>
      </c>
      <c r="AH741" s="145">
        <v>1</v>
      </c>
      <c r="AI741" s="145">
        <v>1</v>
      </c>
      <c r="AJ741" s="145">
        <v>0</v>
      </c>
      <c r="AK741" s="145">
        <v>0</v>
      </c>
      <c r="AL741" s="145">
        <v>1</v>
      </c>
      <c r="AM741" s="145">
        <v>1</v>
      </c>
      <c r="AN741" s="145">
        <v>1</v>
      </c>
      <c r="AO741" s="145">
        <v>1</v>
      </c>
      <c r="AP741" s="145">
        <v>1</v>
      </c>
      <c r="AQ741" s="145">
        <v>1</v>
      </c>
      <c r="AR741" s="145">
        <v>1</v>
      </c>
      <c r="AS741" s="145">
        <v>1</v>
      </c>
      <c r="AT741" s="145">
        <v>1</v>
      </c>
      <c r="AU741" s="145">
        <f t="shared" si="236"/>
        <v>0</v>
      </c>
      <c r="AV741" s="145">
        <f t="shared" si="237"/>
        <v>1</v>
      </c>
      <c r="AW741" s="145">
        <f t="shared" si="238"/>
        <v>1</v>
      </c>
      <c r="AX741" s="145">
        <f t="shared" si="244"/>
        <v>1</v>
      </c>
      <c r="AY741" s="145">
        <f t="shared" si="239"/>
        <v>1</v>
      </c>
      <c r="AZ741" s="145">
        <f t="shared" si="240"/>
        <v>1</v>
      </c>
      <c r="BA741" s="146">
        <f t="shared" si="241"/>
        <v>1</v>
      </c>
      <c r="BB741" s="149">
        <f t="shared" si="245"/>
        <v>19</v>
      </c>
      <c r="BC741" s="150">
        <f t="shared" si="246"/>
        <v>18</v>
      </c>
      <c r="BD741" s="150">
        <f t="shared" si="247"/>
        <v>18</v>
      </c>
      <c r="BE741" s="211" t="str">
        <f t="shared" si="248"/>
        <v/>
      </c>
      <c r="BF741" s="194"/>
      <c r="BG741" s="194"/>
      <c r="BH741" s="190">
        <f>IF(AND(Input_Product=Elig!$C741,Elig_MatchAll_Ct&lt;22,$BC741=(Elig_MatchAll_Ct-1),AF741=0),C741,0)</f>
        <v>0</v>
      </c>
      <c r="BI741" s="190">
        <f>IF(AND(Input_Product=Elig!$C741,Elig_MatchAll_Ct&lt;22,$BC741=(Elig_MatchAll_Ct-1),AG741=0),D741,0)</f>
        <v>0</v>
      </c>
      <c r="BJ741" s="190">
        <f>IF(AND(Input_Product=Elig!$C741,Elig_MatchAll_Ct&lt;22,$BC741=(Elig_MatchAll_Ct-1),AH741=0),E741,0)</f>
        <v>0</v>
      </c>
      <c r="BK741" s="190">
        <f>IF(AND(Input_Product=Elig!$C741,Elig_MatchAll_Ct&lt;22,$BC741=(Elig_MatchAll_Ct-1),AI741=0),F741,0)</f>
        <v>0</v>
      </c>
      <c r="BL741" s="190">
        <f>IF(AND(Input_Product=Elig!$C741,Elig_MatchAll_Ct&lt;22,$BC741=(Elig_MatchAll_Ct-1),AJ741=0),G741,0)</f>
        <v>0</v>
      </c>
      <c r="BM741" s="190">
        <f>IF(AND(Input_Product=Elig!$C741,Elig_MatchAll_Ct&lt;22,$BC741=(Elig_MatchAll_Ct-1),AK741=0),H741,0)</f>
        <v>0</v>
      </c>
      <c r="BN741" s="190">
        <f>IF(AND(Input_Product=Elig!$C741,Elig_MatchAll_Ct&lt;22,$BC741=(Elig_MatchAll_Ct-1),AL741=0),I741,0)</f>
        <v>0</v>
      </c>
      <c r="BO741" s="190">
        <f>IF(AND(Input_Product=Elig!$C741,Elig_MatchAll_Ct&lt;22,$BC741=(Elig_MatchAll_Ct-1),AM741=0),J741,0)</f>
        <v>0</v>
      </c>
      <c r="BP741" s="190">
        <f>IF(AND(Input_Product=Elig!$C741,Elig_MatchAll_Ct&lt;22,$BC741=(Elig_MatchAll_Ct-1),AN741=0),K741,0)</f>
        <v>0</v>
      </c>
      <c r="BQ741" s="190">
        <f>IF(AND(Input_Product=Elig!$C741,Elig_MatchAll_Ct&lt;22,$BC741=(Elig_MatchAll_Ct-1),AP741=0),L741,0)</f>
        <v>0</v>
      </c>
      <c r="BR741" s="190">
        <f>IF(AND(Input_Product=Elig!$C741,Elig_MatchAll_Ct&lt;22,$BC741=(Elig_MatchAll_Ct-1),AO741=0),M741,0)</f>
        <v>0</v>
      </c>
      <c r="BS741" s="190">
        <f>IF(AND(Input_Product=Elig!$C741,Elig_MatchAll_Ct&lt;22,$BC741=(Elig_MatchAll_Ct-1),AQ741=0),N741,0)</f>
        <v>0</v>
      </c>
      <c r="BT741" s="190">
        <f>IF(AND(Input_Product=Elig!$C741,Elig_MatchAll_Ct&lt;22,$BC741=(Elig_MatchAll_Ct-1),AR741=0),O741,0)</f>
        <v>0</v>
      </c>
      <c r="BU741" s="190">
        <f>IF(AND(Input_Product=Elig!$C741,Elig_MatchAll_Ct&lt;22,$BC741=(Elig_MatchAll_Ct-1),AS741=0),P741,0)</f>
        <v>0</v>
      </c>
      <c r="BV741" s="191">
        <f>IF(AND(Input_Product=Elig!$C741,Elig_MatchAll_Ct&lt;22,$BC741=(Elig_MatchAll_Ct-1),AT741=0),Q741,0)</f>
        <v>0</v>
      </c>
      <c r="BW741" s="273">
        <f>IF(AND(Input_Product=Elig!$C741,Elig_MatchAll_Ct&lt;22,$BC741=(Elig_MatchAll_Ct-1),AU741=0),R741,0)</f>
        <v>0</v>
      </c>
      <c r="BX741" s="274">
        <f>IF(AND(Input_Product=Elig!$C741,Elig_MatchAll_Ct&lt;22,$BC741=(Elig_MatchAll_Ct-1),AU741=0),S741,0)</f>
        <v>0</v>
      </c>
      <c r="BY741" s="273">
        <f>IF(AND(Input_Product=Elig!$C741,Elig_MatchAll_Ct&lt;22,$BC741=(Elig_MatchAll_Ct-1),AV741=0),T741,0)</f>
        <v>0</v>
      </c>
      <c r="BZ741" s="274">
        <f>IF(AND(Input_Product=Elig!$C741,Elig_MatchAll_Ct&lt;22,$BC741=(Elig_MatchAll_Ct-1),AV741=0),U741,0)</f>
        <v>0</v>
      </c>
      <c r="CA741" s="273">
        <f>IF(AND(Input_Product=Elig!$C741,Elig_MatchAll_Ct&lt;22,$BC741=(Elig_MatchAll_Ct-1),AW741=0),V741,0)</f>
        <v>0</v>
      </c>
      <c r="CB741" s="274">
        <f>IF(AND(Input_Product=Elig!$C741,Elig_MatchAll_Ct&lt;22,$BC741=(Elig_MatchAll_Ct-1),AW741=0),W741,0)</f>
        <v>0</v>
      </c>
      <c r="CC741" s="273">
        <f>IF(AND(Input_Product=Elig!$C741,Elig_MatchAll_Ct&lt;22,$BC741=(Elig_MatchAll_Ct-1),AX741=0),X741,0)</f>
        <v>0</v>
      </c>
      <c r="CD741" s="274">
        <f>IF(AND(Input_Product=Elig!$C741,Elig_MatchAll_Ct&lt;22,$BC741=(Elig_MatchAll_Ct-1),AX741=0),Y741,0)</f>
        <v>0</v>
      </c>
      <c r="CE741" s="273">
        <f>IF(AND(Input_LTV&lt;=AE741,Input_Product=Elig!$C741,Elig_MatchAll_Ct&lt;22,$BC741=(Elig_MatchAll_Ct-1),AY741=0),Z741,0)</f>
        <v>0</v>
      </c>
      <c r="CF741" s="274">
        <f>IF(AND(Input_LTV&lt;=AE741,Input_Product=Elig!$C741,Elig_MatchAll_Ct&lt;22,$BC741=(Elig_MatchAll_Ct-1),AY741=0),AA741,0)</f>
        <v>0</v>
      </c>
      <c r="CG741" s="273">
        <f>IF(AND(Input_Product=Elig!$C741,Elig_MatchAll_Ct&lt;22,$BC741=(Elig_MatchAll_Ct-1),AZ741=0),AB741,0)</f>
        <v>0</v>
      </c>
      <c r="CH741" s="274">
        <f>IF(AND(Input_Product=Elig!$C741,Elig_MatchAll_Ct&lt;22,$BC741=(Elig_MatchAll_Ct-1),AZ741=0),AC741,0)</f>
        <v>0</v>
      </c>
      <c r="CI741" s="273">
        <f>IF(AND(Input_Product=Elig!$C741,Elig_MatchAll_Ct&lt;22,$BC741=(Elig_MatchAll_Ct-1),BA741=0),AD741,0)</f>
        <v>0</v>
      </c>
      <c r="CJ741" s="274">
        <f>IF(AND(Input_Product=Elig!$C741,Elig_MatchAll_Ct&lt;22,$BC741=(Elig_MatchAll_Ct-1),BA741=0),AE741,0)</f>
        <v>0</v>
      </c>
    </row>
    <row r="742" spans="1:88" ht="10.15" customHeight="1" x14ac:dyDescent="0.25">
      <c r="A742" s="1484" t="s">
        <v>76</v>
      </c>
      <c r="B742" s="1484" t="s">
        <v>1940</v>
      </c>
      <c r="C742" s="1485" t="str">
        <f t="shared" si="242"/>
        <v>Second NOO</v>
      </c>
      <c r="D742" s="1484" t="s">
        <v>1338</v>
      </c>
      <c r="E742" s="1484" t="s">
        <v>98</v>
      </c>
      <c r="F742" s="1484" t="s">
        <v>329</v>
      </c>
      <c r="G742" s="1544" t="s">
        <v>174</v>
      </c>
      <c r="H742" s="1486" t="s">
        <v>444</v>
      </c>
      <c r="I742" s="1484" t="s">
        <v>1141</v>
      </c>
      <c r="J742" s="1484" t="s">
        <v>1130</v>
      </c>
      <c r="K742" s="1486" t="s">
        <v>2464</v>
      </c>
      <c r="L742" s="1484" t="s">
        <v>428</v>
      </c>
      <c r="M742" s="1484" t="s">
        <v>1835</v>
      </c>
      <c r="N742" s="1486" t="s">
        <v>1844</v>
      </c>
      <c r="O742" s="1484" t="s">
        <v>309</v>
      </c>
      <c r="P742" s="1484" t="s">
        <v>2434</v>
      </c>
      <c r="Q742" s="1484" t="s">
        <v>293</v>
      </c>
      <c r="R742" s="1484">
        <v>350000.01</v>
      </c>
      <c r="S742" s="1543">
        <v>500000</v>
      </c>
      <c r="T742" s="1484">
        <v>0</v>
      </c>
      <c r="U742" s="1484">
        <f t="shared" si="243"/>
        <v>500000</v>
      </c>
      <c r="V742" s="1484">
        <v>0</v>
      </c>
      <c r="W742" s="1484">
        <v>50</v>
      </c>
      <c r="X742" s="1484">
        <v>0</v>
      </c>
      <c r="Y742" s="1484">
        <v>999</v>
      </c>
      <c r="Z742" s="1487">
        <v>700</v>
      </c>
      <c r="AA742" s="1487">
        <v>719</v>
      </c>
      <c r="AB742" s="1487">
        <v>0</v>
      </c>
      <c r="AC742" s="1487">
        <v>999999</v>
      </c>
      <c r="AD742" s="1484">
        <v>0</v>
      </c>
      <c r="AE742" s="1543">
        <v>70</v>
      </c>
      <c r="AF742" s="144">
        <v>1</v>
      </c>
      <c r="AG742" s="145">
        <v>1</v>
      </c>
      <c r="AH742" s="145">
        <v>1</v>
      </c>
      <c r="AI742" s="145">
        <v>1</v>
      </c>
      <c r="AJ742" s="145">
        <v>0</v>
      </c>
      <c r="AK742" s="145">
        <v>0</v>
      </c>
      <c r="AL742" s="145">
        <v>1</v>
      </c>
      <c r="AM742" s="145">
        <v>1</v>
      </c>
      <c r="AN742" s="145">
        <v>1</v>
      </c>
      <c r="AO742" s="145">
        <v>1</v>
      </c>
      <c r="AP742" s="145">
        <v>1</v>
      </c>
      <c r="AQ742" s="145">
        <v>1</v>
      </c>
      <c r="AR742" s="145">
        <v>1</v>
      </c>
      <c r="AS742" s="145">
        <v>1</v>
      </c>
      <c r="AT742" s="145">
        <v>1</v>
      </c>
      <c r="AU742" s="145">
        <f t="shared" si="236"/>
        <v>0</v>
      </c>
      <c r="AV742" s="145">
        <f t="shared" si="237"/>
        <v>1</v>
      </c>
      <c r="AW742" s="145">
        <f t="shared" si="238"/>
        <v>1</v>
      </c>
      <c r="AX742" s="145">
        <f t="shared" si="244"/>
        <v>1</v>
      </c>
      <c r="AY742" s="145">
        <f t="shared" si="239"/>
        <v>0</v>
      </c>
      <c r="AZ742" s="145">
        <f t="shared" si="240"/>
        <v>1</v>
      </c>
      <c r="BA742" s="146">
        <f t="shared" si="241"/>
        <v>1</v>
      </c>
      <c r="BB742" s="149">
        <f t="shared" si="245"/>
        <v>18</v>
      </c>
      <c r="BC742" s="150">
        <f t="shared" si="246"/>
        <v>17</v>
      </c>
      <c r="BD742" s="150">
        <f t="shared" si="247"/>
        <v>17</v>
      </c>
      <c r="BE742" s="211" t="str">
        <f t="shared" si="248"/>
        <v/>
      </c>
      <c r="BF742" s="205"/>
      <c r="BG742" s="205"/>
      <c r="BH742" s="173">
        <f>IF(AND(Input_Product=Elig!$C742,Elig_MatchAll_Ct&lt;22,$BC742=(Elig_MatchAll_Ct-1),AF742=0),C742,0)</f>
        <v>0</v>
      </c>
      <c r="BI742" s="173">
        <f>IF(AND(Input_Product=Elig!$C742,Elig_MatchAll_Ct&lt;22,$BC742=(Elig_MatchAll_Ct-1),AG742=0),D742,0)</f>
        <v>0</v>
      </c>
      <c r="BJ742" s="173">
        <f>IF(AND(Input_Product=Elig!$C742,Elig_MatchAll_Ct&lt;22,$BC742=(Elig_MatchAll_Ct-1),AH742=0),E742,0)</f>
        <v>0</v>
      </c>
      <c r="BK742" s="173">
        <f>IF(AND(Input_Product=Elig!$C742,Elig_MatchAll_Ct&lt;22,$BC742=(Elig_MatchAll_Ct-1),AI742=0),F742,0)</f>
        <v>0</v>
      </c>
      <c r="BL742" s="173">
        <f>IF(AND(Input_Product=Elig!$C742,Elig_MatchAll_Ct&lt;22,$BC742=(Elig_MatchAll_Ct-1),AJ742=0),G742,0)</f>
        <v>0</v>
      </c>
      <c r="BM742" s="173">
        <f>IF(AND(Input_Product=Elig!$C742,Elig_MatchAll_Ct&lt;22,$BC742=(Elig_MatchAll_Ct-1),AK742=0),H742,0)</f>
        <v>0</v>
      </c>
      <c r="BN742" s="173">
        <f>IF(AND(Input_Product=Elig!$C742,Elig_MatchAll_Ct&lt;22,$BC742=(Elig_MatchAll_Ct-1),AL742=0),I742,0)</f>
        <v>0</v>
      </c>
      <c r="BO742" s="173">
        <f>IF(AND(Input_Product=Elig!$C742,Elig_MatchAll_Ct&lt;22,$BC742=(Elig_MatchAll_Ct-1),AM742=0),J742,0)</f>
        <v>0</v>
      </c>
      <c r="BP742" s="173">
        <f>IF(AND(Input_Product=Elig!$C742,Elig_MatchAll_Ct&lt;22,$BC742=(Elig_MatchAll_Ct-1),AN742=0),K742,0)</f>
        <v>0</v>
      </c>
      <c r="BQ742" s="173">
        <f>IF(AND(Input_Product=Elig!$C742,Elig_MatchAll_Ct&lt;22,$BC742=(Elig_MatchAll_Ct-1),AP742=0),L742,0)</f>
        <v>0</v>
      </c>
      <c r="BR742" s="173">
        <f>IF(AND(Input_Product=Elig!$C742,Elig_MatchAll_Ct&lt;22,$BC742=(Elig_MatchAll_Ct-1),AO742=0),M742,0)</f>
        <v>0</v>
      </c>
      <c r="BS742" s="173">
        <f>IF(AND(Input_Product=Elig!$C742,Elig_MatchAll_Ct&lt;22,$BC742=(Elig_MatchAll_Ct-1),AQ742=0),N742,0)</f>
        <v>0</v>
      </c>
      <c r="BT742" s="173">
        <f>IF(AND(Input_Product=Elig!$C742,Elig_MatchAll_Ct&lt;22,$BC742=(Elig_MatchAll_Ct-1),AR742=0),O742,0)</f>
        <v>0</v>
      </c>
      <c r="BU742" s="173">
        <f>IF(AND(Input_Product=Elig!$C742,Elig_MatchAll_Ct&lt;22,$BC742=(Elig_MatchAll_Ct-1),AS742=0),P742,0)</f>
        <v>0</v>
      </c>
      <c r="BV742" s="174">
        <f>IF(AND(Input_Product=Elig!$C742,Elig_MatchAll_Ct&lt;22,$BC742=(Elig_MatchAll_Ct-1),AT742=0),Q742,0)</f>
        <v>0</v>
      </c>
      <c r="BW742" s="175">
        <f>IF(AND(Input_Product=Elig!$C742,Elig_MatchAll_Ct&lt;22,$BC742=(Elig_MatchAll_Ct-1),AU742=0),R742,0)</f>
        <v>0</v>
      </c>
      <c r="BX742" s="176">
        <f>IF(AND(Input_Product=Elig!$C742,Elig_MatchAll_Ct&lt;22,$BC742=(Elig_MatchAll_Ct-1),AU742=0),S742,0)</f>
        <v>0</v>
      </c>
      <c r="BY742" s="175">
        <f>IF(AND(Input_Product=Elig!$C742,Elig_MatchAll_Ct&lt;22,$BC742=(Elig_MatchAll_Ct-1),AV742=0),T742,0)</f>
        <v>0</v>
      </c>
      <c r="BZ742" s="176">
        <f>IF(AND(Input_Product=Elig!$C742,Elig_MatchAll_Ct&lt;22,$BC742=(Elig_MatchAll_Ct-1),AV742=0),U742,0)</f>
        <v>0</v>
      </c>
      <c r="CA742" s="175">
        <f>IF(AND(Input_Product=Elig!$C742,Elig_MatchAll_Ct&lt;22,$BC742=(Elig_MatchAll_Ct-1),AW742=0),V742,0)</f>
        <v>0</v>
      </c>
      <c r="CB742" s="176">
        <f>IF(AND(Input_Product=Elig!$C742,Elig_MatchAll_Ct&lt;22,$BC742=(Elig_MatchAll_Ct-1),AW742=0),W742,0)</f>
        <v>0</v>
      </c>
      <c r="CC742" s="175">
        <f>IF(AND(Input_Product=Elig!$C742,Elig_MatchAll_Ct&lt;22,$BC742=(Elig_MatchAll_Ct-1),AX742=0),X742,0)</f>
        <v>0</v>
      </c>
      <c r="CD742" s="176">
        <f>IF(AND(Input_Product=Elig!$C742,Elig_MatchAll_Ct&lt;22,$BC742=(Elig_MatchAll_Ct-1),AX742=0),Y742,0)</f>
        <v>0</v>
      </c>
      <c r="CE742" s="175">
        <f>IF(AND(Input_LTV&lt;=AE742,Input_Product=Elig!$C742,Elig_MatchAll_Ct&lt;22,$BC742=(Elig_MatchAll_Ct-1),AY742=0),Z742,0)</f>
        <v>0</v>
      </c>
      <c r="CF742" s="176">
        <f>IF(AND(Input_LTV&lt;=AE742,Input_Product=Elig!$C742,Elig_MatchAll_Ct&lt;22,$BC742=(Elig_MatchAll_Ct-1),AY742=0),AA742,0)</f>
        <v>0</v>
      </c>
      <c r="CG742" s="175">
        <f>IF(AND(Input_Product=Elig!$C742,Elig_MatchAll_Ct&lt;22,$BC742=(Elig_MatchAll_Ct-1),AZ742=0),AB742,0)</f>
        <v>0</v>
      </c>
      <c r="CH742" s="176">
        <f>IF(AND(Input_Product=Elig!$C742,Elig_MatchAll_Ct&lt;22,$BC742=(Elig_MatchAll_Ct-1),AZ742=0),AC742,0)</f>
        <v>0</v>
      </c>
      <c r="CI742" s="175">
        <f>IF(AND(Input_Product=Elig!$C742,Elig_MatchAll_Ct&lt;22,$BC742=(Elig_MatchAll_Ct-1),BA742=0),AD742,0)</f>
        <v>0</v>
      </c>
      <c r="CJ742" s="176">
        <f>IF(AND(Input_Product=Elig!$C742,Elig_MatchAll_Ct&lt;22,$BC742=(Elig_MatchAll_Ct-1),BA742=0),AE742,0)</f>
        <v>0</v>
      </c>
    </row>
    <row r="743" spans="1:88" ht="10.15" customHeight="1" x14ac:dyDescent="0.25">
      <c r="A743" s="1484" t="s">
        <v>76</v>
      </c>
      <c r="B743" s="1484" t="s">
        <v>1941</v>
      </c>
      <c r="C743" s="1485" t="str">
        <f t="shared" si="242"/>
        <v>Second NOO</v>
      </c>
      <c r="D743" s="1484" t="s">
        <v>1338</v>
      </c>
      <c r="E743" s="1484" t="s">
        <v>98</v>
      </c>
      <c r="F743" s="1484" t="s">
        <v>329</v>
      </c>
      <c r="G743" s="1544" t="s">
        <v>174</v>
      </c>
      <c r="H743" s="1486" t="s">
        <v>444</v>
      </c>
      <c r="I743" s="1484" t="s">
        <v>1141</v>
      </c>
      <c r="J743" s="1484" t="s">
        <v>1130</v>
      </c>
      <c r="K743" s="1486" t="s">
        <v>2464</v>
      </c>
      <c r="L743" s="1484" t="s">
        <v>428</v>
      </c>
      <c r="M743" s="1484" t="s">
        <v>1835</v>
      </c>
      <c r="N743" s="1486" t="s">
        <v>1844</v>
      </c>
      <c r="O743" s="1484" t="s">
        <v>309</v>
      </c>
      <c r="P743" s="1484" t="s">
        <v>2434</v>
      </c>
      <c r="Q743" s="1484" t="s">
        <v>293</v>
      </c>
      <c r="R743" s="1484">
        <v>350000.01</v>
      </c>
      <c r="S743" s="1543">
        <v>500000</v>
      </c>
      <c r="T743" s="1484">
        <v>0</v>
      </c>
      <c r="U743" s="1484">
        <f t="shared" si="243"/>
        <v>500000</v>
      </c>
      <c r="V743" s="1484">
        <v>0</v>
      </c>
      <c r="W743" s="1484">
        <v>50</v>
      </c>
      <c r="X743" s="1484">
        <v>0</v>
      </c>
      <c r="Y743" s="1484">
        <v>999</v>
      </c>
      <c r="Z743" s="1487">
        <v>680</v>
      </c>
      <c r="AA743" s="1487">
        <v>699</v>
      </c>
      <c r="AB743" s="1487">
        <v>0</v>
      </c>
      <c r="AC743" s="1487">
        <v>999999</v>
      </c>
      <c r="AD743" s="1484">
        <v>0</v>
      </c>
      <c r="AE743" s="1543">
        <v>65</v>
      </c>
      <c r="AF743" s="144">
        <v>1</v>
      </c>
      <c r="AG743" s="145">
        <v>1</v>
      </c>
      <c r="AH743" s="145">
        <v>1</v>
      </c>
      <c r="AI743" s="145">
        <v>1</v>
      </c>
      <c r="AJ743" s="145">
        <v>0</v>
      </c>
      <c r="AK743" s="145">
        <v>0</v>
      </c>
      <c r="AL743" s="145">
        <v>1</v>
      </c>
      <c r="AM743" s="145">
        <v>1</v>
      </c>
      <c r="AN743" s="145">
        <v>1</v>
      </c>
      <c r="AO743" s="145">
        <v>1</v>
      </c>
      <c r="AP743" s="145">
        <v>1</v>
      </c>
      <c r="AQ743" s="145">
        <v>1</v>
      </c>
      <c r="AR743" s="145">
        <v>1</v>
      </c>
      <c r="AS743" s="145">
        <v>1</v>
      </c>
      <c r="AT743" s="145">
        <v>1</v>
      </c>
      <c r="AU743" s="145">
        <f t="shared" si="236"/>
        <v>0</v>
      </c>
      <c r="AV743" s="145">
        <f t="shared" si="237"/>
        <v>1</v>
      </c>
      <c r="AW743" s="145">
        <f t="shared" si="238"/>
        <v>1</v>
      </c>
      <c r="AX743" s="145">
        <f t="shared" si="244"/>
        <v>1</v>
      </c>
      <c r="AY743" s="145">
        <f t="shared" si="239"/>
        <v>0</v>
      </c>
      <c r="AZ743" s="145">
        <f t="shared" si="240"/>
        <v>1</v>
      </c>
      <c r="BA743" s="146">
        <f t="shared" si="241"/>
        <v>0</v>
      </c>
      <c r="BB743" s="149">
        <f t="shared" si="245"/>
        <v>17</v>
      </c>
      <c r="BC743" s="150">
        <f t="shared" si="246"/>
        <v>17</v>
      </c>
      <c r="BD743" s="150">
        <f t="shared" si="247"/>
        <v>16</v>
      </c>
      <c r="BE743" s="211" t="str">
        <f t="shared" si="248"/>
        <v/>
      </c>
      <c r="BF743" s="205"/>
      <c r="BG743" s="205"/>
      <c r="BH743" s="173">
        <f>IF(AND(Input_Product=Elig!$C743,Elig_MatchAll_Ct&lt;22,$BC743=(Elig_MatchAll_Ct-1),AF743=0),C743,0)</f>
        <v>0</v>
      </c>
      <c r="BI743" s="173">
        <f>IF(AND(Input_Product=Elig!$C743,Elig_MatchAll_Ct&lt;22,$BC743=(Elig_MatchAll_Ct-1),AG743=0),D743,0)</f>
        <v>0</v>
      </c>
      <c r="BJ743" s="173">
        <f>IF(AND(Input_Product=Elig!$C743,Elig_MatchAll_Ct&lt;22,$BC743=(Elig_MatchAll_Ct-1),AH743=0),E743,0)</f>
        <v>0</v>
      </c>
      <c r="BK743" s="173">
        <f>IF(AND(Input_Product=Elig!$C743,Elig_MatchAll_Ct&lt;22,$BC743=(Elig_MatchAll_Ct-1),AI743=0),F743,0)</f>
        <v>0</v>
      </c>
      <c r="BL743" s="173">
        <f>IF(AND(Input_Product=Elig!$C743,Elig_MatchAll_Ct&lt;22,$BC743=(Elig_MatchAll_Ct-1),AJ743=0),G743,0)</f>
        <v>0</v>
      </c>
      <c r="BM743" s="173">
        <f>IF(AND(Input_Product=Elig!$C743,Elig_MatchAll_Ct&lt;22,$BC743=(Elig_MatchAll_Ct-1),AK743=0),H743,0)</f>
        <v>0</v>
      </c>
      <c r="BN743" s="173">
        <f>IF(AND(Input_Product=Elig!$C743,Elig_MatchAll_Ct&lt;22,$BC743=(Elig_MatchAll_Ct-1),AL743=0),I743,0)</f>
        <v>0</v>
      </c>
      <c r="BO743" s="173">
        <f>IF(AND(Input_Product=Elig!$C743,Elig_MatchAll_Ct&lt;22,$BC743=(Elig_MatchAll_Ct-1),AM743=0),J743,0)</f>
        <v>0</v>
      </c>
      <c r="BP743" s="173">
        <f>IF(AND(Input_Product=Elig!$C743,Elig_MatchAll_Ct&lt;22,$BC743=(Elig_MatchAll_Ct-1),AN743=0),K743,0)</f>
        <v>0</v>
      </c>
      <c r="BQ743" s="173">
        <f>IF(AND(Input_Product=Elig!$C743,Elig_MatchAll_Ct&lt;22,$BC743=(Elig_MatchAll_Ct-1),AP743=0),L743,0)</f>
        <v>0</v>
      </c>
      <c r="BR743" s="173">
        <f>IF(AND(Input_Product=Elig!$C743,Elig_MatchAll_Ct&lt;22,$BC743=(Elig_MatchAll_Ct-1),AO743=0),M743,0)</f>
        <v>0</v>
      </c>
      <c r="BS743" s="173">
        <f>IF(AND(Input_Product=Elig!$C743,Elig_MatchAll_Ct&lt;22,$BC743=(Elig_MatchAll_Ct-1),AQ743=0),N743,0)</f>
        <v>0</v>
      </c>
      <c r="BT743" s="173">
        <f>IF(AND(Input_Product=Elig!$C743,Elig_MatchAll_Ct&lt;22,$BC743=(Elig_MatchAll_Ct-1),AR743=0),O743,0)</f>
        <v>0</v>
      </c>
      <c r="BU743" s="173">
        <f>IF(AND(Input_Product=Elig!$C743,Elig_MatchAll_Ct&lt;22,$BC743=(Elig_MatchAll_Ct-1),AS743=0),P743,0)</f>
        <v>0</v>
      </c>
      <c r="BV743" s="174">
        <f>IF(AND(Input_Product=Elig!$C743,Elig_MatchAll_Ct&lt;22,$BC743=(Elig_MatchAll_Ct-1),AT743=0),Q743,0)</f>
        <v>0</v>
      </c>
      <c r="BW743" s="175">
        <f>IF(AND(Input_Product=Elig!$C743,Elig_MatchAll_Ct&lt;22,$BC743=(Elig_MatchAll_Ct-1),AU743=0),R743,0)</f>
        <v>0</v>
      </c>
      <c r="BX743" s="176">
        <f>IF(AND(Input_Product=Elig!$C743,Elig_MatchAll_Ct&lt;22,$BC743=(Elig_MatchAll_Ct-1),AU743=0),S743,0)</f>
        <v>0</v>
      </c>
      <c r="BY743" s="175">
        <f>IF(AND(Input_Product=Elig!$C743,Elig_MatchAll_Ct&lt;22,$BC743=(Elig_MatchAll_Ct-1),AV743=0),T743,0)</f>
        <v>0</v>
      </c>
      <c r="BZ743" s="176">
        <f>IF(AND(Input_Product=Elig!$C743,Elig_MatchAll_Ct&lt;22,$BC743=(Elig_MatchAll_Ct-1),AV743=0),U743,0)</f>
        <v>0</v>
      </c>
      <c r="CA743" s="175">
        <f>IF(AND(Input_Product=Elig!$C743,Elig_MatchAll_Ct&lt;22,$BC743=(Elig_MatchAll_Ct-1),AW743=0),V743,0)</f>
        <v>0</v>
      </c>
      <c r="CB743" s="176">
        <f>IF(AND(Input_Product=Elig!$C743,Elig_MatchAll_Ct&lt;22,$BC743=(Elig_MatchAll_Ct-1),AW743=0),W743,0)</f>
        <v>0</v>
      </c>
      <c r="CC743" s="175">
        <f>IF(AND(Input_Product=Elig!$C743,Elig_MatchAll_Ct&lt;22,$BC743=(Elig_MatchAll_Ct-1),AX743=0),X743,0)</f>
        <v>0</v>
      </c>
      <c r="CD743" s="176">
        <f>IF(AND(Input_Product=Elig!$C743,Elig_MatchAll_Ct&lt;22,$BC743=(Elig_MatchAll_Ct-1),AX743=0),Y743,0)</f>
        <v>0</v>
      </c>
      <c r="CE743" s="175">
        <f>IF(AND(Input_LTV&lt;=AE743,Input_Product=Elig!$C743,Elig_MatchAll_Ct&lt;22,$BC743=(Elig_MatchAll_Ct-1),AY743=0),Z743,0)</f>
        <v>0</v>
      </c>
      <c r="CF743" s="176">
        <f>IF(AND(Input_LTV&lt;=AE743,Input_Product=Elig!$C743,Elig_MatchAll_Ct&lt;22,$BC743=(Elig_MatchAll_Ct-1),AY743=0),AA743,0)</f>
        <v>0</v>
      </c>
      <c r="CG743" s="175">
        <f>IF(AND(Input_Product=Elig!$C743,Elig_MatchAll_Ct&lt;22,$BC743=(Elig_MatchAll_Ct-1),AZ743=0),AB743,0)</f>
        <v>0</v>
      </c>
      <c r="CH743" s="176">
        <f>IF(AND(Input_Product=Elig!$C743,Elig_MatchAll_Ct&lt;22,$BC743=(Elig_MatchAll_Ct-1),AZ743=0),AC743,0)</f>
        <v>0</v>
      </c>
      <c r="CI743" s="175">
        <f>IF(AND(Input_Product=Elig!$C743,Elig_MatchAll_Ct&lt;22,$BC743=(Elig_MatchAll_Ct-1),BA743=0),AD743,0)</f>
        <v>0</v>
      </c>
      <c r="CJ743" s="176">
        <f>IF(AND(Input_Product=Elig!$C743,Elig_MatchAll_Ct&lt;22,$BC743=(Elig_MatchAll_Ct-1),BA743=0),AE743,0)</f>
        <v>0</v>
      </c>
    </row>
    <row r="744" spans="1:88" ht="10.15" customHeight="1" x14ac:dyDescent="0.25">
      <c r="A744" s="1484" t="s">
        <v>76</v>
      </c>
      <c r="B744" s="1484" t="s">
        <v>1942</v>
      </c>
      <c r="C744" s="1485" t="str">
        <f t="shared" si="242"/>
        <v>Second NOO</v>
      </c>
      <c r="D744" s="1484" t="s">
        <v>1338</v>
      </c>
      <c r="E744" s="1484" t="s">
        <v>98</v>
      </c>
      <c r="F744" s="1484" t="s">
        <v>329</v>
      </c>
      <c r="G744" s="1545" t="s">
        <v>174</v>
      </c>
      <c r="H744" s="1486" t="s">
        <v>444</v>
      </c>
      <c r="I744" s="1484" t="s">
        <v>1141</v>
      </c>
      <c r="J744" s="1484" t="s">
        <v>1130</v>
      </c>
      <c r="K744" s="1486" t="s">
        <v>2464</v>
      </c>
      <c r="L744" s="1484" t="s">
        <v>428</v>
      </c>
      <c r="M744" s="1484" t="s">
        <v>1835</v>
      </c>
      <c r="N744" s="1486" t="s">
        <v>1844</v>
      </c>
      <c r="O744" s="1484" t="s">
        <v>309</v>
      </c>
      <c r="P744" s="1484" t="s">
        <v>2434</v>
      </c>
      <c r="Q744" s="1484" t="s">
        <v>293</v>
      </c>
      <c r="R744" s="1484">
        <v>350000.01</v>
      </c>
      <c r="S744" s="1543">
        <v>500000</v>
      </c>
      <c r="T744" s="1484">
        <v>0</v>
      </c>
      <c r="U744" s="1484">
        <f t="shared" si="243"/>
        <v>500000</v>
      </c>
      <c r="V744" s="1484">
        <v>0</v>
      </c>
      <c r="W744" s="1484">
        <v>50</v>
      </c>
      <c r="X744" s="1484">
        <v>0</v>
      </c>
      <c r="Y744" s="1484">
        <v>999</v>
      </c>
      <c r="Z744" s="1487">
        <v>660</v>
      </c>
      <c r="AA744" s="1487">
        <v>679</v>
      </c>
      <c r="AB744" s="1487">
        <v>0</v>
      </c>
      <c r="AC744" s="1487">
        <v>999999</v>
      </c>
      <c r="AD744" s="1484">
        <v>0</v>
      </c>
      <c r="AE744" s="1543">
        <v>60</v>
      </c>
      <c r="AF744" s="144">
        <v>1</v>
      </c>
      <c r="AG744" s="145">
        <v>1</v>
      </c>
      <c r="AH744" s="145">
        <v>1</v>
      </c>
      <c r="AI744" s="145">
        <v>1</v>
      </c>
      <c r="AJ744" s="145">
        <v>0</v>
      </c>
      <c r="AK744" s="145">
        <v>0</v>
      </c>
      <c r="AL744" s="145">
        <v>1</v>
      </c>
      <c r="AM744" s="145">
        <v>1</v>
      </c>
      <c r="AN744" s="145">
        <v>1</v>
      </c>
      <c r="AO744" s="145">
        <v>1</v>
      </c>
      <c r="AP744" s="145">
        <v>1</v>
      </c>
      <c r="AQ744" s="145">
        <v>1</v>
      </c>
      <c r="AR744" s="145">
        <v>1</v>
      </c>
      <c r="AS744" s="145">
        <v>1</v>
      </c>
      <c r="AT744" s="145">
        <v>1</v>
      </c>
      <c r="AU744" s="145">
        <f t="shared" si="236"/>
        <v>0</v>
      </c>
      <c r="AV744" s="145">
        <f t="shared" si="237"/>
        <v>1</v>
      </c>
      <c r="AW744" s="145">
        <f t="shared" si="238"/>
        <v>1</v>
      </c>
      <c r="AX744" s="145">
        <f t="shared" si="244"/>
        <v>1</v>
      </c>
      <c r="AY744" s="145">
        <f t="shared" si="239"/>
        <v>0</v>
      </c>
      <c r="AZ744" s="145">
        <f t="shared" si="240"/>
        <v>1</v>
      </c>
      <c r="BA744" s="146">
        <f t="shared" si="241"/>
        <v>0</v>
      </c>
      <c r="BB744" s="149">
        <f t="shared" si="245"/>
        <v>17</v>
      </c>
      <c r="BC744" s="150">
        <f t="shared" si="246"/>
        <v>17</v>
      </c>
      <c r="BD744" s="150">
        <f t="shared" si="247"/>
        <v>16</v>
      </c>
      <c r="BE744" s="211" t="str">
        <f t="shared" si="248"/>
        <v/>
      </c>
      <c r="BF744" s="205"/>
      <c r="BG744" s="205"/>
      <c r="BH744" s="188">
        <f>IF(AND(Input_Product=Elig!$C744,Elig_MatchAll_Ct&lt;22,$BC744=(Elig_MatchAll_Ct-1),AF744=0),C744,0)</f>
        <v>0</v>
      </c>
      <c r="BI744" s="188">
        <f>IF(AND(Input_Product=Elig!$C744,Elig_MatchAll_Ct&lt;22,$BC744=(Elig_MatchAll_Ct-1),AG744=0),D744,0)</f>
        <v>0</v>
      </c>
      <c r="BJ744" s="188">
        <f>IF(AND(Input_Product=Elig!$C744,Elig_MatchAll_Ct&lt;22,$BC744=(Elig_MatchAll_Ct-1),AH744=0),E744,0)</f>
        <v>0</v>
      </c>
      <c r="BK744" s="188">
        <f>IF(AND(Input_Product=Elig!$C744,Elig_MatchAll_Ct&lt;22,$BC744=(Elig_MatchAll_Ct-1),AI744=0),F744,0)</f>
        <v>0</v>
      </c>
      <c r="BL744" s="188">
        <f>IF(AND(Input_Product=Elig!$C744,Elig_MatchAll_Ct&lt;22,$BC744=(Elig_MatchAll_Ct-1),AJ744=0),G744,0)</f>
        <v>0</v>
      </c>
      <c r="BM744" s="188">
        <f>IF(AND(Input_Product=Elig!$C744,Elig_MatchAll_Ct&lt;22,$BC744=(Elig_MatchAll_Ct-1),AK744=0),H744,0)</f>
        <v>0</v>
      </c>
      <c r="BN744" s="188">
        <f>IF(AND(Input_Product=Elig!$C744,Elig_MatchAll_Ct&lt;22,$BC744=(Elig_MatchAll_Ct-1),AL744=0),I744,0)</f>
        <v>0</v>
      </c>
      <c r="BO744" s="188">
        <f>IF(AND(Input_Product=Elig!$C744,Elig_MatchAll_Ct&lt;22,$BC744=(Elig_MatchAll_Ct-1),AM744=0),J744,0)</f>
        <v>0</v>
      </c>
      <c r="BP744" s="188">
        <f>IF(AND(Input_Product=Elig!$C744,Elig_MatchAll_Ct&lt;22,$BC744=(Elig_MatchAll_Ct-1),AN744=0),K744,0)</f>
        <v>0</v>
      </c>
      <c r="BQ744" s="188">
        <f>IF(AND(Input_Product=Elig!$C744,Elig_MatchAll_Ct&lt;22,$BC744=(Elig_MatchAll_Ct-1),AP744=0),L744,0)</f>
        <v>0</v>
      </c>
      <c r="BR744" s="188">
        <f>IF(AND(Input_Product=Elig!$C744,Elig_MatchAll_Ct&lt;22,$BC744=(Elig_MatchAll_Ct-1),AO744=0),M744,0)</f>
        <v>0</v>
      </c>
      <c r="BS744" s="188">
        <f>IF(AND(Input_Product=Elig!$C744,Elig_MatchAll_Ct&lt;22,$BC744=(Elig_MatchAll_Ct-1),AQ744=0),N744,0)</f>
        <v>0</v>
      </c>
      <c r="BT744" s="188">
        <f>IF(AND(Input_Product=Elig!$C744,Elig_MatchAll_Ct&lt;22,$BC744=(Elig_MatchAll_Ct-1),AR744=0),O744,0)</f>
        <v>0</v>
      </c>
      <c r="BU744" s="188">
        <f>IF(AND(Input_Product=Elig!$C744,Elig_MatchAll_Ct&lt;22,$BC744=(Elig_MatchAll_Ct-1),AS744=0),P744,0)</f>
        <v>0</v>
      </c>
      <c r="BV744" s="189">
        <f>IF(AND(Input_Product=Elig!$C744,Elig_MatchAll_Ct&lt;22,$BC744=(Elig_MatchAll_Ct-1),AT744=0),Q744,0)</f>
        <v>0</v>
      </c>
      <c r="BW744" s="271">
        <f>IF(AND(Input_Product=Elig!$C744,Elig_MatchAll_Ct&lt;22,$BC744=(Elig_MatchAll_Ct-1),AU744=0),R744,0)</f>
        <v>0</v>
      </c>
      <c r="BX744" s="272">
        <f>IF(AND(Input_Product=Elig!$C744,Elig_MatchAll_Ct&lt;22,$BC744=(Elig_MatchAll_Ct-1),AU744=0),S744,0)</f>
        <v>0</v>
      </c>
      <c r="BY744" s="271">
        <f>IF(AND(Input_Product=Elig!$C744,Elig_MatchAll_Ct&lt;22,$BC744=(Elig_MatchAll_Ct-1),AV744=0),T744,0)</f>
        <v>0</v>
      </c>
      <c r="BZ744" s="272">
        <f>IF(AND(Input_Product=Elig!$C744,Elig_MatchAll_Ct&lt;22,$BC744=(Elig_MatchAll_Ct-1),AV744=0),U744,0)</f>
        <v>0</v>
      </c>
      <c r="CA744" s="271">
        <f>IF(AND(Input_Product=Elig!$C744,Elig_MatchAll_Ct&lt;22,$BC744=(Elig_MatchAll_Ct-1),AW744=0),V744,0)</f>
        <v>0</v>
      </c>
      <c r="CB744" s="272">
        <f>IF(AND(Input_Product=Elig!$C744,Elig_MatchAll_Ct&lt;22,$BC744=(Elig_MatchAll_Ct-1),AW744=0),W744,0)</f>
        <v>0</v>
      </c>
      <c r="CC744" s="271">
        <f>IF(AND(Input_Product=Elig!$C744,Elig_MatchAll_Ct&lt;22,$BC744=(Elig_MatchAll_Ct-1),AX744=0),X744,0)</f>
        <v>0</v>
      </c>
      <c r="CD744" s="272">
        <f>IF(AND(Input_Product=Elig!$C744,Elig_MatchAll_Ct&lt;22,$BC744=(Elig_MatchAll_Ct-1),AX744=0),Y744,0)</f>
        <v>0</v>
      </c>
      <c r="CE744" s="271">
        <f>IF(AND(Input_LTV&lt;=AE744,Input_Product=Elig!$C744,Elig_MatchAll_Ct&lt;22,$BC744=(Elig_MatchAll_Ct-1),AY744=0),Z744,0)</f>
        <v>0</v>
      </c>
      <c r="CF744" s="272">
        <f>IF(AND(Input_LTV&lt;=AE744,Input_Product=Elig!$C744,Elig_MatchAll_Ct&lt;22,$BC744=(Elig_MatchAll_Ct-1),AY744=0),AA744,0)</f>
        <v>0</v>
      </c>
      <c r="CG744" s="271">
        <f>IF(AND(Input_Product=Elig!$C744,Elig_MatchAll_Ct&lt;22,$BC744=(Elig_MatchAll_Ct-1),AZ744=0),AB744,0)</f>
        <v>0</v>
      </c>
      <c r="CH744" s="272">
        <f>IF(AND(Input_Product=Elig!$C744,Elig_MatchAll_Ct&lt;22,$BC744=(Elig_MatchAll_Ct-1),AZ744=0),AC744,0)</f>
        <v>0</v>
      </c>
      <c r="CI744" s="271">
        <f>IF(AND(Input_Product=Elig!$C744,Elig_MatchAll_Ct&lt;22,$BC744=(Elig_MatchAll_Ct-1),BA744=0),AD744,0)</f>
        <v>0</v>
      </c>
      <c r="CJ744" s="272">
        <f>IF(AND(Input_Product=Elig!$C744,Elig_MatchAll_Ct&lt;22,$BC744=(Elig_MatchAll_Ct-1),BA744=0),AE744,0)</f>
        <v>0</v>
      </c>
    </row>
    <row r="745" spans="1:88" ht="10.15" customHeight="1" x14ac:dyDescent="0.25">
      <c r="A745" s="1484" t="s">
        <v>76</v>
      </c>
      <c r="B745" s="1484" t="s">
        <v>1943</v>
      </c>
      <c r="C745" s="1489" t="str">
        <f t="shared" si="242"/>
        <v>Second NOO</v>
      </c>
      <c r="D745" s="1490" t="s">
        <v>1338</v>
      </c>
      <c r="E745" s="1490" t="s">
        <v>98</v>
      </c>
      <c r="F745" s="1490" t="s">
        <v>329</v>
      </c>
      <c r="G745" s="1537" t="s">
        <v>465</v>
      </c>
      <c r="H745" s="1490" t="s">
        <v>135</v>
      </c>
      <c r="I745" s="1488" t="s">
        <v>1141</v>
      </c>
      <c r="J745" s="1488" t="s">
        <v>1130</v>
      </c>
      <c r="K745" s="1490" t="s">
        <v>2464</v>
      </c>
      <c r="L745" s="1488" t="s">
        <v>428</v>
      </c>
      <c r="M745" s="1488" t="s">
        <v>1835</v>
      </c>
      <c r="N745" s="1490" t="s">
        <v>1844</v>
      </c>
      <c r="O745" s="1488" t="s">
        <v>309</v>
      </c>
      <c r="P745" s="1488" t="s">
        <v>2434</v>
      </c>
      <c r="Q745" s="1488" t="s">
        <v>293</v>
      </c>
      <c r="R745" s="1488">
        <v>350000.01</v>
      </c>
      <c r="S745" s="1542">
        <v>500000</v>
      </c>
      <c r="T745" s="1488">
        <v>0</v>
      </c>
      <c r="U745" s="1488">
        <f t="shared" ref="U745:U748" si="250">S745</f>
        <v>500000</v>
      </c>
      <c r="V745" s="1488">
        <v>0</v>
      </c>
      <c r="W745" s="1488">
        <v>50</v>
      </c>
      <c r="X745" s="1488">
        <v>0</v>
      </c>
      <c r="Y745" s="1488">
        <v>999</v>
      </c>
      <c r="Z745" s="1491">
        <v>720</v>
      </c>
      <c r="AA745" s="1491">
        <v>999</v>
      </c>
      <c r="AB745" s="1491">
        <v>0</v>
      </c>
      <c r="AC745" s="1491">
        <v>999999</v>
      </c>
      <c r="AD745" s="1488">
        <v>0</v>
      </c>
      <c r="AE745" s="1542">
        <v>75</v>
      </c>
      <c r="AF745" s="144">
        <v>1</v>
      </c>
      <c r="AG745" s="145">
        <v>1</v>
      </c>
      <c r="AH745" s="145">
        <v>1</v>
      </c>
      <c r="AI745" s="145">
        <v>1</v>
      </c>
      <c r="AJ745" s="145">
        <v>0</v>
      </c>
      <c r="AK745" s="145">
        <v>1</v>
      </c>
      <c r="AL745" s="145">
        <v>1</v>
      </c>
      <c r="AM745" s="145">
        <v>1</v>
      </c>
      <c r="AN745" s="145">
        <v>1</v>
      </c>
      <c r="AO745" s="145">
        <v>1</v>
      </c>
      <c r="AP745" s="145">
        <v>1</v>
      </c>
      <c r="AQ745" s="145">
        <v>1</v>
      </c>
      <c r="AR745" s="145">
        <v>1</v>
      </c>
      <c r="AS745" s="145">
        <v>1</v>
      </c>
      <c r="AT745" s="145">
        <v>1</v>
      </c>
      <c r="AU745" s="145">
        <f t="shared" si="236"/>
        <v>0</v>
      </c>
      <c r="AV745" s="145">
        <f t="shared" si="237"/>
        <v>1</v>
      </c>
      <c r="AW745" s="145">
        <f t="shared" si="238"/>
        <v>1</v>
      </c>
      <c r="AX745" s="145">
        <f t="shared" si="244"/>
        <v>1</v>
      </c>
      <c r="AY745" s="145">
        <f t="shared" si="239"/>
        <v>1</v>
      </c>
      <c r="AZ745" s="145">
        <f t="shared" si="240"/>
        <v>1</v>
      </c>
      <c r="BA745" s="146">
        <f t="shared" si="241"/>
        <v>1</v>
      </c>
      <c r="BB745" s="149">
        <f t="shared" ref="BB745:BB748" si="251">SUM(AF745:BA745)</f>
        <v>20</v>
      </c>
      <c r="BC745" s="150">
        <f t="shared" ref="BC745:BC748" si="252">SUM(AF745:AZ745)</f>
        <v>19</v>
      </c>
      <c r="BD745" s="150">
        <f t="shared" ref="BD745:BD748" si="253">SUM(AG745:BA745)</f>
        <v>19</v>
      </c>
      <c r="BE745" s="211" t="str">
        <f t="shared" si="248"/>
        <v/>
      </c>
      <c r="BF745" s="194"/>
      <c r="BG745" s="194"/>
      <c r="BH745" s="190">
        <f>IF(AND(Input_Product=Elig!$C745,Elig_MatchAll_Ct&lt;22,$BC745=(Elig_MatchAll_Ct-1),AF745=0),C745,0)</f>
        <v>0</v>
      </c>
      <c r="BI745" s="190">
        <f>IF(AND(Input_Product=Elig!$C745,Elig_MatchAll_Ct&lt;22,$BC745=(Elig_MatchAll_Ct-1),AG745=0),D745,0)</f>
        <v>0</v>
      </c>
      <c r="BJ745" s="190">
        <f>IF(AND(Input_Product=Elig!$C745,Elig_MatchAll_Ct&lt;22,$BC745=(Elig_MatchAll_Ct-1),AH745=0),E745,0)</f>
        <v>0</v>
      </c>
      <c r="BK745" s="190">
        <f>IF(AND(Input_Product=Elig!$C745,Elig_MatchAll_Ct&lt;22,$BC745=(Elig_MatchAll_Ct-1),AI745=0),F745,0)</f>
        <v>0</v>
      </c>
      <c r="BL745" s="190">
        <f>IF(AND(Input_Product=Elig!$C745,Elig_MatchAll_Ct&lt;22,$BC745=(Elig_MatchAll_Ct-1),AJ745=0),G745,0)</f>
        <v>0</v>
      </c>
      <c r="BM745" s="190">
        <f>IF(AND(Input_Product=Elig!$C745,Elig_MatchAll_Ct&lt;22,$BC745=(Elig_MatchAll_Ct-1),AK745=0),H745,0)</f>
        <v>0</v>
      </c>
      <c r="BN745" s="190">
        <f>IF(AND(Input_Product=Elig!$C745,Elig_MatchAll_Ct&lt;22,$BC745=(Elig_MatchAll_Ct-1),AL745=0),I745,0)</f>
        <v>0</v>
      </c>
      <c r="BO745" s="190">
        <f>IF(AND(Input_Product=Elig!$C745,Elig_MatchAll_Ct&lt;22,$BC745=(Elig_MatchAll_Ct-1),AM745=0),J745,0)</f>
        <v>0</v>
      </c>
      <c r="BP745" s="190">
        <f>IF(AND(Input_Product=Elig!$C745,Elig_MatchAll_Ct&lt;22,$BC745=(Elig_MatchAll_Ct-1),AN745=0),K745,0)</f>
        <v>0</v>
      </c>
      <c r="BQ745" s="190">
        <f>IF(AND(Input_Product=Elig!$C745,Elig_MatchAll_Ct&lt;22,$BC745=(Elig_MatchAll_Ct-1),AP745=0),L745,0)</f>
        <v>0</v>
      </c>
      <c r="BR745" s="190">
        <f>IF(AND(Input_Product=Elig!$C745,Elig_MatchAll_Ct&lt;22,$BC745=(Elig_MatchAll_Ct-1),AO745=0),M745,0)</f>
        <v>0</v>
      </c>
      <c r="BS745" s="190">
        <f>IF(AND(Input_Product=Elig!$C745,Elig_MatchAll_Ct&lt;22,$BC745=(Elig_MatchAll_Ct-1),AQ745=0),N745,0)</f>
        <v>0</v>
      </c>
      <c r="BT745" s="190">
        <f>IF(AND(Input_Product=Elig!$C745,Elig_MatchAll_Ct&lt;22,$BC745=(Elig_MatchAll_Ct-1),AR745=0),O745,0)</f>
        <v>0</v>
      </c>
      <c r="BU745" s="190">
        <f>IF(AND(Input_Product=Elig!$C745,Elig_MatchAll_Ct&lt;22,$BC745=(Elig_MatchAll_Ct-1),AS745=0),P745,0)</f>
        <v>0</v>
      </c>
      <c r="BV745" s="191">
        <f>IF(AND(Input_Product=Elig!$C745,Elig_MatchAll_Ct&lt;22,$BC745=(Elig_MatchAll_Ct-1),AT745=0),Q745,0)</f>
        <v>0</v>
      </c>
      <c r="BW745" s="273">
        <f>IF(AND(Input_Product=Elig!$C745,Elig_MatchAll_Ct&lt;22,$BC745=(Elig_MatchAll_Ct-1),AU745=0),R745,0)</f>
        <v>0</v>
      </c>
      <c r="BX745" s="274">
        <f>IF(AND(Input_Product=Elig!$C745,Elig_MatchAll_Ct&lt;22,$BC745=(Elig_MatchAll_Ct-1),AU745=0),S745,0)</f>
        <v>0</v>
      </c>
      <c r="BY745" s="273">
        <f>IF(AND(Input_Product=Elig!$C745,Elig_MatchAll_Ct&lt;22,$BC745=(Elig_MatchAll_Ct-1),AV745=0),T745,0)</f>
        <v>0</v>
      </c>
      <c r="BZ745" s="274">
        <f>IF(AND(Input_Product=Elig!$C745,Elig_MatchAll_Ct&lt;22,$BC745=(Elig_MatchAll_Ct-1),AV745=0),U745,0)</f>
        <v>0</v>
      </c>
      <c r="CA745" s="273">
        <f>IF(AND(Input_Product=Elig!$C745,Elig_MatchAll_Ct&lt;22,$BC745=(Elig_MatchAll_Ct-1),AW745=0),V745,0)</f>
        <v>0</v>
      </c>
      <c r="CB745" s="274">
        <f>IF(AND(Input_Product=Elig!$C745,Elig_MatchAll_Ct&lt;22,$BC745=(Elig_MatchAll_Ct-1),AW745=0),W745,0)</f>
        <v>0</v>
      </c>
      <c r="CC745" s="273">
        <f>IF(AND(Input_Product=Elig!$C745,Elig_MatchAll_Ct&lt;22,$BC745=(Elig_MatchAll_Ct-1),AX745=0),X745,0)</f>
        <v>0</v>
      </c>
      <c r="CD745" s="274">
        <f>IF(AND(Input_Product=Elig!$C745,Elig_MatchAll_Ct&lt;22,$BC745=(Elig_MatchAll_Ct-1),AX745=0),Y745,0)</f>
        <v>0</v>
      </c>
      <c r="CE745" s="273">
        <f>IF(AND(Input_LTV&lt;=AE745,Input_Product=Elig!$C745,Elig_MatchAll_Ct&lt;22,$BC745=(Elig_MatchAll_Ct-1),AY745=0),Z745,0)</f>
        <v>0</v>
      </c>
      <c r="CF745" s="274">
        <f>IF(AND(Input_LTV&lt;=AE745,Input_Product=Elig!$C745,Elig_MatchAll_Ct&lt;22,$BC745=(Elig_MatchAll_Ct-1),AY745=0),AA745,0)</f>
        <v>0</v>
      </c>
      <c r="CG745" s="273">
        <f>IF(AND(Input_Product=Elig!$C745,Elig_MatchAll_Ct&lt;22,$BC745=(Elig_MatchAll_Ct-1),AZ745=0),AB745,0)</f>
        <v>0</v>
      </c>
      <c r="CH745" s="274">
        <f>IF(AND(Input_Product=Elig!$C745,Elig_MatchAll_Ct&lt;22,$BC745=(Elig_MatchAll_Ct-1),AZ745=0),AC745,0)</f>
        <v>0</v>
      </c>
      <c r="CI745" s="273">
        <f>IF(AND(Input_Product=Elig!$C745,Elig_MatchAll_Ct&lt;22,$BC745=(Elig_MatchAll_Ct-1),BA745=0),AD745,0)</f>
        <v>0</v>
      </c>
      <c r="CJ745" s="274">
        <f>IF(AND(Input_Product=Elig!$C745,Elig_MatchAll_Ct&lt;22,$BC745=(Elig_MatchAll_Ct-1),BA745=0),AE745,0)</f>
        <v>0</v>
      </c>
    </row>
    <row r="746" spans="1:88" ht="10.15" customHeight="1" x14ac:dyDescent="0.25">
      <c r="A746" s="1484" t="s">
        <v>76</v>
      </c>
      <c r="B746" s="1484" t="s">
        <v>1944</v>
      </c>
      <c r="C746" s="1485" t="str">
        <f t="shared" si="242"/>
        <v>Second NOO</v>
      </c>
      <c r="D746" s="1484" t="s">
        <v>1338</v>
      </c>
      <c r="E746" s="1484" t="s">
        <v>98</v>
      </c>
      <c r="F746" s="1484" t="s">
        <v>329</v>
      </c>
      <c r="G746" s="1544" t="s">
        <v>465</v>
      </c>
      <c r="H746" s="1486" t="s">
        <v>135</v>
      </c>
      <c r="I746" s="1484" t="s">
        <v>1141</v>
      </c>
      <c r="J746" s="1484" t="s">
        <v>1130</v>
      </c>
      <c r="K746" s="1486" t="s">
        <v>2464</v>
      </c>
      <c r="L746" s="1484" t="s">
        <v>428</v>
      </c>
      <c r="M746" s="1484" t="s">
        <v>1835</v>
      </c>
      <c r="N746" s="1486" t="s">
        <v>1844</v>
      </c>
      <c r="O746" s="1484" t="s">
        <v>309</v>
      </c>
      <c r="P746" s="1484" t="s">
        <v>2434</v>
      </c>
      <c r="Q746" s="1484" t="s">
        <v>293</v>
      </c>
      <c r="R746" s="1484">
        <v>350000.01</v>
      </c>
      <c r="S746" s="1543">
        <v>500000</v>
      </c>
      <c r="T746" s="1484">
        <v>0</v>
      </c>
      <c r="U746" s="1484">
        <f t="shared" si="250"/>
        <v>500000</v>
      </c>
      <c r="V746" s="1484">
        <v>0</v>
      </c>
      <c r="W746" s="1484">
        <v>50</v>
      </c>
      <c r="X746" s="1484">
        <v>0</v>
      </c>
      <c r="Y746" s="1484">
        <v>999</v>
      </c>
      <c r="Z746" s="1487">
        <v>700</v>
      </c>
      <c r="AA746" s="1487">
        <v>719</v>
      </c>
      <c r="AB746" s="1487">
        <v>0</v>
      </c>
      <c r="AC746" s="1487">
        <v>999999</v>
      </c>
      <c r="AD746" s="1484">
        <v>0</v>
      </c>
      <c r="AE746" s="1543">
        <v>70</v>
      </c>
      <c r="AF746" s="144">
        <v>1</v>
      </c>
      <c r="AG746" s="145">
        <v>1</v>
      </c>
      <c r="AH746" s="145">
        <v>1</v>
      </c>
      <c r="AI746" s="145">
        <v>1</v>
      </c>
      <c r="AJ746" s="145">
        <v>0</v>
      </c>
      <c r="AK746" s="145">
        <v>1</v>
      </c>
      <c r="AL746" s="145">
        <v>1</v>
      </c>
      <c r="AM746" s="145">
        <v>1</v>
      </c>
      <c r="AN746" s="145">
        <v>1</v>
      </c>
      <c r="AO746" s="145">
        <v>1</v>
      </c>
      <c r="AP746" s="145">
        <v>1</v>
      </c>
      <c r="AQ746" s="145">
        <v>1</v>
      </c>
      <c r="AR746" s="145">
        <v>1</v>
      </c>
      <c r="AS746" s="145">
        <v>1</v>
      </c>
      <c r="AT746" s="145">
        <v>1</v>
      </c>
      <c r="AU746" s="145">
        <f t="shared" si="236"/>
        <v>0</v>
      </c>
      <c r="AV746" s="145">
        <f t="shared" si="237"/>
        <v>1</v>
      </c>
      <c r="AW746" s="145">
        <f t="shared" si="238"/>
        <v>1</v>
      </c>
      <c r="AX746" s="145">
        <f t="shared" si="244"/>
        <v>1</v>
      </c>
      <c r="AY746" s="145">
        <f t="shared" si="239"/>
        <v>0</v>
      </c>
      <c r="AZ746" s="145">
        <f t="shared" si="240"/>
        <v>1</v>
      </c>
      <c r="BA746" s="146">
        <f t="shared" si="241"/>
        <v>1</v>
      </c>
      <c r="BB746" s="149">
        <f t="shared" si="251"/>
        <v>19</v>
      </c>
      <c r="BC746" s="150">
        <f t="shared" si="252"/>
        <v>18</v>
      </c>
      <c r="BD746" s="150">
        <f t="shared" si="253"/>
        <v>18</v>
      </c>
      <c r="BE746" s="211" t="str">
        <f t="shared" si="248"/>
        <v/>
      </c>
      <c r="BF746" s="205"/>
      <c r="BG746" s="205"/>
      <c r="BH746" s="173">
        <f>IF(AND(Input_Product=Elig!$C746,Elig_MatchAll_Ct&lt;22,$BC746=(Elig_MatchAll_Ct-1),AF746=0),C746,0)</f>
        <v>0</v>
      </c>
      <c r="BI746" s="173">
        <f>IF(AND(Input_Product=Elig!$C746,Elig_MatchAll_Ct&lt;22,$BC746=(Elig_MatchAll_Ct-1),AG746=0),D746,0)</f>
        <v>0</v>
      </c>
      <c r="BJ746" s="173">
        <f>IF(AND(Input_Product=Elig!$C746,Elig_MatchAll_Ct&lt;22,$BC746=(Elig_MatchAll_Ct-1),AH746=0),E746,0)</f>
        <v>0</v>
      </c>
      <c r="BK746" s="173">
        <f>IF(AND(Input_Product=Elig!$C746,Elig_MatchAll_Ct&lt;22,$BC746=(Elig_MatchAll_Ct-1),AI746=0),F746,0)</f>
        <v>0</v>
      </c>
      <c r="BL746" s="173">
        <f>IF(AND(Input_Product=Elig!$C746,Elig_MatchAll_Ct&lt;22,$BC746=(Elig_MatchAll_Ct-1),AJ746=0),G746,0)</f>
        <v>0</v>
      </c>
      <c r="BM746" s="173">
        <f>IF(AND(Input_Product=Elig!$C746,Elig_MatchAll_Ct&lt;22,$BC746=(Elig_MatchAll_Ct-1),AK746=0),H746,0)</f>
        <v>0</v>
      </c>
      <c r="BN746" s="173">
        <f>IF(AND(Input_Product=Elig!$C746,Elig_MatchAll_Ct&lt;22,$BC746=(Elig_MatchAll_Ct-1),AL746=0),I746,0)</f>
        <v>0</v>
      </c>
      <c r="BO746" s="173">
        <f>IF(AND(Input_Product=Elig!$C746,Elig_MatchAll_Ct&lt;22,$BC746=(Elig_MatchAll_Ct-1),AM746=0),J746,0)</f>
        <v>0</v>
      </c>
      <c r="BP746" s="173">
        <f>IF(AND(Input_Product=Elig!$C746,Elig_MatchAll_Ct&lt;22,$BC746=(Elig_MatchAll_Ct-1),AN746=0),K746,0)</f>
        <v>0</v>
      </c>
      <c r="BQ746" s="173">
        <f>IF(AND(Input_Product=Elig!$C746,Elig_MatchAll_Ct&lt;22,$BC746=(Elig_MatchAll_Ct-1),AP746=0),L746,0)</f>
        <v>0</v>
      </c>
      <c r="BR746" s="173">
        <f>IF(AND(Input_Product=Elig!$C746,Elig_MatchAll_Ct&lt;22,$BC746=(Elig_MatchAll_Ct-1),AO746=0),M746,0)</f>
        <v>0</v>
      </c>
      <c r="BS746" s="173">
        <f>IF(AND(Input_Product=Elig!$C746,Elig_MatchAll_Ct&lt;22,$BC746=(Elig_MatchAll_Ct-1),AQ746=0),N746,0)</f>
        <v>0</v>
      </c>
      <c r="BT746" s="173">
        <f>IF(AND(Input_Product=Elig!$C746,Elig_MatchAll_Ct&lt;22,$BC746=(Elig_MatchAll_Ct-1),AR746=0),O746,0)</f>
        <v>0</v>
      </c>
      <c r="BU746" s="173">
        <f>IF(AND(Input_Product=Elig!$C746,Elig_MatchAll_Ct&lt;22,$BC746=(Elig_MatchAll_Ct-1),AS746=0),P746,0)</f>
        <v>0</v>
      </c>
      <c r="BV746" s="174">
        <f>IF(AND(Input_Product=Elig!$C746,Elig_MatchAll_Ct&lt;22,$BC746=(Elig_MatchAll_Ct-1),AT746=0),Q746,0)</f>
        <v>0</v>
      </c>
      <c r="BW746" s="175">
        <f>IF(AND(Input_Product=Elig!$C746,Elig_MatchAll_Ct&lt;22,$BC746=(Elig_MatchAll_Ct-1),AU746=0),R746,0)</f>
        <v>0</v>
      </c>
      <c r="BX746" s="176">
        <f>IF(AND(Input_Product=Elig!$C746,Elig_MatchAll_Ct&lt;22,$BC746=(Elig_MatchAll_Ct-1),AU746=0),S746,0)</f>
        <v>0</v>
      </c>
      <c r="BY746" s="175">
        <f>IF(AND(Input_Product=Elig!$C746,Elig_MatchAll_Ct&lt;22,$BC746=(Elig_MatchAll_Ct-1),AV746=0),T746,0)</f>
        <v>0</v>
      </c>
      <c r="BZ746" s="176">
        <f>IF(AND(Input_Product=Elig!$C746,Elig_MatchAll_Ct&lt;22,$BC746=(Elig_MatchAll_Ct-1),AV746=0),U746,0)</f>
        <v>0</v>
      </c>
      <c r="CA746" s="175">
        <f>IF(AND(Input_Product=Elig!$C746,Elig_MatchAll_Ct&lt;22,$BC746=(Elig_MatchAll_Ct-1),AW746=0),V746,0)</f>
        <v>0</v>
      </c>
      <c r="CB746" s="176">
        <f>IF(AND(Input_Product=Elig!$C746,Elig_MatchAll_Ct&lt;22,$BC746=(Elig_MatchAll_Ct-1),AW746=0),W746,0)</f>
        <v>0</v>
      </c>
      <c r="CC746" s="175">
        <f>IF(AND(Input_Product=Elig!$C746,Elig_MatchAll_Ct&lt;22,$BC746=(Elig_MatchAll_Ct-1),AX746=0),X746,0)</f>
        <v>0</v>
      </c>
      <c r="CD746" s="176">
        <f>IF(AND(Input_Product=Elig!$C746,Elig_MatchAll_Ct&lt;22,$BC746=(Elig_MatchAll_Ct-1),AX746=0),Y746,0)</f>
        <v>0</v>
      </c>
      <c r="CE746" s="175">
        <f>IF(AND(Input_LTV&lt;=AE746,Input_Product=Elig!$C746,Elig_MatchAll_Ct&lt;22,$BC746=(Elig_MatchAll_Ct-1),AY746=0),Z746,0)</f>
        <v>0</v>
      </c>
      <c r="CF746" s="176">
        <f>IF(AND(Input_LTV&lt;=AE746,Input_Product=Elig!$C746,Elig_MatchAll_Ct&lt;22,$BC746=(Elig_MatchAll_Ct-1),AY746=0),AA746,0)</f>
        <v>0</v>
      </c>
      <c r="CG746" s="175">
        <f>IF(AND(Input_Product=Elig!$C746,Elig_MatchAll_Ct&lt;22,$BC746=(Elig_MatchAll_Ct-1),AZ746=0),AB746,0)</f>
        <v>0</v>
      </c>
      <c r="CH746" s="176">
        <f>IF(AND(Input_Product=Elig!$C746,Elig_MatchAll_Ct&lt;22,$BC746=(Elig_MatchAll_Ct-1),AZ746=0),AC746,0)</f>
        <v>0</v>
      </c>
      <c r="CI746" s="175">
        <f>IF(AND(Input_Product=Elig!$C746,Elig_MatchAll_Ct&lt;22,$BC746=(Elig_MatchAll_Ct-1),BA746=0),AD746,0)</f>
        <v>0</v>
      </c>
      <c r="CJ746" s="176">
        <f>IF(AND(Input_Product=Elig!$C746,Elig_MatchAll_Ct&lt;22,$BC746=(Elig_MatchAll_Ct-1),BA746=0),AE746,0)</f>
        <v>0</v>
      </c>
    </row>
    <row r="747" spans="1:88" ht="10.15" customHeight="1" x14ac:dyDescent="0.25">
      <c r="A747" s="1484" t="s">
        <v>76</v>
      </c>
      <c r="B747" s="1484" t="s">
        <v>1945</v>
      </c>
      <c r="C747" s="1485" t="str">
        <f t="shared" si="242"/>
        <v>Second NOO</v>
      </c>
      <c r="D747" s="1484" t="s">
        <v>1338</v>
      </c>
      <c r="E747" s="1484" t="s">
        <v>98</v>
      </c>
      <c r="F747" s="1484" t="s">
        <v>329</v>
      </c>
      <c r="G747" s="1544" t="s">
        <v>465</v>
      </c>
      <c r="H747" s="1486" t="s">
        <v>135</v>
      </c>
      <c r="I747" s="1484" t="s">
        <v>1141</v>
      </c>
      <c r="J747" s="1484" t="s">
        <v>1130</v>
      </c>
      <c r="K747" s="1486" t="s">
        <v>2464</v>
      </c>
      <c r="L747" s="1484" t="s">
        <v>428</v>
      </c>
      <c r="M747" s="1484" t="s">
        <v>1835</v>
      </c>
      <c r="N747" s="1486" t="s">
        <v>1844</v>
      </c>
      <c r="O747" s="1484" t="s">
        <v>309</v>
      </c>
      <c r="P747" s="1484" t="s">
        <v>2434</v>
      </c>
      <c r="Q747" s="1484" t="s">
        <v>293</v>
      </c>
      <c r="R747" s="1484">
        <v>350000.01</v>
      </c>
      <c r="S747" s="1543">
        <v>500000</v>
      </c>
      <c r="T747" s="1484">
        <v>0</v>
      </c>
      <c r="U747" s="1484">
        <f t="shared" si="250"/>
        <v>500000</v>
      </c>
      <c r="V747" s="1484">
        <v>0</v>
      </c>
      <c r="W747" s="1484">
        <v>50</v>
      </c>
      <c r="X747" s="1484">
        <v>0</v>
      </c>
      <c r="Y747" s="1484">
        <v>999</v>
      </c>
      <c r="Z747" s="1487">
        <v>680</v>
      </c>
      <c r="AA747" s="1487">
        <v>699</v>
      </c>
      <c r="AB747" s="1487">
        <v>0</v>
      </c>
      <c r="AC747" s="1487">
        <v>999999</v>
      </c>
      <c r="AD747" s="1484">
        <v>0</v>
      </c>
      <c r="AE747" s="1543">
        <v>65</v>
      </c>
      <c r="AF747" s="144">
        <v>1</v>
      </c>
      <c r="AG747" s="145">
        <v>1</v>
      </c>
      <c r="AH747" s="145">
        <v>1</v>
      </c>
      <c r="AI747" s="145">
        <v>1</v>
      </c>
      <c r="AJ747" s="145">
        <v>0</v>
      </c>
      <c r="AK747" s="145">
        <v>1</v>
      </c>
      <c r="AL747" s="145">
        <v>1</v>
      </c>
      <c r="AM747" s="145">
        <v>1</v>
      </c>
      <c r="AN747" s="145">
        <v>1</v>
      </c>
      <c r="AO747" s="145">
        <v>1</v>
      </c>
      <c r="AP747" s="145">
        <v>1</v>
      </c>
      <c r="AQ747" s="145">
        <v>1</v>
      </c>
      <c r="AR747" s="145">
        <v>1</v>
      </c>
      <c r="AS747" s="145">
        <v>1</v>
      </c>
      <c r="AT747" s="145">
        <v>1</v>
      </c>
      <c r="AU747" s="145">
        <f t="shared" si="236"/>
        <v>0</v>
      </c>
      <c r="AV747" s="145">
        <f t="shared" si="237"/>
        <v>1</v>
      </c>
      <c r="AW747" s="145">
        <f t="shared" si="238"/>
        <v>1</v>
      </c>
      <c r="AX747" s="145">
        <f t="shared" si="244"/>
        <v>1</v>
      </c>
      <c r="AY747" s="145">
        <f t="shared" si="239"/>
        <v>0</v>
      </c>
      <c r="AZ747" s="145">
        <f t="shared" si="240"/>
        <v>1</v>
      </c>
      <c r="BA747" s="146">
        <f t="shared" si="241"/>
        <v>0</v>
      </c>
      <c r="BB747" s="149">
        <f t="shared" si="251"/>
        <v>18</v>
      </c>
      <c r="BC747" s="150">
        <f t="shared" si="252"/>
        <v>18</v>
      </c>
      <c r="BD747" s="150">
        <f t="shared" si="253"/>
        <v>17</v>
      </c>
      <c r="BE747" s="211" t="str">
        <f t="shared" si="248"/>
        <v/>
      </c>
      <c r="BF747" s="205"/>
      <c r="BG747" s="205"/>
      <c r="BH747" s="173">
        <f>IF(AND(Input_Product=Elig!$C747,Elig_MatchAll_Ct&lt;22,$BC747=(Elig_MatchAll_Ct-1),AF747=0),C747,0)</f>
        <v>0</v>
      </c>
      <c r="BI747" s="173">
        <f>IF(AND(Input_Product=Elig!$C747,Elig_MatchAll_Ct&lt;22,$BC747=(Elig_MatchAll_Ct-1),AG747=0),D747,0)</f>
        <v>0</v>
      </c>
      <c r="BJ747" s="173">
        <f>IF(AND(Input_Product=Elig!$C747,Elig_MatchAll_Ct&lt;22,$BC747=(Elig_MatchAll_Ct-1),AH747=0),E747,0)</f>
        <v>0</v>
      </c>
      <c r="BK747" s="173">
        <f>IF(AND(Input_Product=Elig!$C747,Elig_MatchAll_Ct&lt;22,$BC747=(Elig_MatchAll_Ct-1),AI747=0),F747,0)</f>
        <v>0</v>
      </c>
      <c r="BL747" s="173">
        <f>IF(AND(Input_Product=Elig!$C747,Elig_MatchAll_Ct&lt;22,$BC747=(Elig_MatchAll_Ct-1),AJ747=0),G747,0)</f>
        <v>0</v>
      </c>
      <c r="BM747" s="173">
        <f>IF(AND(Input_Product=Elig!$C747,Elig_MatchAll_Ct&lt;22,$BC747=(Elig_MatchAll_Ct-1),AK747=0),H747,0)</f>
        <v>0</v>
      </c>
      <c r="BN747" s="173">
        <f>IF(AND(Input_Product=Elig!$C747,Elig_MatchAll_Ct&lt;22,$BC747=(Elig_MatchAll_Ct-1),AL747=0),I747,0)</f>
        <v>0</v>
      </c>
      <c r="BO747" s="173">
        <f>IF(AND(Input_Product=Elig!$C747,Elig_MatchAll_Ct&lt;22,$BC747=(Elig_MatchAll_Ct-1),AM747=0),J747,0)</f>
        <v>0</v>
      </c>
      <c r="BP747" s="173">
        <f>IF(AND(Input_Product=Elig!$C747,Elig_MatchAll_Ct&lt;22,$BC747=(Elig_MatchAll_Ct-1),AN747=0),K747,0)</f>
        <v>0</v>
      </c>
      <c r="BQ747" s="173">
        <f>IF(AND(Input_Product=Elig!$C747,Elig_MatchAll_Ct&lt;22,$BC747=(Elig_MatchAll_Ct-1),AP747=0),L747,0)</f>
        <v>0</v>
      </c>
      <c r="BR747" s="173">
        <f>IF(AND(Input_Product=Elig!$C747,Elig_MatchAll_Ct&lt;22,$BC747=(Elig_MatchAll_Ct-1),AO747=0),M747,0)</f>
        <v>0</v>
      </c>
      <c r="BS747" s="173">
        <f>IF(AND(Input_Product=Elig!$C747,Elig_MatchAll_Ct&lt;22,$BC747=(Elig_MatchAll_Ct-1),AQ747=0),N747,0)</f>
        <v>0</v>
      </c>
      <c r="BT747" s="173">
        <f>IF(AND(Input_Product=Elig!$C747,Elig_MatchAll_Ct&lt;22,$BC747=(Elig_MatchAll_Ct-1),AR747=0),O747,0)</f>
        <v>0</v>
      </c>
      <c r="BU747" s="173">
        <f>IF(AND(Input_Product=Elig!$C747,Elig_MatchAll_Ct&lt;22,$BC747=(Elig_MatchAll_Ct-1),AS747=0),P747,0)</f>
        <v>0</v>
      </c>
      <c r="BV747" s="174">
        <f>IF(AND(Input_Product=Elig!$C747,Elig_MatchAll_Ct&lt;22,$BC747=(Elig_MatchAll_Ct-1),AT747=0),Q747,0)</f>
        <v>0</v>
      </c>
      <c r="BW747" s="175">
        <f>IF(AND(Input_Product=Elig!$C747,Elig_MatchAll_Ct&lt;22,$BC747=(Elig_MatchAll_Ct-1),AU747=0),R747,0)</f>
        <v>0</v>
      </c>
      <c r="BX747" s="176">
        <f>IF(AND(Input_Product=Elig!$C747,Elig_MatchAll_Ct&lt;22,$BC747=(Elig_MatchAll_Ct-1),AU747=0),S747,0)</f>
        <v>0</v>
      </c>
      <c r="BY747" s="175">
        <f>IF(AND(Input_Product=Elig!$C747,Elig_MatchAll_Ct&lt;22,$BC747=(Elig_MatchAll_Ct-1),AV747=0),T747,0)</f>
        <v>0</v>
      </c>
      <c r="BZ747" s="176">
        <f>IF(AND(Input_Product=Elig!$C747,Elig_MatchAll_Ct&lt;22,$BC747=(Elig_MatchAll_Ct-1),AV747=0),U747,0)</f>
        <v>0</v>
      </c>
      <c r="CA747" s="175">
        <f>IF(AND(Input_Product=Elig!$C747,Elig_MatchAll_Ct&lt;22,$BC747=(Elig_MatchAll_Ct-1),AW747=0),V747,0)</f>
        <v>0</v>
      </c>
      <c r="CB747" s="176">
        <f>IF(AND(Input_Product=Elig!$C747,Elig_MatchAll_Ct&lt;22,$BC747=(Elig_MatchAll_Ct-1),AW747=0),W747,0)</f>
        <v>0</v>
      </c>
      <c r="CC747" s="175">
        <f>IF(AND(Input_Product=Elig!$C747,Elig_MatchAll_Ct&lt;22,$BC747=(Elig_MatchAll_Ct-1),AX747=0),X747,0)</f>
        <v>0</v>
      </c>
      <c r="CD747" s="176">
        <f>IF(AND(Input_Product=Elig!$C747,Elig_MatchAll_Ct&lt;22,$BC747=(Elig_MatchAll_Ct-1),AX747=0),Y747,0)</f>
        <v>0</v>
      </c>
      <c r="CE747" s="175">
        <f>IF(AND(Input_LTV&lt;=AE747,Input_Product=Elig!$C747,Elig_MatchAll_Ct&lt;22,$BC747=(Elig_MatchAll_Ct-1),AY747=0),Z747,0)</f>
        <v>0</v>
      </c>
      <c r="CF747" s="176">
        <f>IF(AND(Input_LTV&lt;=AE747,Input_Product=Elig!$C747,Elig_MatchAll_Ct&lt;22,$BC747=(Elig_MatchAll_Ct-1),AY747=0),AA747,0)</f>
        <v>0</v>
      </c>
      <c r="CG747" s="175">
        <f>IF(AND(Input_Product=Elig!$C747,Elig_MatchAll_Ct&lt;22,$BC747=(Elig_MatchAll_Ct-1),AZ747=0),AB747,0)</f>
        <v>0</v>
      </c>
      <c r="CH747" s="176">
        <f>IF(AND(Input_Product=Elig!$C747,Elig_MatchAll_Ct&lt;22,$BC747=(Elig_MatchAll_Ct-1),AZ747=0),AC747,0)</f>
        <v>0</v>
      </c>
      <c r="CI747" s="175">
        <f>IF(AND(Input_Product=Elig!$C747,Elig_MatchAll_Ct&lt;22,$BC747=(Elig_MatchAll_Ct-1),BA747=0),AD747,0)</f>
        <v>0</v>
      </c>
      <c r="CJ747" s="176">
        <f>IF(AND(Input_Product=Elig!$C747,Elig_MatchAll_Ct&lt;22,$BC747=(Elig_MatchAll_Ct-1),BA747=0),AE747,0)</f>
        <v>0</v>
      </c>
    </row>
    <row r="748" spans="1:88" ht="10.15" customHeight="1" x14ac:dyDescent="0.25">
      <c r="A748" s="1484" t="s">
        <v>76</v>
      </c>
      <c r="B748" s="1484" t="s">
        <v>1946</v>
      </c>
      <c r="C748" s="1485" t="str">
        <f t="shared" si="242"/>
        <v>Second NOO</v>
      </c>
      <c r="D748" s="1484" t="s">
        <v>1338</v>
      </c>
      <c r="E748" s="1484" t="s">
        <v>98</v>
      </c>
      <c r="F748" s="1484" t="s">
        <v>329</v>
      </c>
      <c r="G748" s="1545" t="s">
        <v>465</v>
      </c>
      <c r="H748" s="1486" t="s">
        <v>135</v>
      </c>
      <c r="I748" s="1484" t="s">
        <v>1141</v>
      </c>
      <c r="J748" s="1484" t="s">
        <v>1130</v>
      </c>
      <c r="K748" s="1486" t="s">
        <v>2464</v>
      </c>
      <c r="L748" s="1484" t="s">
        <v>428</v>
      </c>
      <c r="M748" s="1484" t="s">
        <v>1835</v>
      </c>
      <c r="N748" s="1486" t="s">
        <v>1844</v>
      </c>
      <c r="O748" s="1484" t="s">
        <v>309</v>
      </c>
      <c r="P748" s="1484" t="s">
        <v>2434</v>
      </c>
      <c r="Q748" s="1484" t="s">
        <v>293</v>
      </c>
      <c r="R748" s="1484">
        <v>350000.01</v>
      </c>
      <c r="S748" s="1543">
        <v>500000</v>
      </c>
      <c r="T748" s="1484">
        <v>0</v>
      </c>
      <c r="U748" s="1484">
        <f t="shared" si="250"/>
        <v>500000</v>
      </c>
      <c r="V748" s="1484">
        <v>0</v>
      </c>
      <c r="W748" s="1484">
        <v>50</v>
      </c>
      <c r="X748" s="1484">
        <v>0</v>
      </c>
      <c r="Y748" s="1484">
        <v>999</v>
      </c>
      <c r="Z748" s="1487">
        <v>660</v>
      </c>
      <c r="AA748" s="1487">
        <v>679</v>
      </c>
      <c r="AB748" s="1487">
        <v>0</v>
      </c>
      <c r="AC748" s="1487">
        <v>999999</v>
      </c>
      <c r="AD748" s="1484">
        <v>0</v>
      </c>
      <c r="AE748" s="1543">
        <v>60</v>
      </c>
      <c r="AF748" s="144">
        <v>1</v>
      </c>
      <c r="AG748" s="145">
        <v>1</v>
      </c>
      <c r="AH748" s="145">
        <v>1</v>
      </c>
      <c r="AI748" s="145">
        <v>1</v>
      </c>
      <c r="AJ748" s="145">
        <v>0</v>
      </c>
      <c r="AK748" s="145">
        <v>1</v>
      </c>
      <c r="AL748" s="145">
        <v>1</v>
      </c>
      <c r="AM748" s="145">
        <v>1</v>
      </c>
      <c r="AN748" s="145">
        <v>1</v>
      </c>
      <c r="AO748" s="145">
        <v>1</v>
      </c>
      <c r="AP748" s="145">
        <v>1</v>
      </c>
      <c r="AQ748" s="145">
        <v>1</v>
      </c>
      <c r="AR748" s="145">
        <v>1</v>
      </c>
      <c r="AS748" s="145">
        <v>1</v>
      </c>
      <c r="AT748" s="145">
        <v>1</v>
      </c>
      <c r="AU748" s="145">
        <f t="shared" si="236"/>
        <v>0</v>
      </c>
      <c r="AV748" s="145">
        <f t="shared" si="237"/>
        <v>1</v>
      </c>
      <c r="AW748" s="145">
        <f t="shared" si="238"/>
        <v>1</v>
      </c>
      <c r="AX748" s="145">
        <f t="shared" si="244"/>
        <v>1</v>
      </c>
      <c r="AY748" s="145">
        <f t="shared" si="239"/>
        <v>0</v>
      </c>
      <c r="AZ748" s="145">
        <f t="shared" si="240"/>
        <v>1</v>
      </c>
      <c r="BA748" s="146">
        <f t="shared" si="241"/>
        <v>0</v>
      </c>
      <c r="BB748" s="149">
        <f t="shared" si="251"/>
        <v>18</v>
      </c>
      <c r="BC748" s="150">
        <f t="shared" si="252"/>
        <v>18</v>
      </c>
      <c r="BD748" s="150">
        <f t="shared" si="253"/>
        <v>17</v>
      </c>
      <c r="BE748" s="211" t="str">
        <f t="shared" si="248"/>
        <v/>
      </c>
      <c r="BF748" s="205"/>
      <c r="BG748" s="205"/>
      <c r="BH748" s="188">
        <f>IF(AND(Input_Product=Elig!$C748,Elig_MatchAll_Ct&lt;22,$BC748=(Elig_MatchAll_Ct-1),AF748=0),C748,0)</f>
        <v>0</v>
      </c>
      <c r="BI748" s="188">
        <f>IF(AND(Input_Product=Elig!$C748,Elig_MatchAll_Ct&lt;22,$BC748=(Elig_MatchAll_Ct-1),AG748=0),D748,0)</f>
        <v>0</v>
      </c>
      <c r="BJ748" s="188">
        <f>IF(AND(Input_Product=Elig!$C748,Elig_MatchAll_Ct&lt;22,$BC748=(Elig_MatchAll_Ct-1),AH748=0),E748,0)</f>
        <v>0</v>
      </c>
      <c r="BK748" s="188">
        <f>IF(AND(Input_Product=Elig!$C748,Elig_MatchAll_Ct&lt;22,$BC748=(Elig_MatchAll_Ct-1),AI748=0),F748,0)</f>
        <v>0</v>
      </c>
      <c r="BL748" s="188">
        <f>IF(AND(Input_Product=Elig!$C748,Elig_MatchAll_Ct&lt;22,$BC748=(Elig_MatchAll_Ct-1),AJ748=0),G748,0)</f>
        <v>0</v>
      </c>
      <c r="BM748" s="188">
        <f>IF(AND(Input_Product=Elig!$C748,Elig_MatchAll_Ct&lt;22,$BC748=(Elig_MatchAll_Ct-1),AK748=0),H748,0)</f>
        <v>0</v>
      </c>
      <c r="BN748" s="188">
        <f>IF(AND(Input_Product=Elig!$C748,Elig_MatchAll_Ct&lt;22,$BC748=(Elig_MatchAll_Ct-1),AL748=0),I748,0)</f>
        <v>0</v>
      </c>
      <c r="BO748" s="188">
        <f>IF(AND(Input_Product=Elig!$C748,Elig_MatchAll_Ct&lt;22,$BC748=(Elig_MatchAll_Ct-1),AM748=0),J748,0)</f>
        <v>0</v>
      </c>
      <c r="BP748" s="188">
        <f>IF(AND(Input_Product=Elig!$C748,Elig_MatchAll_Ct&lt;22,$BC748=(Elig_MatchAll_Ct-1),AN748=0),K748,0)</f>
        <v>0</v>
      </c>
      <c r="BQ748" s="188">
        <f>IF(AND(Input_Product=Elig!$C748,Elig_MatchAll_Ct&lt;22,$BC748=(Elig_MatchAll_Ct-1),AP748=0),L748,0)</f>
        <v>0</v>
      </c>
      <c r="BR748" s="188">
        <f>IF(AND(Input_Product=Elig!$C748,Elig_MatchAll_Ct&lt;22,$BC748=(Elig_MatchAll_Ct-1),AO748=0),M748,0)</f>
        <v>0</v>
      </c>
      <c r="BS748" s="188">
        <f>IF(AND(Input_Product=Elig!$C748,Elig_MatchAll_Ct&lt;22,$BC748=(Elig_MatchAll_Ct-1),AQ748=0),N748,0)</f>
        <v>0</v>
      </c>
      <c r="BT748" s="188">
        <f>IF(AND(Input_Product=Elig!$C748,Elig_MatchAll_Ct&lt;22,$BC748=(Elig_MatchAll_Ct-1),AR748=0),O748,0)</f>
        <v>0</v>
      </c>
      <c r="BU748" s="188">
        <f>IF(AND(Input_Product=Elig!$C748,Elig_MatchAll_Ct&lt;22,$BC748=(Elig_MatchAll_Ct-1),AS748=0),P748,0)</f>
        <v>0</v>
      </c>
      <c r="BV748" s="189">
        <f>IF(AND(Input_Product=Elig!$C748,Elig_MatchAll_Ct&lt;22,$BC748=(Elig_MatchAll_Ct-1),AT748=0),Q748,0)</f>
        <v>0</v>
      </c>
      <c r="BW748" s="271">
        <f>IF(AND(Input_Product=Elig!$C748,Elig_MatchAll_Ct&lt;22,$BC748=(Elig_MatchAll_Ct-1),AU748=0),R748,0)</f>
        <v>0</v>
      </c>
      <c r="BX748" s="272">
        <f>IF(AND(Input_Product=Elig!$C748,Elig_MatchAll_Ct&lt;22,$BC748=(Elig_MatchAll_Ct-1),AU748=0),S748,0)</f>
        <v>0</v>
      </c>
      <c r="BY748" s="271">
        <f>IF(AND(Input_Product=Elig!$C748,Elig_MatchAll_Ct&lt;22,$BC748=(Elig_MatchAll_Ct-1),AV748=0),T748,0)</f>
        <v>0</v>
      </c>
      <c r="BZ748" s="272">
        <f>IF(AND(Input_Product=Elig!$C748,Elig_MatchAll_Ct&lt;22,$BC748=(Elig_MatchAll_Ct-1),AV748=0),U748,0)</f>
        <v>0</v>
      </c>
      <c r="CA748" s="271">
        <f>IF(AND(Input_Product=Elig!$C748,Elig_MatchAll_Ct&lt;22,$BC748=(Elig_MatchAll_Ct-1),AW748=0),V748,0)</f>
        <v>0</v>
      </c>
      <c r="CB748" s="272">
        <f>IF(AND(Input_Product=Elig!$C748,Elig_MatchAll_Ct&lt;22,$BC748=(Elig_MatchAll_Ct-1),AW748=0),W748,0)</f>
        <v>0</v>
      </c>
      <c r="CC748" s="271">
        <f>IF(AND(Input_Product=Elig!$C748,Elig_MatchAll_Ct&lt;22,$BC748=(Elig_MatchAll_Ct-1),AX748=0),X748,0)</f>
        <v>0</v>
      </c>
      <c r="CD748" s="272">
        <f>IF(AND(Input_Product=Elig!$C748,Elig_MatchAll_Ct&lt;22,$BC748=(Elig_MatchAll_Ct-1),AX748=0),Y748,0)</f>
        <v>0</v>
      </c>
      <c r="CE748" s="271">
        <f>IF(AND(Input_LTV&lt;=AE748,Input_Product=Elig!$C748,Elig_MatchAll_Ct&lt;22,$BC748=(Elig_MatchAll_Ct-1),AY748=0),Z748,0)</f>
        <v>0</v>
      </c>
      <c r="CF748" s="272">
        <f>IF(AND(Input_LTV&lt;=AE748,Input_Product=Elig!$C748,Elig_MatchAll_Ct&lt;22,$BC748=(Elig_MatchAll_Ct-1),AY748=0),AA748,0)</f>
        <v>0</v>
      </c>
      <c r="CG748" s="271">
        <f>IF(AND(Input_Product=Elig!$C748,Elig_MatchAll_Ct&lt;22,$BC748=(Elig_MatchAll_Ct-1),AZ748=0),AB748,0)</f>
        <v>0</v>
      </c>
      <c r="CH748" s="272">
        <f>IF(AND(Input_Product=Elig!$C748,Elig_MatchAll_Ct&lt;22,$BC748=(Elig_MatchAll_Ct-1),AZ748=0),AC748,0)</f>
        <v>0</v>
      </c>
      <c r="CI748" s="271">
        <f>IF(AND(Input_Product=Elig!$C748,Elig_MatchAll_Ct&lt;22,$BC748=(Elig_MatchAll_Ct-1),BA748=0),AD748,0)</f>
        <v>0</v>
      </c>
      <c r="CJ748" s="272">
        <f>IF(AND(Input_Product=Elig!$C748,Elig_MatchAll_Ct&lt;22,$BC748=(Elig_MatchAll_Ct-1),BA748=0),AE748,0)</f>
        <v>0</v>
      </c>
    </row>
    <row r="749" spans="1:88" ht="10.15" customHeight="1" x14ac:dyDescent="0.25">
      <c r="A749" s="1484" t="s">
        <v>76</v>
      </c>
      <c r="B749" s="1484" t="s">
        <v>1947</v>
      </c>
      <c r="C749" s="1489" t="str">
        <f t="shared" si="242"/>
        <v>Second NOO</v>
      </c>
      <c r="D749" s="1490" t="s">
        <v>1338</v>
      </c>
      <c r="E749" s="1490" t="s">
        <v>98</v>
      </c>
      <c r="F749" s="1490" t="s">
        <v>329</v>
      </c>
      <c r="G749" s="1537" t="s">
        <v>469</v>
      </c>
      <c r="H749" s="1490" t="s">
        <v>135</v>
      </c>
      <c r="I749" s="1488" t="s">
        <v>1141</v>
      </c>
      <c r="J749" s="1488" t="s">
        <v>1130</v>
      </c>
      <c r="K749" s="1490" t="s">
        <v>2464</v>
      </c>
      <c r="L749" s="1488" t="s">
        <v>428</v>
      </c>
      <c r="M749" s="1488" t="s">
        <v>1835</v>
      </c>
      <c r="N749" s="1490" t="s">
        <v>1844</v>
      </c>
      <c r="O749" s="1488" t="s">
        <v>309</v>
      </c>
      <c r="P749" s="1488" t="s">
        <v>2434</v>
      </c>
      <c r="Q749" s="1488" t="s">
        <v>293</v>
      </c>
      <c r="R749" s="1488">
        <v>350000.01</v>
      </c>
      <c r="S749" s="1542">
        <v>500000</v>
      </c>
      <c r="T749" s="1488">
        <v>0</v>
      </c>
      <c r="U749" s="1488">
        <f t="shared" si="243"/>
        <v>500000</v>
      </c>
      <c r="V749" s="1488">
        <v>0</v>
      </c>
      <c r="W749" s="1488">
        <v>50</v>
      </c>
      <c r="X749" s="1488">
        <v>0</v>
      </c>
      <c r="Y749" s="1488">
        <v>999</v>
      </c>
      <c r="Z749" s="1491">
        <v>720</v>
      </c>
      <c r="AA749" s="1491">
        <v>999</v>
      </c>
      <c r="AB749" s="1491">
        <v>0</v>
      </c>
      <c r="AC749" s="1491">
        <v>999999</v>
      </c>
      <c r="AD749" s="1488">
        <v>0</v>
      </c>
      <c r="AE749" s="1488">
        <v>70</v>
      </c>
      <c r="AF749" s="144">
        <v>1</v>
      </c>
      <c r="AG749" s="145">
        <v>1</v>
      </c>
      <c r="AH749" s="145">
        <v>1</v>
      </c>
      <c r="AI749" s="145">
        <v>1</v>
      </c>
      <c r="AJ749" s="145">
        <v>0</v>
      </c>
      <c r="AK749" s="145">
        <v>1</v>
      </c>
      <c r="AL749" s="145">
        <v>1</v>
      </c>
      <c r="AM749" s="145">
        <v>1</v>
      </c>
      <c r="AN749" s="145">
        <v>1</v>
      </c>
      <c r="AO749" s="145">
        <v>1</v>
      </c>
      <c r="AP749" s="145">
        <v>1</v>
      </c>
      <c r="AQ749" s="145">
        <v>1</v>
      </c>
      <c r="AR749" s="145">
        <v>1</v>
      </c>
      <c r="AS749" s="145">
        <v>1</v>
      </c>
      <c r="AT749" s="145">
        <v>1</v>
      </c>
      <c r="AU749" s="145">
        <f t="shared" si="236"/>
        <v>0</v>
      </c>
      <c r="AV749" s="145">
        <f t="shared" si="237"/>
        <v>1</v>
      </c>
      <c r="AW749" s="145">
        <f t="shared" si="238"/>
        <v>1</v>
      </c>
      <c r="AX749" s="145">
        <f t="shared" si="244"/>
        <v>1</v>
      </c>
      <c r="AY749" s="145">
        <f t="shared" si="239"/>
        <v>1</v>
      </c>
      <c r="AZ749" s="145">
        <f t="shared" si="240"/>
        <v>1</v>
      </c>
      <c r="BA749" s="146">
        <f t="shared" si="241"/>
        <v>1</v>
      </c>
      <c r="BB749" s="149">
        <f t="shared" ref="BB749:BB756" si="254">SUM(AF749:BA749)</f>
        <v>20</v>
      </c>
      <c r="BC749" s="150">
        <f t="shared" ref="BC749:BD756" si="255">SUM(AF749:AZ749)</f>
        <v>19</v>
      </c>
      <c r="BD749" s="150">
        <f t="shared" si="255"/>
        <v>19</v>
      </c>
      <c r="BE749" s="211" t="str">
        <f t="shared" si="248"/>
        <v/>
      </c>
      <c r="BF749" s="194"/>
      <c r="BG749" s="194"/>
      <c r="BH749" s="190">
        <f>IF(AND(Input_Product=Elig!$C749,Elig_MatchAll_Ct&lt;22,$BC749=(Elig_MatchAll_Ct-1),AF749=0),C749,0)</f>
        <v>0</v>
      </c>
      <c r="BI749" s="190">
        <f>IF(AND(Input_Product=Elig!$C749,Elig_MatchAll_Ct&lt;22,$BC749=(Elig_MatchAll_Ct-1),AG749=0),D749,0)</f>
        <v>0</v>
      </c>
      <c r="BJ749" s="190">
        <f>IF(AND(Input_Product=Elig!$C749,Elig_MatchAll_Ct&lt;22,$BC749=(Elig_MatchAll_Ct-1),AH749=0),E749,0)</f>
        <v>0</v>
      </c>
      <c r="BK749" s="190">
        <f>IF(AND(Input_Product=Elig!$C749,Elig_MatchAll_Ct&lt;22,$BC749=(Elig_MatchAll_Ct-1),AI749=0),F749,0)</f>
        <v>0</v>
      </c>
      <c r="BL749" s="190">
        <f>IF(AND(Input_Product=Elig!$C749,Elig_MatchAll_Ct&lt;22,$BC749=(Elig_MatchAll_Ct-1),AJ749=0),G749,0)</f>
        <v>0</v>
      </c>
      <c r="BM749" s="190">
        <f>IF(AND(Input_Product=Elig!$C749,Elig_MatchAll_Ct&lt;22,$BC749=(Elig_MatchAll_Ct-1),AK749=0),H749,0)</f>
        <v>0</v>
      </c>
      <c r="BN749" s="190">
        <f>IF(AND(Input_Product=Elig!$C749,Elig_MatchAll_Ct&lt;22,$BC749=(Elig_MatchAll_Ct-1),AL749=0),I749,0)</f>
        <v>0</v>
      </c>
      <c r="BO749" s="190">
        <f>IF(AND(Input_Product=Elig!$C749,Elig_MatchAll_Ct&lt;22,$BC749=(Elig_MatchAll_Ct-1),AM749=0),J749,0)</f>
        <v>0</v>
      </c>
      <c r="BP749" s="190">
        <f>IF(AND(Input_Product=Elig!$C749,Elig_MatchAll_Ct&lt;22,$BC749=(Elig_MatchAll_Ct-1),AN749=0),K749,0)</f>
        <v>0</v>
      </c>
      <c r="BQ749" s="190">
        <f>IF(AND(Input_Product=Elig!$C749,Elig_MatchAll_Ct&lt;22,$BC749=(Elig_MatchAll_Ct-1),AP749=0),L749,0)</f>
        <v>0</v>
      </c>
      <c r="BR749" s="190">
        <f>IF(AND(Input_Product=Elig!$C749,Elig_MatchAll_Ct&lt;22,$BC749=(Elig_MatchAll_Ct-1),AO749=0),M749,0)</f>
        <v>0</v>
      </c>
      <c r="BS749" s="190">
        <f>IF(AND(Input_Product=Elig!$C749,Elig_MatchAll_Ct&lt;22,$BC749=(Elig_MatchAll_Ct-1),AQ749=0),N749,0)</f>
        <v>0</v>
      </c>
      <c r="BT749" s="190">
        <f>IF(AND(Input_Product=Elig!$C749,Elig_MatchAll_Ct&lt;22,$BC749=(Elig_MatchAll_Ct-1),AR749=0),O749,0)</f>
        <v>0</v>
      </c>
      <c r="BU749" s="190">
        <f>IF(AND(Input_Product=Elig!$C749,Elig_MatchAll_Ct&lt;22,$BC749=(Elig_MatchAll_Ct-1),AS749=0),P749,0)</f>
        <v>0</v>
      </c>
      <c r="BV749" s="191">
        <f>IF(AND(Input_Product=Elig!$C749,Elig_MatchAll_Ct&lt;22,$BC749=(Elig_MatchAll_Ct-1),AT749=0),Q749,0)</f>
        <v>0</v>
      </c>
      <c r="BW749" s="273">
        <f>IF(AND(Input_Product=Elig!$C749,Elig_MatchAll_Ct&lt;22,$BC749=(Elig_MatchAll_Ct-1),AU749=0),R749,0)</f>
        <v>0</v>
      </c>
      <c r="BX749" s="274">
        <f>IF(AND(Input_Product=Elig!$C749,Elig_MatchAll_Ct&lt;22,$BC749=(Elig_MatchAll_Ct-1),AU749=0),S749,0)</f>
        <v>0</v>
      </c>
      <c r="BY749" s="273">
        <f>IF(AND(Input_Product=Elig!$C749,Elig_MatchAll_Ct&lt;22,$BC749=(Elig_MatchAll_Ct-1),AV749=0),T749,0)</f>
        <v>0</v>
      </c>
      <c r="BZ749" s="274">
        <f>IF(AND(Input_Product=Elig!$C749,Elig_MatchAll_Ct&lt;22,$BC749=(Elig_MatchAll_Ct-1),AV749=0),U749,0)</f>
        <v>0</v>
      </c>
      <c r="CA749" s="273">
        <f>IF(AND(Input_Product=Elig!$C749,Elig_MatchAll_Ct&lt;22,$BC749=(Elig_MatchAll_Ct-1),AW749=0),V749,0)</f>
        <v>0</v>
      </c>
      <c r="CB749" s="274">
        <f>IF(AND(Input_Product=Elig!$C749,Elig_MatchAll_Ct&lt;22,$BC749=(Elig_MatchAll_Ct-1),AW749=0),W749,0)</f>
        <v>0</v>
      </c>
      <c r="CC749" s="273">
        <f>IF(AND(Input_Product=Elig!$C749,Elig_MatchAll_Ct&lt;22,$BC749=(Elig_MatchAll_Ct-1),AX749=0),X749,0)</f>
        <v>0</v>
      </c>
      <c r="CD749" s="274">
        <f>IF(AND(Input_Product=Elig!$C749,Elig_MatchAll_Ct&lt;22,$BC749=(Elig_MatchAll_Ct-1),AX749=0),Y749,0)</f>
        <v>0</v>
      </c>
      <c r="CE749" s="273">
        <f>IF(AND(Input_LTV&lt;=AE749,Input_Product=Elig!$C749,Elig_MatchAll_Ct&lt;22,$BC749=(Elig_MatchAll_Ct-1),AY749=0),Z749,0)</f>
        <v>0</v>
      </c>
      <c r="CF749" s="274">
        <f>IF(AND(Input_LTV&lt;=AE749,Input_Product=Elig!$C749,Elig_MatchAll_Ct&lt;22,$BC749=(Elig_MatchAll_Ct-1),AY749=0),AA749,0)</f>
        <v>0</v>
      </c>
      <c r="CG749" s="273">
        <f>IF(AND(Input_Product=Elig!$C749,Elig_MatchAll_Ct&lt;22,$BC749=(Elig_MatchAll_Ct-1),AZ749=0),AB749,0)</f>
        <v>0</v>
      </c>
      <c r="CH749" s="274">
        <f>IF(AND(Input_Product=Elig!$C749,Elig_MatchAll_Ct&lt;22,$BC749=(Elig_MatchAll_Ct-1),AZ749=0),AC749,0)</f>
        <v>0</v>
      </c>
      <c r="CI749" s="273">
        <f>IF(AND(Input_Product=Elig!$C749,Elig_MatchAll_Ct&lt;22,$BC749=(Elig_MatchAll_Ct-1),BA749=0),AD749,0)</f>
        <v>0</v>
      </c>
      <c r="CJ749" s="274">
        <f>IF(AND(Input_Product=Elig!$C749,Elig_MatchAll_Ct&lt;22,$BC749=(Elig_MatchAll_Ct-1),BA749=0),AE749,0)</f>
        <v>0</v>
      </c>
    </row>
    <row r="750" spans="1:88" ht="10.15" customHeight="1" x14ac:dyDescent="0.25">
      <c r="A750" s="1484" t="s">
        <v>76</v>
      </c>
      <c r="B750" s="1484" t="s">
        <v>1948</v>
      </c>
      <c r="C750" s="1485" t="str">
        <f t="shared" si="242"/>
        <v>Second NOO</v>
      </c>
      <c r="D750" s="1484" t="s">
        <v>1338</v>
      </c>
      <c r="E750" s="1484" t="s">
        <v>98</v>
      </c>
      <c r="F750" s="1484" t="s">
        <v>329</v>
      </c>
      <c r="G750" s="1544" t="s">
        <v>469</v>
      </c>
      <c r="H750" s="1486" t="s">
        <v>135</v>
      </c>
      <c r="I750" s="1484" t="s">
        <v>1141</v>
      </c>
      <c r="J750" s="1484" t="s">
        <v>1130</v>
      </c>
      <c r="K750" s="1486" t="s">
        <v>2464</v>
      </c>
      <c r="L750" s="1484" t="s">
        <v>428</v>
      </c>
      <c r="M750" s="1484" t="s">
        <v>1835</v>
      </c>
      <c r="N750" s="1486" t="s">
        <v>1844</v>
      </c>
      <c r="O750" s="1484" t="s">
        <v>309</v>
      </c>
      <c r="P750" s="1484" t="s">
        <v>2434</v>
      </c>
      <c r="Q750" s="1484" t="s">
        <v>293</v>
      </c>
      <c r="R750" s="1484">
        <v>350000.01</v>
      </c>
      <c r="S750" s="1543">
        <v>500000</v>
      </c>
      <c r="T750" s="1484">
        <v>0</v>
      </c>
      <c r="U750" s="1484">
        <f t="shared" si="243"/>
        <v>500000</v>
      </c>
      <c r="V750" s="1484">
        <v>0</v>
      </c>
      <c r="W750" s="1484">
        <v>50</v>
      </c>
      <c r="X750" s="1484">
        <v>0</v>
      </c>
      <c r="Y750" s="1484">
        <v>999</v>
      </c>
      <c r="Z750" s="1487">
        <v>700</v>
      </c>
      <c r="AA750" s="1487">
        <v>719</v>
      </c>
      <c r="AB750" s="1487">
        <v>0</v>
      </c>
      <c r="AC750" s="1487">
        <v>999999</v>
      </c>
      <c r="AD750" s="1484">
        <v>0</v>
      </c>
      <c r="AE750" s="1484">
        <v>65</v>
      </c>
      <c r="AF750" s="144">
        <v>1</v>
      </c>
      <c r="AG750" s="145">
        <v>1</v>
      </c>
      <c r="AH750" s="145">
        <v>1</v>
      </c>
      <c r="AI750" s="145">
        <v>1</v>
      </c>
      <c r="AJ750" s="145">
        <v>0</v>
      </c>
      <c r="AK750" s="145">
        <v>1</v>
      </c>
      <c r="AL750" s="145">
        <v>1</v>
      </c>
      <c r="AM750" s="145">
        <v>1</v>
      </c>
      <c r="AN750" s="145">
        <v>1</v>
      </c>
      <c r="AO750" s="145">
        <v>1</v>
      </c>
      <c r="AP750" s="145">
        <v>1</v>
      </c>
      <c r="AQ750" s="145">
        <v>1</v>
      </c>
      <c r="AR750" s="145">
        <v>1</v>
      </c>
      <c r="AS750" s="145">
        <v>1</v>
      </c>
      <c r="AT750" s="145">
        <v>1</v>
      </c>
      <c r="AU750" s="145">
        <f t="shared" si="236"/>
        <v>0</v>
      </c>
      <c r="AV750" s="145">
        <f t="shared" si="237"/>
        <v>1</v>
      </c>
      <c r="AW750" s="145">
        <f t="shared" si="238"/>
        <v>1</v>
      </c>
      <c r="AX750" s="145">
        <f t="shared" si="244"/>
        <v>1</v>
      </c>
      <c r="AY750" s="145">
        <f t="shared" si="239"/>
        <v>0</v>
      </c>
      <c r="AZ750" s="145">
        <f t="shared" si="240"/>
        <v>1</v>
      </c>
      <c r="BA750" s="146">
        <f t="shared" si="241"/>
        <v>0</v>
      </c>
      <c r="BB750" s="149">
        <f t="shared" si="254"/>
        <v>18</v>
      </c>
      <c r="BC750" s="150">
        <f t="shared" si="255"/>
        <v>18</v>
      </c>
      <c r="BD750" s="150">
        <f t="shared" si="255"/>
        <v>17</v>
      </c>
      <c r="BE750" s="211" t="str">
        <f t="shared" si="248"/>
        <v/>
      </c>
      <c r="BF750" s="205"/>
      <c r="BG750" s="205"/>
      <c r="BH750" s="173">
        <f>IF(AND(Input_Product=Elig!$C750,Elig_MatchAll_Ct&lt;22,$BC750=(Elig_MatchAll_Ct-1),AF750=0),C750,0)</f>
        <v>0</v>
      </c>
      <c r="BI750" s="173">
        <f>IF(AND(Input_Product=Elig!$C750,Elig_MatchAll_Ct&lt;22,$BC750=(Elig_MatchAll_Ct-1),AG750=0),D750,0)</f>
        <v>0</v>
      </c>
      <c r="BJ750" s="173">
        <f>IF(AND(Input_Product=Elig!$C750,Elig_MatchAll_Ct&lt;22,$BC750=(Elig_MatchAll_Ct-1),AH750=0),E750,0)</f>
        <v>0</v>
      </c>
      <c r="BK750" s="173">
        <f>IF(AND(Input_Product=Elig!$C750,Elig_MatchAll_Ct&lt;22,$BC750=(Elig_MatchAll_Ct-1),AI750=0),F750,0)</f>
        <v>0</v>
      </c>
      <c r="BL750" s="173">
        <f>IF(AND(Input_Product=Elig!$C750,Elig_MatchAll_Ct&lt;22,$BC750=(Elig_MatchAll_Ct-1),AJ750=0),G750,0)</f>
        <v>0</v>
      </c>
      <c r="BM750" s="173">
        <f>IF(AND(Input_Product=Elig!$C750,Elig_MatchAll_Ct&lt;22,$BC750=(Elig_MatchAll_Ct-1),AK750=0),H750,0)</f>
        <v>0</v>
      </c>
      <c r="BN750" s="173">
        <f>IF(AND(Input_Product=Elig!$C750,Elig_MatchAll_Ct&lt;22,$BC750=(Elig_MatchAll_Ct-1),AL750=0),I750,0)</f>
        <v>0</v>
      </c>
      <c r="BO750" s="173">
        <f>IF(AND(Input_Product=Elig!$C750,Elig_MatchAll_Ct&lt;22,$BC750=(Elig_MatchAll_Ct-1),AM750=0),J750,0)</f>
        <v>0</v>
      </c>
      <c r="BP750" s="173">
        <f>IF(AND(Input_Product=Elig!$C750,Elig_MatchAll_Ct&lt;22,$BC750=(Elig_MatchAll_Ct-1),AN750=0),K750,0)</f>
        <v>0</v>
      </c>
      <c r="BQ750" s="173">
        <f>IF(AND(Input_Product=Elig!$C750,Elig_MatchAll_Ct&lt;22,$BC750=(Elig_MatchAll_Ct-1),AP750=0),L750,0)</f>
        <v>0</v>
      </c>
      <c r="BR750" s="173">
        <f>IF(AND(Input_Product=Elig!$C750,Elig_MatchAll_Ct&lt;22,$BC750=(Elig_MatchAll_Ct-1),AO750=0),M750,0)</f>
        <v>0</v>
      </c>
      <c r="BS750" s="173">
        <f>IF(AND(Input_Product=Elig!$C750,Elig_MatchAll_Ct&lt;22,$BC750=(Elig_MatchAll_Ct-1),AQ750=0),N750,0)</f>
        <v>0</v>
      </c>
      <c r="BT750" s="173">
        <f>IF(AND(Input_Product=Elig!$C750,Elig_MatchAll_Ct&lt;22,$BC750=(Elig_MatchAll_Ct-1),AR750=0),O750,0)</f>
        <v>0</v>
      </c>
      <c r="BU750" s="173">
        <f>IF(AND(Input_Product=Elig!$C750,Elig_MatchAll_Ct&lt;22,$BC750=(Elig_MatchAll_Ct-1),AS750=0),P750,0)</f>
        <v>0</v>
      </c>
      <c r="BV750" s="174">
        <f>IF(AND(Input_Product=Elig!$C750,Elig_MatchAll_Ct&lt;22,$BC750=(Elig_MatchAll_Ct-1),AT750=0),Q750,0)</f>
        <v>0</v>
      </c>
      <c r="BW750" s="175">
        <f>IF(AND(Input_Product=Elig!$C750,Elig_MatchAll_Ct&lt;22,$BC750=(Elig_MatchAll_Ct-1),AU750=0),R750,0)</f>
        <v>0</v>
      </c>
      <c r="BX750" s="176">
        <f>IF(AND(Input_Product=Elig!$C750,Elig_MatchAll_Ct&lt;22,$BC750=(Elig_MatchAll_Ct-1),AU750=0),S750,0)</f>
        <v>0</v>
      </c>
      <c r="BY750" s="175">
        <f>IF(AND(Input_Product=Elig!$C750,Elig_MatchAll_Ct&lt;22,$BC750=(Elig_MatchAll_Ct-1),AV750=0),T750,0)</f>
        <v>0</v>
      </c>
      <c r="BZ750" s="176">
        <f>IF(AND(Input_Product=Elig!$C750,Elig_MatchAll_Ct&lt;22,$BC750=(Elig_MatchAll_Ct-1),AV750=0),U750,0)</f>
        <v>0</v>
      </c>
      <c r="CA750" s="175">
        <f>IF(AND(Input_Product=Elig!$C750,Elig_MatchAll_Ct&lt;22,$BC750=(Elig_MatchAll_Ct-1),AW750=0),V750,0)</f>
        <v>0</v>
      </c>
      <c r="CB750" s="176">
        <f>IF(AND(Input_Product=Elig!$C750,Elig_MatchAll_Ct&lt;22,$BC750=(Elig_MatchAll_Ct-1),AW750=0),W750,0)</f>
        <v>0</v>
      </c>
      <c r="CC750" s="175">
        <f>IF(AND(Input_Product=Elig!$C750,Elig_MatchAll_Ct&lt;22,$BC750=(Elig_MatchAll_Ct-1),AX750=0),X750,0)</f>
        <v>0</v>
      </c>
      <c r="CD750" s="176">
        <f>IF(AND(Input_Product=Elig!$C750,Elig_MatchAll_Ct&lt;22,$BC750=(Elig_MatchAll_Ct-1),AX750=0),Y750,0)</f>
        <v>0</v>
      </c>
      <c r="CE750" s="175">
        <f>IF(AND(Input_LTV&lt;=AE750,Input_Product=Elig!$C750,Elig_MatchAll_Ct&lt;22,$BC750=(Elig_MatchAll_Ct-1),AY750=0),Z750,0)</f>
        <v>0</v>
      </c>
      <c r="CF750" s="176">
        <f>IF(AND(Input_LTV&lt;=AE750,Input_Product=Elig!$C750,Elig_MatchAll_Ct&lt;22,$BC750=(Elig_MatchAll_Ct-1),AY750=0),AA750,0)</f>
        <v>0</v>
      </c>
      <c r="CG750" s="175">
        <f>IF(AND(Input_Product=Elig!$C750,Elig_MatchAll_Ct&lt;22,$BC750=(Elig_MatchAll_Ct-1),AZ750=0),AB750,0)</f>
        <v>0</v>
      </c>
      <c r="CH750" s="176">
        <f>IF(AND(Input_Product=Elig!$C750,Elig_MatchAll_Ct&lt;22,$BC750=(Elig_MatchAll_Ct-1),AZ750=0),AC750,0)</f>
        <v>0</v>
      </c>
      <c r="CI750" s="175">
        <f>IF(AND(Input_Product=Elig!$C750,Elig_MatchAll_Ct&lt;22,$BC750=(Elig_MatchAll_Ct-1),BA750=0),AD750,0)</f>
        <v>0</v>
      </c>
      <c r="CJ750" s="176">
        <f>IF(AND(Input_Product=Elig!$C750,Elig_MatchAll_Ct&lt;22,$BC750=(Elig_MatchAll_Ct-1),BA750=0),AE750,0)</f>
        <v>0</v>
      </c>
    </row>
    <row r="751" spans="1:88" ht="10.15" customHeight="1" x14ac:dyDescent="0.25">
      <c r="A751" s="1484" t="s">
        <v>76</v>
      </c>
      <c r="B751" s="1484" t="s">
        <v>1949</v>
      </c>
      <c r="C751" s="1485" t="str">
        <f t="shared" si="242"/>
        <v>Second NOO</v>
      </c>
      <c r="D751" s="1484" t="s">
        <v>1338</v>
      </c>
      <c r="E751" s="1484" t="s">
        <v>98</v>
      </c>
      <c r="F751" s="1484" t="s">
        <v>329</v>
      </c>
      <c r="G751" s="1544" t="s">
        <v>469</v>
      </c>
      <c r="H751" s="1486" t="s">
        <v>135</v>
      </c>
      <c r="I751" s="1484" t="s">
        <v>1141</v>
      </c>
      <c r="J751" s="1484" t="s">
        <v>1130</v>
      </c>
      <c r="K751" s="1486" t="s">
        <v>2464</v>
      </c>
      <c r="L751" s="1484" t="s">
        <v>428</v>
      </c>
      <c r="M751" s="1484" t="s">
        <v>1835</v>
      </c>
      <c r="N751" s="1486" t="s">
        <v>1844</v>
      </c>
      <c r="O751" s="1484" t="s">
        <v>309</v>
      </c>
      <c r="P751" s="1484" t="s">
        <v>2434</v>
      </c>
      <c r="Q751" s="1484" t="s">
        <v>293</v>
      </c>
      <c r="R751" s="1484">
        <v>350000.01</v>
      </c>
      <c r="S751" s="1543">
        <v>500000</v>
      </c>
      <c r="T751" s="1484">
        <v>0</v>
      </c>
      <c r="U751" s="1484">
        <f t="shared" si="243"/>
        <v>500000</v>
      </c>
      <c r="V751" s="1484">
        <v>0</v>
      </c>
      <c r="W751" s="1484">
        <v>50</v>
      </c>
      <c r="X751" s="1484">
        <v>0</v>
      </c>
      <c r="Y751" s="1484">
        <v>999</v>
      </c>
      <c r="Z751" s="1487">
        <v>680</v>
      </c>
      <c r="AA751" s="1487">
        <v>699</v>
      </c>
      <c r="AB751" s="1487">
        <v>0</v>
      </c>
      <c r="AC751" s="1487">
        <v>999999</v>
      </c>
      <c r="AD751" s="1484">
        <v>0</v>
      </c>
      <c r="AE751" s="1484">
        <v>60</v>
      </c>
      <c r="AF751" s="144">
        <v>1</v>
      </c>
      <c r="AG751" s="145">
        <v>1</v>
      </c>
      <c r="AH751" s="145">
        <v>1</v>
      </c>
      <c r="AI751" s="145">
        <v>1</v>
      </c>
      <c r="AJ751" s="145">
        <v>0</v>
      </c>
      <c r="AK751" s="145">
        <v>1</v>
      </c>
      <c r="AL751" s="145">
        <v>1</v>
      </c>
      <c r="AM751" s="145">
        <v>1</v>
      </c>
      <c r="AN751" s="145">
        <v>1</v>
      </c>
      <c r="AO751" s="145">
        <v>1</v>
      </c>
      <c r="AP751" s="145">
        <v>1</v>
      </c>
      <c r="AQ751" s="145">
        <v>1</v>
      </c>
      <c r="AR751" s="145">
        <v>1</v>
      </c>
      <c r="AS751" s="145">
        <v>1</v>
      </c>
      <c r="AT751" s="145">
        <v>1</v>
      </c>
      <c r="AU751" s="145">
        <f t="shared" si="236"/>
        <v>0</v>
      </c>
      <c r="AV751" s="145">
        <f t="shared" si="237"/>
        <v>1</v>
      </c>
      <c r="AW751" s="145">
        <f t="shared" si="238"/>
        <v>1</v>
      </c>
      <c r="AX751" s="145">
        <f t="shared" si="244"/>
        <v>1</v>
      </c>
      <c r="AY751" s="145">
        <f t="shared" si="239"/>
        <v>0</v>
      </c>
      <c r="AZ751" s="145">
        <f t="shared" si="240"/>
        <v>1</v>
      </c>
      <c r="BA751" s="146">
        <f t="shared" si="241"/>
        <v>0</v>
      </c>
      <c r="BB751" s="149">
        <f t="shared" si="254"/>
        <v>18</v>
      </c>
      <c r="BC751" s="150">
        <f t="shared" si="255"/>
        <v>18</v>
      </c>
      <c r="BD751" s="150">
        <f t="shared" si="255"/>
        <v>17</v>
      </c>
      <c r="BE751" s="211" t="str">
        <f t="shared" si="248"/>
        <v/>
      </c>
      <c r="BF751" s="205"/>
      <c r="BG751" s="205"/>
      <c r="BH751" s="173">
        <f>IF(AND(Input_Product=Elig!$C751,Elig_MatchAll_Ct&lt;22,$BC751=(Elig_MatchAll_Ct-1),AF751=0),C751,0)</f>
        <v>0</v>
      </c>
      <c r="BI751" s="173">
        <f>IF(AND(Input_Product=Elig!$C751,Elig_MatchAll_Ct&lt;22,$BC751=(Elig_MatchAll_Ct-1),AG751=0),D751,0)</f>
        <v>0</v>
      </c>
      <c r="BJ751" s="173">
        <f>IF(AND(Input_Product=Elig!$C751,Elig_MatchAll_Ct&lt;22,$BC751=(Elig_MatchAll_Ct-1),AH751=0),E751,0)</f>
        <v>0</v>
      </c>
      <c r="BK751" s="173">
        <f>IF(AND(Input_Product=Elig!$C751,Elig_MatchAll_Ct&lt;22,$BC751=(Elig_MatchAll_Ct-1),AI751=0),F751,0)</f>
        <v>0</v>
      </c>
      <c r="BL751" s="173">
        <f>IF(AND(Input_Product=Elig!$C751,Elig_MatchAll_Ct&lt;22,$BC751=(Elig_MatchAll_Ct-1),AJ751=0),G751,0)</f>
        <v>0</v>
      </c>
      <c r="BM751" s="173">
        <f>IF(AND(Input_Product=Elig!$C751,Elig_MatchAll_Ct&lt;22,$BC751=(Elig_MatchAll_Ct-1),AK751=0),H751,0)</f>
        <v>0</v>
      </c>
      <c r="BN751" s="173">
        <f>IF(AND(Input_Product=Elig!$C751,Elig_MatchAll_Ct&lt;22,$BC751=(Elig_MatchAll_Ct-1),AL751=0),I751,0)</f>
        <v>0</v>
      </c>
      <c r="BO751" s="173">
        <f>IF(AND(Input_Product=Elig!$C751,Elig_MatchAll_Ct&lt;22,$BC751=(Elig_MatchAll_Ct-1),AM751=0),J751,0)</f>
        <v>0</v>
      </c>
      <c r="BP751" s="173">
        <f>IF(AND(Input_Product=Elig!$C751,Elig_MatchAll_Ct&lt;22,$BC751=(Elig_MatchAll_Ct-1),AN751=0),K751,0)</f>
        <v>0</v>
      </c>
      <c r="BQ751" s="173">
        <f>IF(AND(Input_Product=Elig!$C751,Elig_MatchAll_Ct&lt;22,$BC751=(Elig_MatchAll_Ct-1),AP751=0),L751,0)</f>
        <v>0</v>
      </c>
      <c r="BR751" s="173">
        <f>IF(AND(Input_Product=Elig!$C751,Elig_MatchAll_Ct&lt;22,$BC751=(Elig_MatchAll_Ct-1),AO751=0),M751,0)</f>
        <v>0</v>
      </c>
      <c r="BS751" s="173">
        <f>IF(AND(Input_Product=Elig!$C751,Elig_MatchAll_Ct&lt;22,$BC751=(Elig_MatchAll_Ct-1),AQ751=0),N751,0)</f>
        <v>0</v>
      </c>
      <c r="BT751" s="173">
        <f>IF(AND(Input_Product=Elig!$C751,Elig_MatchAll_Ct&lt;22,$BC751=(Elig_MatchAll_Ct-1),AR751=0),O751,0)</f>
        <v>0</v>
      </c>
      <c r="BU751" s="173">
        <f>IF(AND(Input_Product=Elig!$C751,Elig_MatchAll_Ct&lt;22,$BC751=(Elig_MatchAll_Ct-1),AS751=0),P751,0)</f>
        <v>0</v>
      </c>
      <c r="BV751" s="174">
        <f>IF(AND(Input_Product=Elig!$C751,Elig_MatchAll_Ct&lt;22,$BC751=(Elig_MatchAll_Ct-1),AT751=0),Q751,0)</f>
        <v>0</v>
      </c>
      <c r="BW751" s="175">
        <f>IF(AND(Input_Product=Elig!$C751,Elig_MatchAll_Ct&lt;22,$BC751=(Elig_MatchAll_Ct-1),AU751=0),R751,0)</f>
        <v>0</v>
      </c>
      <c r="BX751" s="176">
        <f>IF(AND(Input_Product=Elig!$C751,Elig_MatchAll_Ct&lt;22,$BC751=(Elig_MatchAll_Ct-1),AU751=0),S751,0)</f>
        <v>0</v>
      </c>
      <c r="BY751" s="175">
        <f>IF(AND(Input_Product=Elig!$C751,Elig_MatchAll_Ct&lt;22,$BC751=(Elig_MatchAll_Ct-1),AV751=0),T751,0)</f>
        <v>0</v>
      </c>
      <c r="BZ751" s="176">
        <f>IF(AND(Input_Product=Elig!$C751,Elig_MatchAll_Ct&lt;22,$BC751=(Elig_MatchAll_Ct-1),AV751=0),U751,0)</f>
        <v>0</v>
      </c>
      <c r="CA751" s="175">
        <f>IF(AND(Input_Product=Elig!$C751,Elig_MatchAll_Ct&lt;22,$BC751=(Elig_MatchAll_Ct-1),AW751=0),V751,0)</f>
        <v>0</v>
      </c>
      <c r="CB751" s="176">
        <f>IF(AND(Input_Product=Elig!$C751,Elig_MatchAll_Ct&lt;22,$BC751=(Elig_MatchAll_Ct-1),AW751=0),W751,0)</f>
        <v>0</v>
      </c>
      <c r="CC751" s="175">
        <f>IF(AND(Input_Product=Elig!$C751,Elig_MatchAll_Ct&lt;22,$BC751=(Elig_MatchAll_Ct-1),AX751=0),X751,0)</f>
        <v>0</v>
      </c>
      <c r="CD751" s="176">
        <f>IF(AND(Input_Product=Elig!$C751,Elig_MatchAll_Ct&lt;22,$BC751=(Elig_MatchAll_Ct-1),AX751=0),Y751,0)</f>
        <v>0</v>
      </c>
      <c r="CE751" s="175">
        <f>IF(AND(Input_LTV&lt;=AE751,Input_Product=Elig!$C751,Elig_MatchAll_Ct&lt;22,$BC751=(Elig_MatchAll_Ct-1),AY751=0),Z751,0)</f>
        <v>0</v>
      </c>
      <c r="CF751" s="176">
        <f>IF(AND(Input_LTV&lt;=AE751,Input_Product=Elig!$C751,Elig_MatchAll_Ct&lt;22,$BC751=(Elig_MatchAll_Ct-1),AY751=0),AA751,0)</f>
        <v>0</v>
      </c>
      <c r="CG751" s="175">
        <f>IF(AND(Input_Product=Elig!$C751,Elig_MatchAll_Ct&lt;22,$BC751=(Elig_MatchAll_Ct-1),AZ751=0),AB751,0)</f>
        <v>0</v>
      </c>
      <c r="CH751" s="176">
        <f>IF(AND(Input_Product=Elig!$C751,Elig_MatchAll_Ct&lt;22,$BC751=(Elig_MatchAll_Ct-1),AZ751=0),AC751,0)</f>
        <v>0</v>
      </c>
      <c r="CI751" s="175">
        <f>IF(AND(Input_Product=Elig!$C751,Elig_MatchAll_Ct&lt;22,$BC751=(Elig_MatchAll_Ct-1),BA751=0),AD751,0)</f>
        <v>0</v>
      </c>
      <c r="CJ751" s="176">
        <f>IF(AND(Input_Product=Elig!$C751,Elig_MatchAll_Ct&lt;22,$BC751=(Elig_MatchAll_Ct-1),BA751=0),AE751,0)</f>
        <v>0</v>
      </c>
    </row>
    <row r="752" spans="1:88" ht="10.15" customHeight="1" x14ac:dyDescent="0.25">
      <c r="A752" s="1484" t="s">
        <v>76</v>
      </c>
      <c r="B752" s="1484" t="s">
        <v>1950</v>
      </c>
      <c r="C752" s="1485" t="str">
        <f t="shared" si="242"/>
        <v>Second NOO</v>
      </c>
      <c r="D752" s="1484" t="s">
        <v>1338</v>
      </c>
      <c r="E752" s="1484" t="s">
        <v>98</v>
      </c>
      <c r="F752" s="1484" t="s">
        <v>329</v>
      </c>
      <c r="G752" s="1545" t="s">
        <v>469</v>
      </c>
      <c r="H752" s="1486" t="s">
        <v>135</v>
      </c>
      <c r="I752" s="1484" t="s">
        <v>1141</v>
      </c>
      <c r="J752" s="1484" t="s">
        <v>1130</v>
      </c>
      <c r="K752" s="1486" t="s">
        <v>2464</v>
      </c>
      <c r="L752" s="1484" t="s">
        <v>428</v>
      </c>
      <c r="M752" s="1484" t="s">
        <v>1835</v>
      </c>
      <c r="N752" s="1486" t="s">
        <v>1844</v>
      </c>
      <c r="O752" s="1484" t="s">
        <v>309</v>
      </c>
      <c r="P752" s="1484" t="s">
        <v>2434</v>
      </c>
      <c r="Q752" s="1484" t="s">
        <v>293</v>
      </c>
      <c r="R752" s="1484">
        <v>350000.01</v>
      </c>
      <c r="S752" s="1543">
        <v>500000</v>
      </c>
      <c r="T752" s="1484">
        <v>0</v>
      </c>
      <c r="U752" s="1484">
        <f t="shared" si="243"/>
        <v>500000</v>
      </c>
      <c r="V752" s="1484">
        <v>0</v>
      </c>
      <c r="W752" s="1484">
        <v>50</v>
      </c>
      <c r="X752" s="1484">
        <v>0</v>
      </c>
      <c r="Y752" s="1484">
        <v>999</v>
      </c>
      <c r="Z752" s="1487">
        <v>660</v>
      </c>
      <c r="AA752" s="1487">
        <v>679</v>
      </c>
      <c r="AB752" s="1487">
        <v>0</v>
      </c>
      <c r="AC752" s="1487">
        <v>999999</v>
      </c>
      <c r="AD752" s="1484">
        <v>0</v>
      </c>
      <c r="AE752" s="1484">
        <v>55</v>
      </c>
      <c r="AF752" s="144">
        <v>1</v>
      </c>
      <c r="AG752" s="145">
        <v>1</v>
      </c>
      <c r="AH752" s="145">
        <v>1</v>
      </c>
      <c r="AI752" s="145">
        <v>1</v>
      </c>
      <c r="AJ752" s="145">
        <v>0</v>
      </c>
      <c r="AK752" s="145">
        <v>1</v>
      </c>
      <c r="AL752" s="145">
        <v>1</v>
      </c>
      <c r="AM752" s="145">
        <v>1</v>
      </c>
      <c r="AN752" s="145">
        <v>1</v>
      </c>
      <c r="AO752" s="145">
        <v>1</v>
      </c>
      <c r="AP752" s="145">
        <v>1</v>
      </c>
      <c r="AQ752" s="145">
        <v>1</v>
      </c>
      <c r="AR752" s="145">
        <v>1</v>
      </c>
      <c r="AS752" s="145">
        <v>1</v>
      </c>
      <c r="AT752" s="145">
        <v>1</v>
      </c>
      <c r="AU752" s="145">
        <f t="shared" si="236"/>
        <v>0</v>
      </c>
      <c r="AV752" s="145">
        <f t="shared" si="237"/>
        <v>1</v>
      </c>
      <c r="AW752" s="145">
        <f t="shared" si="238"/>
        <v>1</v>
      </c>
      <c r="AX752" s="145">
        <f t="shared" si="244"/>
        <v>1</v>
      </c>
      <c r="AY752" s="145">
        <f t="shared" si="239"/>
        <v>0</v>
      </c>
      <c r="AZ752" s="145">
        <f t="shared" si="240"/>
        <v>1</v>
      </c>
      <c r="BA752" s="146">
        <f t="shared" si="241"/>
        <v>0</v>
      </c>
      <c r="BB752" s="149">
        <f t="shared" si="254"/>
        <v>18</v>
      </c>
      <c r="BC752" s="150">
        <f t="shared" si="255"/>
        <v>18</v>
      </c>
      <c r="BD752" s="150">
        <f t="shared" si="255"/>
        <v>17</v>
      </c>
      <c r="BE752" s="211" t="str">
        <f t="shared" si="248"/>
        <v/>
      </c>
      <c r="BF752" s="205"/>
      <c r="BG752" s="205"/>
      <c r="BH752" s="188">
        <f>IF(AND(Input_Product=Elig!$C752,Elig_MatchAll_Ct&lt;22,$BC752=(Elig_MatchAll_Ct-1),AF752=0),C752,0)</f>
        <v>0</v>
      </c>
      <c r="BI752" s="188">
        <f>IF(AND(Input_Product=Elig!$C752,Elig_MatchAll_Ct&lt;22,$BC752=(Elig_MatchAll_Ct-1),AG752=0),D752,0)</f>
        <v>0</v>
      </c>
      <c r="BJ752" s="188">
        <f>IF(AND(Input_Product=Elig!$C752,Elig_MatchAll_Ct&lt;22,$BC752=(Elig_MatchAll_Ct-1),AH752=0),E752,0)</f>
        <v>0</v>
      </c>
      <c r="BK752" s="188">
        <f>IF(AND(Input_Product=Elig!$C752,Elig_MatchAll_Ct&lt;22,$BC752=(Elig_MatchAll_Ct-1),AI752=0),F752,0)</f>
        <v>0</v>
      </c>
      <c r="BL752" s="188">
        <f>IF(AND(Input_Product=Elig!$C752,Elig_MatchAll_Ct&lt;22,$BC752=(Elig_MatchAll_Ct-1),AJ752=0),G752,0)</f>
        <v>0</v>
      </c>
      <c r="BM752" s="188">
        <f>IF(AND(Input_Product=Elig!$C752,Elig_MatchAll_Ct&lt;22,$BC752=(Elig_MatchAll_Ct-1),AK752=0),H752,0)</f>
        <v>0</v>
      </c>
      <c r="BN752" s="188">
        <f>IF(AND(Input_Product=Elig!$C752,Elig_MatchAll_Ct&lt;22,$BC752=(Elig_MatchAll_Ct-1),AL752=0),I752,0)</f>
        <v>0</v>
      </c>
      <c r="BO752" s="188">
        <f>IF(AND(Input_Product=Elig!$C752,Elig_MatchAll_Ct&lt;22,$BC752=(Elig_MatchAll_Ct-1),AM752=0),J752,0)</f>
        <v>0</v>
      </c>
      <c r="BP752" s="188">
        <f>IF(AND(Input_Product=Elig!$C752,Elig_MatchAll_Ct&lt;22,$BC752=(Elig_MatchAll_Ct-1),AN752=0),K752,0)</f>
        <v>0</v>
      </c>
      <c r="BQ752" s="188">
        <f>IF(AND(Input_Product=Elig!$C752,Elig_MatchAll_Ct&lt;22,$BC752=(Elig_MatchAll_Ct-1),AP752=0),L752,0)</f>
        <v>0</v>
      </c>
      <c r="BR752" s="188">
        <f>IF(AND(Input_Product=Elig!$C752,Elig_MatchAll_Ct&lt;22,$BC752=(Elig_MatchAll_Ct-1),AO752=0),M752,0)</f>
        <v>0</v>
      </c>
      <c r="BS752" s="188">
        <f>IF(AND(Input_Product=Elig!$C752,Elig_MatchAll_Ct&lt;22,$BC752=(Elig_MatchAll_Ct-1),AQ752=0),N752,0)</f>
        <v>0</v>
      </c>
      <c r="BT752" s="188">
        <f>IF(AND(Input_Product=Elig!$C752,Elig_MatchAll_Ct&lt;22,$BC752=(Elig_MatchAll_Ct-1),AR752=0),O752,0)</f>
        <v>0</v>
      </c>
      <c r="BU752" s="188">
        <f>IF(AND(Input_Product=Elig!$C752,Elig_MatchAll_Ct&lt;22,$BC752=(Elig_MatchAll_Ct-1),AS752=0),P752,0)</f>
        <v>0</v>
      </c>
      <c r="BV752" s="189">
        <f>IF(AND(Input_Product=Elig!$C752,Elig_MatchAll_Ct&lt;22,$BC752=(Elig_MatchAll_Ct-1),AT752=0),Q752,0)</f>
        <v>0</v>
      </c>
      <c r="BW752" s="271">
        <f>IF(AND(Input_Product=Elig!$C752,Elig_MatchAll_Ct&lt;22,$BC752=(Elig_MatchAll_Ct-1),AU752=0),R752,0)</f>
        <v>0</v>
      </c>
      <c r="BX752" s="272">
        <f>IF(AND(Input_Product=Elig!$C752,Elig_MatchAll_Ct&lt;22,$BC752=(Elig_MatchAll_Ct-1),AU752=0),S752,0)</f>
        <v>0</v>
      </c>
      <c r="BY752" s="271">
        <f>IF(AND(Input_Product=Elig!$C752,Elig_MatchAll_Ct&lt;22,$BC752=(Elig_MatchAll_Ct-1),AV752=0),T752,0)</f>
        <v>0</v>
      </c>
      <c r="BZ752" s="272">
        <f>IF(AND(Input_Product=Elig!$C752,Elig_MatchAll_Ct&lt;22,$BC752=(Elig_MatchAll_Ct-1),AV752=0),U752,0)</f>
        <v>0</v>
      </c>
      <c r="CA752" s="271">
        <f>IF(AND(Input_Product=Elig!$C752,Elig_MatchAll_Ct&lt;22,$BC752=(Elig_MatchAll_Ct-1),AW752=0),V752,0)</f>
        <v>0</v>
      </c>
      <c r="CB752" s="272">
        <f>IF(AND(Input_Product=Elig!$C752,Elig_MatchAll_Ct&lt;22,$BC752=(Elig_MatchAll_Ct-1),AW752=0),W752,0)</f>
        <v>0</v>
      </c>
      <c r="CC752" s="271">
        <f>IF(AND(Input_Product=Elig!$C752,Elig_MatchAll_Ct&lt;22,$BC752=(Elig_MatchAll_Ct-1),AX752=0),X752,0)</f>
        <v>0</v>
      </c>
      <c r="CD752" s="272">
        <f>IF(AND(Input_Product=Elig!$C752,Elig_MatchAll_Ct&lt;22,$BC752=(Elig_MatchAll_Ct-1),AX752=0),Y752,0)</f>
        <v>0</v>
      </c>
      <c r="CE752" s="271">
        <f>IF(AND(Input_LTV&lt;=AE752,Input_Product=Elig!$C752,Elig_MatchAll_Ct&lt;22,$BC752=(Elig_MatchAll_Ct-1),AY752=0),Z752,0)</f>
        <v>0</v>
      </c>
      <c r="CF752" s="272">
        <f>IF(AND(Input_LTV&lt;=AE752,Input_Product=Elig!$C752,Elig_MatchAll_Ct&lt;22,$BC752=(Elig_MatchAll_Ct-1),AY752=0),AA752,0)</f>
        <v>0</v>
      </c>
      <c r="CG752" s="271">
        <f>IF(AND(Input_Product=Elig!$C752,Elig_MatchAll_Ct&lt;22,$BC752=(Elig_MatchAll_Ct-1),AZ752=0),AB752,0)</f>
        <v>0</v>
      </c>
      <c r="CH752" s="272">
        <f>IF(AND(Input_Product=Elig!$C752,Elig_MatchAll_Ct&lt;22,$BC752=(Elig_MatchAll_Ct-1),AZ752=0),AC752,0)</f>
        <v>0</v>
      </c>
      <c r="CI752" s="271">
        <f>IF(AND(Input_Product=Elig!$C752,Elig_MatchAll_Ct&lt;22,$BC752=(Elig_MatchAll_Ct-1),BA752=0),AD752,0)</f>
        <v>0</v>
      </c>
      <c r="CJ752" s="272">
        <f>IF(AND(Input_Product=Elig!$C752,Elig_MatchAll_Ct&lt;22,$BC752=(Elig_MatchAll_Ct-1),BA752=0),AE752,0)</f>
        <v>0</v>
      </c>
    </row>
    <row r="753" spans="1:88" ht="10.15" customHeight="1" x14ac:dyDescent="0.25">
      <c r="A753" s="1484" t="s">
        <v>76</v>
      </c>
      <c r="B753" s="1484" t="s">
        <v>2132</v>
      </c>
      <c r="C753" s="1489" t="str">
        <f t="shared" si="242"/>
        <v>Second NOO</v>
      </c>
      <c r="D753" s="1490" t="s">
        <v>1338</v>
      </c>
      <c r="E753" s="1490" t="s">
        <v>98</v>
      </c>
      <c r="F753" s="1490" t="s">
        <v>329</v>
      </c>
      <c r="G753" s="1490" t="s">
        <v>178</v>
      </c>
      <c r="H753" s="1490" t="s">
        <v>135</v>
      </c>
      <c r="I753" s="1488" t="s">
        <v>1141</v>
      </c>
      <c r="J753" s="1488" t="s">
        <v>1130</v>
      </c>
      <c r="K753" s="1490" t="s">
        <v>2464</v>
      </c>
      <c r="L753" s="1488" t="s">
        <v>428</v>
      </c>
      <c r="M753" s="1488" t="s">
        <v>1835</v>
      </c>
      <c r="N753" s="1490" t="s">
        <v>1844</v>
      </c>
      <c r="O753" s="1488" t="s">
        <v>309</v>
      </c>
      <c r="P753" s="1488" t="s">
        <v>2434</v>
      </c>
      <c r="Q753" s="1488" t="s">
        <v>293</v>
      </c>
      <c r="R753" s="1488">
        <v>350000.01</v>
      </c>
      <c r="S753" s="1542">
        <v>500000</v>
      </c>
      <c r="T753" s="1488">
        <v>0</v>
      </c>
      <c r="U753" s="1488">
        <f t="shared" si="243"/>
        <v>500000</v>
      </c>
      <c r="V753" s="1488">
        <v>0</v>
      </c>
      <c r="W753" s="1488">
        <v>50</v>
      </c>
      <c r="X753" s="1488">
        <v>0</v>
      </c>
      <c r="Y753" s="1488">
        <v>999</v>
      </c>
      <c r="Z753" s="1491">
        <v>720</v>
      </c>
      <c r="AA753" s="1491">
        <v>999</v>
      </c>
      <c r="AB753" s="1491">
        <v>0</v>
      </c>
      <c r="AC753" s="1491">
        <v>999999</v>
      </c>
      <c r="AD753" s="1488">
        <v>0</v>
      </c>
      <c r="AE753" s="1488">
        <v>65</v>
      </c>
      <c r="AF753" s="144">
        <v>1</v>
      </c>
      <c r="AG753" s="145">
        <v>1</v>
      </c>
      <c r="AH753" s="145">
        <v>1</v>
      </c>
      <c r="AI753" s="145">
        <v>1</v>
      </c>
      <c r="AJ753" s="145">
        <v>0</v>
      </c>
      <c r="AK753" s="145">
        <v>1</v>
      </c>
      <c r="AL753" s="145">
        <v>1</v>
      </c>
      <c r="AM753" s="145">
        <v>1</v>
      </c>
      <c r="AN753" s="145">
        <v>1</v>
      </c>
      <c r="AO753" s="145">
        <v>1</v>
      </c>
      <c r="AP753" s="145">
        <v>1</v>
      </c>
      <c r="AQ753" s="145">
        <v>1</v>
      </c>
      <c r="AR753" s="145">
        <v>1</v>
      </c>
      <c r="AS753" s="145">
        <v>1</v>
      </c>
      <c r="AT753" s="145">
        <v>1</v>
      </c>
      <c r="AU753" s="145">
        <f t="shared" si="236"/>
        <v>0</v>
      </c>
      <c r="AV753" s="145">
        <f t="shared" si="237"/>
        <v>1</v>
      </c>
      <c r="AW753" s="145">
        <f t="shared" si="238"/>
        <v>1</v>
      </c>
      <c r="AX753" s="145">
        <f t="shared" si="244"/>
        <v>1</v>
      </c>
      <c r="AY753" s="145">
        <f t="shared" si="239"/>
        <v>1</v>
      </c>
      <c r="AZ753" s="145">
        <f t="shared" si="240"/>
        <v>1</v>
      </c>
      <c r="BA753" s="146">
        <f t="shared" si="241"/>
        <v>0</v>
      </c>
      <c r="BB753" s="149">
        <f t="shared" si="254"/>
        <v>19</v>
      </c>
      <c r="BC753" s="150">
        <f t="shared" si="255"/>
        <v>19</v>
      </c>
      <c r="BD753" s="150">
        <f t="shared" si="255"/>
        <v>18</v>
      </c>
      <c r="BE753" s="211" t="str">
        <f t="shared" si="248"/>
        <v/>
      </c>
      <c r="BF753" s="194"/>
      <c r="BG753" s="194"/>
      <c r="BH753" s="190">
        <f>IF(AND(Input_Product=Elig!$C753,Elig_MatchAll_Ct&lt;22,$BC753=(Elig_MatchAll_Ct-1),AF753=0),C753,0)</f>
        <v>0</v>
      </c>
      <c r="BI753" s="190">
        <f>IF(AND(Input_Product=Elig!$C753,Elig_MatchAll_Ct&lt;22,$BC753=(Elig_MatchAll_Ct-1),AG753=0),D753,0)</f>
        <v>0</v>
      </c>
      <c r="BJ753" s="190">
        <f>IF(AND(Input_Product=Elig!$C753,Elig_MatchAll_Ct&lt;22,$BC753=(Elig_MatchAll_Ct-1),AH753=0),E753,0)</f>
        <v>0</v>
      </c>
      <c r="BK753" s="190">
        <f>IF(AND(Input_Product=Elig!$C753,Elig_MatchAll_Ct&lt;22,$BC753=(Elig_MatchAll_Ct-1),AI753=0),F753,0)</f>
        <v>0</v>
      </c>
      <c r="BL753" s="190">
        <f>IF(AND(Input_Product=Elig!$C753,Elig_MatchAll_Ct&lt;22,$BC753=(Elig_MatchAll_Ct-1),AJ753=0),G753,0)</f>
        <v>0</v>
      </c>
      <c r="BM753" s="190">
        <f>IF(AND(Input_Product=Elig!$C753,Elig_MatchAll_Ct&lt;22,$BC753=(Elig_MatchAll_Ct-1),AK753=0),H753,0)</f>
        <v>0</v>
      </c>
      <c r="BN753" s="190">
        <f>IF(AND(Input_Product=Elig!$C753,Elig_MatchAll_Ct&lt;22,$BC753=(Elig_MatchAll_Ct-1),AL753=0),I753,0)</f>
        <v>0</v>
      </c>
      <c r="BO753" s="190">
        <f>IF(AND(Input_Product=Elig!$C753,Elig_MatchAll_Ct&lt;22,$BC753=(Elig_MatchAll_Ct-1),AM753=0),J753,0)</f>
        <v>0</v>
      </c>
      <c r="BP753" s="190">
        <f>IF(AND(Input_Product=Elig!$C753,Elig_MatchAll_Ct&lt;22,$BC753=(Elig_MatchAll_Ct-1),AN753=0),K753,0)</f>
        <v>0</v>
      </c>
      <c r="BQ753" s="190">
        <f>IF(AND(Input_Product=Elig!$C753,Elig_MatchAll_Ct&lt;22,$BC753=(Elig_MatchAll_Ct-1),AP753=0),L753,0)</f>
        <v>0</v>
      </c>
      <c r="BR753" s="190">
        <f>IF(AND(Input_Product=Elig!$C753,Elig_MatchAll_Ct&lt;22,$BC753=(Elig_MatchAll_Ct-1),AO753=0),M753,0)</f>
        <v>0</v>
      </c>
      <c r="BS753" s="190">
        <f>IF(AND(Input_Product=Elig!$C753,Elig_MatchAll_Ct&lt;22,$BC753=(Elig_MatchAll_Ct-1),AQ753=0),N753,0)</f>
        <v>0</v>
      </c>
      <c r="BT753" s="190">
        <f>IF(AND(Input_Product=Elig!$C753,Elig_MatchAll_Ct&lt;22,$BC753=(Elig_MatchAll_Ct-1),AR753=0),O753,0)</f>
        <v>0</v>
      </c>
      <c r="BU753" s="190">
        <f>IF(AND(Input_Product=Elig!$C753,Elig_MatchAll_Ct&lt;22,$BC753=(Elig_MatchAll_Ct-1),AS753=0),P753,0)</f>
        <v>0</v>
      </c>
      <c r="BV753" s="191">
        <f>IF(AND(Input_Product=Elig!$C753,Elig_MatchAll_Ct&lt;22,$BC753=(Elig_MatchAll_Ct-1),AT753=0),Q753,0)</f>
        <v>0</v>
      </c>
      <c r="BW753" s="273">
        <f>IF(AND(Input_Product=Elig!$C753,Elig_MatchAll_Ct&lt;22,$BC753=(Elig_MatchAll_Ct-1),AU753=0),R753,0)</f>
        <v>0</v>
      </c>
      <c r="BX753" s="274">
        <f>IF(AND(Input_Product=Elig!$C753,Elig_MatchAll_Ct&lt;22,$BC753=(Elig_MatchAll_Ct-1),AU753=0),S753,0)</f>
        <v>0</v>
      </c>
      <c r="BY753" s="273">
        <f>IF(AND(Input_Product=Elig!$C753,Elig_MatchAll_Ct&lt;22,$BC753=(Elig_MatchAll_Ct-1),AV753=0),T753,0)</f>
        <v>0</v>
      </c>
      <c r="BZ753" s="274">
        <f>IF(AND(Input_Product=Elig!$C753,Elig_MatchAll_Ct&lt;22,$BC753=(Elig_MatchAll_Ct-1),AV753=0),U753,0)</f>
        <v>0</v>
      </c>
      <c r="CA753" s="273">
        <f>IF(AND(Input_Product=Elig!$C753,Elig_MatchAll_Ct&lt;22,$BC753=(Elig_MatchAll_Ct-1),AW753=0),V753,0)</f>
        <v>0</v>
      </c>
      <c r="CB753" s="274">
        <f>IF(AND(Input_Product=Elig!$C753,Elig_MatchAll_Ct&lt;22,$BC753=(Elig_MatchAll_Ct-1),AW753=0),W753,0)</f>
        <v>0</v>
      </c>
      <c r="CC753" s="273">
        <f>IF(AND(Input_Product=Elig!$C753,Elig_MatchAll_Ct&lt;22,$BC753=(Elig_MatchAll_Ct-1),AX753=0),X753,0)</f>
        <v>0</v>
      </c>
      <c r="CD753" s="274">
        <f>IF(AND(Input_Product=Elig!$C753,Elig_MatchAll_Ct&lt;22,$BC753=(Elig_MatchAll_Ct-1),AX753=0),Y753,0)</f>
        <v>0</v>
      </c>
      <c r="CE753" s="273">
        <f>IF(AND(Input_LTV&lt;=AE753,Input_Product=Elig!$C753,Elig_MatchAll_Ct&lt;22,$BC753=(Elig_MatchAll_Ct-1),AY753=0),Z753,0)</f>
        <v>0</v>
      </c>
      <c r="CF753" s="274">
        <f>IF(AND(Input_LTV&lt;=AE753,Input_Product=Elig!$C753,Elig_MatchAll_Ct&lt;22,$BC753=(Elig_MatchAll_Ct-1),AY753=0),AA753,0)</f>
        <v>0</v>
      </c>
      <c r="CG753" s="273">
        <f>IF(AND(Input_Product=Elig!$C753,Elig_MatchAll_Ct&lt;22,$BC753=(Elig_MatchAll_Ct-1),AZ753=0),AB753,0)</f>
        <v>0</v>
      </c>
      <c r="CH753" s="274">
        <f>IF(AND(Input_Product=Elig!$C753,Elig_MatchAll_Ct&lt;22,$BC753=(Elig_MatchAll_Ct-1),AZ753=0),AC753,0)</f>
        <v>0</v>
      </c>
      <c r="CI753" s="273">
        <f>IF(AND(Input_Product=Elig!$C753,Elig_MatchAll_Ct&lt;22,$BC753=(Elig_MatchAll_Ct-1),BA753=0),AD753,0)</f>
        <v>0</v>
      </c>
      <c r="CJ753" s="274">
        <f>IF(AND(Input_Product=Elig!$C753,Elig_MatchAll_Ct&lt;22,$BC753=(Elig_MatchAll_Ct-1),BA753=0),AE753,0)</f>
        <v>0</v>
      </c>
    </row>
    <row r="754" spans="1:88" ht="10.15" customHeight="1" x14ac:dyDescent="0.25">
      <c r="A754" s="1484" t="s">
        <v>76</v>
      </c>
      <c r="B754" s="1484" t="s">
        <v>2133</v>
      </c>
      <c r="C754" s="1485" t="str">
        <f t="shared" si="242"/>
        <v>Second NOO</v>
      </c>
      <c r="D754" s="1484" t="s">
        <v>1338</v>
      </c>
      <c r="E754" s="1484" t="s">
        <v>98</v>
      </c>
      <c r="F754" s="1484" t="s">
        <v>329</v>
      </c>
      <c r="G754" s="1486" t="s">
        <v>178</v>
      </c>
      <c r="H754" s="1486" t="s">
        <v>135</v>
      </c>
      <c r="I754" s="1484" t="s">
        <v>1141</v>
      </c>
      <c r="J754" s="1484" t="s">
        <v>1130</v>
      </c>
      <c r="K754" s="1486" t="s">
        <v>2464</v>
      </c>
      <c r="L754" s="1484" t="s">
        <v>428</v>
      </c>
      <c r="M754" s="1484" t="s">
        <v>1835</v>
      </c>
      <c r="N754" s="1486" t="s">
        <v>1844</v>
      </c>
      <c r="O754" s="1484" t="s">
        <v>309</v>
      </c>
      <c r="P754" s="1484" t="s">
        <v>2434</v>
      </c>
      <c r="Q754" s="1484" t="s">
        <v>293</v>
      </c>
      <c r="R754" s="1484">
        <v>350000.01</v>
      </c>
      <c r="S754" s="1543">
        <v>500000</v>
      </c>
      <c r="T754" s="1484">
        <v>0</v>
      </c>
      <c r="U754" s="1484">
        <f t="shared" si="243"/>
        <v>500000</v>
      </c>
      <c r="V754" s="1484">
        <v>0</v>
      </c>
      <c r="W754" s="1484">
        <v>50</v>
      </c>
      <c r="X754" s="1484">
        <v>0</v>
      </c>
      <c r="Y754" s="1484">
        <v>999</v>
      </c>
      <c r="Z754" s="1487">
        <v>700</v>
      </c>
      <c r="AA754" s="1487">
        <v>719</v>
      </c>
      <c r="AB754" s="1487">
        <v>0</v>
      </c>
      <c r="AC754" s="1487">
        <v>999999</v>
      </c>
      <c r="AD754" s="1484">
        <v>0</v>
      </c>
      <c r="AE754" s="1484">
        <v>60</v>
      </c>
      <c r="AF754" s="144">
        <v>1</v>
      </c>
      <c r="AG754" s="145">
        <v>1</v>
      </c>
      <c r="AH754" s="145">
        <v>1</v>
      </c>
      <c r="AI754" s="145">
        <v>1</v>
      </c>
      <c r="AJ754" s="145">
        <v>0</v>
      </c>
      <c r="AK754" s="145">
        <v>1</v>
      </c>
      <c r="AL754" s="145">
        <v>1</v>
      </c>
      <c r="AM754" s="145">
        <v>1</v>
      </c>
      <c r="AN754" s="145">
        <v>1</v>
      </c>
      <c r="AO754" s="145">
        <v>1</v>
      </c>
      <c r="AP754" s="145">
        <v>1</v>
      </c>
      <c r="AQ754" s="145">
        <v>1</v>
      </c>
      <c r="AR754" s="145">
        <v>1</v>
      </c>
      <c r="AS754" s="145">
        <v>1</v>
      </c>
      <c r="AT754" s="145">
        <v>1</v>
      </c>
      <c r="AU754" s="145">
        <f t="shared" si="236"/>
        <v>0</v>
      </c>
      <c r="AV754" s="145">
        <f t="shared" si="237"/>
        <v>1</v>
      </c>
      <c r="AW754" s="145">
        <f t="shared" si="238"/>
        <v>1</v>
      </c>
      <c r="AX754" s="145">
        <f t="shared" si="244"/>
        <v>1</v>
      </c>
      <c r="AY754" s="145">
        <f t="shared" si="239"/>
        <v>0</v>
      </c>
      <c r="AZ754" s="145">
        <f t="shared" si="240"/>
        <v>1</v>
      </c>
      <c r="BA754" s="146">
        <f t="shared" si="241"/>
        <v>0</v>
      </c>
      <c r="BB754" s="149">
        <f t="shared" si="254"/>
        <v>18</v>
      </c>
      <c r="BC754" s="150">
        <f t="shared" si="255"/>
        <v>18</v>
      </c>
      <c r="BD754" s="150">
        <f t="shared" si="255"/>
        <v>17</v>
      </c>
      <c r="BE754" s="211" t="str">
        <f t="shared" si="248"/>
        <v/>
      </c>
      <c r="BF754" s="205"/>
      <c r="BG754" s="205"/>
      <c r="BH754" s="173">
        <f>IF(AND(Input_Product=Elig!$C754,Elig_MatchAll_Ct&lt;22,$BC754=(Elig_MatchAll_Ct-1),AF754=0),C754,0)</f>
        <v>0</v>
      </c>
      <c r="BI754" s="173">
        <f>IF(AND(Input_Product=Elig!$C754,Elig_MatchAll_Ct&lt;22,$BC754=(Elig_MatchAll_Ct-1),AG754=0),D754,0)</f>
        <v>0</v>
      </c>
      <c r="BJ754" s="173">
        <f>IF(AND(Input_Product=Elig!$C754,Elig_MatchAll_Ct&lt;22,$BC754=(Elig_MatchAll_Ct-1),AH754=0),E754,0)</f>
        <v>0</v>
      </c>
      <c r="BK754" s="173">
        <f>IF(AND(Input_Product=Elig!$C754,Elig_MatchAll_Ct&lt;22,$BC754=(Elig_MatchAll_Ct-1),AI754=0),F754,0)</f>
        <v>0</v>
      </c>
      <c r="BL754" s="173">
        <f>IF(AND(Input_Product=Elig!$C754,Elig_MatchAll_Ct&lt;22,$BC754=(Elig_MatchAll_Ct-1),AJ754=0),G754,0)</f>
        <v>0</v>
      </c>
      <c r="BM754" s="173">
        <f>IF(AND(Input_Product=Elig!$C754,Elig_MatchAll_Ct&lt;22,$BC754=(Elig_MatchAll_Ct-1),AK754=0),H754,0)</f>
        <v>0</v>
      </c>
      <c r="BN754" s="173">
        <f>IF(AND(Input_Product=Elig!$C754,Elig_MatchAll_Ct&lt;22,$BC754=(Elig_MatchAll_Ct-1),AL754=0),I754,0)</f>
        <v>0</v>
      </c>
      <c r="BO754" s="173">
        <f>IF(AND(Input_Product=Elig!$C754,Elig_MatchAll_Ct&lt;22,$BC754=(Elig_MatchAll_Ct-1),AM754=0),J754,0)</f>
        <v>0</v>
      </c>
      <c r="BP754" s="173">
        <f>IF(AND(Input_Product=Elig!$C754,Elig_MatchAll_Ct&lt;22,$BC754=(Elig_MatchAll_Ct-1),AN754=0),K754,0)</f>
        <v>0</v>
      </c>
      <c r="BQ754" s="173">
        <f>IF(AND(Input_Product=Elig!$C754,Elig_MatchAll_Ct&lt;22,$BC754=(Elig_MatchAll_Ct-1),AP754=0),L754,0)</f>
        <v>0</v>
      </c>
      <c r="BR754" s="173">
        <f>IF(AND(Input_Product=Elig!$C754,Elig_MatchAll_Ct&lt;22,$BC754=(Elig_MatchAll_Ct-1),AO754=0),M754,0)</f>
        <v>0</v>
      </c>
      <c r="BS754" s="173">
        <f>IF(AND(Input_Product=Elig!$C754,Elig_MatchAll_Ct&lt;22,$BC754=(Elig_MatchAll_Ct-1),AQ754=0),N754,0)</f>
        <v>0</v>
      </c>
      <c r="BT754" s="173">
        <f>IF(AND(Input_Product=Elig!$C754,Elig_MatchAll_Ct&lt;22,$BC754=(Elig_MatchAll_Ct-1),AR754=0),O754,0)</f>
        <v>0</v>
      </c>
      <c r="BU754" s="173">
        <f>IF(AND(Input_Product=Elig!$C754,Elig_MatchAll_Ct&lt;22,$BC754=(Elig_MatchAll_Ct-1),AS754=0),P754,0)</f>
        <v>0</v>
      </c>
      <c r="BV754" s="174">
        <f>IF(AND(Input_Product=Elig!$C754,Elig_MatchAll_Ct&lt;22,$BC754=(Elig_MatchAll_Ct-1),AT754=0),Q754,0)</f>
        <v>0</v>
      </c>
      <c r="BW754" s="175">
        <f>IF(AND(Input_Product=Elig!$C754,Elig_MatchAll_Ct&lt;22,$BC754=(Elig_MatchAll_Ct-1),AU754=0),R754,0)</f>
        <v>0</v>
      </c>
      <c r="BX754" s="176">
        <f>IF(AND(Input_Product=Elig!$C754,Elig_MatchAll_Ct&lt;22,$BC754=(Elig_MatchAll_Ct-1),AU754=0),S754,0)</f>
        <v>0</v>
      </c>
      <c r="BY754" s="175">
        <f>IF(AND(Input_Product=Elig!$C754,Elig_MatchAll_Ct&lt;22,$BC754=(Elig_MatchAll_Ct-1),AV754=0),T754,0)</f>
        <v>0</v>
      </c>
      <c r="BZ754" s="176">
        <f>IF(AND(Input_Product=Elig!$C754,Elig_MatchAll_Ct&lt;22,$BC754=(Elig_MatchAll_Ct-1),AV754=0),U754,0)</f>
        <v>0</v>
      </c>
      <c r="CA754" s="175">
        <f>IF(AND(Input_Product=Elig!$C754,Elig_MatchAll_Ct&lt;22,$BC754=(Elig_MatchAll_Ct-1),AW754=0),V754,0)</f>
        <v>0</v>
      </c>
      <c r="CB754" s="176">
        <f>IF(AND(Input_Product=Elig!$C754,Elig_MatchAll_Ct&lt;22,$BC754=(Elig_MatchAll_Ct-1),AW754=0),W754,0)</f>
        <v>0</v>
      </c>
      <c r="CC754" s="175">
        <f>IF(AND(Input_Product=Elig!$C754,Elig_MatchAll_Ct&lt;22,$BC754=(Elig_MatchAll_Ct-1),AX754=0),X754,0)</f>
        <v>0</v>
      </c>
      <c r="CD754" s="176">
        <f>IF(AND(Input_Product=Elig!$C754,Elig_MatchAll_Ct&lt;22,$BC754=(Elig_MatchAll_Ct-1),AX754=0),Y754,0)</f>
        <v>0</v>
      </c>
      <c r="CE754" s="175">
        <f>IF(AND(Input_LTV&lt;=AE754,Input_Product=Elig!$C754,Elig_MatchAll_Ct&lt;22,$BC754=(Elig_MatchAll_Ct-1),AY754=0),Z754,0)</f>
        <v>0</v>
      </c>
      <c r="CF754" s="176">
        <f>IF(AND(Input_LTV&lt;=AE754,Input_Product=Elig!$C754,Elig_MatchAll_Ct&lt;22,$BC754=(Elig_MatchAll_Ct-1),AY754=0),AA754,0)</f>
        <v>0</v>
      </c>
      <c r="CG754" s="175">
        <f>IF(AND(Input_Product=Elig!$C754,Elig_MatchAll_Ct&lt;22,$BC754=(Elig_MatchAll_Ct-1),AZ754=0),AB754,0)</f>
        <v>0</v>
      </c>
      <c r="CH754" s="176">
        <f>IF(AND(Input_Product=Elig!$C754,Elig_MatchAll_Ct&lt;22,$BC754=(Elig_MatchAll_Ct-1),AZ754=0),AC754,0)</f>
        <v>0</v>
      </c>
      <c r="CI754" s="175">
        <f>IF(AND(Input_Product=Elig!$C754,Elig_MatchAll_Ct&lt;22,$BC754=(Elig_MatchAll_Ct-1),BA754=0),AD754,0)</f>
        <v>0</v>
      </c>
      <c r="CJ754" s="176">
        <f>IF(AND(Input_Product=Elig!$C754,Elig_MatchAll_Ct&lt;22,$BC754=(Elig_MatchAll_Ct-1),BA754=0),AE754,0)</f>
        <v>0</v>
      </c>
    </row>
    <row r="755" spans="1:88" ht="10.15" customHeight="1" x14ac:dyDescent="0.25">
      <c r="A755" s="1484" t="s">
        <v>76</v>
      </c>
      <c r="B755" s="1484" t="s">
        <v>2134</v>
      </c>
      <c r="C755" s="1485" t="str">
        <f t="shared" si="242"/>
        <v>Second NOO</v>
      </c>
      <c r="D755" s="1484" t="s">
        <v>1338</v>
      </c>
      <c r="E755" s="1484" t="s">
        <v>98</v>
      </c>
      <c r="F755" s="1484" t="s">
        <v>329</v>
      </c>
      <c r="G755" s="1486" t="s">
        <v>178</v>
      </c>
      <c r="H755" s="1486" t="s">
        <v>135</v>
      </c>
      <c r="I755" s="1484" t="s">
        <v>1141</v>
      </c>
      <c r="J755" s="1484" t="s">
        <v>1130</v>
      </c>
      <c r="K755" s="1486" t="s">
        <v>2464</v>
      </c>
      <c r="L755" s="1484" t="s">
        <v>428</v>
      </c>
      <c r="M755" s="1484" t="s">
        <v>1835</v>
      </c>
      <c r="N755" s="1486" t="s">
        <v>1844</v>
      </c>
      <c r="O755" s="1484" t="s">
        <v>309</v>
      </c>
      <c r="P755" s="1484" t="s">
        <v>2434</v>
      </c>
      <c r="Q755" s="1484" t="s">
        <v>293</v>
      </c>
      <c r="R755" s="1484">
        <v>350000.01</v>
      </c>
      <c r="S755" s="1543">
        <v>500000</v>
      </c>
      <c r="T755" s="1484">
        <v>0</v>
      </c>
      <c r="U755" s="1484">
        <f t="shared" si="243"/>
        <v>500000</v>
      </c>
      <c r="V755" s="1484">
        <v>0</v>
      </c>
      <c r="W755" s="1484">
        <v>50</v>
      </c>
      <c r="X755" s="1484">
        <v>0</v>
      </c>
      <c r="Y755" s="1484">
        <v>999</v>
      </c>
      <c r="Z755" s="1487">
        <v>680</v>
      </c>
      <c r="AA755" s="1487">
        <v>699</v>
      </c>
      <c r="AB755" s="1487">
        <v>0</v>
      </c>
      <c r="AC755" s="1487">
        <v>999999</v>
      </c>
      <c r="AD755" s="1484">
        <v>0</v>
      </c>
      <c r="AE755" s="1484">
        <v>55</v>
      </c>
      <c r="AF755" s="144">
        <v>1</v>
      </c>
      <c r="AG755" s="145">
        <v>1</v>
      </c>
      <c r="AH755" s="145">
        <v>1</v>
      </c>
      <c r="AI755" s="145">
        <v>1</v>
      </c>
      <c r="AJ755" s="145">
        <v>0</v>
      </c>
      <c r="AK755" s="145">
        <v>1</v>
      </c>
      <c r="AL755" s="145">
        <v>1</v>
      </c>
      <c r="AM755" s="145">
        <v>1</v>
      </c>
      <c r="AN755" s="145">
        <v>1</v>
      </c>
      <c r="AO755" s="145">
        <v>1</v>
      </c>
      <c r="AP755" s="145">
        <v>1</v>
      </c>
      <c r="AQ755" s="145">
        <v>1</v>
      </c>
      <c r="AR755" s="145">
        <v>1</v>
      </c>
      <c r="AS755" s="145">
        <v>1</v>
      </c>
      <c r="AT755" s="145">
        <v>1</v>
      </c>
      <c r="AU755" s="145">
        <f t="shared" si="236"/>
        <v>0</v>
      </c>
      <c r="AV755" s="145">
        <f t="shared" si="237"/>
        <v>1</v>
      </c>
      <c r="AW755" s="145">
        <f t="shared" si="238"/>
        <v>1</v>
      </c>
      <c r="AX755" s="145">
        <f t="shared" si="244"/>
        <v>1</v>
      </c>
      <c r="AY755" s="145">
        <f t="shared" si="239"/>
        <v>0</v>
      </c>
      <c r="AZ755" s="145">
        <f t="shared" si="240"/>
        <v>1</v>
      </c>
      <c r="BA755" s="146">
        <f t="shared" si="241"/>
        <v>0</v>
      </c>
      <c r="BB755" s="149">
        <f t="shared" si="254"/>
        <v>18</v>
      </c>
      <c r="BC755" s="150">
        <f t="shared" si="255"/>
        <v>18</v>
      </c>
      <c r="BD755" s="150">
        <f t="shared" si="255"/>
        <v>17</v>
      </c>
      <c r="BE755" s="211" t="str">
        <f t="shared" si="248"/>
        <v/>
      </c>
      <c r="BF755" s="205"/>
      <c r="BG755" s="205"/>
      <c r="BH755" s="173">
        <f>IF(AND(Input_Product=Elig!$C755,Elig_MatchAll_Ct&lt;22,$BC755=(Elig_MatchAll_Ct-1),AF755=0),C755,0)</f>
        <v>0</v>
      </c>
      <c r="BI755" s="173">
        <f>IF(AND(Input_Product=Elig!$C755,Elig_MatchAll_Ct&lt;22,$BC755=(Elig_MatchAll_Ct-1),AG755=0),D755,0)</f>
        <v>0</v>
      </c>
      <c r="BJ755" s="173">
        <f>IF(AND(Input_Product=Elig!$C755,Elig_MatchAll_Ct&lt;22,$BC755=(Elig_MatchAll_Ct-1),AH755=0),E755,0)</f>
        <v>0</v>
      </c>
      <c r="BK755" s="173">
        <f>IF(AND(Input_Product=Elig!$C755,Elig_MatchAll_Ct&lt;22,$BC755=(Elig_MatchAll_Ct-1),AI755=0),F755,0)</f>
        <v>0</v>
      </c>
      <c r="BL755" s="173">
        <f>IF(AND(Input_Product=Elig!$C755,Elig_MatchAll_Ct&lt;22,$BC755=(Elig_MatchAll_Ct-1),AJ755=0),G755,0)</f>
        <v>0</v>
      </c>
      <c r="BM755" s="173">
        <f>IF(AND(Input_Product=Elig!$C755,Elig_MatchAll_Ct&lt;22,$BC755=(Elig_MatchAll_Ct-1),AK755=0),H755,0)</f>
        <v>0</v>
      </c>
      <c r="BN755" s="173">
        <f>IF(AND(Input_Product=Elig!$C755,Elig_MatchAll_Ct&lt;22,$BC755=(Elig_MatchAll_Ct-1),AL755=0),I755,0)</f>
        <v>0</v>
      </c>
      <c r="BO755" s="173">
        <f>IF(AND(Input_Product=Elig!$C755,Elig_MatchAll_Ct&lt;22,$BC755=(Elig_MatchAll_Ct-1),AM755=0),J755,0)</f>
        <v>0</v>
      </c>
      <c r="BP755" s="173">
        <f>IF(AND(Input_Product=Elig!$C755,Elig_MatchAll_Ct&lt;22,$BC755=(Elig_MatchAll_Ct-1),AN755=0),K755,0)</f>
        <v>0</v>
      </c>
      <c r="BQ755" s="173">
        <f>IF(AND(Input_Product=Elig!$C755,Elig_MatchAll_Ct&lt;22,$BC755=(Elig_MatchAll_Ct-1),AP755=0),L755,0)</f>
        <v>0</v>
      </c>
      <c r="BR755" s="173">
        <f>IF(AND(Input_Product=Elig!$C755,Elig_MatchAll_Ct&lt;22,$BC755=(Elig_MatchAll_Ct-1),AO755=0),M755,0)</f>
        <v>0</v>
      </c>
      <c r="BS755" s="173">
        <f>IF(AND(Input_Product=Elig!$C755,Elig_MatchAll_Ct&lt;22,$BC755=(Elig_MatchAll_Ct-1),AQ755=0),N755,0)</f>
        <v>0</v>
      </c>
      <c r="BT755" s="173">
        <f>IF(AND(Input_Product=Elig!$C755,Elig_MatchAll_Ct&lt;22,$BC755=(Elig_MatchAll_Ct-1),AR755=0),O755,0)</f>
        <v>0</v>
      </c>
      <c r="BU755" s="173">
        <f>IF(AND(Input_Product=Elig!$C755,Elig_MatchAll_Ct&lt;22,$BC755=(Elig_MatchAll_Ct-1),AS755=0),P755,0)</f>
        <v>0</v>
      </c>
      <c r="BV755" s="174">
        <f>IF(AND(Input_Product=Elig!$C755,Elig_MatchAll_Ct&lt;22,$BC755=(Elig_MatchAll_Ct-1),AT755=0),Q755,0)</f>
        <v>0</v>
      </c>
      <c r="BW755" s="175">
        <f>IF(AND(Input_Product=Elig!$C755,Elig_MatchAll_Ct&lt;22,$BC755=(Elig_MatchAll_Ct-1),AU755=0),R755,0)</f>
        <v>0</v>
      </c>
      <c r="BX755" s="176">
        <f>IF(AND(Input_Product=Elig!$C755,Elig_MatchAll_Ct&lt;22,$BC755=(Elig_MatchAll_Ct-1),AU755=0),S755,0)</f>
        <v>0</v>
      </c>
      <c r="BY755" s="175">
        <f>IF(AND(Input_Product=Elig!$C755,Elig_MatchAll_Ct&lt;22,$BC755=(Elig_MatchAll_Ct-1),AV755=0),T755,0)</f>
        <v>0</v>
      </c>
      <c r="BZ755" s="176">
        <f>IF(AND(Input_Product=Elig!$C755,Elig_MatchAll_Ct&lt;22,$BC755=(Elig_MatchAll_Ct-1),AV755=0),U755,0)</f>
        <v>0</v>
      </c>
      <c r="CA755" s="175">
        <f>IF(AND(Input_Product=Elig!$C755,Elig_MatchAll_Ct&lt;22,$BC755=(Elig_MatchAll_Ct-1),AW755=0),V755,0)</f>
        <v>0</v>
      </c>
      <c r="CB755" s="176">
        <f>IF(AND(Input_Product=Elig!$C755,Elig_MatchAll_Ct&lt;22,$BC755=(Elig_MatchAll_Ct-1),AW755=0),W755,0)</f>
        <v>0</v>
      </c>
      <c r="CC755" s="175">
        <f>IF(AND(Input_Product=Elig!$C755,Elig_MatchAll_Ct&lt;22,$BC755=(Elig_MatchAll_Ct-1),AX755=0),X755,0)</f>
        <v>0</v>
      </c>
      <c r="CD755" s="176">
        <f>IF(AND(Input_Product=Elig!$C755,Elig_MatchAll_Ct&lt;22,$BC755=(Elig_MatchAll_Ct-1),AX755=0),Y755,0)</f>
        <v>0</v>
      </c>
      <c r="CE755" s="175">
        <f>IF(AND(Input_LTV&lt;=AE755,Input_Product=Elig!$C755,Elig_MatchAll_Ct&lt;22,$BC755=(Elig_MatchAll_Ct-1),AY755=0),Z755,0)</f>
        <v>0</v>
      </c>
      <c r="CF755" s="176">
        <f>IF(AND(Input_LTV&lt;=AE755,Input_Product=Elig!$C755,Elig_MatchAll_Ct&lt;22,$BC755=(Elig_MatchAll_Ct-1),AY755=0),AA755,0)</f>
        <v>0</v>
      </c>
      <c r="CG755" s="175">
        <f>IF(AND(Input_Product=Elig!$C755,Elig_MatchAll_Ct&lt;22,$BC755=(Elig_MatchAll_Ct-1),AZ755=0),AB755,0)</f>
        <v>0</v>
      </c>
      <c r="CH755" s="176">
        <f>IF(AND(Input_Product=Elig!$C755,Elig_MatchAll_Ct&lt;22,$BC755=(Elig_MatchAll_Ct-1),AZ755=0),AC755,0)</f>
        <v>0</v>
      </c>
      <c r="CI755" s="175">
        <f>IF(AND(Input_Product=Elig!$C755,Elig_MatchAll_Ct&lt;22,$BC755=(Elig_MatchAll_Ct-1),BA755=0),AD755,0)</f>
        <v>0</v>
      </c>
      <c r="CJ755" s="176">
        <f>IF(AND(Input_Product=Elig!$C755,Elig_MatchAll_Ct&lt;22,$BC755=(Elig_MatchAll_Ct-1),BA755=0),AE755,0)</f>
        <v>0</v>
      </c>
    </row>
    <row r="756" spans="1:88" ht="10.15" customHeight="1" x14ac:dyDescent="0.25">
      <c r="A756" s="1484" t="s">
        <v>76</v>
      </c>
      <c r="B756" s="1484" t="s">
        <v>2135</v>
      </c>
      <c r="C756" s="1485" t="str">
        <f t="shared" si="242"/>
        <v>Second NOO</v>
      </c>
      <c r="D756" s="1484" t="s">
        <v>1338</v>
      </c>
      <c r="E756" s="1484" t="s">
        <v>98</v>
      </c>
      <c r="F756" s="1484" t="s">
        <v>329</v>
      </c>
      <c r="G756" s="1486" t="s">
        <v>178</v>
      </c>
      <c r="H756" s="1486" t="s">
        <v>135</v>
      </c>
      <c r="I756" s="1484" t="s">
        <v>1141</v>
      </c>
      <c r="J756" s="1484" t="s">
        <v>1130</v>
      </c>
      <c r="K756" s="1486" t="s">
        <v>2464</v>
      </c>
      <c r="L756" s="1484" t="s">
        <v>428</v>
      </c>
      <c r="M756" s="1484" t="s">
        <v>1835</v>
      </c>
      <c r="N756" s="1486" t="s">
        <v>1844</v>
      </c>
      <c r="O756" s="1484" t="s">
        <v>309</v>
      </c>
      <c r="P756" s="1484" t="s">
        <v>2434</v>
      </c>
      <c r="Q756" s="1484" t="s">
        <v>293</v>
      </c>
      <c r="R756" s="1484">
        <v>350000.01</v>
      </c>
      <c r="S756" s="1543">
        <v>500000</v>
      </c>
      <c r="T756" s="1484">
        <v>0</v>
      </c>
      <c r="U756" s="1484">
        <f t="shared" si="243"/>
        <v>500000</v>
      </c>
      <c r="V756" s="1484">
        <v>0</v>
      </c>
      <c r="W756" s="1484">
        <v>50</v>
      </c>
      <c r="X756" s="1484">
        <v>0</v>
      </c>
      <c r="Y756" s="1484">
        <v>999</v>
      </c>
      <c r="Z756" s="1487">
        <v>660</v>
      </c>
      <c r="AA756" s="1487">
        <v>679</v>
      </c>
      <c r="AB756" s="1487">
        <v>0</v>
      </c>
      <c r="AC756" s="1487">
        <v>999999</v>
      </c>
      <c r="AD756" s="1484">
        <v>0</v>
      </c>
      <c r="AE756" s="1484">
        <v>50</v>
      </c>
      <c r="AF756" s="144">
        <v>1</v>
      </c>
      <c r="AG756" s="145">
        <v>1</v>
      </c>
      <c r="AH756" s="145">
        <v>1</v>
      </c>
      <c r="AI756" s="145">
        <v>1</v>
      </c>
      <c r="AJ756" s="145">
        <v>0</v>
      </c>
      <c r="AK756" s="145">
        <v>1</v>
      </c>
      <c r="AL756" s="145">
        <v>1</v>
      </c>
      <c r="AM756" s="145">
        <v>1</v>
      </c>
      <c r="AN756" s="145">
        <v>1</v>
      </c>
      <c r="AO756" s="145">
        <v>1</v>
      </c>
      <c r="AP756" s="145">
        <v>1</v>
      </c>
      <c r="AQ756" s="145">
        <v>1</v>
      </c>
      <c r="AR756" s="145">
        <v>1</v>
      </c>
      <c r="AS756" s="145">
        <v>1</v>
      </c>
      <c r="AT756" s="145">
        <v>1</v>
      </c>
      <c r="AU756" s="145">
        <f t="shared" si="236"/>
        <v>0</v>
      </c>
      <c r="AV756" s="145">
        <f t="shared" si="237"/>
        <v>1</v>
      </c>
      <c r="AW756" s="145">
        <f t="shared" si="238"/>
        <v>1</v>
      </c>
      <c r="AX756" s="145">
        <f t="shared" si="244"/>
        <v>1</v>
      </c>
      <c r="AY756" s="145">
        <f t="shared" si="239"/>
        <v>0</v>
      </c>
      <c r="AZ756" s="145">
        <f t="shared" si="240"/>
        <v>1</v>
      </c>
      <c r="BA756" s="146">
        <f t="shared" si="241"/>
        <v>0</v>
      </c>
      <c r="BB756" s="149">
        <f t="shared" si="254"/>
        <v>18</v>
      </c>
      <c r="BC756" s="150">
        <f t="shared" si="255"/>
        <v>18</v>
      </c>
      <c r="BD756" s="150">
        <f t="shared" si="255"/>
        <v>17</v>
      </c>
      <c r="BE756" s="211" t="str">
        <f t="shared" si="248"/>
        <v/>
      </c>
      <c r="BF756" s="205"/>
      <c r="BG756" s="205"/>
      <c r="BH756" s="188">
        <f>IF(AND(Input_Product=Elig!$C756,Elig_MatchAll_Ct&lt;22,$BC756=(Elig_MatchAll_Ct-1),AF756=0),C756,0)</f>
        <v>0</v>
      </c>
      <c r="BI756" s="188">
        <f>IF(AND(Input_Product=Elig!$C756,Elig_MatchAll_Ct&lt;22,$BC756=(Elig_MatchAll_Ct-1),AG756=0),D756,0)</f>
        <v>0</v>
      </c>
      <c r="BJ756" s="188">
        <f>IF(AND(Input_Product=Elig!$C756,Elig_MatchAll_Ct&lt;22,$BC756=(Elig_MatchAll_Ct-1),AH756=0),E756,0)</f>
        <v>0</v>
      </c>
      <c r="BK756" s="188">
        <f>IF(AND(Input_Product=Elig!$C756,Elig_MatchAll_Ct&lt;22,$BC756=(Elig_MatchAll_Ct-1),AI756=0),F756,0)</f>
        <v>0</v>
      </c>
      <c r="BL756" s="188">
        <f>IF(AND(Input_Product=Elig!$C756,Elig_MatchAll_Ct&lt;22,$BC756=(Elig_MatchAll_Ct-1),AJ756=0),G756,0)</f>
        <v>0</v>
      </c>
      <c r="BM756" s="188">
        <f>IF(AND(Input_Product=Elig!$C756,Elig_MatchAll_Ct&lt;22,$BC756=(Elig_MatchAll_Ct-1),AK756=0),H756,0)</f>
        <v>0</v>
      </c>
      <c r="BN756" s="188">
        <f>IF(AND(Input_Product=Elig!$C756,Elig_MatchAll_Ct&lt;22,$BC756=(Elig_MatchAll_Ct-1),AL756=0),I756,0)</f>
        <v>0</v>
      </c>
      <c r="BO756" s="188">
        <f>IF(AND(Input_Product=Elig!$C756,Elig_MatchAll_Ct&lt;22,$BC756=(Elig_MatchAll_Ct-1),AM756=0),J756,0)</f>
        <v>0</v>
      </c>
      <c r="BP756" s="188">
        <f>IF(AND(Input_Product=Elig!$C756,Elig_MatchAll_Ct&lt;22,$BC756=(Elig_MatchAll_Ct-1),AN756=0),K756,0)</f>
        <v>0</v>
      </c>
      <c r="BQ756" s="188">
        <f>IF(AND(Input_Product=Elig!$C756,Elig_MatchAll_Ct&lt;22,$BC756=(Elig_MatchAll_Ct-1),AP756=0),L756,0)</f>
        <v>0</v>
      </c>
      <c r="BR756" s="188">
        <f>IF(AND(Input_Product=Elig!$C756,Elig_MatchAll_Ct&lt;22,$BC756=(Elig_MatchAll_Ct-1),AO756=0),M756,0)</f>
        <v>0</v>
      </c>
      <c r="BS756" s="188">
        <f>IF(AND(Input_Product=Elig!$C756,Elig_MatchAll_Ct&lt;22,$BC756=(Elig_MatchAll_Ct-1),AQ756=0),N756,0)</f>
        <v>0</v>
      </c>
      <c r="BT756" s="188">
        <f>IF(AND(Input_Product=Elig!$C756,Elig_MatchAll_Ct&lt;22,$BC756=(Elig_MatchAll_Ct-1),AR756=0),O756,0)</f>
        <v>0</v>
      </c>
      <c r="BU756" s="188">
        <f>IF(AND(Input_Product=Elig!$C756,Elig_MatchAll_Ct&lt;22,$BC756=(Elig_MatchAll_Ct-1),AS756=0),P756,0)</f>
        <v>0</v>
      </c>
      <c r="BV756" s="189">
        <f>IF(AND(Input_Product=Elig!$C756,Elig_MatchAll_Ct&lt;22,$BC756=(Elig_MatchAll_Ct-1),AT756=0),Q756,0)</f>
        <v>0</v>
      </c>
      <c r="BW756" s="271">
        <f>IF(AND(Input_Product=Elig!$C756,Elig_MatchAll_Ct&lt;22,$BC756=(Elig_MatchAll_Ct-1),AU756=0),R756,0)</f>
        <v>0</v>
      </c>
      <c r="BX756" s="272">
        <f>IF(AND(Input_Product=Elig!$C756,Elig_MatchAll_Ct&lt;22,$BC756=(Elig_MatchAll_Ct-1),AU756=0),S756,0)</f>
        <v>0</v>
      </c>
      <c r="BY756" s="271">
        <f>IF(AND(Input_Product=Elig!$C756,Elig_MatchAll_Ct&lt;22,$BC756=(Elig_MatchAll_Ct-1),AV756=0),T756,0)</f>
        <v>0</v>
      </c>
      <c r="BZ756" s="272">
        <f>IF(AND(Input_Product=Elig!$C756,Elig_MatchAll_Ct&lt;22,$BC756=(Elig_MatchAll_Ct-1),AV756=0),U756,0)</f>
        <v>0</v>
      </c>
      <c r="CA756" s="271">
        <f>IF(AND(Input_Product=Elig!$C756,Elig_MatchAll_Ct&lt;22,$BC756=(Elig_MatchAll_Ct-1),AW756=0),V756,0)</f>
        <v>0</v>
      </c>
      <c r="CB756" s="272">
        <f>IF(AND(Input_Product=Elig!$C756,Elig_MatchAll_Ct&lt;22,$BC756=(Elig_MatchAll_Ct-1),AW756=0),W756,0)</f>
        <v>0</v>
      </c>
      <c r="CC756" s="271">
        <f>IF(AND(Input_Product=Elig!$C756,Elig_MatchAll_Ct&lt;22,$BC756=(Elig_MatchAll_Ct-1),AX756=0),X756,0)</f>
        <v>0</v>
      </c>
      <c r="CD756" s="272">
        <f>IF(AND(Input_Product=Elig!$C756,Elig_MatchAll_Ct&lt;22,$BC756=(Elig_MatchAll_Ct-1),AX756=0),Y756,0)</f>
        <v>0</v>
      </c>
      <c r="CE756" s="271">
        <f>IF(AND(Input_LTV&lt;=AE756,Input_Product=Elig!$C756,Elig_MatchAll_Ct&lt;22,$BC756=(Elig_MatchAll_Ct-1),AY756=0),Z756,0)</f>
        <v>0</v>
      </c>
      <c r="CF756" s="272">
        <f>IF(AND(Input_LTV&lt;=AE756,Input_Product=Elig!$C756,Elig_MatchAll_Ct&lt;22,$BC756=(Elig_MatchAll_Ct-1),AY756=0),AA756,0)</f>
        <v>0</v>
      </c>
      <c r="CG756" s="271">
        <f>IF(AND(Input_Product=Elig!$C756,Elig_MatchAll_Ct&lt;22,$BC756=(Elig_MatchAll_Ct-1),AZ756=0),AB756,0)</f>
        <v>0</v>
      </c>
      <c r="CH756" s="272">
        <f>IF(AND(Input_Product=Elig!$C756,Elig_MatchAll_Ct&lt;22,$BC756=(Elig_MatchAll_Ct-1),AZ756=0),AC756,0)</f>
        <v>0</v>
      </c>
      <c r="CI756" s="271">
        <f>IF(AND(Input_Product=Elig!$C756,Elig_MatchAll_Ct&lt;22,$BC756=(Elig_MatchAll_Ct-1),BA756=0),AD756,0)</f>
        <v>0</v>
      </c>
      <c r="CJ756" s="272">
        <f>IF(AND(Input_Product=Elig!$C756,Elig_MatchAll_Ct&lt;22,$BC756=(Elig_MatchAll_Ct-1),BA756=0),AE756,0)</f>
        <v>0</v>
      </c>
    </row>
    <row r="757" spans="1:88" ht="10.15" customHeight="1" x14ac:dyDescent="0.25">
      <c r="A757" s="1484" t="s">
        <v>76</v>
      </c>
      <c r="B757" s="1484" t="s">
        <v>2136</v>
      </c>
      <c r="C757" s="1489" t="str">
        <f t="shared" si="242"/>
        <v>Second NOO</v>
      </c>
      <c r="D757" s="1490" t="s">
        <v>1338</v>
      </c>
      <c r="E757" s="1490" t="s">
        <v>98</v>
      </c>
      <c r="F757" s="1490" t="s">
        <v>329</v>
      </c>
      <c r="G757" s="1546" t="s">
        <v>180</v>
      </c>
      <c r="H757" s="1490" t="s">
        <v>135</v>
      </c>
      <c r="I757" s="1488" t="s">
        <v>1141</v>
      </c>
      <c r="J757" s="1488" t="s">
        <v>1130</v>
      </c>
      <c r="K757" s="1490" t="s">
        <v>2464</v>
      </c>
      <c r="L757" s="1488" t="s">
        <v>428</v>
      </c>
      <c r="M757" s="1488" t="s">
        <v>1835</v>
      </c>
      <c r="N757" s="1546" t="s">
        <v>1844</v>
      </c>
      <c r="O757" s="1488" t="s">
        <v>2196</v>
      </c>
      <c r="P757" s="1488" t="s">
        <v>2434</v>
      </c>
      <c r="Q757" s="1488" t="s">
        <v>293</v>
      </c>
      <c r="R757" s="1488">
        <v>350000.01</v>
      </c>
      <c r="S757" s="1542">
        <v>500000</v>
      </c>
      <c r="T757" s="1488">
        <v>0</v>
      </c>
      <c r="U757" s="1488">
        <f t="shared" si="243"/>
        <v>500000</v>
      </c>
      <c r="V757" s="1488">
        <v>0</v>
      </c>
      <c r="W757" s="1488">
        <v>50</v>
      </c>
      <c r="X757" s="1542">
        <v>1</v>
      </c>
      <c r="Y757" s="1488">
        <v>999</v>
      </c>
      <c r="Z757" s="1491">
        <v>720</v>
      </c>
      <c r="AA757" s="1491">
        <v>999</v>
      </c>
      <c r="AB757" s="1491">
        <v>0</v>
      </c>
      <c r="AC757" s="1491">
        <v>999999</v>
      </c>
      <c r="AD757" s="1488">
        <v>0</v>
      </c>
      <c r="AE757" s="1542">
        <v>75</v>
      </c>
      <c r="AF757" s="144">
        <v>1</v>
      </c>
      <c r="AG757" s="145">
        <v>1</v>
      </c>
      <c r="AH757" s="145">
        <v>1</v>
      </c>
      <c r="AI757" s="145">
        <v>1</v>
      </c>
      <c r="AJ757" s="145">
        <v>1</v>
      </c>
      <c r="AK757" s="145">
        <v>1</v>
      </c>
      <c r="AL757" s="145">
        <v>1</v>
      </c>
      <c r="AM757" s="145">
        <v>1</v>
      </c>
      <c r="AN757" s="145">
        <v>1</v>
      </c>
      <c r="AO757" s="145">
        <v>1</v>
      </c>
      <c r="AP757" s="145">
        <v>1</v>
      </c>
      <c r="AQ757" s="145">
        <v>1</v>
      </c>
      <c r="AR757" s="145">
        <v>1</v>
      </c>
      <c r="AS757" s="145">
        <v>1</v>
      </c>
      <c r="AT757" s="145">
        <v>1</v>
      </c>
      <c r="AU757" s="145">
        <f t="shared" si="236"/>
        <v>0</v>
      </c>
      <c r="AV757" s="145">
        <f t="shared" si="237"/>
        <v>1</v>
      </c>
      <c r="AW757" s="145">
        <f t="shared" si="238"/>
        <v>1</v>
      </c>
      <c r="AX757" s="145">
        <f t="shared" si="244"/>
        <v>1</v>
      </c>
      <c r="AY757" s="145">
        <f t="shared" si="239"/>
        <v>1</v>
      </c>
      <c r="AZ757" s="145">
        <f t="shared" si="240"/>
        <v>1</v>
      </c>
      <c r="BA757" s="146">
        <f t="shared" si="241"/>
        <v>1</v>
      </c>
      <c r="BB757" s="149">
        <f t="shared" ref="BB757:BB759" si="256">SUM(AF757:BA757)</f>
        <v>21</v>
      </c>
      <c r="BC757" s="150">
        <f t="shared" ref="BC757:BC759" si="257">SUM(AF757:AZ757)</f>
        <v>20</v>
      </c>
      <c r="BD757" s="150">
        <f t="shared" ref="BD757:BD759" si="258">SUM(AG757:BA757)</f>
        <v>20</v>
      </c>
      <c r="BE757" s="211" t="str">
        <f t="shared" si="248"/>
        <v/>
      </c>
      <c r="BF757" s="194"/>
      <c r="BG757" s="194"/>
      <c r="BH757" s="190">
        <f>IF(AND(Input_Product=Elig!$C757,Elig_MatchAll_Ct&lt;22,$BC757=(Elig_MatchAll_Ct-1),AF757=0),C757,0)</f>
        <v>0</v>
      </c>
      <c r="BI757" s="190">
        <f>IF(AND(Input_Product=Elig!$C757,Elig_MatchAll_Ct&lt;22,$BC757=(Elig_MatchAll_Ct-1),AG757=0),D757,0)</f>
        <v>0</v>
      </c>
      <c r="BJ757" s="190">
        <f>IF(AND(Input_Product=Elig!$C757,Elig_MatchAll_Ct&lt;22,$BC757=(Elig_MatchAll_Ct-1),AH757=0),E757,0)</f>
        <v>0</v>
      </c>
      <c r="BK757" s="190">
        <f>IF(AND(Input_Product=Elig!$C757,Elig_MatchAll_Ct&lt;22,$BC757=(Elig_MatchAll_Ct-1),AI757=0),F757,0)</f>
        <v>0</v>
      </c>
      <c r="BL757" s="190">
        <f>IF(AND(Input_Product=Elig!$C757,Elig_MatchAll_Ct&lt;22,$BC757=(Elig_MatchAll_Ct-1),AJ757=0),G757,0)</f>
        <v>0</v>
      </c>
      <c r="BM757" s="190">
        <f>IF(AND(Input_Product=Elig!$C757,Elig_MatchAll_Ct&lt;22,$BC757=(Elig_MatchAll_Ct-1),AK757=0),H757,0)</f>
        <v>0</v>
      </c>
      <c r="BN757" s="190">
        <f>IF(AND(Input_Product=Elig!$C757,Elig_MatchAll_Ct&lt;22,$BC757=(Elig_MatchAll_Ct-1),AL757=0),I757,0)</f>
        <v>0</v>
      </c>
      <c r="BO757" s="190">
        <f>IF(AND(Input_Product=Elig!$C757,Elig_MatchAll_Ct&lt;22,$BC757=(Elig_MatchAll_Ct-1),AM757=0),J757,0)</f>
        <v>0</v>
      </c>
      <c r="BP757" s="190">
        <f>IF(AND(Input_Product=Elig!$C757,Elig_MatchAll_Ct&lt;22,$BC757=(Elig_MatchAll_Ct-1),AN757=0),K757,0)</f>
        <v>0</v>
      </c>
      <c r="BQ757" s="190">
        <f>IF(AND(Input_Product=Elig!$C757,Elig_MatchAll_Ct&lt;22,$BC757=(Elig_MatchAll_Ct-1),AP757=0),L757,0)</f>
        <v>0</v>
      </c>
      <c r="BR757" s="190">
        <f>IF(AND(Input_Product=Elig!$C757,Elig_MatchAll_Ct&lt;22,$BC757=(Elig_MatchAll_Ct-1),AO757=0),M757,0)</f>
        <v>0</v>
      </c>
      <c r="BS757" s="190">
        <f>IF(AND(Input_Product=Elig!$C757,Elig_MatchAll_Ct&lt;22,$BC757=(Elig_MatchAll_Ct-1),AQ757=0),N757,0)</f>
        <v>0</v>
      </c>
      <c r="BT757" s="190">
        <f>IF(AND(Input_Product=Elig!$C757,Elig_MatchAll_Ct&lt;22,$BC757=(Elig_MatchAll_Ct-1),AR757=0),O757,0)</f>
        <v>0</v>
      </c>
      <c r="BU757" s="190">
        <f>IF(AND(Input_Product=Elig!$C757,Elig_MatchAll_Ct&lt;22,$BC757=(Elig_MatchAll_Ct-1),AS757=0),P757,0)</f>
        <v>0</v>
      </c>
      <c r="BV757" s="191">
        <f>IF(AND(Input_Product=Elig!$C757,Elig_MatchAll_Ct&lt;22,$BC757=(Elig_MatchAll_Ct-1),AT757=0),Q757,0)</f>
        <v>0</v>
      </c>
      <c r="BW757" s="273">
        <f>IF(AND(Input_Product=Elig!$C757,Elig_MatchAll_Ct&lt;22,$BC757=(Elig_MatchAll_Ct-1),AU757=0),R757,0)</f>
        <v>0</v>
      </c>
      <c r="BX757" s="274">
        <f>IF(AND(Input_Product=Elig!$C757,Elig_MatchAll_Ct&lt;22,$BC757=(Elig_MatchAll_Ct-1),AU757=0),S757,0)</f>
        <v>0</v>
      </c>
      <c r="BY757" s="273">
        <f>IF(AND(Input_Product=Elig!$C757,Elig_MatchAll_Ct&lt;22,$BC757=(Elig_MatchAll_Ct-1),AV757=0),T757,0)</f>
        <v>0</v>
      </c>
      <c r="BZ757" s="274">
        <f>IF(AND(Input_Product=Elig!$C757,Elig_MatchAll_Ct&lt;22,$BC757=(Elig_MatchAll_Ct-1),AV757=0),U757,0)</f>
        <v>0</v>
      </c>
      <c r="CA757" s="273">
        <f>IF(AND(Input_Product=Elig!$C757,Elig_MatchAll_Ct&lt;22,$BC757=(Elig_MatchAll_Ct-1),AW757=0),V757,0)</f>
        <v>0</v>
      </c>
      <c r="CB757" s="274">
        <f>IF(AND(Input_Product=Elig!$C757,Elig_MatchAll_Ct&lt;22,$BC757=(Elig_MatchAll_Ct-1),AW757=0),W757,0)</f>
        <v>0</v>
      </c>
      <c r="CC757" s="273">
        <f>IF(AND(Input_Product=Elig!$C757,Elig_MatchAll_Ct&lt;22,$BC757=(Elig_MatchAll_Ct-1),AX757=0),X757,0)</f>
        <v>0</v>
      </c>
      <c r="CD757" s="274">
        <f>IF(AND(Input_Product=Elig!$C757,Elig_MatchAll_Ct&lt;22,$BC757=(Elig_MatchAll_Ct-1),AX757=0),Y757,0)</f>
        <v>0</v>
      </c>
      <c r="CE757" s="273">
        <f>IF(AND(Input_LTV&lt;=AE757,Input_Product=Elig!$C757,Elig_MatchAll_Ct&lt;22,$BC757=(Elig_MatchAll_Ct-1),AY757=0),Z757,0)</f>
        <v>0</v>
      </c>
      <c r="CF757" s="274">
        <f>IF(AND(Input_LTV&lt;=AE757,Input_Product=Elig!$C757,Elig_MatchAll_Ct&lt;22,$BC757=(Elig_MatchAll_Ct-1),AY757=0),AA757,0)</f>
        <v>0</v>
      </c>
      <c r="CG757" s="273">
        <f>IF(AND(Input_Product=Elig!$C757,Elig_MatchAll_Ct&lt;22,$BC757=(Elig_MatchAll_Ct-1),AZ757=0),AB757,0)</f>
        <v>0</v>
      </c>
      <c r="CH757" s="274">
        <f>IF(AND(Input_Product=Elig!$C757,Elig_MatchAll_Ct&lt;22,$BC757=(Elig_MatchAll_Ct-1),AZ757=0),AC757,0)</f>
        <v>0</v>
      </c>
      <c r="CI757" s="273">
        <f>IF(AND(Input_Product=Elig!$C757,Elig_MatchAll_Ct&lt;22,$BC757=(Elig_MatchAll_Ct-1),BA757=0),AD757,0)</f>
        <v>0</v>
      </c>
      <c r="CJ757" s="274">
        <f>IF(AND(Input_Product=Elig!$C757,Elig_MatchAll_Ct&lt;22,$BC757=(Elig_MatchAll_Ct-1),BA757=0),AE757,0)</f>
        <v>0</v>
      </c>
    </row>
    <row r="758" spans="1:88" ht="10.15" customHeight="1" x14ac:dyDescent="0.25">
      <c r="A758" s="1484" t="s">
        <v>76</v>
      </c>
      <c r="B758" s="1484" t="s">
        <v>2137</v>
      </c>
      <c r="C758" s="1485" t="str">
        <f t="shared" si="242"/>
        <v>Second NOO</v>
      </c>
      <c r="D758" s="1484" t="s">
        <v>1338</v>
      </c>
      <c r="E758" s="1484" t="s">
        <v>98</v>
      </c>
      <c r="F758" s="1484" t="s">
        <v>329</v>
      </c>
      <c r="G758" s="1547" t="s">
        <v>180</v>
      </c>
      <c r="H758" s="1486" t="s">
        <v>135</v>
      </c>
      <c r="I758" s="1484" t="s">
        <v>1141</v>
      </c>
      <c r="J758" s="1484" t="s">
        <v>1130</v>
      </c>
      <c r="K758" s="1486" t="s">
        <v>2464</v>
      </c>
      <c r="L758" s="1484" t="s">
        <v>428</v>
      </c>
      <c r="M758" s="1484" t="s">
        <v>1835</v>
      </c>
      <c r="N758" s="1547" t="s">
        <v>1844</v>
      </c>
      <c r="O758" s="1484" t="s">
        <v>2196</v>
      </c>
      <c r="P758" s="1484" t="s">
        <v>2434</v>
      </c>
      <c r="Q758" s="1484" t="s">
        <v>293</v>
      </c>
      <c r="R758" s="1484">
        <v>350000.01</v>
      </c>
      <c r="S758" s="1543">
        <v>500000</v>
      </c>
      <c r="T758" s="1484">
        <v>0</v>
      </c>
      <c r="U758" s="1484">
        <f t="shared" si="243"/>
        <v>500000</v>
      </c>
      <c r="V758" s="1484">
        <v>0</v>
      </c>
      <c r="W758" s="1484">
        <v>50</v>
      </c>
      <c r="X758" s="1543">
        <v>1</v>
      </c>
      <c r="Y758" s="1484">
        <v>999</v>
      </c>
      <c r="Z758" s="1487">
        <v>700</v>
      </c>
      <c r="AA758" s="1487">
        <v>719</v>
      </c>
      <c r="AB758" s="1487">
        <v>0</v>
      </c>
      <c r="AC758" s="1487">
        <v>999999</v>
      </c>
      <c r="AD758" s="1484">
        <v>0</v>
      </c>
      <c r="AE758" s="1543">
        <v>70</v>
      </c>
      <c r="AF758" s="144">
        <v>1</v>
      </c>
      <c r="AG758" s="145">
        <v>1</v>
      </c>
      <c r="AH758" s="145">
        <v>1</v>
      </c>
      <c r="AI758" s="145">
        <v>1</v>
      </c>
      <c r="AJ758" s="145">
        <v>1</v>
      </c>
      <c r="AK758" s="145">
        <v>1</v>
      </c>
      <c r="AL758" s="145">
        <v>1</v>
      </c>
      <c r="AM758" s="145">
        <v>1</v>
      </c>
      <c r="AN758" s="145">
        <v>1</v>
      </c>
      <c r="AO758" s="145">
        <v>1</v>
      </c>
      <c r="AP758" s="145">
        <v>1</v>
      </c>
      <c r="AQ758" s="145">
        <v>1</v>
      </c>
      <c r="AR758" s="145">
        <v>1</v>
      </c>
      <c r="AS758" s="145">
        <v>1</v>
      </c>
      <c r="AT758" s="145">
        <v>1</v>
      </c>
      <c r="AU758" s="145">
        <f t="shared" si="236"/>
        <v>0</v>
      </c>
      <c r="AV758" s="145">
        <f t="shared" si="237"/>
        <v>1</v>
      </c>
      <c r="AW758" s="145">
        <f t="shared" si="238"/>
        <v>1</v>
      </c>
      <c r="AX758" s="145">
        <f t="shared" si="244"/>
        <v>1</v>
      </c>
      <c r="AY758" s="145">
        <f t="shared" si="239"/>
        <v>0</v>
      </c>
      <c r="AZ758" s="145">
        <f t="shared" si="240"/>
        <v>1</v>
      </c>
      <c r="BA758" s="146">
        <f t="shared" si="241"/>
        <v>1</v>
      </c>
      <c r="BB758" s="149">
        <f t="shared" si="256"/>
        <v>20</v>
      </c>
      <c r="BC758" s="150">
        <f t="shared" si="257"/>
        <v>19</v>
      </c>
      <c r="BD758" s="150">
        <f t="shared" si="258"/>
        <v>19</v>
      </c>
      <c r="BE758" s="211" t="str">
        <f t="shared" si="248"/>
        <v/>
      </c>
      <c r="BF758" s="205"/>
      <c r="BG758" s="205"/>
      <c r="BH758" s="173">
        <f>IF(AND(Input_Product=Elig!$C758,Elig_MatchAll_Ct&lt;22,$BC758=(Elig_MatchAll_Ct-1),AF758=0),C758,0)</f>
        <v>0</v>
      </c>
      <c r="BI758" s="173">
        <f>IF(AND(Input_Product=Elig!$C758,Elig_MatchAll_Ct&lt;22,$BC758=(Elig_MatchAll_Ct-1),AG758=0),D758,0)</f>
        <v>0</v>
      </c>
      <c r="BJ758" s="173">
        <f>IF(AND(Input_Product=Elig!$C758,Elig_MatchAll_Ct&lt;22,$BC758=(Elig_MatchAll_Ct-1),AH758=0),E758,0)</f>
        <v>0</v>
      </c>
      <c r="BK758" s="173">
        <f>IF(AND(Input_Product=Elig!$C758,Elig_MatchAll_Ct&lt;22,$BC758=(Elig_MatchAll_Ct-1),AI758=0),F758,0)</f>
        <v>0</v>
      </c>
      <c r="BL758" s="173">
        <f>IF(AND(Input_Product=Elig!$C758,Elig_MatchAll_Ct&lt;22,$BC758=(Elig_MatchAll_Ct-1),AJ758=0),G758,0)</f>
        <v>0</v>
      </c>
      <c r="BM758" s="173">
        <f>IF(AND(Input_Product=Elig!$C758,Elig_MatchAll_Ct&lt;22,$BC758=(Elig_MatchAll_Ct-1),AK758=0),H758,0)</f>
        <v>0</v>
      </c>
      <c r="BN758" s="173">
        <f>IF(AND(Input_Product=Elig!$C758,Elig_MatchAll_Ct&lt;22,$BC758=(Elig_MatchAll_Ct-1),AL758=0),I758,0)</f>
        <v>0</v>
      </c>
      <c r="BO758" s="173">
        <f>IF(AND(Input_Product=Elig!$C758,Elig_MatchAll_Ct&lt;22,$BC758=(Elig_MatchAll_Ct-1),AM758=0),J758,0)</f>
        <v>0</v>
      </c>
      <c r="BP758" s="173">
        <f>IF(AND(Input_Product=Elig!$C758,Elig_MatchAll_Ct&lt;22,$BC758=(Elig_MatchAll_Ct-1),AN758=0),K758,0)</f>
        <v>0</v>
      </c>
      <c r="BQ758" s="173">
        <f>IF(AND(Input_Product=Elig!$C758,Elig_MatchAll_Ct&lt;22,$BC758=(Elig_MatchAll_Ct-1),AP758=0),L758,0)</f>
        <v>0</v>
      </c>
      <c r="BR758" s="173">
        <f>IF(AND(Input_Product=Elig!$C758,Elig_MatchAll_Ct&lt;22,$BC758=(Elig_MatchAll_Ct-1),AO758=0),M758,0)</f>
        <v>0</v>
      </c>
      <c r="BS758" s="173">
        <f>IF(AND(Input_Product=Elig!$C758,Elig_MatchAll_Ct&lt;22,$BC758=(Elig_MatchAll_Ct-1),AQ758=0),N758,0)</f>
        <v>0</v>
      </c>
      <c r="BT758" s="173">
        <f>IF(AND(Input_Product=Elig!$C758,Elig_MatchAll_Ct&lt;22,$BC758=(Elig_MatchAll_Ct-1),AR758=0),O758,0)</f>
        <v>0</v>
      </c>
      <c r="BU758" s="173">
        <f>IF(AND(Input_Product=Elig!$C758,Elig_MatchAll_Ct&lt;22,$BC758=(Elig_MatchAll_Ct-1),AS758=0),P758,0)</f>
        <v>0</v>
      </c>
      <c r="BV758" s="174">
        <f>IF(AND(Input_Product=Elig!$C758,Elig_MatchAll_Ct&lt;22,$BC758=(Elig_MatchAll_Ct-1),AT758=0),Q758,0)</f>
        <v>0</v>
      </c>
      <c r="BW758" s="175">
        <f>IF(AND(Input_Product=Elig!$C758,Elig_MatchAll_Ct&lt;22,$BC758=(Elig_MatchAll_Ct-1),AU758=0),R758,0)</f>
        <v>0</v>
      </c>
      <c r="BX758" s="176">
        <f>IF(AND(Input_Product=Elig!$C758,Elig_MatchAll_Ct&lt;22,$BC758=(Elig_MatchAll_Ct-1),AU758=0),S758,0)</f>
        <v>0</v>
      </c>
      <c r="BY758" s="175">
        <f>IF(AND(Input_Product=Elig!$C758,Elig_MatchAll_Ct&lt;22,$BC758=(Elig_MatchAll_Ct-1),AV758=0),T758,0)</f>
        <v>0</v>
      </c>
      <c r="BZ758" s="176">
        <f>IF(AND(Input_Product=Elig!$C758,Elig_MatchAll_Ct&lt;22,$BC758=(Elig_MatchAll_Ct-1),AV758=0),U758,0)</f>
        <v>0</v>
      </c>
      <c r="CA758" s="175">
        <f>IF(AND(Input_Product=Elig!$C758,Elig_MatchAll_Ct&lt;22,$BC758=(Elig_MatchAll_Ct-1),AW758=0),V758,0)</f>
        <v>0</v>
      </c>
      <c r="CB758" s="176">
        <f>IF(AND(Input_Product=Elig!$C758,Elig_MatchAll_Ct&lt;22,$BC758=(Elig_MatchAll_Ct-1),AW758=0),W758,0)</f>
        <v>0</v>
      </c>
      <c r="CC758" s="175">
        <f>IF(AND(Input_Product=Elig!$C758,Elig_MatchAll_Ct&lt;22,$BC758=(Elig_MatchAll_Ct-1),AX758=0),X758,0)</f>
        <v>0</v>
      </c>
      <c r="CD758" s="176">
        <f>IF(AND(Input_Product=Elig!$C758,Elig_MatchAll_Ct&lt;22,$BC758=(Elig_MatchAll_Ct-1),AX758=0),Y758,0)</f>
        <v>0</v>
      </c>
      <c r="CE758" s="175">
        <f>IF(AND(Input_LTV&lt;=AE758,Input_Product=Elig!$C758,Elig_MatchAll_Ct&lt;22,$BC758=(Elig_MatchAll_Ct-1),AY758=0),Z758,0)</f>
        <v>0</v>
      </c>
      <c r="CF758" s="176">
        <f>IF(AND(Input_LTV&lt;=AE758,Input_Product=Elig!$C758,Elig_MatchAll_Ct&lt;22,$BC758=(Elig_MatchAll_Ct-1),AY758=0),AA758,0)</f>
        <v>0</v>
      </c>
      <c r="CG758" s="175">
        <f>IF(AND(Input_Product=Elig!$C758,Elig_MatchAll_Ct&lt;22,$BC758=(Elig_MatchAll_Ct-1),AZ758=0),AB758,0)</f>
        <v>0</v>
      </c>
      <c r="CH758" s="176">
        <f>IF(AND(Input_Product=Elig!$C758,Elig_MatchAll_Ct&lt;22,$BC758=(Elig_MatchAll_Ct-1),AZ758=0),AC758,0)</f>
        <v>0</v>
      </c>
      <c r="CI758" s="175">
        <f>IF(AND(Input_Product=Elig!$C758,Elig_MatchAll_Ct&lt;22,$BC758=(Elig_MatchAll_Ct-1),BA758=0),AD758,0)</f>
        <v>0</v>
      </c>
      <c r="CJ758" s="176">
        <f>IF(AND(Input_Product=Elig!$C758,Elig_MatchAll_Ct&lt;22,$BC758=(Elig_MatchAll_Ct-1),BA758=0),AE758,0)</f>
        <v>0</v>
      </c>
    </row>
    <row r="759" spans="1:88" ht="10.15" customHeight="1" x14ac:dyDescent="0.25">
      <c r="A759" s="1484" t="s">
        <v>76</v>
      </c>
      <c r="B759" s="1484" t="s">
        <v>2138</v>
      </c>
      <c r="C759" s="1485" t="str">
        <f t="shared" si="242"/>
        <v>Second NOO</v>
      </c>
      <c r="D759" s="1484" t="s">
        <v>1338</v>
      </c>
      <c r="E759" s="1484" t="s">
        <v>98</v>
      </c>
      <c r="F759" s="1484" t="s">
        <v>329</v>
      </c>
      <c r="G759" s="1547" t="s">
        <v>180</v>
      </c>
      <c r="H759" s="1486" t="s">
        <v>135</v>
      </c>
      <c r="I759" s="1484" t="s">
        <v>1141</v>
      </c>
      <c r="J759" s="1484" t="s">
        <v>1130</v>
      </c>
      <c r="K759" s="1486" t="s">
        <v>2464</v>
      </c>
      <c r="L759" s="1484" t="s">
        <v>428</v>
      </c>
      <c r="M759" s="1484" t="s">
        <v>1835</v>
      </c>
      <c r="N759" s="1547" t="s">
        <v>1844</v>
      </c>
      <c r="O759" s="1484" t="s">
        <v>2196</v>
      </c>
      <c r="P759" s="1484" t="s">
        <v>2434</v>
      </c>
      <c r="Q759" s="1484" t="s">
        <v>293</v>
      </c>
      <c r="R759" s="1484">
        <v>350000.01</v>
      </c>
      <c r="S759" s="1543">
        <v>500000</v>
      </c>
      <c r="T759" s="1484">
        <v>0</v>
      </c>
      <c r="U759" s="1484">
        <f t="shared" si="243"/>
        <v>500000</v>
      </c>
      <c r="V759" s="1484">
        <v>0</v>
      </c>
      <c r="W759" s="1484">
        <v>50</v>
      </c>
      <c r="X759" s="1543">
        <v>1</v>
      </c>
      <c r="Y759" s="1484">
        <v>999</v>
      </c>
      <c r="Z759" s="1487">
        <v>680</v>
      </c>
      <c r="AA759" s="1487">
        <v>699</v>
      </c>
      <c r="AB759" s="1487">
        <v>0</v>
      </c>
      <c r="AC759" s="1487">
        <v>999999</v>
      </c>
      <c r="AD759" s="1484">
        <v>0</v>
      </c>
      <c r="AE759" s="1543">
        <v>65</v>
      </c>
      <c r="AF759" s="144">
        <v>1</v>
      </c>
      <c r="AG759" s="145">
        <v>1</v>
      </c>
      <c r="AH759" s="145">
        <v>1</v>
      </c>
      <c r="AI759" s="145">
        <v>1</v>
      </c>
      <c r="AJ759" s="145">
        <v>1</v>
      </c>
      <c r="AK759" s="145">
        <v>1</v>
      </c>
      <c r="AL759" s="145">
        <v>1</v>
      </c>
      <c r="AM759" s="145">
        <v>1</v>
      </c>
      <c r="AN759" s="145">
        <v>1</v>
      </c>
      <c r="AO759" s="145">
        <v>1</v>
      </c>
      <c r="AP759" s="145">
        <v>1</v>
      </c>
      <c r="AQ759" s="145">
        <v>1</v>
      </c>
      <c r="AR759" s="145">
        <v>1</v>
      </c>
      <c r="AS759" s="145">
        <v>1</v>
      </c>
      <c r="AT759" s="145">
        <v>1</v>
      </c>
      <c r="AU759" s="145">
        <f t="shared" si="236"/>
        <v>0</v>
      </c>
      <c r="AV759" s="145">
        <f t="shared" si="237"/>
        <v>1</v>
      </c>
      <c r="AW759" s="145">
        <f t="shared" si="238"/>
        <v>1</v>
      </c>
      <c r="AX759" s="145">
        <f t="shared" si="244"/>
        <v>1</v>
      </c>
      <c r="AY759" s="145">
        <f t="shared" si="239"/>
        <v>0</v>
      </c>
      <c r="AZ759" s="145">
        <f t="shared" si="240"/>
        <v>1</v>
      </c>
      <c r="BA759" s="146">
        <f t="shared" si="241"/>
        <v>0</v>
      </c>
      <c r="BB759" s="149">
        <f t="shared" si="256"/>
        <v>19</v>
      </c>
      <c r="BC759" s="150">
        <f t="shared" si="257"/>
        <v>19</v>
      </c>
      <c r="BD759" s="150">
        <f t="shared" si="258"/>
        <v>18</v>
      </c>
      <c r="BE759" s="211" t="str">
        <f t="shared" si="248"/>
        <v/>
      </c>
      <c r="BF759" s="205"/>
      <c r="BG759" s="205"/>
      <c r="BH759" s="173">
        <f>IF(AND(Input_Product=Elig!$C759,Elig_MatchAll_Ct&lt;22,$BC759=(Elig_MatchAll_Ct-1),AF759=0),C759,0)</f>
        <v>0</v>
      </c>
      <c r="BI759" s="173">
        <f>IF(AND(Input_Product=Elig!$C759,Elig_MatchAll_Ct&lt;22,$BC759=(Elig_MatchAll_Ct-1),AG759=0),D759,0)</f>
        <v>0</v>
      </c>
      <c r="BJ759" s="173">
        <f>IF(AND(Input_Product=Elig!$C759,Elig_MatchAll_Ct&lt;22,$BC759=(Elig_MatchAll_Ct-1),AH759=0),E759,0)</f>
        <v>0</v>
      </c>
      <c r="BK759" s="173">
        <f>IF(AND(Input_Product=Elig!$C759,Elig_MatchAll_Ct&lt;22,$BC759=(Elig_MatchAll_Ct-1),AI759=0),F759,0)</f>
        <v>0</v>
      </c>
      <c r="BL759" s="173">
        <f>IF(AND(Input_Product=Elig!$C759,Elig_MatchAll_Ct&lt;22,$BC759=(Elig_MatchAll_Ct-1),AJ759=0),G759,0)</f>
        <v>0</v>
      </c>
      <c r="BM759" s="173">
        <f>IF(AND(Input_Product=Elig!$C759,Elig_MatchAll_Ct&lt;22,$BC759=(Elig_MatchAll_Ct-1),AK759=0),H759,0)</f>
        <v>0</v>
      </c>
      <c r="BN759" s="173">
        <f>IF(AND(Input_Product=Elig!$C759,Elig_MatchAll_Ct&lt;22,$BC759=(Elig_MatchAll_Ct-1),AL759=0),I759,0)</f>
        <v>0</v>
      </c>
      <c r="BO759" s="173">
        <f>IF(AND(Input_Product=Elig!$C759,Elig_MatchAll_Ct&lt;22,$BC759=(Elig_MatchAll_Ct-1),AM759=0),J759,0)</f>
        <v>0</v>
      </c>
      <c r="BP759" s="173">
        <f>IF(AND(Input_Product=Elig!$C759,Elig_MatchAll_Ct&lt;22,$BC759=(Elig_MatchAll_Ct-1),AN759=0),K759,0)</f>
        <v>0</v>
      </c>
      <c r="BQ759" s="173">
        <f>IF(AND(Input_Product=Elig!$C759,Elig_MatchAll_Ct&lt;22,$BC759=(Elig_MatchAll_Ct-1),AP759=0),L759,0)</f>
        <v>0</v>
      </c>
      <c r="BR759" s="173">
        <f>IF(AND(Input_Product=Elig!$C759,Elig_MatchAll_Ct&lt;22,$BC759=(Elig_MatchAll_Ct-1),AO759=0),M759,0)</f>
        <v>0</v>
      </c>
      <c r="BS759" s="173">
        <f>IF(AND(Input_Product=Elig!$C759,Elig_MatchAll_Ct&lt;22,$BC759=(Elig_MatchAll_Ct-1),AQ759=0),N759,0)</f>
        <v>0</v>
      </c>
      <c r="BT759" s="173">
        <f>IF(AND(Input_Product=Elig!$C759,Elig_MatchAll_Ct&lt;22,$BC759=(Elig_MatchAll_Ct-1),AR759=0),O759,0)</f>
        <v>0</v>
      </c>
      <c r="BU759" s="173">
        <f>IF(AND(Input_Product=Elig!$C759,Elig_MatchAll_Ct&lt;22,$BC759=(Elig_MatchAll_Ct-1),AS759=0),P759,0)</f>
        <v>0</v>
      </c>
      <c r="BV759" s="174">
        <f>IF(AND(Input_Product=Elig!$C759,Elig_MatchAll_Ct&lt;22,$BC759=(Elig_MatchAll_Ct-1),AT759=0),Q759,0)</f>
        <v>0</v>
      </c>
      <c r="BW759" s="175">
        <f>IF(AND(Input_Product=Elig!$C759,Elig_MatchAll_Ct&lt;22,$BC759=(Elig_MatchAll_Ct-1),AU759=0),R759,0)</f>
        <v>0</v>
      </c>
      <c r="BX759" s="176">
        <f>IF(AND(Input_Product=Elig!$C759,Elig_MatchAll_Ct&lt;22,$BC759=(Elig_MatchAll_Ct-1),AU759=0),S759,0)</f>
        <v>0</v>
      </c>
      <c r="BY759" s="175">
        <f>IF(AND(Input_Product=Elig!$C759,Elig_MatchAll_Ct&lt;22,$BC759=(Elig_MatchAll_Ct-1),AV759=0),T759,0)</f>
        <v>0</v>
      </c>
      <c r="BZ759" s="176">
        <f>IF(AND(Input_Product=Elig!$C759,Elig_MatchAll_Ct&lt;22,$BC759=(Elig_MatchAll_Ct-1),AV759=0),U759,0)</f>
        <v>0</v>
      </c>
      <c r="CA759" s="175">
        <f>IF(AND(Input_Product=Elig!$C759,Elig_MatchAll_Ct&lt;22,$BC759=(Elig_MatchAll_Ct-1),AW759=0),V759,0)</f>
        <v>0</v>
      </c>
      <c r="CB759" s="176">
        <f>IF(AND(Input_Product=Elig!$C759,Elig_MatchAll_Ct&lt;22,$BC759=(Elig_MatchAll_Ct-1),AW759=0),W759,0)</f>
        <v>0</v>
      </c>
      <c r="CC759" s="175">
        <f>IF(AND(Input_Product=Elig!$C759,Elig_MatchAll_Ct&lt;22,$BC759=(Elig_MatchAll_Ct-1),AX759=0),X759,0)</f>
        <v>0</v>
      </c>
      <c r="CD759" s="176">
        <f>IF(AND(Input_Product=Elig!$C759,Elig_MatchAll_Ct&lt;22,$BC759=(Elig_MatchAll_Ct-1),AX759=0),Y759,0)</f>
        <v>0</v>
      </c>
      <c r="CE759" s="175">
        <f>IF(AND(Input_LTV&lt;=AE759,Input_Product=Elig!$C759,Elig_MatchAll_Ct&lt;22,$BC759=(Elig_MatchAll_Ct-1),AY759=0),Z759,0)</f>
        <v>0</v>
      </c>
      <c r="CF759" s="176">
        <f>IF(AND(Input_LTV&lt;=AE759,Input_Product=Elig!$C759,Elig_MatchAll_Ct&lt;22,$BC759=(Elig_MatchAll_Ct-1),AY759=0),AA759,0)</f>
        <v>0</v>
      </c>
      <c r="CG759" s="175">
        <f>IF(AND(Input_Product=Elig!$C759,Elig_MatchAll_Ct&lt;22,$BC759=(Elig_MatchAll_Ct-1),AZ759=0),AB759,0)</f>
        <v>0</v>
      </c>
      <c r="CH759" s="176">
        <f>IF(AND(Input_Product=Elig!$C759,Elig_MatchAll_Ct&lt;22,$BC759=(Elig_MatchAll_Ct-1),AZ759=0),AC759,0)</f>
        <v>0</v>
      </c>
      <c r="CI759" s="175">
        <f>IF(AND(Input_Product=Elig!$C759,Elig_MatchAll_Ct&lt;22,$BC759=(Elig_MatchAll_Ct-1),BA759=0),AD759,0)</f>
        <v>0</v>
      </c>
      <c r="CJ759" s="176">
        <f>IF(AND(Input_Product=Elig!$C759,Elig_MatchAll_Ct&lt;22,$BC759=(Elig_MatchAll_Ct-1),BA759=0),AE759,0)</f>
        <v>0</v>
      </c>
    </row>
    <row r="760" spans="1:88" ht="10.15" customHeight="1" x14ac:dyDescent="0.25">
      <c r="A760" s="1484" t="s">
        <v>76</v>
      </c>
      <c r="B760" s="1484" t="s">
        <v>2139</v>
      </c>
      <c r="C760" s="1489" t="str">
        <f t="shared" ref="C760:C782" si="259">Input_Name_Product5</f>
        <v>Second NOO</v>
      </c>
      <c r="D760" s="1490" t="s">
        <v>1338</v>
      </c>
      <c r="E760" s="1490" t="s">
        <v>98</v>
      </c>
      <c r="F760" s="1490" t="s">
        <v>329</v>
      </c>
      <c r="G760" s="1490" t="s">
        <v>302</v>
      </c>
      <c r="H760" s="1490" t="s">
        <v>135</v>
      </c>
      <c r="I760" s="1488" t="s">
        <v>1141</v>
      </c>
      <c r="J760" s="1488" t="s">
        <v>1130</v>
      </c>
      <c r="K760" s="1490" t="s">
        <v>2464</v>
      </c>
      <c r="L760" s="1488" t="s">
        <v>428</v>
      </c>
      <c r="M760" s="1488" t="s">
        <v>1835</v>
      </c>
      <c r="N760" s="1490" t="s">
        <v>1844</v>
      </c>
      <c r="O760" s="1488" t="s">
        <v>309</v>
      </c>
      <c r="P760" s="1488" t="s">
        <v>2434</v>
      </c>
      <c r="Q760" s="1488" t="s">
        <v>293</v>
      </c>
      <c r="R760" s="1542">
        <v>500000.01</v>
      </c>
      <c r="S760" s="1542">
        <v>750000</v>
      </c>
      <c r="T760" s="1488">
        <v>0</v>
      </c>
      <c r="U760" s="1488">
        <f t="shared" si="243"/>
        <v>750000</v>
      </c>
      <c r="V760" s="1488">
        <v>0</v>
      </c>
      <c r="W760" s="1488">
        <v>50</v>
      </c>
      <c r="X760" s="1488">
        <v>0</v>
      </c>
      <c r="Y760" s="1488">
        <v>999</v>
      </c>
      <c r="Z760" s="1491">
        <v>720</v>
      </c>
      <c r="AA760" s="1491">
        <v>999</v>
      </c>
      <c r="AB760" s="1491">
        <v>0</v>
      </c>
      <c r="AC760" s="1491">
        <v>999999</v>
      </c>
      <c r="AD760" s="1488">
        <v>0</v>
      </c>
      <c r="AE760" s="1488">
        <v>75</v>
      </c>
      <c r="AF760" s="144">
        <v>1</v>
      </c>
      <c r="AG760" s="145">
        <v>1</v>
      </c>
      <c r="AH760" s="145">
        <v>1</v>
      </c>
      <c r="AI760" s="145">
        <v>1</v>
      </c>
      <c r="AJ760" s="145">
        <v>0</v>
      </c>
      <c r="AK760" s="145">
        <v>1</v>
      </c>
      <c r="AL760" s="145">
        <v>1</v>
      </c>
      <c r="AM760" s="145">
        <v>1</v>
      </c>
      <c r="AN760" s="145">
        <v>1</v>
      </c>
      <c r="AO760" s="145">
        <v>1</v>
      </c>
      <c r="AP760" s="145">
        <v>1</v>
      </c>
      <c r="AQ760" s="145">
        <v>1</v>
      </c>
      <c r="AR760" s="145">
        <v>1</v>
      </c>
      <c r="AS760" s="145">
        <v>1</v>
      </c>
      <c r="AT760" s="145">
        <v>1</v>
      </c>
      <c r="AU760" s="145">
        <f t="shared" si="236"/>
        <v>0</v>
      </c>
      <c r="AV760" s="145">
        <f t="shared" si="237"/>
        <v>1</v>
      </c>
      <c r="AW760" s="145">
        <f t="shared" si="238"/>
        <v>1</v>
      </c>
      <c r="AX760" s="145">
        <f t="shared" si="244"/>
        <v>1</v>
      </c>
      <c r="AY760" s="145">
        <f t="shared" si="239"/>
        <v>1</v>
      </c>
      <c r="AZ760" s="145">
        <f t="shared" si="240"/>
        <v>1</v>
      </c>
      <c r="BA760" s="146">
        <f t="shared" si="241"/>
        <v>1</v>
      </c>
      <c r="BB760" s="149">
        <f t="shared" ref="BB760:BB767" si="260">SUM(AF760:BA760)</f>
        <v>20</v>
      </c>
      <c r="BC760" s="150">
        <f t="shared" ref="BC760:BD767" si="261">SUM(AF760:AZ760)</f>
        <v>19</v>
      </c>
      <c r="BD760" s="150">
        <f t="shared" si="261"/>
        <v>19</v>
      </c>
      <c r="BE760" s="211" t="str">
        <f t="shared" si="248"/>
        <v/>
      </c>
      <c r="BF760" s="194"/>
      <c r="BG760" s="194"/>
      <c r="BH760" s="190">
        <f>IF(AND(Input_Product=Elig!$C760,Elig_MatchAll_Ct&lt;22,$BC760=(Elig_MatchAll_Ct-1),AF760=0),C760,0)</f>
        <v>0</v>
      </c>
      <c r="BI760" s="190">
        <f>IF(AND(Input_Product=Elig!$C760,Elig_MatchAll_Ct&lt;22,$BC760=(Elig_MatchAll_Ct-1),AG760=0),D760,0)</f>
        <v>0</v>
      </c>
      <c r="BJ760" s="190">
        <f>IF(AND(Input_Product=Elig!$C760,Elig_MatchAll_Ct&lt;22,$BC760=(Elig_MatchAll_Ct-1),AH760=0),E760,0)</f>
        <v>0</v>
      </c>
      <c r="BK760" s="190">
        <f>IF(AND(Input_Product=Elig!$C760,Elig_MatchAll_Ct&lt;22,$BC760=(Elig_MatchAll_Ct-1),AI760=0),F760,0)</f>
        <v>0</v>
      </c>
      <c r="BL760" s="190">
        <f>IF(AND(Input_Product=Elig!$C760,Elig_MatchAll_Ct&lt;22,$BC760=(Elig_MatchAll_Ct-1),AJ760=0),G760,0)</f>
        <v>0</v>
      </c>
      <c r="BM760" s="190">
        <f>IF(AND(Input_Product=Elig!$C760,Elig_MatchAll_Ct&lt;22,$BC760=(Elig_MatchAll_Ct-1),AK760=0),H760,0)</f>
        <v>0</v>
      </c>
      <c r="BN760" s="190">
        <f>IF(AND(Input_Product=Elig!$C760,Elig_MatchAll_Ct&lt;22,$BC760=(Elig_MatchAll_Ct-1),AL760=0),I760,0)</f>
        <v>0</v>
      </c>
      <c r="BO760" s="190">
        <f>IF(AND(Input_Product=Elig!$C760,Elig_MatchAll_Ct&lt;22,$BC760=(Elig_MatchAll_Ct-1),AM760=0),J760,0)</f>
        <v>0</v>
      </c>
      <c r="BP760" s="190">
        <f>IF(AND(Input_Product=Elig!$C760,Elig_MatchAll_Ct&lt;22,$BC760=(Elig_MatchAll_Ct-1),AN760=0),K760,0)</f>
        <v>0</v>
      </c>
      <c r="BQ760" s="190">
        <f>IF(AND(Input_Product=Elig!$C760,Elig_MatchAll_Ct&lt;22,$BC760=(Elig_MatchAll_Ct-1),AP760=0),L760,0)</f>
        <v>0</v>
      </c>
      <c r="BR760" s="190">
        <f>IF(AND(Input_Product=Elig!$C760,Elig_MatchAll_Ct&lt;22,$BC760=(Elig_MatchAll_Ct-1),AO760=0),M760,0)</f>
        <v>0</v>
      </c>
      <c r="BS760" s="190">
        <f>IF(AND(Input_Product=Elig!$C760,Elig_MatchAll_Ct&lt;22,$BC760=(Elig_MatchAll_Ct-1),AQ760=0),N760,0)</f>
        <v>0</v>
      </c>
      <c r="BT760" s="190">
        <f>IF(AND(Input_Product=Elig!$C760,Elig_MatchAll_Ct&lt;22,$BC760=(Elig_MatchAll_Ct-1),AR760=0),O760,0)</f>
        <v>0</v>
      </c>
      <c r="BU760" s="190">
        <f>IF(AND(Input_Product=Elig!$C760,Elig_MatchAll_Ct&lt;22,$BC760=(Elig_MatchAll_Ct-1),AS760=0),P760,0)</f>
        <v>0</v>
      </c>
      <c r="BV760" s="191">
        <f>IF(AND(Input_Product=Elig!$C760,Elig_MatchAll_Ct&lt;22,$BC760=(Elig_MatchAll_Ct-1),AT760=0),Q760,0)</f>
        <v>0</v>
      </c>
      <c r="BW760" s="273">
        <f>IF(AND(Input_Product=Elig!$C760,Elig_MatchAll_Ct&lt;22,$BC760=(Elig_MatchAll_Ct-1),AU760=0),R760,0)</f>
        <v>0</v>
      </c>
      <c r="BX760" s="274">
        <f>IF(AND(Input_Product=Elig!$C760,Elig_MatchAll_Ct&lt;22,$BC760=(Elig_MatchAll_Ct-1),AU760=0),S760,0)</f>
        <v>0</v>
      </c>
      <c r="BY760" s="273">
        <f>IF(AND(Input_Product=Elig!$C760,Elig_MatchAll_Ct&lt;22,$BC760=(Elig_MatchAll_Ct-1),AV760=0),T760,0)</f>
        <v>0</v>
      </c>
      <c r="BZ760" s="274">
        <f>IF(AND(Input_Product=Elig!$C760,Elig_MatchAll_Ct&lt;22,$BC760=(Elig_MatchAll_Ct-1),AV760=0),U760,0)</f>
        <v>0</v>
      </c>
      <c r="CA760" s="273">
        <f>IF(AND(Input_Product=Elig!$C760,Elig_MatchAll_Ct&lt;22,$BC760=(Elig_MatchAll_Ct-1),AW760=0),V760,0)</f>
        <v>0</v>
      </c>
      <c r="CB760" s="274">
        <f>IF(AND(Input_Product=Elig!$C760,Elig_MatchAll_Ct&lt;22,$BC760=(Elig_MatchAll_Ct-1),AW760=0),W760,0)</f>
        <v>0</v>
      </c>
      <c r="CC760" s="273">
        <f>IF(AND(Input_Product=Elig!$C760,Elig_MatchAll_Ct&lt;22,$BC760=(Elig_MatchAll_Ct-1),AX760=0),X760,0)</f>
        <v>0</v>
      </c>
      <c r="CD760" s="274">
        <f>IF(AND(Input_Product=Elig!$C760,Elig_MatchAll_Ct&lt;22,$BC760=(Elig_MatchAll_Ct-1),AX760=0),Y760,0)</f>
        <v>0</v>
      </c>
      <c r="CE760" s="273">
        <f>IF(AND(Input_LTV&lt;=AE760,Input_Product=Elig!$C760,Elig_MatchAll_Ct&lt;22,$BC760=(Elig_MatchAll_Ct-1),AY760=0),Z760,0)</f>
        <v>0</v>
      </c>
      <c r="CF760" s="274">
        <f>IF(AND(Input_LTV&lt;=AE760,Input_Product=Elig!$C760,Elig_MatchAll_Ct&lt;22,$BC760=(Elig_MatchAll_Ct-1),AY760=0),AA760,0)</f>
        <v>0</v>
      </c>
      <c r="CG760" s="273">
        <f>IF(AND(Input_Product=Elig!$C760,Elig_MatchAll_Ct&lt;22,$BC760=(Elig_MatchAll_Ct-1),AZ760=0),AB760,0)</f>
        <v>0</v>
      </c>
      <c r="CH760" s="274">
        <f>IF(AND(Input_Product=Elig!$C760,Elig_MatchAll_Ct&lt;22,$BC760=(Elig_MatchAll_Ct-1),AZ760=0),AC760,0)</f>
        <v>0</v>
      </c>
      <c r="CI760" s="273">
        <f>IF(AND(Input_Product=Elig!$C760,Elig_MatchAll_Ct&lt;22,$BC760=(Elig_MatchAll_Ct-1),BA760=0),AD760,0)</f>
        <v>0</v>
      </c>
      <c r="CJ760" s="274">
        <f>IF(AND(Input_Product=Elig!$C760,Elig_MatchAll_Ct&lt;22,$BC760=(Elig_MatchAll_Ct-1),BA760=0),AE760,0)</f>
        <v>0</v>
      </c>
    </row>
    <row r="761" spans="1:88" ht="10.15" customHeight="1" x14ac:dyDescent="0.25">
      <c r="A761" s="1484" t="s">
        <v>76</v>
      </c>
      <c r="B761" s="1484" t="s">
        <v>2140</v>
      </c>
      <c r="C761" s="1485" t="str">
        <f t="shared" si="259"/>
        <v>Second NOO</v>
      </c>
      <c r="D761" s="1484" t="s">
        <v>1338</v>
      </c>
      <c r="E761" s="1484" t="s">
        <v>98</v>
      </c>
      <c r="F761" s="1484" t="s">
        <v>329</v>
      </c>
      <c r="G761" s="1486" t="s">
        <v>302</v>
      </c>
      <c r="H761" s="1486" t="s">
        <v>135</v>
      </c>
      <c r="I761" s="1484" t="s">
        <v>1141</v>
      </c>
      <c r="J761" s="1484" t="s">
        <v>1130</v>
      </c>
      <c r="K761" s="1486" t="s">
        <v>2464</v>
      </c>
      <c r="L761" s="1484" t="s">
        <v>428</v>
      </c>
      <c r="M761" s="1484" t="s">
        <v>1835</v>
      </c>
      <c r="N761" s="1486" t="s">
        <v>1844</v>
      </c>
      <c r="O761" s="1484" t="s">
        <v>309</v>
      </c>
      <c r="P761" s="1484" t="s">
        <v>2434</v>
      </c>
      <c r="Q761" s="1484" t="s">
        <v>293</v>
      </c>
      <c r="R761" s="1543">
        <v>500000.01</v>
      </c>
      <c r="S761" s="1543">
        <v>750000</v>
      </c>
      <c r="T761" s="1484">
        <v>0</v>
      </c>
      <c r="U761" s="1484">
        <f t="shared" si="243"/>
        <v>750000</v>
      </c>
      <c r="V761" s="1484">
        <v>0</v>
      </c>
      <c r="W761" s="1484">
        <v>50</v>
      </c>
      <c r="X761" s="1484">
        <v>0</v>
      </c>
      <c r="Y761" s="1484">
        <v>999</v>
      </c>
      <c r="Z761" s="1487">
        <v>700</v>
      </c>
      <c r="AA761" s="1487">
        <v>719</v>
      </c>
      <c r="AB761" s="1487">
        <v>0</v>
      </c>
      <c r="AC761" s="1487">
        <v>999999</v>
      </c>
      <c r="AD761" s="1484">
        <v>0</v>
      </c>
      <c r="AE761" s="1484">
        <v>70</v>
      </c>
      <c r="AF761" s="144">
        <v>1</v>
      </c>
      <c r="AG761" s="145">
        <v>1</v>
      </c>
      <c r="AH761" s="145">
        <v>1</v>
      </c>
      <c r="AI761" s="145">
        <v>1</v>
      </c>
      <c r="AJ761" s="145">
        <v>0</v>
      </c>
      <c r="AK761" s="145">
        <v>1</v>
      </c>
      <c r="AL761" s="145">
        <v>1</v>
      </c>
      <c r="AM761" s="145">
        <v>1</v>
      </c>
      <c r="AN761" s="145">
        <v>1</v>
      </c>
      <c r="AO761" s="145">
        <v>1</v>
      </c>
      <c r="AP761" s="145">
        <v>1</v>
      </c>
      <c r="AQ761" s="145">
        <v>1</v>
      </c>
      <c r="AR761" s="145">
        <v>1</v>
      </c>
      <c r="AS761" s="145">
        <v>1</v>
      </c>
      <c r="AT761" s="145">
        <v>1</v>
      </c>
      <c r="AU761" s="145">
        <f t="shared" si="236"/>
        <v>0</v>
      </c>
      <c r="AV761" s="145">
        <f t="shared" si="237"/>
        <v>1</v>
      </c>
      <c r="AW761" s="145">
        <f t="shared" si="238"/>
        <v>1</v>
      </c>
      <c r="AX761" s="145">
        <f t="shared" si="244"/>
        <v>1</v>
      </c>
      <c r="AY761" s="145">
        <f t="shared" si="239"/>
        <v>0</v>
      </c>
      <c r="AZ761" s="145">
        <f t="shared" si="240"/>
        <v>1</v>
      </c>
      <c r="BA761" s="146">
        <f t="shared" si="241"/>
        <v>1</v>
      </c>
      <c r="BB761" s="149">
        <f t="shared" si="260"/>
        <v>19</v>
      </c>
      <c r="BC761" s="150">
        <f t="shared" si="261"/>
        <v>18</v>
      </c>
      <c r="BD761" s="150">
        <f t="shared" si="261"/>
        <v>18</v>
      </c>
      <c r="BE761" s="211" t="str">
        <f t="shared" si="248"/>
        <v/>
      </c>
      <c r="BF761" s="205"/>
      <c r="BG761" s="205"/>
      <c r="BH761" s="173">
        <f>IF(AND(Input_Product=Elig!$C761,Elig_MatchAll_Ct&lt;22,$BC761=(Elig_MatchAll_Ct-1),AF761=0),C761,0)</f>
        <v>0</v>
      </c>
      <c r="BI761" s="173">
        <f>IF(AND(Input_Product=Elig!$C761,Elig_MatchAll_Ct&lt;22,$BC761=(Elig_MatchAll_Ct-1),AG761=0),D761,0)</f>
        <v>0</v>
      </c>
      <c r="BJ761" s="173">
        <f>IF(AND(Input_Product=Elig!$C761,Elig_MatchAll_Ct&lt;22,$BC761=(Elig_MatchAll_Ct-1),AH761=0),E761,0)</f>
        <v>0</v>
      </c>
      <c r="BK761" s="173">
        <f>IF(AND(Input_Product=Elig!$C761,Elig_MatchAll_Ct&lt;22,$BC761=(Elig_MatchAll_Ct-1),AI761=0),F761,0)</f>
        <v>0</v>
      </c>
      <c r="BL761" s="173">
        <f>IF(AND(Input_Product=Elig!$C761,Elig_MatchAll_Ct&lt;22,$BC761=(Elig_MatchAll_Ct-1),AJ761=0),G761,0)</f>
        <v>0</v>
      </c>
      <c r="BM761" s="173">
        <f>IF(AND(Input_Product=Elig!$C761,Elig_MatchAll_Ct&lt;22,$BC761=(Elig_MatchAll_Ct-1),AK761=0),H761,0)</f>
        <v>0</v>
      </c>
      <c r="BN761" s="173">
        <f>IF(AND(Input_Product=Elig!$C761,Elig_MatchAll_Ct&lt;22,$BC761=(Elig_MatchAll_Ct-1),AL761=0),I761,0)</f>
        <v>0</v>
      </c>
      <c r="BO761" s="173">
        <f>IF(AND(Input_Product=Elig!$C761,Elig_MatchAll_Ct&lt;22,$BC761=(Elig_MatchAll_Ct-1),AM761=0),J761,0)</f>
        <v>0</v>
      </c>
      <c r="BP761" s="173">
        <f>IF(AND(Input_Product=Elig!$C761,Elig_MatchAll_Ct&lt;22,$BC761=(Elig_MatchAll_Ct-1),AN761=0),K761,0)</f>
        <v>0</v>
      </c>
      <c r="BQ761" s="173">
        <f>IF(AND(Input_Product=Elig!$C761,Elig_MatchAll_Ct&lt;22,$BC761=(Elig_MatchAll_Ct-1),AP761=0),L761,0)</f>
        <v>0</v>
      </c>
      <c r="BR761" s="173">
        <f>IF(AND(Input_Product=Elig!$C761,Elig_MatchAll_Ct&lt;22,$BC761=(Elig_MatchAll_Ct-1),AO761=0),M761,0)</f>
        <v>0</v>
      </c>
      <c r="BS761" s="173">
        <f>IF(AND(Input_Product=Elig!$C761,Elig_MatchAll_Ct&lt;22,$BC761=(Elig_MatchAll_Ct-1),AQ761=0),N761,0)</f>
        <v>0</v>
      </c>
      <c r="BT761" s="173">
        <f>IF(AND(Input_Product=Elig!$C761,Elig_MatchAll_Ct&lt;22,$BC761=(Elig_MatchAll_Ct-1),AR761=0),O761,0)</f>
        <v>0</v>
      </c>
      <c r="BU761" s="173">
        <f>IF(AND(Input_Product=Elig!$C761,Elig_MatchAll_Ct&lt;22,$BC761=(Elig_MatchAll_Ct-1),AS761=0),P761,0)</f>
        <v>0</v>
      </c>
      <c r="BV761" s="174">
        <f>IF(AND(Input_Product=Elig!$C761,Elig_MatchAll_Ct&lt;22,$BC761=(Elig_MatchAll_Ct-1),AT761=0),Q761,0)</f>
        <v>0</v>
      </c>
      <c r="BW761" s="175">
        <f>IF(AND(Input_Product=Elig!$C761,Elig_MatchAll_Ct&lt;22,$BC761=(Elig_MatchAll_Ct-1),AU761=0),R761,0)</f>
        <v>0</v>
      </c>
      <c r="BX761" s="176">
        <f>IF(AND(Input_Product=Elig!$C761,Elig_MatchAll_Ct&lt;22,$BC761=(Elig_MatchAll_Ct-1),AU761=0),S761,0)</f>
        <v>0</v>
      </c>
      <c r="BY761" s="175">
        <f>IF(AND(Input_Product=Elig!$C761,Elig_MatchAll_Ct&lt;22,$BC761=(Elig_MatchAll_Ct-1),AV761=0),T761,0)</f>
        <v>0</v>
      </c>
      <c r="BZ761" s="176">
        <f>IF(AND(Input_Product=Elig!$C761,Elig_MatchAll_Ct&lt;22,$BC761=(Elig_MatchAll_Ct-1),AV761=0),U761,0)</f>
        <v>0</v>
      </c>
      <c r="CA761" s="175">
        <f>IF(AND(Input_Product=Elig!$C761,Elig_MatchAll_Ct&lt;22,$BC761=(Elig_MatchAll_Ct-1),AW761=0),V761,0)</f>
        <v>0</v>
      </c>
      <c r="CB761" s="176">
        <f>IF(AND(Input_Product=Elig!$C761,Elig_MatchAll_Ct&lt;22,$BC761=(Elig_MatchAll_Ct-1),AW761=0),W761,0)</f>
        <v>0</v>
      </c>
      <c r="CC761" s="175">
        <f>IF(AND(Input_Product=Elig!$C761,Elig_MatchAll_Ct&lt;22,$BC761=(Elig_MatchAll_Ct-1),AX761=0),X761,0)</f>
        <v>0</v>
      </c>
      <c r="CD761" s="176">
        <f>IF(AND(Input_Product=Elig!$C761,Elig_MatchAll_Ct&lt;22,$BC761=(Elig_MatchAll_Ct-1),AX761=0),Y761,0)</f>
        <v>0</v>
      </c>
      <c r="CE761" s="175">
        <f>IF(AND(Input_LTV&lt;=AE761,Input_Product=Elig!$C761,Elig_MatchAll_Ct&lt;22,$BC761=(Elig_MatchAll_Ct-1),AY761=0),Z761,0)</f>
        <v>0</v>
      </c>
      <c r="CF761" s="176">
        <f>IF(AND(Input_LTV&lt;=AE761,Input_Product=Elig!$C761,Elig_MatchAll_Ct&lt;22,$BC761=(Elig_MatchAll_Ct-1),AY761=0),AA761,0)</f>
        <v>0</v>
      </c>
      <c r="CG761" s="175">
        <f>IF(AND(Input_Product=Elig!$C761,Elig_MatchAll_Ct&lt;22,$BC761=(Elig_MatchAll_Ct-1),AZ761=0),AB761,0)</f>
        <v>0</v>
      </c>
      <c r="CH761" s="176">
        <f>IF(AND(Input_Product=Elig!$C761,Elig_MatchAll_Ct&lt;22,$BC761=(Elig_MatchAll_Ct-1),AZ761=0),AC761,0)</f>
        <v>0</v>
      </c>
      <c r="CI761" s="175">
        <f>IF(AND(Input_Product=Elig!$C761,Elig_MatchAll_Ct&lt;22,$BC761=(Elig_MatchAll_Ct-1),BA761=0),AD761,0)</f>
        <v>0</v>
      </c>
      <c r="CJ761" s="176">
        <f>IF(AND(Input_Product=Elig!$C761,Elig_MatchAll_Ct&lt;22,$BC761=(Elig_MatchAll_Ct-1),BA761=0),AE761,0)</f>
        <v>0</v>
      </c>
    </row>
    <row r="762" spans="1:88" ht="10.15" customHeight="1" x14ac:dyDescent="0.25">
      <c r="A762" s="1484" t="s">
        <v>76</v>
      </c>
      <c r="B762" s="1484" t="s">
        <v>2141</v>
      </c>
      <c r="C762" s="1485" t="str">
        <f t="shared" si="259"/>
        <v>Second NOO</v>
      </c>
      <c r="D762" s="1484" t="s">
        <v>1338</v>
      </c>
      <c r="E762" s="1484" t="s">
        <v>98</v>
      </c>
      <c r="F762" s="1484" t="s">
        <v>329</v>
      </c>
      <c r="G762" s="1486" t="s">
        <v>302</v>
      </c>
      <c r="H762" s="1486" t="s">
        <v>135</v>
      </c>
      <c r="I762" s="1484" t="s">
        <v>1141</v>
      </c>
      <c r="J762" s="1484" t="s">
        <v>1130</v>
      </c>
      <c r="K762" s="1486" t="s">
        <v>2464</v>
      </c>
      <c r="L762" s="1484" t="s">
        <v>428</v>
      </c>
      <c r="M762" s="1484" t="s">
        <v>1835</v>
      </c>
      <c r="N762" s="1486" t="s">
        <v>1844</v>
      </c>
      <c r="O762" s="1484" t="s">
        <v>309</v>
      </c>
      <c r="P762" s="1484" t="s">
        <v>2434</v>
      </c>
      <c r="Q762" s="1484" t="s">
        <v>293</v>
      </c>
      <c r="R762" s="1543">
        <v>500000.01</v>
      </c>
      <c r="S762" s="1543">
        <v>750000</v>
      </c>
      <c r="T762" s="1484">
        <v>0</v>
      </c>
      <c r="U762" s="1484">
        <f t="shared" si="243"/>
        <v>750000</v>
      </c>
      <c r="V762" s="1484">
        <v>0</v>
      </c>
      <c r="W762" s="1484">
        <v>50</v>
      </c>
      <c r="X762" s="1484">
        <v>0</v>
      </c>
      <c r="Y762" s="1484">
        <v>999</v>
      </c>
      <c r="Z762" s="1487">
        <v>680</v>
      </c>
      <c r="AA762" s="1487">
        <v>699</v>
      </c>
      <c r="AB762" s="1487">
        <v>0</v>
      </c>
      <c r="AC762" s="1487">
        <v>999999</v>
      </c>
      <c r="AD762" s="1484">
        <v>0</v>
      </c>
      <c r="AE762" s="1484">
        <v>65</v>
      </c>
      <c r="AF762" s="144">
        <v>1</v>
      </c>
      <c r="AG762" s="145">
        <v>1</v>
      </c>
      <c r="AH762" s="145">
        <v>1</v>
      </c>
      <c r="AI762" s="145">
        <v>1</v>
      </c>
      <c r="AJ762" s="145">
        <v>0</v>
      </c>
      <c r="AK762" s="145">
        <v>1</v>
      </c>
      <c r="AL762" s="145">
        <v>1</v>
      </c>
      <c r="AM762" s="145">
        <v>1</v>
      </c>
      <c r="AN762" s="145">
        <v>1</v>
      </c>
      <c r="AO762" s="145">
        <v>1</v>
      </c>
      <c r="AP762" s="145">
        <v>1</v>
      </c>
      <c r="AQ762" s="145">
        <v>1</v>
      </c>
      <c r="AR762" s="145">
        <v>1</v>
      </c>
      <c r="AS762" s="145">
        <v>1</v>
      </c>
      <c r="AT762" s="145">
        <v>1</v>
      </c>
      <c r="AU762" s="145">
        <f t="shared" si="236"/>
        <v>0</v>
      </c>
      <c r="AV762" s="145">
        <f t="shared" si="237"/>
        <v>1</v>
      </c>
      <c r="AW762" s="145">
        <f t="shared" si="238"/>
        <v>1</v>
      </c>
      <c r="AX762" s="145">
        <f t="shared" si="244"/>
        <v>1</v>
      </c>
      <c r="AY762" s="145">
        <f t="shared" si="239"/>
        <v>0</v>
      </c>
      <c r="AZ762" s="145">
        <f t="shared" si="240"/>
        <v>1</v>
      </c>
      <c r="BA762" s="146">
        <f t="shared" si="241"/>
        <v>0</v>
      </c>
      <c r="BB762" s="149">
        <f t="shared" si="260"/>
        <v>18</v>
      </c>
      <c r="BC762" s="150">
        <f t="shared" si="261"/>
        <v>18</v>
      </c>
      <c r="BD762" s="150">
        <f t="shared" si="261"/>
        <v>17</v>
      </c>
      <c r="BE762" s="211" t="str">
        <f t="shared" si="248"/>
        <v/>
      </c>
      <c r="BF762" s="205"/>
      <c r="BG762" s="205"/>
      <c r="BH762" s="173">
        <f>IF(AND(Input_Product=Elig!$C762,Elig_MatchAll_Ct&lt;22,$BC762=(Elig_MatchAll_Ct-1),AF762=0),C762,0)</f>
        <v>0</v>
      </c>
      <c r="BI762" s="173">
        <f>IF(AND(Input_Product=Elig!$C762,Elig_MatchAll_Ct&lt;22,$BC762=(Elig_MatchAll_Ct-1),AG762=0),D762,0)</f>
        <v>0</v>
      </c>
      <c r="BJ762" s="173">
        <f>IF(AND(Input_Product=Elig!$C762,Elig_MatchAll_Ct&lt;22,$BC762=(Elig_MatchAll_Ct-1),AH762=0),E762,0)</f>
        <v>0</v>
      </c>
      <c r="BK762" s="173">
        <f>IF(AND(Input_Product=Elig!$C762,Elig_MatchAll_Ct&lt;22,$BC762=(Elig_MatchAll_Ct-1),AI762=0),F762,0)</f>
        <v>0</v>
      </c>
      <c r="BL762" s="173">
        <f>IF(AND(Input_Product=Elig!$C762,Elig_MatchAll_Ct&lt;22,$BC762=(Elig_MatchAll_Ct-1),AJ762=0),G762,0)</f>
        <v>0</v>
      </c>
      <c r="BM762" s="173">
        <f>IF(AND(Input_Product=Elig!$C762,Elig_MatchAll_Ct&lt;22,$BC762=(Elig_MatchAll_Ct-1),AK762=0),H762,0)</f>
        <v>0</v>
      </c>
      <c r="BN762" s="173">
        <f>IF(AND(Input_Product=Elig!$C762,Elig_MatchAll_Ct&lt;22,$BC762=(Elig_MatchAll_Ct-1),AL762=0),I762,0)</f>
        <v>0</v>
      </c>
      <c r="BO762" s="173">
        <f>IF(AND(Input_Product=Elig!$C762,Elig_MatchAll_Ct&lt;22,$BC762=(Elig_MatchAll_Ct-1),AM762=0),J762,0)</f>
        <v>0</v>
      </c>
      <c r="BP762" s="173">
        <f>IF(AND(Input_Product=Elig!$C762,Elig_MatchAll_Ct&lt;22,$BC762=(Elig_MatchAll_Ct-1),AN762=0),K762,0)</f>
        <v>0</v>
      </c>
      <c r="BQ762" s="173">
        <f>IF(AND(Input_Product=Elig!$C762,Elig_MatchAll_Ct&lt;22,$BC762=(Elig_MatchAll_Ct-1),AP762=0),L762,0)</f>
        <v>0</v>
      </c>
      <c r="BR762" s="173">
        <f>IF(AND(Input_Product=Elig!$C762,Elig_MatchAll_Ct&lt;22,$BC762=(Elig_MatchAll_Ct-1),AO762=0),M762,0)</f>
        <v>0</v>
      </c>
      <c r="BS762" s="173">
        <f>IF(AND(Input_Product=Elig!$C762,Elig_MatchAll_Ct&lt;22,$BC762=(Elig_MatchAll_Ct-1),AQ762=0),N762,0)</f>
        <v>0</v>
      </c>
      <c r="BT762" s="173">
        <f>IF(AND(Input_Product=Elig!$C762,Elig_MatchAll_Ct&lt;22,$BC762=(Elig_MatchAll_Ct-1),AR762=0),O762,0)</f>
        <v>0</v>
      </c>
      <c r="BU762" s="173">
        <f>IF(AND(Input_Product=Elig!$C762,Elig_MatchAll_Ct&lt;22,$BC762=(Elig_MatchAll_Ct-1),AS762=0),P762,0)</f>
        <v>0</v>
      </c>
      <c r="BV762" s="174">
        <f>IF(AND(Input_Product=Elig!$C762,Elig_MatchAll_Ct&lt;22,$BC762=(Elig_MatchAll_Ct-1),AT762=0),Q762,0)</f>
        <v>0</v>
      </c>
      <c r="BW762" s="175">
        <f>IF(AND(Input_Product=Elig!$C762,Elig_MatchAll_Ct&lt;22,$BC762=(Elig_MatchAll_Ct-1),AU762=0),R762,0)</f>
        <v>0</v>
      </c>
      <c r="BX762" s="176">
        <f>IF(AND(Input_Product=Elig!$C762,Elig_MatchAll_Ct&lt;22,$BC762=(Elig_MatchAll_Ct-1),AU762=0),S762,0)</f>
        <v>0</v>
      </c>
      <c r="BY762" s="175">
        <f>IF(AND(Input_Product=Elig!$C762,Elig_MatchAll_Ct&lt;22,$BC762=(Elig_MatchAll_Ct-1),AV762=0),T762,0)</f>
        <v>0</v>
      </c>
      <c r="BZ762" s="176">
        <f>IF(AND(Input_Product=Elig!$C762,Elig_MatchAll_Ct&lt;22,$BC762=(Elig_MatchAll_Ct-1),AV762=0),U762,0)</f>
        <v>0</v>
      </c>
      <c r="CA762" s="175">
        <f>IF(AND(Input_Product=Elig!$C762,Elig_MatchAll_Ct&lt;22,$BC762=(Elig_MatchAll_Ct-1),AW762=0),V762,0)</f>
        <v>0</v>
      </c>
      <c r="CB762" s="176">
        <f>IF(AND(Input_Product=Elig!$C762,Elig_MatchAll_Ct&lt;22,$BC762=(Elig_MatchAll_Ct-1),AW762=0),W762,0)</f>
        <v>0</v>
      </c>
      <c r="CC762" s="175">
        <f>IF(AND(Input_Product=Elig!$C762,Elig_MatchAll_Ct&lt;22,$BC762=(Elig_MatchAll_Ct-1),AX762=0),X762,0)</f>
        <v>0</v>
      </c>
      <c r="CD762" s="176">
        <f>IF(AND(Input_Product=Elig!$C762,Elig_MatchAll_Ct&lt;22,$BC762=(Elig_MatchAll_Ct-1),AX762=0),Y762,0)</f>
        <v>0</v>
      </c>
      <c r="CE762" s="175">
        <f>IF(AND(Input_LTV&lt;=AE762,Input_Product=Elig!$C762,Elig_MatchAll_Ct&lt;22,$BC762=(Elig_MatchAll_Ct-1),AY762=0),Z762,0)</f>
        <v>0</v>
      </c>
      <c r="CF762" s="176">
        <f>IF(AND(Input_LTV&lt;=AE762,Input_Product=Elig!$C762,Elig_MatchAll_Ct&lt;22,$BC762=(Elig_MatchAll_Ct-1),AY762=0),AA762,0)</f>
        <v>0</v>
      </c>
      <c r="CG762" s="175">
        <f>IF(AND(Input_Product=Elig!$C762,Elig_MatchAll_Ct&lt;22,$BC762=(Elig_MatchAll_Ct-1),AZ762=0),AB762,0)</f>
        <v>0</v>
      </c>
      <c r="CH762" s="176">
        <f>IF(AND(Input_Product=Elig!$C762,Elig_MatchAll_Ct&lt;22,$BC762=(Elig_MatchAll_Ct-1),AZ762=0),AC762,0)</f>
        <v>0</v>
      </c>
      <c r="CI762" s="175">
        <f>IF(AND(Input_Product=Elig!$C762,Elig_MatchAll_Ct&lt;22,$BC762=(Elig_MatchAll_Ct-1),BA762=0),AD762,0)</f>
        <v>0</v>
      </c>
      <c r="CJ762" s="176">
        <f>IF(AND(Input_Product=Elig!$C762,Elig_MatchAll_Ct&lt;22,$BC762=(Elig_MatchAll_Ct-1),BA762=0),AE762,0)</f>
        <v>0</v>
      </c>
    </row>
    <row r="763" spans="1:88" ht="10.15" customHeight="1" x14ac:dyDescent="0.25">
      <c r="A763" s="1484" t="s">
        <v>76</v>
      </c>
      <c r="B763" s="1484" t="s">
        <v>2142</v>
      </c>
      <c r="C763" s="1485" t="str">
        <f t="shared" si="259"/>
        <v>Second NOO</v>
      </c>
      <c r="D763" s="1484" t="s">
        <v>1338</v>
      </c>
      <c r="E763" s="1484" t="s">
        <v>98</v>
      </c>
      <c r="F763" s="1484" t="s">
        <v>329</v>
      </c>
      <c r="G763" s="1486" t="s">
        <v>302</v>
      </c>
      <c r="H763" s="1486" t="s">
        <v>135</v>
      </c>
      <c r="I763" s="1484" t="s">
        <v>1141</v>
      </c>
      <c r="J763" s="1484" t="s">
        <v>1130</v>
      </c>
      <c r="K763" s="1486" t="s">
        <v>2464</v>
      </c>
      <c r="L763" s="1484" t="s">
        <v>428</v>
      </c>
      <c r="M763" s="1484" t="s">
        <v>1835</v>
      </c>
      <c r="N763" s="1486" t="s">
        <v>1844</v>
      </c>
      <c r="O763" s="1484" t="s">
        <v>309</v>
      </c>
      <c r="P763" s="1484" t="s">
        <v>2434</v>
      </c>
      <c r="Q763" s="1484" t="s">
        <v>293</v>
      </c>
      <c r="R763" s="1543">
        <v>500000.01</v>
      </c>
      <c r="S763" s="1543">
        <v>750000</v>
      </c>
      <c r="T763" s="1484">
        <v>0</v>
      </c>
      <c r="U763" s="1484">
        <f t="shared" si="243"/>
        <v>750000</v>
      </c>
      <c r="V763" s="1484">
        <v>0</v>
      </c>
      <c r="W763" s="1484">
        <v>50</v>
      </c>
      <c r="X763" s="1484">
        <v>0</v>
      </c>
      <c r="Y763" s="1484">
        <v>999</v>
      </c>
      <c r="Z763" s="1487">
        <v>660</v>
      </c>
      <c r="AA763" s="1487">
        <v>679</v>
      </c>
      <c r="AB763" s="1487">
        <v>0</v>
      </c>
      <c r="AC763" s="1487">
        <v>999999</v>
      </c>
      <c r="AD763" s="1484">
        <v>0</v>
      </c>
      <c r="AE763" s="1484">
        <v>60</v>
      </c>
      <c r="AF763" s="144">
        <v>1</v>
      </c>
      <c r="AG763" s="145">
        <v>1</v>
      </c>
      <c r="AH763" s="145">
        <v>1</v>
      </c>
      <c r="AI763" s="145">
        <v>1</v>
      </c>
      <c r="AJ763" s="145">
        <v>0</v>
      </c>
      <c r="AK763" s="145">
        <v>1</v>
      </c>
      <c r="AL763" s="145">
        <v>1</v>
      </c>
      <c r="AM763" s="145">
        <v>1</v>
      </c>
      <c r="AN763" s="145">
        <v>1</v>
      </c>
      <c r="AO763" s="145">
        <v>1</v>
      </c>
      <c r="AP763" s="145">
        <v>1</v>
      </c>
      <c r="AQ763" s="145">
        <v>1</v>
      </c>
      <c r="AR763" s="145">
        <v>1</v>
      </c>
      <c r="AS763" s="145">
        <v>1</v>
      </c>
      <c r="AT763" s="145">
        <v>1</v>
      </c>
      <c r="AU763" s="145">
        <f t="shared" si="236"/>
        <v>0</v>
      </c>
      <c r="AV763" s="145">
        <f t="shared" si="237"/>
        <v>1</v>
      </c>
      <c r="AW763" s="145">
        <f t="shared" si="238"/>
        <v>1</v>
      </c>
      <c r="AX763" s="145">
        <f t="shared" si="244"/>
        <v>1</v>
      </c>
      <c r="AY763" s="145">
        <f t="shared" si="239"/>
        <v>0</v>
      </c>
      <c r="AZ763" s="145">
        <f t="shared" si="240"/>
        <v>1</v>
      </c>
      <c r="BA763" s="146">
        <f t="shared" si="241"/>
        <v>0</v>
      </c>
      <c r="BB763" s="149">
        <f t="shared" si="260"/>
        <v>18</v>
      </c>
      <c r="BC763" s="150">
        <f t="shared" si="261"/>
        <v>18</v>
      </c>
      <c r="BD763" s="150">
        <f t="shared" si="261"/>
        <v>17</v>
      </c>
      <c r="BE763" s="211" t="str">
        <f t="shared" ref="BE763:BE782" si="262">IF(BD763=21,C763,"")</f>
        <v/>
      </c>
      <c r="BF763" s="205"/>
      <c r="BG763" s="205"/>
      <c r="BH763" s="188">
        <f>IF(AND(Input_Product=Elig!$C763,Elig_MatchAll_Ct&lt;22,$BC763=(Elig_MatchAll_Ct-1),AF763=0),C763,0)</f>
        <v>0</v>
      </c>
      <c r="BI763" s="188">
        <f>IF(AND(Input_Product=Elig!$C763,Elig_MatchAll_Ct&lt;22,$BC763=(Elig_MatchAll_Ct-1),AG763=0),D763,0)</f>
        <v>0</v>
      </c>
      <c r="BJ763" s="188">
        <f>IF(AND(Input_Product=Elig!$C763,Elig_MatchAll_Ct&lt;22,$BC763=(Elig_MatchAll_Ct-1),AH763=0),E763,0)</f>
        <v>0</v>
      </c>
      <c r="BK763" s="188">
        <f>IF(AND(Input_Product=Elig!$C763,Elig_MatchAll_Ct&lt;22,$BC763=(Elig_MatchAll_Ct-1),AI763=0),F763,0)</f>
        <v>0</v>
      </c>
      <c r="BL763" s="188">
        <f>IF(AND(Input_Product=Elig!$C763,Elig_MatchAll_Ct&lt;22,$BC763=(Elig_MatchAll_Ct-1),AJ763=0),G763,0)</f>
        <v>0</v>
      </c>
      <c r="BM763" s="188">
        <f>IF(AND(Input_Product=Elig!$C763,Elig_MatchAll_Ct&lt;22,$BC763=(Elig_MatchAll_Ct-1),AK763=0),H763,0)</f>
        <v>0</v>
      </c>
      <c r="BN763" s="188">
        <f>IF(AND(Input_Product=Elig!$C763,Elig_MatchAll_Ct&lt;22,$BC763=(Elig_MatchAll_Ct-1),AL763=0),I763,0)</f>
        <v>0</v>
      </c>
      <c r="BO763" s="188">
        <f>IF(AND(Input_Product=Elig!$C763,Elig_MatchAll_Ct&lt;22,$BC763=(Elig_MatchAll_Ct-1),AM763=0),J763,0)</f>
        <v>0</v>
      </c>
      <c r="BP763" s="188">
        <f>IF(AND(Input_Product=Elig!$C763,Elig_MatchAll_Ct&lt;22,$BC763=(Elig_MatchAll_Ct-1),AN763=0),K763,0)</f>
        <v>0</v>
      </c>
      <c r="BQ763" s="188">
        <f>IF(AND(Input_Product=Elig!$C763,Elig_MatchAll_Ct&lt;22,$BC763=(Elig_MatchAll_Ct-1),AP763=0),L763,0)</f>
        <v>0</v>
      </c>
      <c r="BR763" s="188">
        <f>IF(AND(Input_Product=Elig!$C763,Elig_MatchAll_Ct&lt;22,$BC763=(Elig_MatchAll_Ct-1),AO763=0),M763,0)</f>
        <v>0</v>
      </c>
      <c r="BS763" s="188">
        <f>IF(AND(Input_Product=Elig!$C763,Elig_MatchAll_Ct&lt;22,$BC763=(Elig_MatchAll_Ct-1),AQ763=0),N763,0)</f>
        <v>0</v>
      </c>
      <c r="BT763" s="188">
        <f>IF(AND(Input_Product=Elig!$C763,Elig_MatchAll_Ct&lt;22,$BC763=(Elig_MatchAll_Ct-1),AR763=0),O763,0)</f>
        <v>0</v>
      </c>
      <c r="BU763" s="188">
        <f>IF(AND(Input_Product=Elig!$C763,Elig_MatchAll_Ct&lt;22,$BC763=(Elig_MatchAll_Ct-1),AS763=0),P763,0)</f>
        <v>0</v>
      </c>
      <c r="BV763" s="189">
        <f>IF(AND(Input_Product=Elig!$C763,Elig_MatchAll_Ct&lt;22,$BC763=(Elig_MatchAll_Ct-1),AT763=0),Q763,0)</f>
        <v>0</v>
      </c>
      <c r="BW763" s="271">
        <f>IF(AND(Input_Product=Elig!$C763,Elig_MatchAll_Ct&lt;22,$BC763=(Elig_MatchAll_Ct-1),AU763=0),R763,0)</f>
        <v>0</v>
      </c>
      <c r="BX763" s="272">
        <f>IF(AND(Input_Product=Elig!$C763,Elig_MatchAll_Ct&lt;22,$BC763=(Elig_MatchAll_Ct-1),AU763=0),S763,0)</f>
        <v>0</v>
      </c>
      <c r="BY763" s="271">
        <f>IF(AND(Input_Product=Elig!$C763,Elig_MatchAll_Ct&lt;22,$BC763=(Elig_MatchAll_Ct-1),AV763=0),T763,0)</f>
        <v>0</v>
      </c>
      <c r="BZ763" s="272">
        <f>IF(AND(Input_Product=Elig!$C763,Elig_MatchAll_Ct&lt;22,$BC763=(Elig_MatchAll_Ct-1),AV763=0),U763,0)</f>
        <v>0</v>
      </c>
      <c r="CA763" s="271">
        <f>IF(AND(Input_Product=Elig!$C763,Elig_MatchAll_Ct&lt;22,$BC763=(Elig_MatchAll_Ct-1),AW763=0),V763,0)</f>
        <v>0</v>
      </c>
      <c r="CB763" s="272">
        <f>IF(AND(Input_Product=Elig!$C763,Elig_MatchAll_Ct&lt;22,$BC763=(Elig_MatchAll_Ct-1),AW763=0),W763,0)</f>
        <v>0</v>
      </c>
      <c r="CC763" s="271">
        <f>IF(AND(Input_Product=Elig!$C763,Elig_MatchAll_Ct&lt;22,$BC763=(Elig_MatchAll_Ct-1),AX763=0),X763,0)</f>
        <v>0</v>
      </c>
      <c r="CD763" s="272">
        <f>IF(AND(Input_Product=Elig!$C763,Elig_MatchAll_Ct&lt;22,$BC763=(Elig_MatchAll_Ct-1),AX763=0),Y763,0)</f>
        <v>0</v>
      </c>
      <c r="CE763" s="271">
        <f>IF(AND(Input_LTV&lt;=AE763,Input_Product=Elig!$C763,Elig_MatchAll_Ct&lt;22,$BC763=(Elig_MatchAll_Ct-1),AY763=0),Z763,0)</f>
        <v>0</v>
      </c>
      <c r="CF763" s="272">
        <f>IF(AND(Input_LTV&lt;=AE763,Input_Product=Elig!$C763,Elig_MatchAll_Ct&lt;22,$BC763=(Elig_MatchAll_Ct-1),AY763=0),AA763,0)</f>
        <v>0</v>
      </c>
      <c r="CG763" s="271">
        <f>IF(AND(Input_Product=Elig!$C763,Elig_MatchAll_Ct&lt;22,$BC763=(Elig_MatchAll_Ct-1),AZ763=0),AB763,0)</f>
        <v>0</v>
      </c>
      <c r="CH763" s="272">
        <f>IF(AND(Input_Product=Elig!$C763,Elig_MatchAll_Ct&lt;22,$BC763=(Elig_MatchAll_Ct-1),AZ763=0),AC763,0)</f>
        <v>0</v>
      </c>
      <c r="CI763" s="271">
        <f>IF(AND(Input_Product=Elig!$C763,Elig_MatchAll_Ct&lt;22,$BC763=(Elig_MatchAll_Ct-1),BA763=0),AD763,0)</f>
        <v>0</v>
      </c>
      <c r="CJ763" s="272">
        <f>IF(AND(Input_Product=Elig!$C763,Elig_MatchAll_Ct&lt;22,$BC763=(Elig_MatchAll_Ct-1),BA763=0),AE763,0)</f>
        <v>0</v>
      </c>
    </row>
    <row r="764" spans="1:88" ht="10.15" customHeight="1" x14ac:dyDescent="0.25">
      <c r="A764" s="1484" t="s">
        <v>76</v>
      </c>
      <c r="B764" s="1484" t="s">
        <v>2143</v>
      </c>
      <c r="C764" s="1489" t="str">
        <f t="shared" si="259"/>
        <v>Second NOO</v>
      </c>
      <c r="D764" s="1490" t="s">
        <v>1338</v>
      </c>
      <c r="E764" s="1490" t="s">
        <v>98</v>
      </c>
      <c r="F764" s="1490" t="s">
        <v>329</v>
      </c>
      <c r="G764" s="1537" t="s">
        <v>174</v>
      </c>
      <c r="H764" s="1490" t="s">
        <v>444</v>
      </c>
      <c r="I764" s="1488" t="s">
        <v>1141</v>
      </c>
      <c r="J764" s="1488" t="s">
        <v>1130</v>
      </c>
      <c r="K764" s="1490" t="s">
        <v>2464</v>
      </c>
      <c r="L764" s="1488" t="s">
        <v>428</v>
      </c>
      <c r="M764" s="1488" t="s">
        <v>1835</v>
      </c>
      <c r="N764" s="1490" t="s">
        <v>1844</v>
      </c>
      <c r="O764" s="1488" t="s">
        <v>309</v>
      </c>
      <c r="P764" s="1488" t="s">
        <v>2434</v>
      </c>
      <c r="Q764" s="1488" t="s">
        <v>293</v>
      </c>
      <c r="R764" s="1542">
        <v>500000.01</v>
      </c>
      <c r="S764" s="1542">
        <v>750000</v>
      </c>
      <c r="T764" s="1488">
        <v>0</v>
      </c>
      <c r="U764" s="1488">
        <f t="shared" ref="U764:U782" si="263">S764</f>
        <v>750000</v>
      </c>
      <c r="V764" s="1488">
        <v>0</v>
      </c>
      <c r="W764" s="1488">
        <v>50</v>
      </c>
      <c r="X764" s="1488">
        <v>0</v>
      </c>
      <c r="Y764" s="1488">
        <v>999</v>
      </c>
      <c r="Z764" s="1491">
        <v>720</v>
      </c>
      <c r="AA764" s="1491">
        <v>999</v>
      </c>
      <c r="AB764" s="1491">
        <v>0</v>
      </c>
      <c r="AC764" s="1491">
        <v>999999</v>
      </c>
      <c r="AD764" s="1488">
        <v>0</v>
      </c>
      <c r="AE764" s="1542">
        <v>70</v>
      </c>
      <c r="AF764" s="144">
        <v>1</v>
      </c>
      <c r="AG764" s="145">
        <v>1</v>
      </c>
      <c r="AH764" s="145">
        <v>1</v>
      </c>
      <c r="AI764" s="145">
        <v>1</v>
      </c>
      <c r="AJ764" s="145">
        <v>0</v>
      </c>
      <c r="AK764" s="145">
        <v>0</v>
      </c>
      <c r="AL764" s="145">
        <v>1</v>
      </c>
      <c r="AM764" s="145">
        <v>1</v>
      </c>
      <c r="AN764" s="145">
        <v>1</v>
      </c>
      <c r="AO764" s="145">
        <v>1</v>
      </c>
      <c r="AP764" s="145">
        <v>1</v>
      </c>
      <c r="AQ764" s="145">
        <v>1</v>
      </c>
      <c r="AR764" s="145">
        <v>1</v>
      </c>
      <c r="AS764" s="145">
        <v>1</v>
      </c>
      <c r="AT764" s="145">
        <v>1</v>
      </c>
      <c r="AU764" s="145">
        <f t="shared" si="236"/>
        <v>0</v>
      </c>
      <c r="AV764" s="145">
        <f t="shared" si="237"/>
        <v>1</v>
      </c>
      <c r="AW764" s="145">
        <f t="shared" si="238"/>
        <v>1</v>
      </c>
      <c r="AX764" s="145">
        <f t="shared" si="244"/>
        <v>1</v>
      </c>
      <c r="AY764" s="145">
        <f t="shared" si="239"/>
        <v>1</v>
      </c>
      <c r="AZ764" s="145">
        <f t="shared" si="240"/>
        <v>1</v>
      </c>
      <c r="BA764" s="146">
        <f t="shared" si="241"/>
        <v>1</v>
      </c>
      <c r="BB764" s="149">
        <f t="shared" si="260"/>
        <v>19</v>
      </c>
      <c r="BC764" s="150">
        <f t="shared" si="261"/>
        <v>18</v>
      </c>
      <c r="BD764" s="150">
        <f t="shared" si="261"/>
        <v>18</v>
      </c>
      <c r="BE764" s="211" t="str">
        <f t="shared" si="262"/>
        <v/>
      </c>
      <c r="BF764" s="194"/>
      <c r="BG764" s="194"/>
      <c r="BH764" s="190">
        <f>IF(AND(Input_Product=Elig!$C764,Elig_MatchAll_Ct&lt;22,$BC764=(Elig_MatchAll_Ct-1),AF764=0),C764,0)</f>
        <v>0</v>
      </c>
      <c r="BI764" s="190">
        <f>IF(AND(Input_Product=Elig!$C764,Elig_MatchAll_Ct&lt;22,$BC764=(Elig_MatchAll_Ct-1),AG764=0),D764,0)</f>
        <v>0</v>
      </c>
      <c r="BJ764" s="190">
        <f>IF(AND(Input_Product=Elig!$C764,Elig_MatchAll_Ct&lt;22,$BC764=(Elig_MatchAll_Ct-1),AH764=0),E764,0)</f>
        <v>0</v>
      </c>
      <c r="BK764" s="190">
        <f>IF(AND(Input_Product=Elig!$C764,Elig_MatchAll_Ct&lt;22,$BC764=(Elig_MatchAll_Ct-1),AI764=0),F764,0)</f>
        <v>0</v>
      </c>
      <c r="BL764" s="190">
        <f>IF(AND(Input_Product=Elig!$C764,Elig_MatchAll_Ct&lt;22,$BC764=(Elig_MatchAll_Ct-1),AJ764=0),G764,0)</f>
        <v>0</v>
      </c>
      <c r="BM764" s="190">
        <f>IF(AND(Input_Product=Elig!$C764,Elig_MatchAll_Ct&lt;22,$BC764=(Elig_MatchAll_Ct-1),AK764=0),H764,0)</f>
        <v>0</v>
      </c>
      <c r="BN764" s="190">
        <f>IF(AND(Input_Product=Elig!$C764,Elig_MatchAll_Ct&lt;22,$BC764=(Elig_MatchAll_Ct-1),AL764=0),I764,0)</f>
        <v>0</v>
      </c>
      <c r="BO764" s="190">
        <f>IF(AND(Input_Product=Elig!$C764,Elig_MatchAll_Ct&lt;22,$BC764=(Elig_MatchAll_Ct-1),AM764=0),J764,0)</f>
        <v>0</v>
      </c>
      <c r="BP764" s="190">
        <f>IF(AND(Input_Product=Elig!$C764,Elig_MatchAll_Ct&lt;22,$BC764=(Elig_MatchAll_Ct-1),AN764=0),K764,0)</f>
        <v>0</v>
      </c>
      <c r="BQ764" s="190">
        <f>IF(AND(Input_Product=Elig!$C764,Elig_MatchAll_Ct&lt;22,$BC764=(Elig_MatchAll_Ct-1),AP764=0),L764,0)</f>
        <v>0</v>
      </c>
      <c r="BR764" s="190">
        <f>IF(AND(Input_Product=Elig!$C764,Elig_MatchAll_Ct&lt;22,$BC764=(Elig_MatchAll_Ct-1),AO764=0),M764,0)</f>
        <v>0</v>
      </c>
      <c r="BS764" s="190">
        <f>IF(AND(Input_Product=Elig!$C764,Elig_MatchAll_Ct&lt;22,$BC764=(Elig_MatchAll_Ct-1),AQ764=0),N764,0)</f>
        <v>0</v>
      </c>
      <c r="BT764" s="190">
        <f>IF(AND(Input_Product=Elig!$C764,Elig_MatchAll_Ct&lt;22,$BC764=(Elig_MatchAll_Ct-1),AR764=0),O764,0)</f>
        <v>0</v>
      </c>
      <c r="BU764" s="190">
        <f>IF(AND(Input_Product=Elig!$C764,Elig_MatchAll_Ct&lt;22,$BC764=(Elig_MatchAll_Ct-1),AS764=0),P764,0)</f>
        <v>0</v>
      </c>
      <c r="BV764" s="191">
        <f>IF(AND(Input_Product=Elig!$C764,Elig_MatchAll_Ct&lt;22,$BC764=(Elig_MatchAll_Ct-1),AT764=0),Q764,0)</f>
        <v>0</v>
      </c>
      <c r="BW764" s="273">
        <f>IF(AND(Input_Product=Elig!$C764,Elig_MatchAll_Ct&lt;22,$BC764=(Elig_MatchAll_Ct-1),AU764=0),R764,0)</f>
        <v>0</v>
      </c>
      <c r="BX764" s="274">
        <f>IF(AND(Input_Product=Elig!$C764,Elig_MatchAll_Ct&lt;22,$BC764=(Elig_MatchAll_Ct-1),AU764=0),S764,0)</f>
        <v>0</v>
      </c>
      <c r="BY764" s="273">
        <f>IF(AND(Input_Product=Elig!$C764,Elig_MatchAll_Ct&lt;22,$BC764=(Elig_MatchAll_Ct-1),AV764=0),T764,0)</f>
        <v>0</v>
      </c>
      <c r="BZ764" s="274">
        <f>IF(AND(Input_Product=Elig!$C764,Elig_MatchAll_Ct&lt;22,$BC764=(Elig_MatchAll_Ct-1),AV764=0),U764,0)</f>
        <v>0</v>
      </c>
      <c r="CA764" s="273">
        <f>IF(AND(Input_Product=Elig!$C764,Elig_MatchAll_Ct&lt;22,$BC764=(Elig_MatchAll_Ct-1),AW764=0),V764,0)</f>
        <v>0</v>
      </c>
      <c r="CB764" s="274">
        <f>IF(AND(Input_Product=Elig!$C764,Elig_MatchAll_Ct&lt;22,$BC764=(Elig_MatchAll_Ct-1),AW764=0),W764,0)</f>
        <v>0</v>
      </c>
      <c r="CC764" s="273">
        <f>IF(AND(Input_Product=Elig!$C764,Elig_MatchAll_Ct&lt;22,$BC764=(Elig_MatchAll_Ct-1),AX764=0),X764,0)</f>
        <v>0</v>
      </c>
      <c r="CD764" s="274">
        <f>IF(AND(Input_Product=Elig!$C764,Elig_MatchAll_Ct&lt;22,$BC764=(Elig_MatchAll_Ct-1),AX764=0),Y764,0)</f>
        <v>0</v>
      </c>
      <c r="CE764" s="273">
        <f>IF(AND(Input_LTV&lt;=AE764,Input_Product=Elig!$C764,Elig_MatchAll_Ct&lt;22,$BC764=(Elig_MatchAll_Ct-1),AY764=0),Z764,0)</f>
        <v>0</v>
      </c>
      <c r="CF764" s="274">
        <f>IF(AND(Input_LTV&lt;=AE764,Input_Product=Elig!$C764,Elig_MatchAll_Ct&lt;22,$BC764=(Elig_MatchAll_Ct-1),AY764=0),AA764,0)</f>
        <v>0</v>
      </c>
      <c r="CG764" s="273">
        <f>IF(AND(Input_Product=Elig!$C764,Elig_MatchAll_Ct&lt;22,$BC764=(Elig_MatchAll_Ct-1),AZ764=0),AB764,0)</f>
        <v>0</v>
      </c>
      <c r="CH764" s="274">
        <f>IF(AND(Input_Product=Elig!$C764,Elig_MatchAll_Ct&lt;22,$BC764=(Elig_MatchAll_Ct-1),AZ764=0),AC764,0)</f>
        <v>0</v>
      </c>
      <c r="CI764" s="273">
        <f>IF(AND(Input_Product=Elig!$C764,Elig_MatchAll_Ct&lt;22,$BC764=(Elig_MatchAll_Ct-1),BA764=0),AD764,0)</f>
        <v>0</v>
      </c>
      <c r="CJ764" s="274">
        <f>IF(AND(Input_Product=Elig!$C764,Elig_MatchAll_Ct&lt;22,$BC764=(Elig_MatchAll_Ct-1),BA764=0),AE764,0)</f>
        <v>0</v>
      </c>
    </row>
    <row r="765" spans="1:88" ht="10.15" customHeight="1" x14ac:dyDescent="0.25">
      <c r="A765" s="1484" t="s">
        <v>76</v>
      </c>
      <c r="B765" s="1484" t="s">
        <v>2144</v>
      </c>
      <c r="C765" s="1485" t="str">
        <f t="shared" si="259"/>
        <v>Second NOO</v>
      </c>
      <c r="D765" s="1484" t="s">
        <v>1338</v>
      </c>
      <c r="E765" s="1484" t="s">
        <v>98</v>
      </c>
      <c r="F765" s="1484" t="s">
        <v>329</v>
      </c>
      <c r="G765" s="1544" t="s">
        <v>174</v>
      </c>
      <c r="H765" s="1486" t="s">
        <v>444</v>
      </c>
      <c r="I765" s="1484" t="s">
        <v>1141</v>
      </c>
      <c r="J765" s="1484" t="s">
        <v>1130</v>
      </c>
      <c r="K765" s="1486" t="s">
        <v>2464</v>
      </c>
      <c r="L765" s="1484" t="s">
        <v>428</v>
      </c>
      <c r="M765" s="1484" t="s">
        <v>1835</v>
      </c>
      <c r="N765" s="1486" t="s">
        <v>1844</v>
      </c>
      <c r="O765" s="1484" t="s">
        <v>309</v>
      </c>
      <c r="P765" s="1484" t="s">
        <v>2434</v>
      </c>
      <c r="Q765" s="1484" t="s">
        <v>293</v>
      </c>
      <c r="R765" s="1543">
        <v>500000.01</v>
      </c>
      <c r="S765" s="1543">
        <v>750000</v>
      </c>
      <c r="T765" s="1484">
        <v>0</v>
      </c>
      <c r="U765" s="1484">
        <f t="shared" si="263"/>
        <v>750000</v>
      </c>
      <c r="V765" s="1484">
        <v>0</v>
      </c>
      <c r="W765" s="1484">
        <v>50</v>
      </c>
      <c r="X765" s="1484">
        <v>0</v>
      </c>
      <c r="Y765" s="1484">
        <v>999</v>
      </c>
      <c r="Z765" s="1487">
        <v>700</v>
      </c>
      <c r="AA765" s="1487">
        <v>719</v>
      </c>
      <c r="AB765" s="1487">
        <v>0</v>
      </c>
      <c r="AC765" s="1487">
        <v>999999</v>
      </c>
      <c r="AD765" s="1484">
        <v>0</v>
      </c>
      <c r="AE765" s="1543">
        <v>65</v>
      </c>
      <c r="AF765" s="144">
        <v>1</v>
      </c>
      <c r="AG765" s="145">
        <v>1</v>
      </c>
      <c r="AH765" s="145">
        <v>1</v>
      </c>
      <c r="AI765" s="145">
        <v>1</v>
      </c>
      <c r="AJ765" s="145">
        <v>0</v>
      </c>
      <c r="AK765" s="145">
        <v>0</v>
      </c>
      <c r="AL765" s="145">
        <v>1</v>
      </c>
      <c r="AM765" s="145">
        <v>1</v>
      </c>
      <c r="AN765" s="145">
        <v>1</v>
      </c>
      <c r="AO765" s="145">
        <v>1</v>
      </c>
      <c r="AP765" s="145">
        <v>1</v>
      </c>
      <c r="AQ765" s="145">
        <v>1</v>
      </c>
      <c r="AR765" s="145">
        <v>1</v>
      </c>
      <c r="AS765" s="145">
        <v>1</v>
      </c>
      <c r="AT765" s="145">
        <v>1</v>
      </c>
      <c r="AU765" s="145">
        <f t="shared" si="236"/>
        <v>0</v>
      </c>
      <c r="AV765" s="145">
        <f t="shared" si="237"/>
        <v>1</v>
      </c>
      <c r="AW765" s="145">
        <f t="shared" si="238"/>
        <v>1</v>
      </c>
      <c r="AX765" s="145">
        <f t="shared" si="244"/>
        <v>1</v>
      </c>
      <c r="AY765" s="145">
        <f t="shared" si="239"/>
        <v>0</v>
      </c>
      <c r="AZ765" s="145">
        <f t="shared" si="240"/>
        <v>1</v>
      </c>
      <c r="BA765" s="146">
        <f t="shared" si="241"/>
        <v>0</v>
      </c>
      <c r="BB765" s="149">
        <f t="shared" si="260"/>
        <v>17</v>
      </c>
      <c r="BC765" s="150">
        <f t="shared" si="261"/>
        <v>17</v>
      </c>
      <c r="BD765" s="150">
        <f t="shared" si="261"/>
        <v>16</v>
      </c>
      <c r="BE765" s="211" t="str">
        <f t="shared" si="262"/>
        <v/>
      </c>
      <c r="BF765" s="205"/>
      <c r="BG765" s="205"/>
      <c r="BH765" s="173">
        <f>IF(AND(Input_Product=Elig!$C765,Elig_MatchAll_Ct&lt;22,$BC765=(Elig_MatchAll_Ct-1),AF765=0),C765,0)</f>
        <v>0</v>
      </c>
      <c r="BI765" s="173">
        <f>IF(AND(Input_Product=Elig!$C765,Elig_MatchAll_Ct&lt;22,$BC765=(Elig_MatchAll_Ct-1),AG765=0),D765,0)</f>
        <v>0</v>
      </c>
      <c r="BJ765" s="173">
        <f>IF(AND(Input_Product=Elig!$C765,Elig_MatchAll_Ct&lt;22,$BC765=(Elig_MatchAll_Ct-1),AH765=0),E765,0)</f>
        <v>0</v>
      </c>
      <c r="BK765" s="173">
        <f>IF(AND(Input_Product=Elig!$C765,Elig_MatchAll_Ct&lt;22,$BC765=(Elig_MatchAll_Ct-1),AI765=0),F765,0)</f>
        <v>0</v>
      </c>
      <c r="BL765" s="173">
        <f>IF(AND(Input_Product=Elig!$C765,Elig_MatchAll_Ct&lt;22,$BC765=(Elig_MatchAll_Ct-1),AJ765=0),G765,0)</f>
        <v>0</v>
      </c>
      <c r="BM765" s="173">
        <f>IF(AND(Input_Product=Elig!$C765,Elig_MatchAll_Ct&lt;22,$BC765=(Elig_MatchAll_Ct-1),AK765=0),H765,0)</f>
        <v>0</v>
      </c>
      <c r="BN765" s="173">
        <f>IF(AND(Input_Product=Elig!$C765,Elig_MatchAll_Ct&lt;22,$BC765=(Elig_MatchAll_Ct-1),AL765=0),I765,0)</f>
        <v>0</v>
      </c>
      <c r="BO765" s="173">
        <f>IF(AND(Input_Product=Elig!$C765,Elig_MatchAll_Ct&lt;22,$BC765=(Elig_MatchAll_Ct-1),AM765=0),J765,0)</f>
        <v>0</v>
      </c>
      <c r="BP765" s="173">
        <f>IF(AND(Input_Product=Elig!$C765,Elig_MatchAll_Ct&lt;22,$BC765=(Elig_MatchAll_Ct-1),AN765=0),K765,0)</f>
        <v>0</v>
      </c>
      <c r="BQ765" s="173">
        <f>IF(AND(Input_Product=Elig!$C765,Elig_MatchAll_Ct&lt;22,$BC765=(Elig_MatchAll_Ct-1),AP765=0),L765,0)</f>
        <v>0</v>
      </c>
      <c r="BR765" s="173">
        <f>IF(AND(Input_Product=Elig!$C765,Elig_MatchAll_Ct&lt;22,$BC765=(Elig_MatchAll_Ct-1),AO765=0),M765,0)</f>
        <v>0</v>
      </c>
      <c r="BS765" s="173">
        <f>IF(AND(Input_Product=Elig!$C765,Elig_MatchAll_Ct&lt;22,$BC765=(Elig_MatchAll_Ct-1),AQ765=0),N765,0)</f>
        <v>0</v>
      </c>
      <c r="BT765" s="173">
        <f>IF(AND(Input_Product=Elig!$C765,Elig_MatchAll_Ct&lt;22,$BC765=(Elig_MatchAll_Ct-1),AR765=0),O765,0)</f>
        <v>0</v>
      </c>
      <c r="BU765" s="173">
        <f>IF(AND(Input_Product=Elig!$C765,Elig_MatchAll_Ct&lt;22,$BC765=(Elig_MatchAll_Ct-1),AS765=0),P765,0)</f>
        <v>0</v>
      </c>
      <c r="BV765" s="174">
        <f>IF(AND(Input_Product=Elig!$C765,Elig_MatchAll_Ct&lt;22,$BC765=(Elig_MatchAll_Ct-1),AT765=0),Q765,0)</f>
        <v>0</v>
      </c>
      <c r="BW765" s="175">
        <f>IF(AND(Input_Product=Elig!$C765,Elig_MatchAll_Ct&lt;22,$BC765=(Elig_MatchAll_Ct-1),AU765=0),R765,0)</f>
        <v>0</v>
      </c>
      <c r="BX765" s="176">
        <f>IF(AND(Input_Product=Elig!$C765,Elig_MatchAll_Ct&lt;22,$BC765=(Elig_MatchAll_Ct-1),AU765=0),S765,0)</f>
        <v>0</v>
      </c>
      <c r="BY765" s="175">
        <f>IF(AND(Input_Product=Elig!$C765,Elig_MatchAll_Ct&lt;22,$BC765=(Elig_MatchAll_Ct-1),AV765=0),T765,0)</f>
        <v>0</v>
      </c>
      <c r="BZ765" s="176">
        <f>IF(AND(Input_Product=Elig!$C765,Elig_MatchAll_Ct&lt;22,$BC765=(Elig_MatchAll_Ct-1),AV765=0),U765,0)</f>
        <v>0</v>
      </c>
      <c r="CA765" s="175">
        <f>IF(AND(Input_Product=Elig!$C765,Elig_MatchAll_Ct&lt;22,$BC765=(Elig_MatchAll_Ct-1),AW765=0),V765,0)</f>
        <v>0</v>
      </c>
      <c r="CB765" s="176">
        <f>IF(AND(Input_Product=Elig!$C765,Elig_MatchAll_Ct&lt;22,$BC765=(Elig_MatchAll_Ct-1),AW765=0),W765,0)</f>
        <v>0</v>
      </c>
      <c r="CC765" s="175">
        <f>IF(AND(Input_Product=Elig!$C765,Elig_MatchAll_Ct&lt;22,$BC765=(Elig_MatchAll_Ct-1),AX765=0),X765,0)</f>
        <v>0</v>
      </c>
      <c r="CD765" s="176">
        <f>IF(AND(Input_Product=Elig!$C765,Elig_MatchAll_Ct&lt;22,$BC765=(Elig_MatchAll_Ct-1),AX765=0),Y765,0)</f>
        <v>0</v>
      </c>
      <c r="CE765" s="175">
        <f>IF(AND(Input_LTV&lt;=AE765,Input_Product=Elig!$C765,Elig_MatchAll_Ct&lt;22,$BC765=(Elig_MatchAll_Ct-1),AY765=0),Z765,0)</f>
        <v>0</v>
      </c>
      <c r="CF765" s="176">
        <f>IF(AND(Input_LTV&lt;=AE765,Input_Product=Elig!$C765,Elig_MatchAll_Ct&lt;22,$BC765=(Elig_MatchAll_Ct-1),AY765=0),AA765,0)</f>
        <v>0</v>
      </c>
      <c r="CG765" s="175">
        <f>IF(AND(Input_Product=Elig!$C765,Elig_MatchAll_Ct&lt;22,$BC765=(Elig_MatchAll_Ct-1),AZ765=0),AB765,0)</f>
        <v>0</v>
      </c>
      <c r="CH765" s="176">
        <f>IF(AND(Input_Product=Elig!$C765,Elig_MatchAll_Ct&lt;22,$BC765=(Elig_MatchAll_Ct-1),AZ765=0),AC765,0)</f>
        <v>0</v>
      </c>
      <c r="CI765" s="175">
        <f>IF(AND(Input_Product=Elig!$C765,Elig_MatchAll_Ct&lt;22,$BC765=(Elig_MatchAll_Ct-1),BA765=0),AD765,0)</f>
        <v>0</v>
      </c>
      <c r="CJ765" s="176">
        <f>IF(AND(Input_Product=Elig!$C765,Elig_MatchAll_Ct&lt;22,$BC765=(Elig_MatchAll_Ct-1),BA765=0),AE765,0)</f>
        <v>0</v>
      </c>
    </row>
    <row r="766" spans="1:88" ht="10.15" customHeight="1" x14ac:dyDescent="0.25">
      <c r="A766" s="1484" t="s">
        <v>76</v>
      </c>
      <c r="B766" s="1484" t="s">
        <v>2145</v>
      </c>
      <c r="C766" s="1485" t="str">
        <f t="shared" si="259"/>
        <v>Second NOO</v>
      </c>
      <c r="D766" s="1484" t="s">
        <v>1338</v>
      </c>
      <c r="E766" s="1484" t="s">
        <v>98</v>
      </c>
      <c r="F766" s="1484" t="s">
        <v>329</v>
      </c>
      <c r="G766" s="1544" t="s">
        <v>174</v>
      </c>
      <c r="H766" s="1486" t="s">
        <v>444</v>
      </c>
      <c r="I766" s="1484" t="s">
        <v>1141</v>
      </c>
      <c r="J766" s="1484" t="s">
        <v>1130</v>
      </c>
      <c r="K766" s="1486" t="s">
        <v>2464</v>
      </c>
      <c r="L766" s="1484" t="s">
        <v>428</v>
      </c>
      <c r="M766" s="1484" t="s">
        <v>1835</v>
      </c>
      <c r="N766" s="1486" t="s">
        <v>1844</v>
      </c>
      <c r="O766" s="1484" t="s">
        <v>309</v>
      </c>
      <c r="P766" s="1484" t="s">
        <v>2434</v>
      </c>
      <c r="Q766" s="1484" t="s">
        <v>293</v>
      </c>
      <c r="R766" s="1543">
        <v>500000.01</v>
      </c>
      <c r="S766" s="1543">
        <v>750000</v>
      </c>
      <c r="T766" s="1484">
        <v>0</v>
      </c>
      <c r="U766" s="1484">
        <f t="shared" si="263"/>
        <v>750000</v>
      </c>
      <c r="V766" s="1484">
        <v>0</v>
      </c>
      <c r="W766" s="1484">
        <v>50</v>
      </c>
      <c r="X766" s="1484">
        <v>0</v>
      </c>
      <c r="Y766" s="1484">
        <v>999</v>
      </c>
      <c r="Z766" s="1487">
        <v>680</v>
      </c>
      <c r="AA766" s="1487">
        <v>699</v>
      </c>
      <c r="AB766" s="1487">
        <v>0</v>
      </c>
      <c r="AC766" s="1487">
        <v>999999</v>
      </c>
      <c r="AD766" s="1484">
        <v>0</v>
      </c>
      <c r="AE766" s="1484">
        <v>55</v>
      </c>
      <c r="AF766" s="144">
        <v>1</v>
      </c>
      <c r="AG766" s="145">
        <v>1</v>
      </c>
      <c r="AH766" s="145">
        <v>1</v>
      </c>
      <c r="AI766" s="145">
        <v>1</v>
      </c>
      <c r="AJ766" s="145">
        <v>0</v>
      </c>
      <c r="AK766" s="145">
        <v>0</v>
      </c>
      <c r="AL766" s="145">
        <v>1</v>
      </c>
      <c r="AM766" s="145">
        <v>1</v>
      </c>
      <c r="AN766" s="145">
        <v>1</v>
      </c>
      <c r="AO766" s="145">
        <v>1</v>
      </c>
      <c r="AP766" s="145">
        <v>1</v>
      </c>
      <c r="AQ766" s="145">
        <v>1</v>
      </c>
      <c r="AR766" s="145">
        <v>1</v>
      </c>
      <c r="AS766" s="145">
        <v>1</v>
      </c>
      <c r="AT766" s="145">
        <v>1</v>
      </c>
      <c r="AU766" s="145">
        <f t="shared" si="236"/>
        <v>0</v>
      </c>
      <c r="AV766" s="145">
        <f t="shared" si="237"/>
        <v>1</v>
      </c>
      <c r="AW766" s="145">
        <f t="shared" si="238"/>
        <v>1</v>
      </c>
      <c r="AX766" s="145">
        <f t="shared" si="244"/>
        <v>1</v>
      </c>
      <c r="AY766" s="145">
        <f t="shared" si="239"/>
        <v>0</v>
      </c>
      <c r="AZ766" s="145">
        <f t="shared" si="240"/>
        <v>1</v>
      </c>
      <c r="BA766" s="146">
        <f t="shared" si="241"/>
        <v>0</v>
      </c>
      <c r="BB766" s="149">
        <f t="shared" si="260"/>
        <v>17</v>
      </c>
      <c r="BC766" s="150">
        <f t="shared" si="261"/>
        <v>17</v>
      </c>
      <c r="BD766" s="150">
        <f t="shared" si="261"/>
        <v>16</v>
      </c>
      <c r="BE766" s="211" t="str">
        <f t="shared" si="262"/>
        <v/>
      </c>
      <c r="BF766" s="205"/>
      <c r="BG766" s="205"/>
      <c r="BH766" s="173">
        <f>IF(AND(Input_Product=Elig!$C766,Elig_MatchAll_Ct&lt;22,$BC766=(Elig_MatchAll_Ct-1),AF766=0),C766,0)</f>
        <v>0</v>
      </c>
      <c r="BI766" s="173">
        <f>IF(AND(Input_Product=Elig!$C766,Elig_MatchAll_Ct&lt;22,$BC766=(Elig_MatchAll_Ct-1),AG766=0),D766,0)</f>
        <v>0</v>
      </c>
      <c r="BJ766" s="173">
        <f>IF(AND(Input_Product=Elig!$C766,Elig_MatchAll_Ct&lt;22,$BC766=(Elig_MatchAll_Ct-1),AH766=0),E766,0)</f>
        <v>0</v>
      </c>
      <c r="BK766" s="173">
        <f>IF(AND(Input_Product=Elig!$C766,Elig_MatchAll_Ct&lt;22,$BC766=(Elig_MatchAll_Ct-1),AI766=0),F766,0)</f>
        <v>0</v>
      </c>
      <c r="BL766" s="173">
        <f>IF(AND(Input_Product=Elig!$C766,Elig_MatchAll_Ct&lt;22,$BC766=(Elig_MatchAll_Ct-1),AJ766=0),G766,0)</f>
        <v>0</v>
      </c>
      <c r="BM766" s="173">
        <f>IF(AND(Input_Product=Elig!$C766,Elig_MatchAll_Ct&lt;22,$BC766=(Elig_MatchAll_Ct-1),AK766=0),H766,0)</f>
        <v>0</v>
      </c>
      <c r="BN766" s="173">
        <f>IF(AND(Input_Product=Elig!$C766,Elig_MatchAll_Ct&lt;22,$BC766=(Elig_MatchAll_Ct-1),AL766=0),I766,0)</f>
        <v>0</v>
      </c>
      <c r="BO766" s="173">
        <f>IF(AND(Input_Product=Elig!$C766,Elig_MatchAll_Ct&lt;22,$BC766=(Elig_MatchAll_Ct-1),AM766=0),J766,0)</f>
        <v>0</v>
      </c>
      <c r="BP766" s="173">
        <f>IF(AND(Input_Product=Elig!$C766,Elig_MatchAll_Ct&lt;22,$BC766=(Elig_MatchAll_Ct-1),AN766=0),K766,0)</f>
        <v>0</v>
      </c>
      <c r="BQ766" s="173">
        <f>IF(AND(Input_Product=Elig!$C766,Elig_MatchAll_Ct&lt;22,$BC766=(Elig_MatchAll_Ct-1),AP766=0),L766,0)</f>
        <v>0</v>
      </c>
      <c r="BR766" s="173">
        <f>IF(AND(Input_Product=Elig!$C766,Elig_MatchAll_Ct&lt;22,$BC766=(Elig_MatchAll_Ct-1),AO766=0),M766,0)</f>
        <v>0</v>
      </c>
      <c r="BS766" s="173">
        <f>IF(AND(Input_Product=Elig!$C766,Elig_MatchAll_Ct&lt;22,$BC766=(Elig_MatchAll_Ct-1),AQ766=0),N766,0)</f>
        <v>0</v>
      </c>
      <c r="BT766" s="173">
        <f>IF(AND(Input_Product=Elig!$C766,Elig_MatchAll_Ct&lt;22,$BC766=(Elig_MatchAll_Ct-1),AR766=0),O766,0)</f>
        <v>0</v>
      </c>
      <c r="BU766" s="173">
        <f>IF(AND(Input_Product=Elig!$C766,Elig_MatchAll_Ct&lt;22,$BC766=(Elig_MatchAll_Ct-1),AS766=0),P766,0)</f>
        <v>0</v>
      </c>
      <c r="BV766" s="174">
        <f>IF(AND(Input_Product=Elig!$C766,Elig_MatchAll_Ct&lt;22,$BC766=(Elig_MatchAll_Ct-1),AT766=0),Q766,0)</f>
        <v>0</v>
      </c>
      <c r="BW766" s="175">
        <f>IF(AND(Input_Product=Elig!$C766,Elig_MatchAll_Ct&lt;22,$BC766=(Elig_MatchAll_Ct-1),AU766=0),R766,0)</f>
        <v>0</v>
      </c>
      <c r="BX766" s="176">
        <f>IF(AND(Input_Product=Elig!$C766,Elig_MatchAll_Ct&lt;22,$BC766=(Elig_MatchAll_Ct-1),AU766=0),S766,0)</f>
        <v>0</v>
      </c>
      <c r="BY766" s="175">
        <f>IF(AND(Input_Product=Elig!$C766,Elig_MatchAll_Ct&lt;22,$BC766=(Elig_MatchAll_Ct-1),AV766=0),T766,0)</f>
        <v>0</v>
      </c>
      <c r="BZ766" s="176">
        <f>IF(AND(Input_Product=Elig!$C766,Elig_MatchAll_Ct&lt;22,$BC766=(Elig_MatchAll_Ct-1),AV766=0),U766,0)</f>
        <v>0</v>
      </c>
      <c r="CA766" s="175">
        <f>IF(AND(Input_Product=Elig!$C766,Elig_MatchAll_Ct&lt;22,$BC766=(Elig_MatchAll_Ct-1),AW766=0),V766,0)</f>
        <v>0</v>
      </c>
      <c r="CB766" s="176">
        <f>IF(AND(Input_Product=Elig!$C766,Elig_MatchAll_Ct&lt;22,$BC766=(Elig_MatchAll_Ct-1),AW766=0),W766,0)</f>
        <v>0</v>
      </c>
      <c r="CC766" s="175">
        <f>IF(AND(Input_Product=Elig!$C766,Elig_MatchAll_Ct&lt;22,$BC766=(Elig_MatchAll_Ct-1),AX766=0),X766,0)</f>
        <v>0</v>
      </c>
      <c r="CD766" s="176">
        <f>IF(AND(Input_Product=Elig!$C766,Elig_MatchAll_Ct&lt;22,$BC766=(Elig_MatchAll_Ct-1),AX766=0),Y766,0)</f>
        <v>0</v>
      </c>
      <c r="CE766" s="175">
        <f>IF(AND(Input_LTV&lt;=AE766,Input_Product=Elig!$C766,Elig_MatchAll_Ct&lt;22,$BC766=(Elig_MatchAll_Ct-1),AY766=0),Z766,0)</f>
        <v>0</v>
      </c>
      <c r="CF766" s="176">
        <f>IF(AND(Input_LTV&lt;=AE766,Input_Product=Elig!$C766,Elig_MatchAll_Ct&lt;22,$BC766=(Elig_MatchAll_Ct-1),AY766=0),AA766,0)</f>
        <v>0</v>
      </c>
      <c r="CG766" s="175">
        <f>IF(AND(Input_Product=Elig!$C766,Elig_MatchAll_Ct&lt;22,$BC766=(Elig_MatchAll_Ct-1),AZ766=0),AB766,0)</f>
        <v>0</v>
      </c>
      <c r="CH766" s="176">
        <f>IF(AND(Input_Product=Elig!$C766,Elig_MatchAll_Ct&lt;22,$BC766=(Elig_MatchAll_Ct-1),AZ766=0),AC766,0)</f>
        <v>0</v>
      </c>
      <c r="CI766" s="175">
        <f>IF(AND(Input_Product=Elig!$C766,Elig_MatchAll_Ct&lt;22,$BC766=(Elig_MatchAll_Ct-1),BA766=0),AD766,0)</f>
        <v>0</v>
      </c>
      <c r="CJ766" s="176">
        <f>IF(AND(Input_Product=Elig!$C766,Elig_MatchAll_Ct&lt;22,$BC766=(Elig_MatchAll_Ct-1),BA766=0),AE766,0)</f>
        <v>0</v>
      </c>
    </row>
    <row r="767" spans="1:88" ht="10.15" customHeight="1" x14ac:dyDescent="0.25">
      <c r="A767" s="1484" t="s">
        <v>76</v>
      </c>
      <c r="B767" s="1484" t="s">
        <v>2146</v>
      </c>
      <c r="C767" s="1485" t="str">
        <f t="shared" si="259"/>
        <v>Second NOO</v>
      </c>
      <c r="D767" s="1484" t="s">
        <v>1338</v>
      </c>
      <c r="E767" s="1484" t="s">
        <v>98</v>
      </c>
      <c r="F767" s="1484" t="s">
        <v>329</v>
      </c>
      <c r="G767" s="1545" t="s">
        <v>174</v>
      </c>
      <c r="H767" s="1486" t="s">
        <v>444</v>
      </c>
      <c r="I767" s="1484" t="s">
        <v>1141</v>
      </c>
      <c r="J767" s="1484" t="s">
        <v>1130</v>
      </c>
      <c r="K767" s="1486" t="s">
        <v>2464</v>
      </c>
      <c r="L767" s="1484" t="s">
        <v>428</v>
      </c>
      <c r="M767" s="1484" t="s">
        <v>1835</v>
      </c>
      <c r="N767" s="1486" t="s">
        <v>1844</v>
      </c>
      <c r="O767" s="1484" t="s">
        <v>309</v>
      </c>
      <c r="P767" s="1484" t="s">
        <v>2434</v>
      </c>
      <c r="Q767" s="1484" t="s">
        <v>293</v>
      </c>
      <c r="R767" s="1543">
        <v>500000.01</v>
      </c>
      <c r="S767" s="1543">
        <v>750000</v>
      </c>
      <c r="T767" s="1484">
        <v>0</v>
      </c>
      <c r="U767" s="1484">
        <f t="shared" si="263"/>
        <v>750000</v>
      </c>
      <c r="V767" s="1484">
        <v>0</v>
      </c>
      <c r="W767" s="1484">
        <v>50</v>
      </c>
      <c r="X767" s="1484">
        <v>0</v>
      </c>
      <c r="Y767" s="1484">
        <v>999</v>
      </c>
      <c r="Z767" s="1487">
        <v>660</v>
      </c>
      <c r="AA767" s="1487">
        <v>679</v>
      </c>
      <c r="AB767" s="1487">
        <v>0</v>
      </c>
      <c r="AC767" s="1487">
        <v>999999</v>
      </c>
      <c r="AD767" s="1484">
        <v>0</v>
      </c>
      <c r="AE767" s="1484">
        <v>50</v>
      </c>
      <c r="AF767" s="144">
        <v>1</v>
      </c>
      <c r="AG767" s="145">
        <v>1</v>
      </c>
      <c r="AH767" s="145">
        <v>1</v>
      </c>
      <c r="AI767" s="145">
        <v>1</v>
      </c>
      <c r="AJ767" s="145">
        <v>0</v>
      </c>
      <c r="AK767" s="145">
        <v>0</v>
      </c>
      <c r="AL767" s="145">
        <v>1</v>
      </c>
      <c r="AM767" s="145">
        <v>1</v>
      </c>
      <c r="AN767" s="145">
        <v>1</v>
      </c>
      <c r="AO767" s="145">
        <v>1</v>
      </c>
      <c r="AP767" s="145">
        <v>1</v>
      </c>
      <c r="AQ767" s="145">
        <v>1</v>
      </c>
      <c r="AR767" s="145">
        <v>1</v>
      </c>
      <c r="AS767" s="145">
        <v>1</v>
      </c>
      <c r="AT767" s="145">
        <v>1</v>
      </c>
      <c r="AU767" s="145">
        <f t="shared" si="236"/>
        <v>0</v>
      </c>
      <c r="AV767" s="145">
        <f t="shared" si="237"/>
        <v>1</v>
      </c>
      <c r="AW767" s="145">
        <f t="shared" si="238"/>
        <v>1</v>
      </c>
      <c r="AX767" s="145">
        <f t="shared" si="244"/>
        <v>1</v>
      </c>
      <c r="AY767" s="145">
        <f t="shared" si="239"/>
        <v>0</v>
      </c>
      <c r="AZ767" s="145">
        <f t="shared" si="240"/>
        <v>1</v>
      </c>
      <c r="BA767" s="146">
        <f t="shared" si="241"/>
        <v>0</v>
      </c>
      <c r="BB767" s="149">
        <f t="shared" si="260"/>
        <v>17</v>
      </c>
      <c r="BC767" s="150">
        <f t="shared" si="261"/>
        <v>17</v>
      </c>
      <c r="BD767" s="150">
        <f t="shared" si="261"/>
        <v>16</v>
      </c>
      <c r="BE767" s="211" t="str">
        <f t="shared" si="262"/>
        <v/>
      </c>
      <c r="BF767" s="205"/>
      <c r="BG767" s="205"/>
      <c r="BH767" s="188">
        <f>IF(AND(Input_Product=Elig!$C767,Elig_MatchAll_Ct&lt;22,$BC767=(Elig_MatchAll_Ct-1),AF767=0),C767,0)</f>
        <v>0</v>
      </c>
      <c r="BI767" s="188">
        <f>IF(AND(Input_Product=Elig!$C767,Elig_MatchAll_Ct&lt;22,$BC767=(Elig_MatchAll_Ct-1),AG767=0),D767,0)</f>
        <v>0</v>
      </c>
      <c r="BJ767" s="188">
        <f>IF(AND(Input_Product=Elig!$C767,Elig_MatchAll_Ct&lt;22,$BC767=(Elig_MatchAll_Ct-1),AH767=0),E767,0)</f>
        <v>0</v>
      </c>
      <c r="BK767" s="188">
        <f>IF(AND(Input_Product=Elig!$C767,Elig_MatchAll_Ct&lt;22,$BC767=(Elig_MatchAll_Ct-1),AI767=0),F767,0)</f>
        <v>0</v>
      </c>
      <c r="BL767" s="188">
        <f>IF(AND(Input_Product=Elig!$C767,Elig_MatchAll_Ct&lt;22,$BC767=(Elig_MatchAll_Ct-1),AJ767=0),G767,0)</f>
        <v>0</v>
      </c>
      <c r="BM767" s="188">
        <f>IF(AND(Input_Product=Elig!$C767,Elig_MatchAll_Ct&lt;22,$BC767=(Elig_MatchAll_Ct-1),AK767=0),H767,0)</f>
        <v>0</v>
      </c>
      <c r="BN767" s="188">
        <f>IF(AND(Input_Product=Elig!$C767,Elig_MatchAll_Ct&lt;22,$BC767=(Elig_MatchAll_Ct-1),AL767=0),I767,0)</f>
        <v>0</v>
      </c>
      <c r="BO767" s="188">
        <f>IF(AND(Input_Product=Elig!$C767,Elig_MatchAll_Ct&lt;22,$BC767=(Elig_MatchAll_Ct-1),AM767=0),J767,0)</f>
        <v>0</v>
      </c>
      <c r="BP767" s="188">
        <f>IF(AND(Input_Product=Elig!$C767,Elig_MatchAll_Ct&lt;22,$BC767=(Elig_MatchAll_Ct-1),AN767=0),K767,0)</f>
        <v>0</v>
      </c>
      <c r="BQ767" s="188">
        <f>IF(AND(Input_Product=Elig!$C767,Elig_MatchAll_Ct&lt;22,$BC767=(Elig_MatchAll_Ct-1),AP767=0),L767,0)</f>
        <v>0</v>
      </c>
      <c r="BR767" s="188">
        <f>IF(AND(Input_Product=Elig!$C767,Elig_MatchAll_Ct&lt;22,$BC767=(Elig_MatchAll_Ct-1),AO767=0),M767,0)</f>
        <v>0</v>
      </c>
      <c r="BS767" s="188">
        <f>IF(AND(Input_Product=Elig!$C767,Elig_MatchAll_Ct&lt;22,$BC767=(Elig_MatchAll_Ct-1),AQ767=0),N767,0)</f>
        <v>0</v>
      </c>
      <c r="BT767" s="188">
        <f>IF(AND(Input_Product=Elig!$C767,Elig_MatchAll_Ct&lt;22,$BC767=(Elig_MatchAll_Ct-1),AR767=0),O767,0)</f>
        <v>0</v>
      </c>
      <c r="BU767" s="188">
        <f>IF(AND(Input_Product=Elig!$C767,Elig_MatchAll_Ct&lt;22,$BC767=(Elig_MatchAll_Ct-1),AS767=0),P767,0)</f>
        <v>0</v>
      </c>
      <c r="BV767" s="189">
        <f>IF(AND(Input_Product=Elig!$C767,Elig_MatchAll_Ct&lt;22,$BC767=(Elig_MatchAll_Ct-1),AT767=0),Q767,0)</f>
        <v>0</v>
      </c>
      <c r="BW767" s="271">
        <f>IF(AND(Input_Product=Elig!$C767,Elig_MatchAll_Ct&lt;22,$BC767=(Elig_MatchAll_Ct-1),AU767=0),R767,0)</f>
        <v>0</v>
      </c>
      <c r="BX767" s="272">
        <f>IF(AND(Input_Product=Elig!$C767,Elig_MatchAll_Ct&lt;22,$BC767=(Elig_MatchAll_Ct-1),AU767=0),S767,0)</f>
        <v>0</v>
      </c>
      <c r="BY767" s="271">
        <f>IF(AND(Input_Product=Elig!$C767,Elig_MatchAll_Ct&lt;22,$BC767=(Elig_MatchAll_Ct-1),AV767=0),T767,0)</f>
        <v>0</v>
      </c>
      <c r="BZ767" s="272">
        <f>IF(AND(Input_Product=Elig!$C767,Elig_MatchAll_Ct&lt;22,$BC767=(Elig_MatchAll_Ct-1),AV767=0),U767,0)</f>
        <v>0</v>
      </c>
      <c r="CA767" s="271">
        <f>IF(AND(Input_Product=Elig!$C767,Elig_MatchAll_Ct&lt;22,$BC767=(Elig_MatchAll_Ct-1),AW767=0),V767,0)</f>
        <v>0</v>
      </c>
      <c r="CB767" s="272">
        <f>IF(AND(Input_Product=Elig!$C767,Elig_MatchAll_Ct&lt;22,$BC767=(Elig_MatchAll_Ct-1),AW767=0),W767,0)</f>
        <v>0</v>
      </c>
      <c r="CC767" s="271">
        <f>IF(AND(Input_Product=Elig!$C767,Elig_MatchAll_Ct&lt;22,$BC767=(Elig_MatchAll_Ct-1),AX767=0),X767,0)</f>
        <v>0</v>
      </c>
      <c r="CD767" s="272">
        <f>IF(AND(Input_Product=Elig!$C767,Elig_MatchAll_Ct&lt;22,$BC767=(Elig_MatchAll_Ct-1),AX767=0),Y767,0)</f>
        <v>0</v>
      </c>
      <c r="CE767" s="271">
        <f>IF(AND(Input_LTV&lt;=AE767,Input_Product=Elig!$C767,Elig_MatchAll_Ct&lt;22,$BC767=(Elig_MatchAll_Ct-1),AY767=0),Z767,0)</f>
        <v>0</v>
      </c>
      <c r="CF767" s="272">
        <f>IF(AND(Input_LTV&lt;=AE767,Input_Product=Elig!$C767,Elig_MatchAll_Ct&lt;22,$BC767=(Elig_MatchAll_Ct-1),AY767=0),AA767,0)</f>
        <v>0</v>
      </c>
      <c r="CG767" s="271">
        <f>IF(AND(Input_Product=Elig!$C767,Elig_MatchAll_Ct&lt;22,$BC767=(Elig_MatchAll_Ct-1),AZ767=0),AB767,0)</f>
        <v>0</v>
      </c>
      <c r="CH767" s="272">
        <f>IF(AND(Input_Product=Elig!$C767,Elig_MatchAll_Ct&lt;22,$BC767=(Elig_MatchAll_Ct-1),AZ767=0),AC767,0)</f>
        <v>0</v>
      </c>
      <c r="CI767" s="271">
        <f>IF(AND(Input_Product=Elig!$C767,Elig_MatchAll_Ct&lt;22,$BC767=(Elig_MatchAll_Ct-1),BA767=0),AD767,0)</f>
        <v>0</v>
      </c>
      <c r="CJ767" s="272">
        <f>IF(AND(Input_Product=Elig!$C767,Elig_MatchAll_Ct&lt;22,$BC767=(Elig_MatchAll_Ct-1),BA767=0),AE767,0)</f>
        <v>0</v>
      </c>
    </row>
    <row r="768" spans="1:88" ht="10.15" customHeight="1" x14ac:dyDescent="0.25">
      <c r="A768" s="1484" t="s">
        <v>76</v>
      </c>
      <c r="B768" s="1484" t="s">
        <v>2181</v>
      </c>
      <c r="C768" s="1489" t="str">
        <f t="shared" si="259"/>
        <v>Second NOO</v>
      </c>
      <c r="D768" s="1490" t="s">
        <v>1338</v>
      </c>
      <c r="E768" s="1490" t="s">
        <v>98</v>
      </c>
      <c r="F768" s="1490" t="s">
        <v>329</v>
      </c>
      <c r="G768" s="1537" t="s">
        <v>465</v>
      </c>
      <c r="H768" s="1490" t="s">
        <v>135</v>
      </c>
      <c r="I768" s="1488" t="s">
        <v>1141</v>
      </c>
      <c r="J768" s="1488" t="s">
        <v>1130</v>
      </c>
      <c r="K768" s="1490" t="s">
        <v>2464</v>
      </c>
      <c r="L768" s="1488" t="s">
        <v>428</v>
      </c>
      <c r="M768" s="1488" t="s">
        <v>1835</v>
      </c>
      <c r="N768" s="1490" t="s">
        <v>1844</v>
      </c>
      <c r="O768" s="1488" t="s">
        <v>309</v>
      </c>
      <c r="P768" s="1488" t="s">
        <v>2434</v>
      </c>
      <c r="Q768" s="1488" t="s">
        <v>293</v>
      </c>
      <c r="R768" s="1542">
        <v>500000.01</v>
      </c>
      <c r="S768" s="1542">
        <v>750000</v>
      </c>
      <c r="T768" s="1488">
        <v>0</v>
      </c>
      <c r="U768" s="1488">
        <f t="shared" ref="U768:U771" si="264">S768</f>
        <v>750000</v>
      </c>
      <c r="V768" s="1488">
        <v>0</v>
      </c>
      <c r="W768" s="1488">
        <v>50</v>
      </c>
      <c r="X768" s="1488">
        <v>0</v>
      </c>
      <c r="Y768" s="1488">
        <v>999</v>
      </c>
      <c r="Z768" s="1491">
        <v>720</v>
      </c>
      <c r="AA768" s="1491">
        <v>999</v>
      </c>
      <c r="AB768" s="1491">
        <v>0</v>
      </c>
      <c r="AC768" s="1491">
        <v>999999</v>
      </c>
      <c r="AD768" s="1488">
        <v>0</v>
      </c>
      <c r="AE768" s="1542">
        <v>70</v>
      </c>
      <c r="AF768" s="144">
        <v>1</v>
      </c>
      <c r="AG768" s="145">
        <v>1</v>
      </c>
      <c r="AH768" s="145">
        <v>1</v>
      </c>
      <c r="AI768" s="145">
        <v>1</v>
      </c>
      <c r="AJ768" s="145">
        <v>0</v>
      </c>
      <c r="AK768" s="145">
        <v>1</v>
      </c>
      <c r="AL768" s="145">
        <v>1</v>
      </c>
      <c r="AM768" s="145">
        <v>1</v>
      </c>
      <c r="AN768" s="145">
        <v>1</v>
      </c>
      <c r="AO768" s="145">
        <v>1</v>
      </c>
      <c r="AP768" s="145">
        <v>1</v>
      </c>
      <c r="AQ768" s="145">
        <v>1</v>
      </c>
      <c r="AR768" s="145">
        <v>1</v>
      </c>
      <c r="AS768" s="145">
        <v>1</v>
      </c>
      <c r="AT768" s="145">
        <v>1</v>
      </c>
      <c r="AU768" s="145">
        <f t="shared" si="236"/>
        <v>0</v>
      </c>
      <c r="AV768" s="145">
        <f t="shared" si="237"/>
        <v>1</v>
      </c>
      <c r="AW768" s="145">
        <f t="shared" si="238"/>
        <v>1</v>
      </c>
      <c r="AX768" s="145">
        <f t="shared" si="244"/>
        <v>1</v>
      </c>
      <c r="AY768" s="145">
        <f t="shared" si="239"/>
        <v>1</v>
      </c>
      <c r="AZ768" s="145">
        <f t="shared" si="240"/>
        <v>1</v>
      </c>
      <c r="BA768" s="146">
        <f t="shared" si="241"/>
        <v>1</v>
      </c>
      <c r="BB768" s="149">
        <f t="shared" ref="BB768:BB771" si="265">SUM(AF768:BA768)</f>
        <v>20</v>
      </c>
      <c r="BC768" s="150">
        <f t="shared" ref="BC768:BC771" si="266">SUM(AF768:AZ768)</f>
        <v>19</v>
      </c>
      <c r="BD768" s="150">
        <f t="shared" ref="BD768:BD771" si="267">SUM(AG768:BA768)</f>
        <v>19</v>
      </c>
      <c r="BE768" s="211" t="str">
        <f t="shared" si="262"/>
        <v/>
      </c>
      <c r="BF768" s="194"/>
      <c r="BG768" s="194"/>
      <c r="BH768" s="190">
        <f>IF(AND(Input_Product=Elig!$C768,Elig_MatchAll_Ct&lt;22,$BC768=(Elig_MatchAll_Ct-1),AF768=0),C768,0)</f>
        <v>0</v>
      </c>
      <c r="BI768" s="190">
        <f>IF(AND(Input_Product=Elig!$C768,Elig_MatchAll_Ct&lt;22,$BC768=(Elig_MatchAll_Ct-1),AG768=0),D768,0)</f>
        <v>0</v>
      </c>
      <c r="BJ768" s="190">
        <f>IF(AND(Input_Product=Elig!$C768,Elig_MatchAll_Ct&lt;22,$BC768=(Elig_MatchAll_Ct-1),AH768=0),E768,0)</f>
        <v>0</v>
      </c>
      <c r="BK768" s="190">
        <f>IF(AND(Input_Product=Elig!$C768,Elig_MatchAll_Ct&lt;22,$BC768=(Elig_MatchAll_Ct-1),AI768=0),F768,0)</f>
        <v>0</v>
      </c>
      <c r="BL768" s="190">
        <f>IF(AND(Input_Product=Elig!$C768,Elig_MatchAll_Ct&lt;22,$BC768=(Elig_MatchAll_Ct-1),AJ768=0),G768,0)</f>
        <v>0</v>
      </c>
      <c r="BM768" s="190">
        <f>IF(AND(Input_Product=Elig!$C768,Elig_MatchAll_Ct&lt;22,$BC768=(Elig_MatchAll_Ct-1),AK768=0),H768,0)</f>
        <v>0</v>
      </c>
      <c r="BN768" s="190">
        <f>IF(AND(Input_Product=Elig!$C768,Elig_MatchAll_Ct&lt;22,$BC768=(Elig_MatchAll_Ct-1),AL768=0),I768,0)</f>
        <v>0</v>
      </c>
      <c r="BO768" s="190">
        <f>IF(AND(Input_Product=Elig!$C768,Elig_MatchAll_Ct&lt;22,$BC768=(Elig_MatchAll_Ct-1),AM768=0),J768,0)</f>
        <v>0</v>
      </c>
      <c r="BP768" s="190">
        <f>IF(AND(Input_Product=Elig!$C768,Elig_MatchAll_Ct&lt;22,$BC768=(Elig_MatchAll_Ct-1),AN768=0),K768,0)</f>
        <v>0</v>
      </c>
      <c r="BQ768" s="190">
        <f>IF(AND(Input_Product=Elig!$C768,Elig_MatchAll_Ct&lt;22,$BC768=(Elig_MatchAll_Ct-1),AP768=0),L768,0)</f>
        <v>0</v>
      </c>
      <c r="BR768" s="190">
        <f>IF(AND(Input_Product=Elig!$C768,Elig_MatchAll_Ct&lt;22,$BC768=(Elig_MatchAll_Ct-1),AO768=0),M768,0)</f>
        <v>0</v>
      </c>
      <c r="BS768" s="190">
        <f>IF(AND(Input_Product=Elig!$C768,Elig_MatchAll_Ct&lt;22,$BC768=(Elig_MatchAll_Ct-1),AQ768=0),N768,0)</f>
        <v>0</v>
      </c>
      <c r="BT768" s="190">
        <f>IF(AND(Input_Product=Elig!$C768,Elig_MatchAll_Ct&lt;22,$BC768=(Elig_MatchAll_Ct-1),AR768=0),O768,0)</f>
        <v>0</v>
      </c>
      <c r="BU768" s="190">
        <f>IF(AND(Input_Product=Elig!$C768,Elig_MatchAll_Ct&lt;22,$BC768=(Elig_MatchAll_Ct-1),AS768=0),P768,0)</f>
        <v>0</v>
      </c>
      <c r="BV768" s="191">
        <f>IF(AND(Input_Product=Elig!$C768,Elig_MatchAll_Ct&lt;22,$BC768=(Elig_MatchAll_Ct-1),AT768=0),Q768,0)</f>
        <v>0</v>
      </c>
      <c r="BW768" s="273">
        <f>IF(AND(Input_Product=Elig!$C768,Elig_MatchAll_Ct&lt;22,$BC768=(Elig_MatchAll_Ct-1),AU768=0),R768,0)</f>
        <v>0</v>
      </c>
      <c r="BX768" s="274">
        <f>IF(AND(Input_Product=Elig!$C768,Elig_MatchAll_Ct&lt;22,$BC768=(Elig_MatchAll_Ct-1),AU768=0),S768,0)</f>
        <v>0</v>
      </c>
      <c r="BY768" s="273">
        <f>IF(AND(Input_Product=Elig!$C768,Elig_MatchAll_Ct&lt;22,$BC768=(Elig_MatchAll_Ct-1),AV768=0),T768,0)</f>
        <v>0</v>
      </c>
      <c r="BZ768" s="274">
        <f>IF(AND(Input_Product=Elig!$C768,Elig_MatchAll_Ct&lt;22,$BC768=(Elig_MatchAll_Ct-1),AV768=0),U768,0)</f>
        <v>0</v>
      </c>
      <c r="CA768" s="273">
        <f>IF(AND(Input_Product=Elig!$C768,Elig_MatchAll_Ct&lt;22,$BC768=(Elig_MatchAll_Ct-1),AW768=0),V768,0)</f>
        <v>0</v>
      </c>
      <c r="CB768" s="274">
        <f>IF(AND(Input_Product=Elig!$C768,Elig_MatchAll_Ct&lt;22,$BC768=(Elig_MatchAll_Ct-1),AW768=0),W768,0)</f>
        <v>0</v>
      </c>
      <c r="CC768" s="273">
        <f>IF(AND(Input_Product=Elig!$C768,Elig_MatchAll_Ct&lt;22,$BC768=(Elig_MatchAll_Ct-1),AX768=0),X768,0)</f>
        <v>0</v>
      </c>
      <c r="CD768" s="274">
        <f>IF(AND(Input_Product=Elig!$C768,Elig_MatchAll_Ct&lt;22,$BC768=(Elig_MatchAll_Ct-1),AX768=0),Y768,0)</f>
        <v>0</v>
      </c>
      <c r="CE768" s="273">
        <f>IF(AND(Input_LTV&lt;=AE768,Input_Product=Elig!$C768,Elig_MatchAll_Ct&lt;22,$BC768=(Elig_MatchAll_Ct-1),AY768=0),Z768,0)</f>
        <v>0</v>
      </c>
      <c r="CF768" s="274">
        <f>IF(AND(Input_LTV&lt;=AE768,Input_Product=Elig!$C768,Elig_MatchAll_Ct&lt;22,$BC768=(Elig_MatchAll_Ct-1),AY768=0),AA768,0)</f>
        <v>0</v>
      </c>
      <c r="CG768" s="273">
        <f>IF(AND(Input_Product=Elig!$C768,Elig_MatchAll_Ct&lt;22,$BC768=(Elig_MatchAll_Ct-1),AZ768=0),AB768,0)</f>
        <v>0</v>
      </c>
      <c r="CH768" s="274">
        <f>IF(AND(Input_Product=Elig!$C768,Elig_MatchAll_Ct&lt;22,$BC768=(Elig_MatchAll_Ct-1),AZ768=0),AC768,0)</f>
        <v>0</v>
      </c>
      <c r="CI768" s="273">
        <f>IF(AND(Input_Product=Elig!$C768,Elig_MatchAll_Ct&lt;22,$BC768=(Elig_MatchAll_Ct-1),BA768=0),AD768,0)</f>
        <v>0</v>
      </c>
      <c r="CJ768" s="274">
        <f>IF(AND(Input_Product=Elig!$C768,Elig_MatchAll_Ct&lt;22,$BC768=(Elig_MatchAll_Ct-1),BA768=0),AE768,0)</f>
        <v>0</v>
      </c>
    </row>
    <row r="769" spans="1:88" ht="10.15" customHeight="1" x14ac:dyDescent="0.25">
      <c r="A769" s="1484" t="s">
        <v>76</v>
      </c>
      <c r="B769" s="1484" t="s">
        <v>2182</v>
      </c>
      <c r="C769" s="1485" t="str">
        <f t="shared" si="259"/>
        <v>Second NOO</v>
      </c>
      <c r="D769" s="1484" t="s">
        <v>1338</v>
      </c>
      <c r="E769" s="1484" t="s">
        <v>98</v>
      </c>
      <c r="F769" s="1484" t="s">
        <v>329</v>
      </c>
      <c r="G769" s="1544" t="s">
        <v>465</v>
      </c>
      <c r="H769" s="1486" t="s">
        <v>135</v>
      </c>
      <c r="I769" s="1484" t="s">
        <v>1141</v>
      </c>
      <c r="J769" s="1484" t="s">
        <v>1130</v>
      </c>
      <c r="K769" s="1486" t="s">
        <v>2464</v>
      </c>
      <c r="L769" s="1484" t="s">
        <v>428</v>
      </c>
      <c r="M769" s="1484" t="s">
        <v>1835</v>
      </c>
      <c r="N769" s="1486" t="s">
        <v>1844</v>
      </c>
      <c r="O769" s="1484" t="s">
        <v>309</v>
      </c>
      <c r="P769" s="1484" t="s">
        <v>2434</v>
      </c>
      <c r="Q769" s="1484" t="s">
        <v>293</v>
      </c>
      <c r="R769" s="1543">
        <v>500000.01</v>
      </c>
      <c r="S769" s="1543">
        <v>750000</v>
      </c>
      <c r="T769" s="1484">
        <v>0</v>
      </c>
      <c r="U769" s="1484">
        <f t="shared" si="264"/>
        <v>750000</v>
      </c>
      <c r="V769" s="1484">
        <v>0</v>
      </c>
      <c r="W769" s="1484">
        <v>50</v>
      </c>
      <c r="X769" s="1484">
        <v>0</v>
      </c>
      <c r="Y769" s="1484">
        <v>999</v>
      </c>
      <c r="Z769" s="1487">
        <v>700</v>
      </c>
      <c r="AA769" s="1487">
        <v>719</v>
      </c>
      <c r="AB769" s="1487">
        <v>0</v>
      </c>
      <c r="AC769" s="1487">
        <v>999999</v>
      </c>
      <c r="AD769" s="1484">
        <v>0</v>
      </c>
      <c r="AE769" s="1543">
        <v>65</v>
      </c>
      <c r="AF769" s="144">
        <v>1</v>
      </c>
      <c r="AG769" s="145">
        <v>1</v>
      </c>
      <c r="AH769" s="145">
        <v>1</v>
      </c>
      <c r="AI769" s="145">
        <v>1</v>
      </c>
      <c r="AJ769" s="145">
        <v>0</v>
      </c>
      <c r="AK769" s="145">
        <v>1</v>
      </c>
      <c r="AL769" s="145">
        <v>1</v>
      </c>
      <c r="AM769" s="145">
        <v>1</v>
      </c>
      <c r="AN769" s="145">
        <v>1</v>
      </c>
      <c r="AO769" s="145">
        <v>1</v>
      </c>
      <c r="AP769" s="145">
        <v>1</v>
      </c>
      <c r="AQ769" s="145">
        <v>1</v>
      </c>
      <c r="AR769" s="145">
        <v>1</v>
      </c>
      <c r="AS769" s="145">
        <v>1</v>
      </c>
      <c r="AT769" s="145">
        <v>1</v>
      </c>
      <c r="AU769" s="145">
        <f t="shared" si="236"/>
        <v>0</v>
      </c>
      <c r="AV769" s="145">
        <f t="shared" si="237"/>
        <v>1</v>
      </c>
      <c r="AW769" s="145">
        <f t="shared" si="238"/>
        <v>1</v>
      </c>
      <c r="AX769" s="145">
        <f t="shared" si="244"/>
        <v>1</v>
      </c>
      <c r="AY769" s="145">
        <f t="shared" si="239"/>
        <v>0</v>
      </c>
      <c r="AZ769" s="145">
        <f t="shared" si="240"/>
        <v>1</v>
      </c>
      <c r="BA769" s="146">
        <f t="shared" si="241"/>
        <v>0</v>
      </c>
      <c r="BB769" s="149">
        <f t="shared" si="265"/>
        <v>18</v>
      </c>
      <c r="BC769" s="150">
        <f t="shared" si="266"/>
        <v>18</v>
      </c>
      <c r="BD769" s="150">
        <f t="shared" si="267"/>
        <v>17</v>
      </c>
      <c r="BE769" s="211" t="str">
        <f t="shared" si="262"/>
        <v/>
      </c>
      <c r="BF769" s="205"/>
      <c r="BG769" s="205"/>
      <c r="BH769" s="173">
        <f>IF(AND(Input_Product=Elig!$C769,Elig_MatchAll_Ct&lt;22,$BC769=(Elig_MatchAll_Ct-1),AF769=0),C769,0)</f>
        <v>0</v>
      </c>
      <c r="BI769" s="173">
        <f>IF(AND(Input_Product=Elig!$C769,Elig_MatchAll_Ct&lt;22,$BC769=(Elig_MatchAll_Ct-1),AG769=0),D769,0)</f>
        <v>0</v>
      </c>
      <c r="BJ769" s="173">
        <f>IF(AND(Input_Product=Elig!$C769,Elig_MatchAll_Ct&lt;22,$BC769=(Elig_MatchAll_Ct-1),AH769=0),E769,0)</f>
        <v>0</v>
      </c>
      <c r="BK769" s="173">
        <f>IF(AND(Input_Product=Elig!$C769,Elig_MatchAll_Ct&lt;22,$BC769=(Elig_MatchAll_Ct-1),AI769=0),F769,0)</f>
        <v>0</v>
      </c>
      <c r="BL769" s="173">
        <f>IF(AND(Input_Product=Elig!$C769,Elig_MatchAll_Ct&lt;22,$BC769=(Elig_MatchAll_Ct-1),AJ769=0),G769,0)</f>
        <v>0</v>
      </c>
      <c r="BM769" s="173">
        <f>IF(AND(Input_Product=Elig!$C769,Elig_MatchAll_Ct&lt;22,$BC769=(Elig_MatchAll_Ct-1),AK769=0),H769,0)</f>
        <v>0</v>
      </c>
      <c r="BN769" s="173">
        <f>IF(AND(Input_Product=Elig!$C769,Elig_MatchAll_Ct&lt;22,$BC769=(Elig_MatchAll_Ct-1),AL769=0),I769,0)</f>
        <v>0</v>
      </c>
      <c r="BO769" s="173">
        <f>IF(AND(Input_Product=Elig!$C769,Elig_MatchAll_Ct&lt;22,$BC769=(Elig_MatchAll_Ct-1),AM769=0),J769,0)</f>
        <v>0</v>
      </c>
      <c r="BP769" s="173">
        <f>IF(AND(Input_Product=Elig!$C769,Elig_MatchAll_Ct&lt;22,$BC769=(Elig_MatchAll_Ct-1),AN769=0),K769,0)</f>
        <v>0</v>
      </c>
      <c r="BQ769" s="173">
        <f>IF(AND(Input_Product=Elig!$C769,Elig_MatchAll_Ct&lt;22,$BC769=(Elig_MatchAll_Ct-1),AP769=0),L769,0)</f>
        <v>0</v>
      </c>
      <c r="BR769" s="173">
        <f>IF(AND(Input_Product=Elig!$C769,Elig_MatchAll_Ct&lt;22,$BC769=(Elig_MatchAll_Ct-1),AO769=0),M769,0)</f>
        <v>0</v>
      </c>
      <c r="BS769" s="173">
        <f>IF(AND(Input_Product=Elig!$C769,Elig_MatchAll_Ct&lt;22,$BC769=(Elig_MatchAll_Ct-1),AQ769=0),N769,0)</f>
        <v>0</v>
      </c>
      <c r="BT769" s="173">
        <f>IF(AND(Input_Product=Elig!$C769,Elig_MatchAll_Ct&lt;22,$BC769=(Elig_MatchAll_Ct-1),AR769=0),O769,0)</f>
        <v>0</v>
      </c>
      <c r="BU769" s="173">
        <f>IF(AND(Input_Product=Elig!$C769,Elig_MatchAll_Ct&lt;22,$BC769=(Elig_MatchAll_Ct-1),AS769=0),P769,0)</f>
        <v>0</v>
      </c>
      <c r="BV769" s="174">
        <f>IF(AND(Input_Product=Elig!$C769,Elig_MatchAll_Ct&lt;22,$BC769=(Elig_MatchAll_Ct-1),AT769=0),Q769,0)</f>
        <v>0</v>
      </c>
      <c r="BW769" s="175">
        <f>IF(AND(Input_Product=Elig!$C769,Elig_MatchAll_Ct&lt;22,$BC769=(Elig_MatchAll_Ct-1),AU769=0),R769,0)</f>
        <v>0</v>
      </c>
      <c r="BX769" s="176">
        <f>IF(AND(Input_Product=Elig!$C769,Elig_MatchAll_Ct&lt;22,$BC769=(Elig_MatchAll_Ct-1),AU769=0),S769,0)</f>
        <v>0</v>
      </c>
      <c r="BY769" s="175">
        <f>IF(AND(Input_Product=Elig!$C769,Elig_MatchAll_Ct&lt;22,$BC769=(Elig_MatchAll_Ct-1),AV769=0),T769,0)</f>
        <v>0</v>
      </c>
      <c r="BZ769" s="176">
        <f>IF(AND(Input_Product=Elig!$C769,Elig_MatchAll_Ct&lt;22,$BC769=(Elig_MatchAll_Ct-1),AV769=0),U769,0)</f>
        <v>0</v>
      </c>
      <c r="CA769" s="175">
        <f>IF(AND(Input_Product=Elig!$C769,Elig_MatchAll_Ct&lt;22,$BC769=(Elig_MatchAll_Ct-1),AW769=0),V769,0)</f>
        <v>0</v>
      </c>
      <c r="CB769" s="176">
        <f>IF(AND(Input_Product=Elig!$C769,Elig_MatchAll_Ct&lt;22,$BC769=(Elig_MatchAll_Ct-1),AW769=0),W769,0)</f>
        <v>0</v>
      </c>
      <c r="CC769" s="175">
        <f>IF(AND(Input_Product=Elig!$C769,Elig_MatchAll_Ct&lt;22,$BC769=(Elig_MatchAll_Ct-1),AX769=0),X769,0)</f>
        <v>0</v>
      </c>
      <c r="CD769" s="176">
        <f>IF(AND(Input_Product=Elig!$C769,Elig_MatchAll_Ct&lt;22,$BC769=(Elig_MatchAll_Ct-1),AX769=0),Y769,0)</f>
        <v>0</v>
      </c>
      <c r="CE769" s="175">
        <f>IF(AND(Input_LTV&lt;=AE769,Input_Product=Elig!$C769,Elig_MatchAll_Ct&lt;22,$BC769=(Elig_MatchAll_Ct-1),AY769=0),Z769,0)</f>
        <v>0</v>
      </c>
      <c r="CF769" s="176">
        <f>IF(AND(Input_LTV&lt;=AE769,Input_Product=Elig!$C769,Elig_MatchAll_Ct&lt;22,$BC769=(Elig_MatchAll_Ct-1),AY769=0),AA769,0)</f>
        <v>0</v>
      </c>
      <c r="CG769" s="175">
        <f>IF(AND(Input_Product=Elig!$C769,Elig_MatchAll_Ct&lt;22,$BC769=(Elig_MatchAll_Ct-1),AZ769=0),AB769,0)</f>
        <v>0</v>
      </c>
      <c r="CH769" s="176">
        <f>IF(AND(Input_Product=Elig!$C769,Elig_MatchAll_Ct&lt;22,$BC769=(Elig_MatchAll_Ct-1),AZ769=0),AC769,0)</f>
        <v>0</v>
      </c>
      <c r="CI769" s="175">
        <f>IF(AND(Input_Product=Elig!$C769,Elig_MatchAll_Ct&lt;22,$BC769=(Elig_MatchAll_Ct-1),BA769=0),AD769,0)</f>
        <v>0</v>
      </c>
      <c r="CJ769" s="176">
        <f>IF(AND(Input_Product=Elig!$C769,Elig_MatchAll_Ct&lt;22,$BC769=(Elig_MatchAll_Ct-1),BA769=0),AE769,0)</f>
        <v>0</v>
      </c>
    </row>
    <row r="770" spans="1:88" ht="10.15" customHeight="1" x14ac:dyDescent="0.25">
      <c r="A770" s="1484" t="s">
        <v>76</v>
      </c>
      <c r="B770" s="1484" t="s">
        <v>2183</v>
      </c>
      <c r="C770" s="1485" t="str">
        <f t="shared" si="259"/>
        <v>Second NOO</v>
      </c>
      <c r="D770" s="1484" t="s">
        <v>1338</v>
      </c>
      <c r="E770" s="1484" t="s">
        <v>98</v>
      </c>
      <c r="F770" s="1484" t="s">
        <v>329</v>
      </c>
      <c r="G770" s="1544" t="s">
        <v>465</v>
      </c>
      <c r="H770" s="1486" t="s">
        <v>135</v>
      </c>
      <c r="I770" s="1484" t="s">
        <v>1141</v>
      </c>
      <c r="J770" s="1484" t="s">
        <v>1130</v>
      </c>
      <c r="K770" s="1486" t="s">
        <v>2464</v>
      </c>
      <c r="L770" s="1484" t="s">
        <v>428</v>
      </c>
      <c r="M770" s="1484" t="s">
        <v>1835</v>
      </c>
      <c r="N770" s="1486" t="s">
        <v>1844</v>
      </c>
      <c r="O770" s="1484" t="s">
        <v>309</v>
      </c>
      <c r="P770" s="1484" t="s">
        <v>2434</v>
      </c>
      <c r="Q770" s="1484" t="s">
        <v>293</v>
      </c>
      <c r="R770" s="1543">
        <v>500000.01</v>
      </c>
      <c r="S770" s="1543">
        <v>750000</v>
      </c>
      <c r="T770" s="1484">
        <v>0</v>
      </c>
      <c r="U770" s="1484">
        <f t="shared" si="264"/>
        <v>750000</v>
      </c>
      <c r="V770" s="1484">
        <v>0</v>
      </c>
      <c r="W770" s="1484">
        <v>50</v>
      </c>
      <c r="X770" s="1484">
        <v>0</v>
      </c>
      <c r="Y770" s="1484">
        <v>999</v>
      </c>
      <c r="Z770" s="1487">
        <v>680</v>
      </c>
      <c r="AA770" s="1487">
        <v>699</v>
      </c>
      <c r="AB770" s="1487">
        <v>0</v>
      </c>
      <c r="AC770" s="1487">
        <v>999999</v>
      </c>
      <c r="AD770" s="1484">
        <v>0</v>
      </c>
      <c r="AE770" s="1484">
        <v>55</v>
      </c>
      <c r="AF770" s="144">
        <v>1</v>
      </c>
      <c r="AG770" s="145">
        <v>1</v>
      </c>
      <c r="AH770" s="145">
        <v>1</v>
      </c>
      <c r="AI770" s="145">
        <v>1</v>
      </c>
      <c r="AJ770" s="145">
        <v>0</v>
      </c>
      <c r="AK770" s="145">
        <v>1</v>
      </c>
      <c r="AL770" s="145">
        <v>1</v>
      </c>
      <c r="AM770" s="145">
        <v>1</v>
      </c>
      <c r="AN770" s="145">
        <v>1</v>
      </c>
      <c r="AO770" s="145">
        <v>1</v>
      </c>
      <c r="AP770" s="145">
        <v>1</v>
      </c>
      <c r="AQ770" s="145">
        <v>1</v>
      </c>
      <c r="AR770" s="145">
        <v>1</v>
      </c>
      <c r="AS770" s="145">
        <v>1</v>
      </c>
      <c r="AT770" s="145">
        <v>1</v>
      </c>
      <c r="AU770" s="145">
        <f t="shared" si="236"/>
        <v>0</v>
      </c>
      <c r="AV770" s="145">
        <f t="shared" si="237"/>
        <v>1</v>
      </c>
      <c r="AW770" s="145">
        <f t="shared" si="238"/>
        <v>1</v>
      </c>
      <c r="AX770" s="145">
        <f t="shared" si="244"/>
        <v>1</v>
      </c>
      <c r="AY770" s="145">
        <f t="shared" si="239"/>
        <v>0</v>
      </c>
      <c r="AZ770" s="145">
        <f t="shared" si="240"/>
        <v>1</v>
      </c>
      <c r="BA770" s="146">
        <f t="shared" si="241"/>
        <v>0</v>
      </c>
      <c r="BB770" s="149">
        <f t="shared" si="265"/>
        <v>18</v>
      </c>
      <c r="BC770" s="150">
        <f t="shared" si="266"/>
        <v>18</v>
      </c>
      <c r="BD770" s="150">
        <f t="shared" si="267"/>
        <v>17</v>
      </c>
      <c r="BE770" s="211" t="str">
        <f t="shared" si="262"/>
        <v/>
      </c>
      <c r="BF770" s="205"/>
      <c r="BG770" s="205"/>
      <c r="BH770" s="173">
        <f>IF(AND(Input_Product=Elig!$C770,Elig_MatchAll_Ct&lt;22,$BC770=(Elig_MatchAll_Ct-1),AF770=0),C770,0)</f>
        <v>0</v>
      </c>
      <c r="BI770" s="173">
        <f>IF(AND(Input_Product=Elig!$C770,Elig_MatchAll_Ct&lt;22,$BC770=(Elig_MatchAll_Ct-1),AG770=0),D770,0)</f>
        <v>0</v>
      </c>
      <c r="BJ770" s="173">
        <f>IF(AND(Input_Product=Elig!$C770,Elig_MatchAll_Ct&lt;22,$BC770=(Elig_MatchAll_Ct-1),AH770=0),E770,0)</f>
        <v>0</v>
      </c>
      <c r="BK770" s="173">
        <f>IF(AND(Input_Product=Elig!$C770,Elig_MatchAll_Ct&lt;22,$BC770=(Elig_MatchAll_Ct-1),AI770=0),F770,0)</f>
        <v>0</v>
      </c>
      <c r="BL770" s="173">
        <f>IF(AND(Input_Product=Elig!$C770,Elig_MatchAll_Ct&lt;22,$BC770=(Elig_MatchAll_Ct-1),AJ770=0),G770,0)</f>
        <v>0</v>
      </c>
      <c r="BM770" s="173">
        <f>IF(AND(Input_Product=Elig!$C770,Elig_MatchAll_Ct&lt;22,$BC770=(Elig_MatchAll_Ct-1),AK770=0),H770,0)</f>
        <v>0</v>
      </c>
      <c r="BN770" s="173">
        <f>IF(AND(Input_Product=Elig!$C770,Elig_MatchAll_Ct&lt;22,$BC770=(Elig_MatchAll_Ct-1),AL770=0),I770,0)</f>
        <v>0</v>
      </c>
      <c r="BO770" s="173">
        <f>IF(AND(Input_Product=Elig!$C770,Elig_MatchAll_Ct&lt;22,$BC770=(Elig_MatchAll_Ct-1),AM770=0),J770,0)</f>
        <v>0</v>
      </c>
      <c r="BP770" s="173">
        <f>IF(AND(Input_Product=Elig!$C770,Elig_MatchAll_Ct&lt;22,$BC770=(Elig_MatchAll_Ct-1),AN770=0),K770,0)</f>
        <v>0</v>
      </c>
      <c r="BQ770" s="173">
        <f>IF(AND(Input_Product=Elig!$C770,Elig_MatchAll_Ct&lt;22,$BC770=(Elig_MatchAll_Ct-1),AP770=0),L770,0)</f>
        <v>0</v>
      </c>
      <c r="BR770" s="173">
        <f>IF(AND(Input_Product=Elig!$C770,Elig_MatchAll_Ct&lt;22,$BC770=(Elig_MatchAll_Ct-1),AO770=0),M770,0)</f>
        <v>0</v>
      </c>
      <c r="BS770" s="173">
        <f>IF(AND(Input_Product=Elig!$C770,Elig_MatchAll_Ct&lt;22,$BC770=(Elig_MatchAll_Ct-1),AQ770=0),N770,0)</f>
        <v>0</v>
      </c>
      <c r="BT770" s="173">
        <f>IF(AND(Input_Product=Elig!$C770,Elig_MatchAll_Ct&lt;22,$BC770=(Elig_MatchAll_Ct-1),AR770=0),O770,0)</f>
        <v>0</v>
      </c>
      <c r="BU770" s="173">
        <f>IF(AND(Input_Product=Elig!$C770,Elig_MatchAll_Ct&lt;22,$BC770=(Elig_MatchAll_Ct-1),AS770=0),P770,0)</f>
        <v>0</v>
      </c>
      <c r="BV770" s="174">
        <f>IF(AND(Input_Product=Elig!$C770,Elig_MatchAll_Ct&lt;22,$BC770=(Elig_MatchAll_Ct-1),AT770=0),Q770,0)</f>
        <v>0</v>
      </c>
      <c r="BW770" s="175">
        <f>IF(AND(Input_Product=Elig!$C770,Elig_MatchAll_Ct&lt;22,$BC770=(Elig_MatchAll_Ct-1),AU770=0),R770,0)</f>
        <v>0</v>
      </c>
      <c r="BX770" s="176">
        <f>IF(AND(Input_Product=Elig!$C770,Elig_MatchAll_Ct&lt;22,$BC770=(Elig_MatchAll_Ct-1),AU770=0),S770,0)</f>
        <v>0</v>
      </c>
      <c r="BY770" s="175">
        <f>IF(AND(Input_Product=Elig!$C770,Elig_MatchAll_Ct&lt;22,$BC770=(Elig_MatchAll_Ct-1),AV770=0),T770,0)</f>
        <v>0</v>
      </c>
      <c r="BZ770" s="176">
        <f>IF(AND(Input_Product=Elig!$C770,Elig_MatchAll_Ct&lt;22,$BC770=(Elig_MatchAll_Ct-1),AV770=0),U770,0)</f>
        <v>0</v>
      </c>
      <c r="CA770" s="175">
        <f>IF(AND(Input_Product=Elig!$C770,Elig_MatchAll_Ct&lt;22,$BC770=(Elig_MatchAll_Ct-1),AW770=0),V770,0)</f>
        <v>0</v>
      </c>
      <c r="CB770" s="176">
        <f>IF(AND(Input_Product=Elig!$C770,Elig_MatchAll_Ct&lt;22,$BC770=(Elig_MatchAll_Ct-1),AW770=0),W770,0)</f>
        <v>0</v>
      </c>
      <c r="CC770" s="175">
        <f>IF(AND(Input_Product=Elig!$C770,Elig_MatchAll_Ct&lt;22,$BC770=(Elig_MatchAll_Ct-1),AX770=0),X770,0)</f>
        <v>0</v>
      </c>
      <c r="CD770" s="176">
        <f>IF(AND(Input_Product=Elig!$C770,Elig_MatchAll_Ct&lt;22,$BC770=(Elig_MatchAll_Ct-1),AX770=0),Y770,0)</f>
        <v>0</v>
      </c>
      <c r="CE770" s="175">
        <f>IF(AND(Input_LTV&lt;=AE770,Input_Product=Elig!$C770,Elig_MatchAll_Ct&lt;22,$BC770=(Elig_MatchAll_Ct-1),AY770=0),Z770,0)</f>
        <v>0</v>
      </c>
      <c r="CF770" s="176">
        <f>IF(AND(Input_LTV&lt;=AE770,Input_Product=Elig!$C770,Elig_MatchAll_Ct&lt;22,$BC770=(Elig_MatchAll_Ct-1),AY770=0),AA770,0)</f>
        <v>0</v>
      </c>
      <c r="CG770" s="175">
        <f>IF(AND(Input_Product=Elig!$C770,Elig_MatchAll_Ct&lt;22,$BC770=(Elig_MatchAll_Ct-1),AZ770=0),AB770,0)</f>
        <v>0</v>
      </c>
      <c r="CH770" s="176">
        <f>IF(AND(Input_Product=Elig!$C770,Elig_MatchAll_Ct&lt;22,$BC770=(Elig_MatchAll_Ct-1),AZ770=0),AC770,0)</f>
        <v>0</v>
      </c>
      <c r="CI770" s="175">
        <f>IF(AND(Input_Product=Elig!$C770,Elig_MatchAll_Ct&lt;22,$BC770=(Elig_MatchAll_Ct-1),BA770=0),AD770,0)</f>
        <v>0</v>
      </c>
      <c r="CJ770" s="176">
        <f>IF(AND(Input_Product=Elig!$C770,Elig_MatchAll_Ct&lt;22,$BC770=(Elig_MatchAll_Ct-1),BA770=0),AE770,0)</f>
        <v>0</v>
      </c>
    </row>
    <row r="771" spans="1:88" ht="10.15" customHeight="1" x14ac:dyDescent="0.25">
      <c r="A771" s="1484" t="s">
        <v>76</v>
      </c>
      <c r="B771" s="1484" t="s">
        <v>2184</v>
      </c>
      <c r="C771" s="1485" t="str">
        <f t="shared" si="259"/>
        <v>Second NOO</v>
      </c>
      <c r="D771" s="1484" t="s">
        <v>1338</v>
      </c>
      <c r="E771" s="1484" t="s">
        <v>98</v>
      </c>
      <c r="F771" s="1484" t="s">
        <v>329</v>
      </c>
      <c r="G771" s="1545" t="s">
        <v>465</v>
      </c>
      <c r="H771" s="1486" t="s">
        <v>135</v>
      </c>
      <c r="I771" s="1484" t="s">
        <v>1141</v>
      </c>
      <c r="J771" s="1484" t="s">
        <v>1130</v>
      </c>
      <c r="K771" s="1486" t="s">
        <v>2464</v>
      </c>
      <c r="L771" s="1484" t="s">
        <v>428</v>
      </c>
      <c r="M771" s="1484" t="s">
        <v>1835</v>
      </c>
      <c r="N771" s="1486" t="s">
        <v>1844</v>
      </c>
      <c r="O771" s="1484" t="s">
        <v>309</v>
      </c>
      <c r="P771" s="1484" t="s">
        <v>2434</v>
      </c>
      <c r="Q771" s="1484" t="s">
        <v>293</v>
      </c>
      <c r="R771" s="1543">
        <v>500000.01</v>
      </c>
      <c r="S771" s="1543">
        <v>750000</v>
      </c>
      <c r="T771" s="1484">
        <v>0</v>
      </c>
      <c r="U771" s="1484">
        <f t="shared" si="264"/>
        <v>750000</v>
      </c>
      <c r="V771" s="1484">
        <v>0</v>
      </c>
      <c r="W771" s="1484">
        <v>50</v>
      </c>
      <c r="X771" s="1484">
        <v>0</v>
      </c>
      <c r="Y771" s="1484">
        <v>999</v>
      </c>
      <c r="Z771" s="1487">
        <v>660</v>
      </c>
      <c r="AA771" s="1487">
        <v>679</v>
      </c>
      <c r="AB771" s="1487">
        <v>0</v>
      </c>
      <c r="AC771" s="1487">
        <v>999999</v>
      </c>
      <c r="AD771" s="1484">
        <v>0</v>
      </c>
      <c r="AE771" s="1484">
        <v>50</v>
      </c>
      <c r="AF771" s="144">
        <v>1</v>
      </c>
      <c r="AG771" s="145">
        <v>1</v>
      </c>
      <c r="AH771" s="145">
        <v>1</v>
      </c>
      <c r="AI771" s="145">
        <v>1</v>
      </c>
      <c r="AJ771" s="145">
        <v>0</v>
      </c>
      <c r="AK771" s="145">
        <v>1</v>
      </c>
      <c r="AL771" s="145">
        <v>1</v>
      </c>
      <c r="AM771" s="145">
        <v>1</v>
      </c>
      <c r="AN771" s="145">
        <v>1</v>
      </c>
      <c r="AO771" s="145">
        <v>1</v>
      </c>
      <c r="AP771" s="145">
        <v>1</v>
      </c>
      <c r="AQ771" s="145">
        <v>1</v>
      </c>
      <c r="AR771" s="145">
        <v>1</v>
      </c>
      <c r="AS771" s="145">
        <v>1</v>
      </c>
      <c r="AT771" s="145">
        <v>1</v>
      </c>
      <c r="AU771" s="145">
        <f t="shared" si="236"/>
        <v>0</v>
      </c>
      <c r="AV771" s="145">
        <f t="shared" si="237"/>
        <v>1</v>
      </c>
      <c r="AW771" s="145">
        <f t="shared" si="238"/>
        <v>1</v>
      </c>
      <c r="AX771" s="145">
        <f t="shared" si="244"/>
        <v>1</v>
      </c>
      <c r="AY771" s="145">
        <f t="shared" si="239"/>
        <v>0</v>
      </c>
      <c r="AZ771" s="145">
        <f t="shared" si="240"/>
        <v>1</v>
      </c>
      <c r="BA771" s="146">
        <f t="shared" si="241"/>
        <v>0</v>
      </c>
      <c r="BB771" s="149">
        <f t="shared" si="265"/>
        <v>18</v>
      </c>
      <c r="BC771" s="150">
        <f t="shared" si="266"/>
        <v>18</v>
      </c>
      <c r="BD771" s="150">
        <f t="shared" si="267"/>
        <v>17</v>
      </c>
      <c r="BE771" s="211" t="str">
        <f t="shared" si="262"/>
        <v/>
      </c>
      <c r="BF771" s="205"/>
      <c r="BG771" s="205"/>
      <c r="BH771" s="188">
        <f>IF(AND(Input_Product=Elig!$C771,Elig_MatchAll_Ct&lt;22,$BC771=(Elig_MatchAll_Ct-1),AF771=0),C771,0)</f>
        <v>0</v>
      </c>
      <c r="BI771" s="188">
        <f>IF(AND(Input_Product=Elig!$C771,Elig_MatchAll_Ct&lt;22,$BC771=(Elig_MatchAll_Ct-1),AG771=0),D771,0)</f>
        <v>0</v>
      </c>
      <c r="BJ771" s="188">
        <f>IF(AND(Input_Product=Elig!$C771,Elig_MatchAll_Ct&lt;22,$BC771=(Elig_MatchAll_Ct-1),AH771=0),E771,0)</f>
        <v>0</v>
      </c>
      <c r="BK771" s="188">
        <f>IF(AND(Input_Product=Elig!$C771,Elig_MatchAll_Ct&lt;22,$BC771=(Elig_MatchAll_Ct-1),AI771=0),F771,0)</f>
        <v>0</v>
      </c>
      <c r="BL771" s="188">
        <f>IF(AND(Input_Product=Elig!$C771,Elig_MatchAll_Ct&lt;22,$BC771=(Elig_MatchAll_Ct-1),AJ771=0),G771,0)</f>
        <v>0</v>
      </c>
      <c r="BM771" s="188">
        <f>IF(AND(Input_Product=Elig!$C771,Elig_MatchAll_Ct&lt;22,$BC771=(Elig_MatchAll_Ct-1),AK771=0),H771,0)</f>
        <v>0</v>
      </c>
      <c r="BN771" s="188">
        <f>IF(AND(Input_Product=Elig!$C771,Elig_MatchAll_Ct&lt;22,$BC771=(Elig_MatchAll_Ct-1),AL771=0),I771,0)</f>
        <v>0</v>
      </c>
      <c r="BO771" s="188">
        <f>IF(AND(Input_Product=Elig!$C771,Elig_MatchAll_Ct&lt;22,$BC771=(Elig_MatchAll_Ct-1),AM771=0),J771,0)</f>
        <v>0</v>
      </c>
      <c r="BP771" s="188">
        <f>IF(AND(Input_Product=Elig!$C771,Elig_MatchAll_Ct&lt;22,$BC771=(Elig_MatchAll_Ct-1),AN771=0),K771,0)</f>
        <v>0</v>
      </c>
      <c r="BQ771" s="188">
        <f>IF(AND(Input_Product=Elig!$C771,Elig_MatchAll_Ct&lt;22,$BC771=(Elig_MatchAll_Ct-1),AP771=0),L771,0)</f>
        <v>0</v>
      </c>
      <c r="BR771" s="188">
        <f>IF(AND(Input_Product=Elig!$C771,Elig_MatchAll_Ct&lt;22,$BC771=(Elig_MatchAll_Ct-1),AO771=0),M771,0)</f>
        <v>0</v>
      </c>
      <c r="BS771" s="188">
        <f>IF(AND(Input_Product=Elig!$C771,Elig_MatchAll_Ct&lt;22,$BC771=(Elig_MatchAll_Ct-1),AQ771=0),N771,0)</f>
        <v>0</v>
      </c>
      <c r="BT771" s="188">
        <f>IF(AND(Input_Product=Elig!$C771,Elig_MatchAll_Ct&lt;22,$BC771=(Elig_MatchAll_Ct-1),AR771=0),O771,0)</f>
        <v>0</v>
      </c>
      <c r="BU771" s="188">
        <f>IF(AND(Input_Product=Elig!$C771,Elig_MatchAll_Ct&lt;22,$BC771=(Elig_MatchAll_Ct-1),AS771=0),P771,0)</f>
        <v>0</v>
      </c>
      <c r="BV771" s="189">
        <f>IF(AND(Input_Product=Elig!$C771,Elig_MatchAll_Ct&lt;22,$BC771=(Elig_MatchAll_Ct-1),AT771=0),Q771,0)</f>
        <v>0</v>
      </c>
      <c r="BW771" s="271">
        <f>IF(AND(Input_Product=Elig!$C771,Elig_MatchAll_Ct&lt;22,$BC771=(Elig_MatchAll_Ct-1),AU771=0),R771,0)</f>
        <v>0</v>
      </c>
      <c r="BX771" s="272">
        <f>IF(AND(Input_Product=Elig!$C771,Elig_MatchAll_Ct&lt;22,$BC771=(Elig_MatchAll_Ct-1),AU771=0),S771,0)</f>
        <v>0</v>
      </c>
      <c r="BY771" s="271">
        <f>IF(AND(Input_Product=Elig!$C771,Elig_MatchAll_Ct&lt;22,$BC771=(Elig_MatchAll_Ct-1),AV771=0),T771,0)</f>
        <v>0</v>
      </c>
      <c r="BZ771" s="272">
        <f>IF(AND(Input_Product=Elig!$C771,Elig_MatchAll_Ct&lt;22,$BC771=(Elig_MatchAll_Ct-1),AV771=0),U771,0)</f>
        <v>0</v>
      </c>
      <c r="CA771" s="271">
        <f>IF(AND(Input_Product=Elig!$C771,Elig_MatchAll_Ct&lt;22,$BC771=(Elig_MatchAll_Ct-1),AW771=0),V771,0)</f>
        <v>0</v>
      </c>
      <c r="CB771" s="272">
        <f>IF(AND(Input_Product=Elig!$C771,Elig_MatchAll_Ct&lt;22,$BC771=(Elig_MatchAll_Ct-1),AW771=0),W771,0)</f>
        <v>0</v>
      </c>
      <c r="CC771" s="271">
        <f>IF(AND(Input_Product=Elig!$C771,Elig_MatchAll_Ct&lt;22,$BC771=(Elig_MatchAll_Ct-1),AX771=0),X771,0)</f>
        <v>0</v>
      </c>
      <c r="CD771" s="272">
        <f>IF(AND(Input_Product=Elig!$C771,Elig_MatchAll_Ct&lt;22,$BC771=(Elig_MatchAll_Ct-1),AX771=0),Y771,0)</f>
        <v>0</v>
      </c>
      <c r="CE771" s="271">
        <f>IF(AND(Input_LTV&lt;=AE771,Input_Product=Elig!$C771,Elig_MatchAll_Ct&lt;22,$BC771=(Elig_MatchAll_Ct-1),AY771=0),Z771,0)</f>
        <v>0</v>
      </c>
      <c r="CF771" s="272">
        <f>IF(AND(Input_LTV&lt;=AE771,Input_Product=Elig!$C771,Elig_MatchAll_Ct&lt;22,$BC771=(Elig_MatchAll_Ct-1),AY771=0),AA771,0)</f>
        <v>0</v>
      </c>
      <c r="CG771" s="271">
        <f>IF(AND(Input_Product=Elig!$C771,Elig_MatchAll_Ct&lt;22,$BC771=(Elig_MatchAll_Ct-1),AZ771=0),AB771,0)</f>
        <v>0</v>
      </c>
      <c r="CH771" s="272">
        <f>IF(AND(Input_Product=Elig!$C771,Elig_MatchAll_Ct&lt;22,$BC771=(Elig_MatchAll_Ct-1),AZ771=0),AC771,0)</f>
        <v>0</v>
      </c>
      <c r="CI771" s="271">
        <f>IF(AND(Input_Product=Elig!$C771,Elig_MatchAll_Ct&lt;22,$BC771=(Elig_MatchAll_Ct-1),BA771=0),AD771,0)</f>
        <v>0</v>
      </c>
      <c r="CJ771" s="272">
        <f>IF(AND(Input_Product=Elig!$C771,Elig_MatchAll_Ct&lt;22,$BC771=(Elig_MatchAll_Ct-1),BA771=0),AE771,0)</f>
        <v>0</v>
      </c>
    </row>
    <row r="772" spans="1:88" ht="10.15" customHeight="1" x14ac:dyDescent="0.25">
      <c r="A772" s="1484" t="s">
        <v>76</v>
      </c>
      <c r="B772" s="1484" t="s">
        <v>2185</v>
      </c>
      <c r="C772" s="1489" t="str">
        <f t="shared" si="259"/>
        <v>Second NOO</v>
      </c>
      <c r="D772" s="1490" t="s">
        <v>1338</v>
      </c>
      <c r="E772" s="1490" t="s">
        <v>98</v>
      </c>
      <c r="F772" s="1490" t="s">
        <v>329</v>
      </c>
      <c r="G772" s="1537" t="s">
        <v>469</v>
      </c>
      <c r="H772" s="1490" t="s">
        <v>135</v>
      </c>
      <c r="I772" s="1488" t="s">
        <v>1141</v>
      </c>
      <c r="J772" s="1488" t="s">
        <v>1130</v>
      </c>
      <c r="K772" s="1490" t="s">
        <v>2464</v>
      </c>
      <c r="L772" s="1488" t="s">
        <v>428</v>
      </c>
      <c r="M772" s="1488" t="s">
        <v>1835</v>
      </c>
      <c r="N772" s="1490" t="s">
        <v>1844</v>
      </c>
      <c r="O772" s="1488" t="s">
        <v>309</v>
      </c>
      <c r="P772" s="1488" t="s">
        <v>2434</v>
      </c>
      <c r="Q772" s="1488" t="s">
        <v>293</v>
      </c>
      <c r="R772" s="1542">
        <v>500000.01</v>
      </c>
      <c r="S772" s="1542">
        <v>750000</v>
      </c>
      <c r="T772" s="1488">
        <v>0</v>
      </c>
      <c r="U772" s="1488">
        <f t="shared" si="263"/>
        <v>750000</v>
      </c>
      <c r="V772" s="1488">
        <v>0</v>
      </c>
      <c r="W772" s="1488">
        <v>50</v>
      </c>
      <c r="X772" s="1488">
        <v>0</v>
      </c>
      <c r="Y772" s="1488">
        <v>999</v>
      </c>
      <c r="Z772" s="1491">
        <v>720</v>
      </c>
      <c r="AA772" s="1491">
        <v>999</v>
      </c>
      <c r="AB772" s="1491">
        <v>0</v>
      </c>
      <c r="AC772" s="1491">
        <v>999999</v>
      </c>
      <c r="AD772" s="1488">
        <v>0</v>
      </c>
      <c r="AE772" s="1488">
        <v>65</v>
      </c>
      <c r="AF772" s="144">
        <v>1</v>
      </c>
      <c r="AG772" s="145">
        <v>1</v>
      </c>
      <c r="AH772" s="145">
        <v>1</v>
      </c>
      <c r="AI772" s="145">
        <v>1</v>
      </c>
      <c r="AJ772" s="145">
        <v>0</v>
      </c>
      <c r="AK772" s="145">
        <v>1</v>
      </c>
      <c r="AL772" s="145">
        <v>1</v>
      </c>
      <c r="AM772" s="145">
        <v>1</v>
      </c>
      <c r="AN772" s="145">
        <v>1</v>
      </c>
      <c r="AO772" s="145">
        <v>1</v>
      </c>
      <c r="AP772" s="145">
        <v>1</v>
      </c>
      <c r="AQ772" s="145">
        <v>1</v>
      </c>
      <c r="AR772" s="145">
        <v>1</v>
      </c>
      <c r="AS772" s="145">
        <v>1</v>
      </c>
      <c r="AT772" s="145">
        <v>1</v>
      </c>
      <c r="AU772" s="145">
        <f t="shared" si="236"/>
        <v>0</v>
      </c>
      <c r="AV772" s="145">
        <f t="shared" si="237"/>
        <v>1</v>
      </c>
      <c r="AW772" s="145">
        <f t="shared" si="238"/>
        <v>1</v>
      </c>
      <c r="AX772" s="145">
        <f t="shared" si="244"/>
        <v>1</v>
      </c>
      <c r="AY772" s="145">
        <f t="shared" si="239"/>
        <v>1</v>
      </c>
      <c r="AZ772" s="145">
        <f t="shared" si="240"/>
        <v>1</v>
      </c>
      <c r="BA772" s="146">
        <f t="shared" si="241"/>
        <v>0</v>
      </c>
      <c r="BB772" s="149">
        <f t="shared" ref="BB772:BB779" si="268">SUM(AF772:BA772)</f>
        <v>19</v>
      </c>
      <c r="BC772" s="150">
        <f t="shared" ref="BC772:BD779" si="269">SUM(AF772:AZ772)</f>
        <v>19</v>
      </c>
      <c r="BD772" s="150">
        <f t="shared" si="269"/>
        <v>18</v>
      </c>
      <c r="BE772" s="211" t="str">
        <f t="shared" si="262"/>
        <v/>
      </c>
      <c r="BF772" s="194"/>
      <c r="BG772" s="194"/>
      <c r="BH772" s="190">
        <f>IF(AND(Input_Product=Elig!$C772,Elig_MatchAll_Ct&lt;22,$BC772=(Elig_MatchAll_Ct-1),AF772=0),C772,0)</f>
        <v>0</v>
      </c>
      <c r="BI772" s="190">
        <f>IF(AND(Input_Product=Elig!$C772,Elig_MatchAll_Ct&lt;22,$BC772=(Elig_MatchAll_Ct-1),AG772=0),D772,0)</f>
        <v>0</v>
      </c>
      <c r="BJ772" s="190">
        <f>IF(AND(Input_Product=Elig!$C772,Elig_MatchAll_Ct&lt;22,$BC772=(Elig_MatchAll_Ct-1),AH772=0),E772,0)</f>
        <v>0</v>
      </c>
      <c r="BK772" s="190">
        <f>IF(AND(Input_Product=Elig!$C772,Elig_MatchAll_Ct&lt;22,$BC772=(Elig_MatchAll_Ct-1),AI772=0),F772,0)</f>
        <v>0</v>
      </c>
      <c r="BL772" s="190">
        <f>IF(AND(Input_Product=Elig!$C772,Elig_MatchAll_Ct&lt;22,$BC772=(Elig_MatchAll_Ct-1),AJ772=0),G772,0)</f>
        <v>0</v>
      </c>
      <c r="BM772" s="190">
        <f>IF(AND(Input_Product=Elig!$C772,Elig_MatchAll_Ct&lt;22,$BC772=(Elig_MatchAll_Ct-1),AK772=0),H772,0)</f>
        <v>0</v>
      </c>
      <c r="BN772" s="190">
        <f>IF(AND(Input_Product=Elig!$C772,Elig_MatchAll_Ct&lt;22,$BC772=(Elig_MatchAll_Ct-1),AL772=0),I772,0)</f>
        <v>0</v>
      </c>
      <c r="BO772" s="190">
        <f>IF(AND(Input_Product=Elig!$C772,Elig_MatchAll_Ct&lt;22,$BC772=(Elig_MatchAll_Ct-1),AM772=0),J772,0)</f>
        <v>0</v>
      </c>
      <c r="BP772" s="190">
        <f>IF(AND(Input_Product=Elig!$C772,Elig_MatchAll_Ct&lt;22,$BC772=(Elig_MatchAll_Ct-1),AN772=0),K772,0)</f>
        <v>0</v>
      </c>
      <c r="BQ772" s="190">
        <f>IF(AND(Input_Product=Elig!$C772,Elig_MatchAll_Ct&lt;22,$BC772=(Elig_MatchAll_Ct-1),AP772=0),L772,0)</f>
        <v>0</v>
      </c>
      <c r="BR772" s="190">
        <f>IF(AND(Input_Product=Elig!$C772,Elig_MatchAll_Ct&lt;22,$BC772=(Elig_MatchAll_Ct-1),AO772=0),M772,0)</f>
        <v>0</v>
      </c>
      <c r="BS772" s="190">
        <f>IF(AND(Input_Product=Elig!$C772,Elig_MatchAll_Ct&lt;22,$BC772=(Elig_MatchAll_Ct-1),AQ772=0),N772,0)</f>
        <v>0</v>
      </c>
      <c r="BT772" s="190">
        <f>IF(AND(Input_Product=Elig!$C772,Elig_MatchAll_Ct&lt;22,$BC772=(Elig_MatchAll_Ct-1),AR772=0),O772,0)</f>
        <v>0</v>
      </c>
      <c r="BU772" s="190">
        <f>IF(AND(Input_Product=Elig!$C772,Elig_MatchAll_Ct&lt;22,$BC772=(Elig_MatchAll_Ct-1),AS772=0),P772,0)</f>
        <v>0</v>
      </c>
      <c r="BV772" s="191">
        <f>IF(AND(Input_Product=Elig!$C772,Elig_MatchAll_Ct&lt;22,$BC772=(Elig_MatchAll_Ct-1),AT772=0),Q772,0)</f>
        <v>0</v>
      </c>
      <c r="BW772" s="273">
        <f>IF(AND(Input_Product=Elig!$C772,Elig_MatchAll_Ct&lt;22,$BC772=(Elig_MatchAll_Ct-1),AU772=0),R772,0)</f>
        <v>0</v>
      </c>
      <c r="BX772" s="274">
        <f>IF(AND(Input_Product=Elig!$C772,Elig_MatchAll_Ct&lt;22,$BC772=(Elig_MatchAll_Ct-1),AU772=0),S772,0)</f>
        <v>0</v>
      </c>
      <c r="BY772" s="273">
        <f>IF(AND(Input_Product=Elig!$C772,Elig_MatchAll_Ct&lt;22,$BC772=(Elig_MatchAll_Ct-1),AV772=0),T772,0)</f>
        <v>0</v>
      </c>
      <c r="BZ772" s="274">
        <f>IF(AND(Input_Product=Elig!$C772,Elig_MatchAll_Ct&lt;22,$BC772=(Elig_MatchAll_Ct-1),AV772=0),U772,0)</f>
        <v>0</v>
      </c>
      <c r="CA772" s="273">
        <f>IF(AND(Input_Product=Elig!$C772,Elig_MatchAll_Ct&lt;22,$BC772=(Elig_MatchAll_Ct-1),AW772=0),V772,0)</f>
        <v>0</v>
      </c>
      <c r="CB772" s="274">
        <f>IF(AND(Input_Product=Elig!$C772,Elig_MatchAll_Ct&lt;22,$BC772=(Elig_MatchAll_Ct-1),AW772=0),W772,0)</f>
        <v>0</v>
      </c>
      <c r="CC772" s="273">
        <f>IF(AND(Input_Product=Elig!$C772,Elig_MatchAll_Ct&lt;22,$BC772=(Elig_MatchAll_Ct-1),AX772=0),X772,0)</f>
        <v>0</v>
      </c>
      <c r="CD772" s="274">
        <f>IF(AND(Input_Product=Elig!$C772,Elig_MatchAll_Ct&lt;22,$BC772=(Elig_MatchAll_Ct-1),AX772=0),Y772,0)</f>
        <v>0</v>
      </c>
      <c r="CE772" s="273">
        <f>IF(AND(Input_LTV&lt;=AE772,Input_Product=Elig!$C772,Elig_MatchAll_Ct&lt;22,$BC772=(Elig_MatchAll_Ct-1),AY772=0),Z772,0)</f>
        <v>0</v>
      </c>
      <c r="CF772" s="274">
        <f>IF(AND(Input_LTV&lt;=AE772,Input_Product=Elig!$C772,Elig_MatchAll_Ct&lt;22,$BC772=(Elig_MatchAll_Ct-1),AY772=0),AA772,0)</f>
        <v>0</v>
      </c>
      <c r="CG772" s="273">
        <f>IF(AND(Input_Product=Elig!$C772,Elig_MatchAll_Ct&lt;22,$BC772=(Elig_MatchAll_Ct-1),AZ772=0),AB772,0)</f>
        <v>0</v>
      </c>
      <c r="CH772" s="274">
        <f>IF(AND(Input_Product=Elig!$C772,Elig_MatchAll_Ct&lt;22,$BC772=(Elig_MatchAll_Ct-1),AZ772=0),AC772,0)</f>
        <v>0</v>
      </c>
      <c r="CI772" s="273">
        <f>IF(AND(Input_Product=Elig!$C772,Elig_MatchAll_Ct&lt;22,$BC772=(Elig_MatchAll_Ct-1),BA772=0),AD772,0)</f>
        <v>0</v>
      </c>
      <c r="CJ772" s="274">
        <f>IF(AND(Input_Product=Elig!$C772,Elig_MatchAll_Ct&lt;22,$BC772=(Elig_MatchAll_Ct-1),BA772=0),AE772,0)</f>
        <v>0</v>
      </c>
    </row>
    <row r="773" spans="1:88" ht="10.15" customHeight="1" x14ac:dyDescent="0.25">
      <c r="A773" s="1484" t="s">
        <v>76</v>
      </c>
      <c r="B773" s="1484" t="s">
        <v>2186</v>
      </c>
      <c r="C773" s="1485" t="str">
        <f t="shared" si="259"/>
        <v>Second NOO</v>
      </c>
      <c r="D773" s="1484" t="s">
        <v>1338</v>
      </c>
      <c r="E773" s="1484" t="s">
        <v>98</v>
      </c>
      <c r="F773" s="1484" t="s">
        <v>329</v>
      </c>
      <c r="G773" s="1544" t="s">
        <v>469</v>
      </c>
      <c r="H773" s="1486" t="s">
        <v>135</v>
      </c>
      <c r="I773" s="1484" t="s">
        <v>1141</v>
      </c>
      <c r="J773" s="1484" t="s">
        <v>1130</v>
      </c>
      <c r="K773" s="1486" t="s">
        <v>2464</v>
      </c>
      <c r="L773" s="1484" t="s">
        <v>428</v>
      </c>
      <c r="M773" s="1484" t="s">
        <v>1835</v>
      </c>
      <c r="N773" s="1486" t="s">
        <v>1844</v>
      </c>
      <c r="O773" s="1484" t="s">
        <v>309</v>
      </c>
      <c r="P773" s="1484" t="s">
        <v>2434</v>
      </c>
      <c r="Q773" s="1484" t="s">
        <v>293</v>
      </c>
      <c r="R773" s="1543">
        <v>500000.01</v>
      </c>
      <c r="S773" s="1543">
        <v>750000</v>
      </c>
      <c r="T773" s="1484">
        <v>0</v>
      </c>
      <c r="U773" s="1484">
        <f t="shared" si="263"/>
        <v>750000</v>
      </c>
      <c r="V773" s="1484">
        <v>0</v>
      </c>
      <c r="W773" s="1484">
        <v>50</v>
      </c>
      <c r="X773" s="1484">
        <v>0</v>
      </c>
      <c r="Y773" s="1484">
        <v>999</v>
      </c>
      <c r="Z773" s="1487">
        <v>700</v>
      </c>
      <c r="AA773" s="1487">
        <v>719</v>
      </c>
      <c r="AB773" s="1487">
        <v>0</v>
      </c>
      <c r="AC773" s="1487">
        <v>999999</v>
      </c>
      <c r="AD773" s="1484">
        <v>0</v>
      </c>
      <c r="AE773" s="1484">
        <v>60</v>
      </c>
      <c r="AF773" s="144">
        <v>1</v>
      </c>
      <c r="AG773" s="145">
        <v>1</v>
      </c>
      <c r="AH773" s="145">
        <v>1</v>
      </c>
      <c r="AI773" s="145">
        <v>1</v>
      </c>
      <c r="AJ773" s="145">
        <v>0</v>
      </c>
      <c r="AK773" s="145">
        <v>1</v>
      </c>
      <c r="AL773" s="145">
        <v>1</v>
      </c>
      <c r="AM773" s="145">
        <v>1</v>
      </c>
      <c r="AN773" s="145">
        <v>1</v>
      </c>
      <c r="AO773" s="145">
        <v>1</v>
      </c>
      <c r="AP773" s="145">
        <v>1</v>
      </c>
      <c r="AQ773" s="145">
        <v>1</v>
      </c>
      <c r="AR773" s="145">
        <v>1</v>
      </c>
      <c r="AS773" s="145">
        <v>1</v>
      </c>
      <c r="AT773" s="145">
        <v>1</v>
      </c>
      <c r="AU773" s="145">
        <f t="shared" si="236"/>
        <v>0</v>
      </c>
      <c r="AV773" s="145">
        <f t="shared" si="237"/>
        <v>1</v>
      </c>
      <c r="AW773" s="145">
        <f t="shared" si="238"/>
        <v>1</v>
      </c>
      <c r="AX773" s="145">
        <f t="shared" si="244"/>
        <v>1</v>
      </c>
      <c r="AY773" s="145">
        <f t="shared" si="239"/>
        <v>0</v>
      </c>
      <c r="AZ773" s="145">
        <f t="shared" si="240"/>
        <v>1</v>
      </c>
      <c r="BA773" s="146">
        <f t="shared" si="241"/>
        <v>0</v>
      </c>
      <c r="BB773" s="149">
        <f t="shared" si="268"/>
        <v>18</v>
      </c>
      <c r="BC773" s="150">
        <f t="shared" si="269"/>
        <v>18</v>
      </c>
      <c r="BD773" s="150">
        <f t="shared" si="269"/>
        <v>17</v>
      </c>
      <c r="BE773" s="211" t="str">
        <f t="shared" si="262"/>
        <v/>
      </c>
      <c r="BF773" s="205"/>
      <c r="BG773" s="205"/>
      <c r="BH773" s="173">
        <f>IF(AND(Input_Product=Elig!$C773,Elig_MatchAll_Ct&lt;22,$BC773=(Elig_MatchAll_Ct-1),AF773=0),C773,0)</f>
        <v>0</v>
      </c>
      <c r="BI773" s="173">
        <f>IF(AND(Input_Product=Elig!$C773,Elig_MatchAll_Ct&lt;22,$BC773=(Elig_MatchAll_Ct-1),AG773=0),D773,0)</f>
        <v>0</v>
      </c>
      <c r="BJ773" s="173">
        <f>IF(AND(Input_Product=Elig!$C773,Elig_MatchAll_Ct&lt;22,$BC773=(Elig_MatchAll_Ct-1),AH773=0),E773,0)</f>
        <v>0</v>
      </c>
      <c r="BK773" s="173">
        <f>IF(AND(Input_Product=Elig!$C773,Elig_MatchAll_Ct&lt;22,$BC773=(Elig_MatchAll_Ct-1),AI773=0),F773,0)</f>
        <v>0</v>
      </c>
      <c r="BL773" s="173">
        <f>IF(AND(Input_Product=Elig!$C773,Elig_MatchAll_Ct&lt;22,$BC773=(Elig_MatchAll_Ct-1),AJ773=0),G773,0)</f>
        <v>0</v>
      </c>
      <c r="BM773" s="173">
        <f>IF(AND(Input_Product=Elig!$C773,Elig_MatchAll_Ct&lt;22,$BC773=(Elig_MatchAll_Ct-1),AK773=0),H773,0)</f>
        <v>0</v>
      </c>
      <c r="BN773" s="173">
        <f>IF(AND(Input_Product=Elig!$C773,Elig_MatchAll_Ct&lt;22,$BC773=(Elig_MatchAll_Ct-1),AL773=0),I773,0)</f>
        <v>0</v>
      </c>
      <c r="BO773" s="173">
        <f>IF(AND(Input_Product=Elig!$C773,Elig_MatchAll_Ct&lt;22,$BC773=(Elig_MatchAll_Ct-1),AM773=0),J773,0)</f>
        <v>0</v>
      </c>
      <c r="BP773" s="173">
        <f>IF(AND(Input_Product=Elig!$C773,Elig_MatchAll_Ct&lt;22,$BC773=(Elig_MatchAll_Ct-1),AN773=0),K773,0)</f>
        <v>0</v>
      </c>
      <c r="BQ773" s="173">
        <f>IF(AND(Input_Product=Elig!$C773,Elig_MatchAll_Ct&lt;22,$BC773=(Elig_MatchAll_Ct-1),AP773=0),L773,0)</f>
        <v>0</v>
      </c>
      <c r="BR773" s="173">
        <f>IF(AND(Input_Product=Elig!$C773,Elig_MatchAll_Ct&lt;22,$BC773=(Elig_MatchAll_Ct-1),AO773=0),M773,0)</f>
        <v>0</v>
      </c>
      <c r="BS773" s="173">
        <f>IF(AND(Input_Product=Elig!$C773,Elig_MatchAll_Ct&lt;22,$BC773=(Elig_MatchAll_Ct-1),AQ773=0),N773,0)</f>
        <v>0</v>
      </c>
      <c r="BT773" s="173">
        <f>IF(AND(Input_Product=Elig!$C773,Elig_MatchAll_Ct&lt;22,$BC773=(Elig_MatchAll_Ct-1),AR773=0),O773,0)</f>
        <v>0</v>
      </c>
      <c r="BU773" s="173">
        <f>IF(AND(Input_Product=Elig!$C773,Elig_MatchAll_Ct&lt;22,$BC773=(Elig_MatchAll_Ct-1),AS773=0),P773,0)</f>
        <v>0</v>
      </c>
      <c r="BV773" s="174">
        <f>IF(AND(Input_Product=Elig!$C773,Elig_MatchAll_Ct&lt;22,$BC773=(Elig_MatchAll_Ct-1),AT773=0),Q773,0)</f>
        <v>0</v>
      </c>
      <c r="BW773" s="175">
        <f>IF(AND(Input_Product=Elig!$C773,Elig_MatchAll_Ct&lt;22,$BC773=(Elig_MatchAll_Ct-1),AU773=0),R773,0)</f>
        <v>0</v>
      </c>
      <c r="BX773" s="176">
        <f>IF(AND(Input_Product=Elig!$C773,Elig_MatchAll_Ct&lt;22,$BC773=(Elig_MatchAll_Ct-1),AU773=0),S773,0)</f>
        <v>0</v>
      </c>
      <c r="BY773" s="175">
        <f>IF(AND(Input_Product=Elig!$C773,Elig_MatchAll_Ct&lt;22,$BC773=(Elig_MatchAll_Ct-1),AV773=0),T773,0)</f>
        <v>0</v>
      </c>
      <c r="BZ773" s="176">
        <f>IF(AND(Input_Product=Elig!$C773,Elig_MatchAll_Ct&lt;22,$BC773=(Elig_MatchAll_Ct-1),AV773=0),U773,0)</f>
        <v>0</v>
      </c>
      <c r="CA773" s="175">
        <f>IF(AND(Input_Product=Elig!$C773,Elig_MatchAll_Ct&lt;22,$BC773=(Elig_MatchAll_Ct-1),AW773=0),V773,0)</f>
        <v>0</v>
      </c>
      <c r="CB773" s="176">
        <f>IF(AND(Input_Product=Elig!$C773,Elig_MatchAll_Ct&lt;22,$BC773=(Elig_MatchAll_Ct-1),AW773=0),W773,0)</f>
        <v>0</v>
      </c>
      <c r="CC773" s="175">
        <f>IF(AND(Input_Product=Elig!$C773,Elig_MatchAll_Ct&lt;22,$BC773=(Elig_MatchAll_Ct-1),AX773=0),X773,0)</f>
        <v>0</v>
      </c>
      <c r="CD773" s="176">
        <f>IF(AND(Input_Product=Elig!$C773,Elig_MatchAll_Ct&lt;22,$BC773=(Elig_MatchAll_Ct-1),AX773=0),Y773,0)</f>
        <v>0</v>
      </c>
      <c r="CE773" s="175">
        <f>IF(AND(Input_LTV&lt;=AE773,Input_Product=Elig!$C773,Elig_MatchAll_Ct&lt;22,$BC773=(Elig_MatchAll_Ct-1),AY773=0),Z773,0)</f>
        <v>0</v>
      </c>
      <c r="CF773" s="176">
        <f>IF(AND(Input_LTV&lt;=AE773,Input_Product=Elig!$C773,Elig_MatchAll_Ct&lt;22,$BC773=(Elig_MatchAll_Ct-1),AY773=0),AA773,0)</f>
        <v>0</v>
      </c>
      <c r="CG773" s="175">
        <f>IF(AND(Input_Product=Elig!$C773,Elig_MatchAll_Ct&lt;22,$BC773=(Elig_MatchAll_Ct-1),AZ773=0),AB773,0)</f>
        <v>0</v>
      </c>
      <c r="CH773" s="176">
        <f>IF(AND(Input_Product=Elig!$C773,Elig_MatchAll_Ct&lt;22,$BC773=(Elig_MatchAll_Ct-1),AZ773=0),AC773,0)</f>
        <v>0</v>
      </c>
      <c r="CI773" s="175">
        <f>IF(AND(Input_Product=Elig!$C773,Elig_MatchAll_Ct&lt;22,$BC773=(Elig_MatchAll_Ct-1),BA773=0),AD773,0)</f>
        <v>0</v>
      </c>
      <c r="CJ773" s="176">
        <f>IF(AND(Input_Product=Elig!$C773,Elig_MatchAll_Ct&lt;22,$BC773=(Elig_MatchAll_Ct-1),BA773=0),AE773,0)</f>
        <v>0</v>
      </c>
    </row>
    <row r="774" spans="1:88" ht="10.15" customHeight="1" x14ac:dyDescent="0.25">
      <c r="A774" s="1484" t="s">
        <v>76</v>
      </c>
      <c r="B774" s="1484" t="s">
        <v>2187</v>
      </c>
      <c r="C774" s="1485" t="str">
        <f t="shared" si="259"/>
        <v>Second NOO</v>
      </c>
      <c r="D774" s="1484" t="s">
        <v>1338</v>
      </c>
      <c r="E774" s="1484" t="s">
        <v>98</v>
      </c>
      <c r="F774" s="1484" t="s">
        <v>329</v>
      </c>
      <c r="G774" s="1544" t="s">
        <v>469</v>
      </c>
      <c r="H774" s="1486" t="s">
        <v>135</v>
      </c>
      <c r="I774" s="1484" t="s">
        <v>1141</v>
      </c>
      <c r="J774" s="1484" t="s">
        <v>1130</v>
      </c>
      <c r="K774" s="1486" t="s">
        <v>2464</v>
      </c>
      <c r="L774" s="1484" t="s">
        <v>428</v>
      </c>
      <c r="M774" s="1484" t="s">
        <v>1835</v>
      </c>
      <c r="N774" s="1486" t="s">
        <v>1844</v>
      </c>
      <c r="O774" s="1484" t="s">
        <v>309</v>
      </c>
      <c r="P774" s="1484" t="s">
        <v>2434</v>
      </c>
      <c r="Q774" s="1484" t="s">
        <v>293</v>
      </c>
      <c r="R774" s="1543">
        <v>500000.01</v>
      </c>
      <c r="S774" s="1543">
        <v>750000</v>
      </c>
      <c r="T774" s="1484">
        <v>0</v>
      </c>
      <c r="U774" s="1484">
        <f t="shared" si="263"/>
        <v>750000</v>
      </c>
      <c r="V774" s="1484">
        <v>0</v>
      </c>
      <c r="W774" s="1484">
        <v>50</v>
      </c>
      <c r="X774" s="1484">
        <v>0</v>
      </c>
      <c r="Y774" s="1484">
        <v>999</v>
      </c>
      <c r="Z774" s="1487">
        <v>680</v>
      </c>
      <c r="AA774" s="1487">
        <v>699</v>
      </c>
      <c r="AB774" s="1487">
        <v>0</v>
      </c>
      <c r="AC774" s="1487">
        <v>999999</v>
      </c>
      <c r="AD774" s="1484">
        <v>0</v>
      </c>
      <c r="AE774" s="1484">
        <v>55</v>
      </c>
      <c r="AF774" s="144">
        <v>1</v>
      </c>
      <c r="AG774" s="145">
        <v>1</v>
      </c>
      <c r="AH774" s="145">
        <v>1</v>
      </c>
      <c r="AI774" s="145">
        <v>1</v>
      </c>
      <c r="AJ774" s="145">
        <v>0</v>
      </c>
      <c r="AK774" s="145">
        <v>1</v>
      </c>
      <c r="AL774" s="145">
        <v>1</v>
      </c>
      <c r="AM774" s="145">
        <v>1</v>
      </c>
      <c r="AN774" s="145">
        <v>1</v>
      </c>
      <c r="AO774" s="145">
        <v>1</v>
      </c>
      <c r="AP774" s="145">
        <v>1</v>
      </c>
      <c r="AQ774" s="145">
        <v>1</v>
      </c>
      <c r="AR774" s="145">
        <v>1</v>
      </c>
      <c r="AS774" s="145">
        <v>1</v>
      </c>
      <c r="AT774" s="145">
        <v>1</v>
      </c>
      <c r="AU774" s="145">
        <f t="shared" si="236"/>
        <v>0</v>
      </c>
      <c r="AV774" s="145">
        <f t="shared" si="237"/>
        <v>1</v>
      </c>
      <c r="AW774" s="145">
        <f t="shared" si="238"/>
        <v>1</v>
      </c>
      <c r="AX774" s="145">
        <f t="shared" si="244"/>
        <v>1</v>
      </c>
      <c r="AY774" s="145">
        <f t="shared" si="239"/>
        <v>0</v>
      </c>
      <c r="AZ774" s="145">
        <f t="shared" si="240"/>
        <v>1</v>
      </c>
      <c r="BA774" s="146">
        <f t="shared" si="241"/>
        <v>0</v>
      </c>
      <c r="BB774" s="149">
        <f t="shared" si="268"/>
        <v>18</v>
      </c>
      <c r="BC774" s="150">
        <f t="shared" si="269"/>
        <v>18</v>
      </c>
      <c r="BD774" s="150">
        <f t="shared" si="269"/>
        <v>17</v>
      </c>
      <c r="BE774" s="211" t="str">
        <f t="shared" si="262"/>
        <v/>
      </c>
      <c r="BF774" s="205"/>
      <c r="BG774" s="205"/>
      <c r="BH774" s="173">
        <f>IF(AND(Input_Product=Elig!$C774,Elig_MatchAll_Ct&lt;22,$BC774=(Elig_MatchAll_Ct-1),AF774=0),C774,0)</f>
        <v>0</v>
      </c>
      <c r="BI774" s="173">
        <f>IF(AND(Input_Product=Elig!$C774,Elig_MatchAll_Ct&lt;22,$BC774=(Elig_MatchAll_Ct-1),AG774=0),D774,0)</f>
        <v>0</v>
      </c>
      <c r="BJ774" s="173">
        <f>IF(AND(Input_Product=Elig!$C774,Elig_MatchAll_Ct&lt;22,$BC774=(Elig_MatchAll_Ct-1),AH774=0),E774,0)</f>
        <v>0</v>
      </c>
      <c r="BK774" s="173">
        <f>IF(AND(Input_Product=Elig!$C774,Elig_MatchAll_Ct&lt;22,$BC774=(Elig_MatchAll_Ct-1),AI774=0),F774,0)</f>
        <v>0</v>
      </c>
      <c r="BL774" s="173">
        <f>IF(AND(Input_Product=Elig!$C774,Elig_MatchAll_Ct&lt;22,$BC774=(Elig_MatchAll_Ct-1),AJ774=0),G774,0)</f>
        <v>0</v>
      </c>
      <c r="BM774" s="173">
        <f>IF(AND(Input_Product=Elig!$C774,Elig_MatchAll_Ct&lt;22,$BC774=(Elig_MatchAll_Ct-1),AK774=0),H774,0)</f>
        <v>0</v>
      </c>
      <c r="BN774" s="173">
        <f>IF(AND(Input_Product=Elig!$C774,Elig_MatchAll_Ct&lt;22,$BC774=(Elig_MatchAll_Ct-1),AL774=0),I774,0)</f>
        <v>0</v>
      </c>
      <c r="BO774" s="173">
        <f>IF(AND(Input_Product=Elig!$C774,Elig_MatchAll_Ct&lt;22,$BC774=(Elig_MatchAll_Ct-1),AM774=0),J774,0)</f>
        <v>0</v>
      </c>
      <c r="BP774" s="173">
        <f>IF(AND(Input_Product=Elig!$C774,Elig_MatchAll_Ct&lt;22,$BC774=(Elig_MatchAll_Ct-1),AN774=0),K774,0)</f>
        <v>0</v>
      </c>
      <c r="BQ774" s="173">
        <f>IF(AND(Input_Product=Elig!$C774,Elig_MatchAll_Ct&lt;22,$BC774=(Elig_MatchAll_Ct-1),AP774=0),L774,0)</f>
        <v>0</v>
      </c>
      <c r="BR774" s="173">
        <f>IF(AND(Input_Product=Elig!$C774,Elig_MatchAll_Ct&lt;22,$BC774=(Elig_MatchAll_Ct-1),AO774=0),M774,0)</f>
        <v>0</v>
      </c>
      <c r="BS774" s="173">
        <f>IF(AND(Input_Product=Elig!$C774,Elig_MatchAll_Ct&lt;22,$BC774=(Elig_MatchAll_Ct-1),AQ774=0),N774,0)</f>
        <v>0</v>
      </c>
      <c r="BT774" s="173">
        <f>IF(AND(Input_Product=Elig!$C774,Elig_MatchAll_Ct&lt;22,$BC774=(Elig_MatchAll_Ct-1),AR774=0),O774,0)</f>
        <v>0</v>
      </c>
      <c r="BU774" s="173">
        <f>IF(AND(Input_Product=Elig!$C774,Elig_MatchAll_Ct&lt;22,$BC774=(Elig_MatchAll_Ct-1),AS774=0),P774,0)</f>
        <v>0</v>
      </c>
      <c r="BV774" s="174">
        <f>IF(AND(Input_Product=Elig!$C774,Elig_MatchAll_Ct&lt;22,$BC774=(Elig_MatchAll_Ct-1),AT774=0),Q774,0)</f>
        <v>0</v>
      </c>
      <c r="BW774" s="175">
        <f>IF(AND(Input_Product=Elig!$C774,Elig_MatchAll_Ct&lt;22,$BC774=(Elig_MatchAll_Ct-1),AU774=0),R774,0)</f>
        <v>0</v>
      </c>
      <c r="BX774" s="176">
        <f>IF(AND(Input_Product=Elig!$C774,Elig_MatchAll_Ct&lt;22,$BC774=(Elig_MatchAll_Ct-1),AU774=0),S774,0)</f>
        <v>0</v>
      </c>
      <c r="BY774" s="175">
        <f>IF(AND(Input_Product=Elig!$C774,Elig_MatchAll_Ct&lt;22,$BC774=(Elig_MatchAll_Ct-1),AV774=0),T774,0)</f>
        <v>0</v>
      </c>
      <c r="BZ774" s="176">
        <f>IF(AND(Input_Product=Elig!$C774,Elig_MatchAll_Ct&lt;22,$BC774=(Elig_MatchAll_Ct-1),AV774=0),U774,0)</f>
        <v>0</v>
      </c>
      <c r="CA774" s="175">
        <f>IF(AND(Input_Product=Elig!$C774,Elig_MatchAll_Ct&lt;22,$BC774=(Elig_MatchAll_Ct-1),AW774=0),V774,0)</f>
        <v>0</v>
      </c>
      <c r="CB774" s="176">
        <f>IF(AND(Input_Product=Elig!$C774,Elig_MatchAll_Ct&lt;22,$BC774=(Elig_MatchAll_Ct-1),AW774=0),W774,0)</f>
        <v>0</v>
      </c>
      <c r="CC774" s="175">
        <f>IF(AND(Input_Product=Elig!$C774,Elig_MatchAll_Ct&lt;22,$BC774=(Elig_MatchAll_Ct-1),AX774=0),X774,0)</f>
        <v>0</v>
      </c>
      <c r="CD774" s="176">
        <f>IF(AND(Input_Product=Elig!$C774,Elig_MatchAll_Ct&lt;22,$BC774=(Elig_MatchAll_Ct-1),AX774=0),Y774,0)</f>
        <v>0</v>
      </c>
      <c r="CE774" s="175">
        <f>IF(AND(Input_LTV&lt;=AE774,Input_Product=Elig!$C774,Elig_MatchAll_Ct&lt;22,$BC774=(Elig_MatchAll_Ct-1),AY774=0),Z774,0)</f>
        <v>0</v>
      </c>
      <c r="CF774" s="176">
        <f>IF(AND(Input_LTV&lt;=AE774,Input_Product=Elig!$C774,Elig_MatchAll_Ct&lt;22,$BC774=(Elig_MatchAll_Ct-1),AY774=0),AA774,0)</f>
        <v>0</v>
      </c>
      <c r="CG774" s="175">
        <f>IF(AND(Input_Product=Elig!$C774,Elig_MatchAll_Ct&lt;22,$BC774=(Elig_MatchAll_Ct-1),AZ774=0),AB774,0)</f>
        <v>0</v>
      </c>
      <c r="CH774" s="176">
        <f>IF(AND(Input_Product=Elig!$C774,Elig_MatchAll_Ct&lt;22,$BC774=(Elig_MatchAll_Ct-1),AZ774=0),AC774,0)</f>
        <v>0</v>
      </c>
      <c r="CI774" s="175">
        <f>IF(AND(Input_Product=Elig!$C774,Elig_MatchAll_Ct&lt;22,$BC774=(Elig_MatchAll_Ct-1),BA774=0),AD774,0)</f>
        <v>0</v>
      </c>
      <c r="CJ774" s="176">
        <f>IF(AND(Input_Product=Elig!$C774,Elig_MatchAll_Ct&lt;22,$BC774=(Elig_MatchAll_Ct-1),BA774=0),AE774,0)</f>
        <v>0</v>
      </c>
    </row>
    <row r="775" spans="1:88" ht="10.15" customHeight="1" x14ac:dyDescent="0.25">
      <c r="A775" s="1484" t="s">
        <v>76</v>
      </c>
      <c r="B775" s="1484" t="s">
        <v>2188</v>
      </c>
      <c r="C775" s="1485" t="str">
        <f t="shared" si="259"/>
        <v>Second NOO</v>
      </c>
      <c r="D775" s="1484" t="s">
        <v>1338</v>
      </c>
      <c r="E775" s="1484" t="s">
        <v>98</v>
      </c>
      <c r="F775" s="1484" t="s">
        <v>329</v>
      </c>
      <c r="G775" s="1545" t="s">
        <v>469</v>
      </c>
      <c r="H775" s="1486" t="s">
        <v>135</v>
      </c>
      <c r="I775" s="1484" t="s">
        <v>1141</v>
      </c>
      <c r="J775" s="1484" t="s">
        <v>1130</v>
      </c>
      <c r="K775" s="1486" t="s">
        <v>2464</v>
      </c>
      <c r="L775" s="1484" t="s">
        <v>428</v>
      </c>
      <c r="M775" s="1484" t="s">
        <v>1835</v>
      </c>
      <c r="N775" s="1486" t="s">
        <v>1844</v>
      </c>
      <c r="O775" s="1484" t="s">
        <v>309</v>
      </c>
      <c r="P775" s="1484" t="s">
        <v>2434</v>
      </c>
      <c r="Q775" s="1484" t="s">
        <v>293</v>
      </c>
      <c r="R775" s="1543">
        <v>500000.01</v>
      </c>
      <c r="S775" s="1543">
        <v>750000</v>
      </c>
      <c r="T775" s="1484">
        <v>0</v>
      </c>
      <c r="U775" s="1484">
        <f t="shared" si="263"/>
        <v>750000</v>
      </c>
      <c r="V775" s="1484">
        <v>0</v>
      </c>
      <c r="W775" s="1484">
        <v>50</v>
      </c>
      <c r="X775" s="1484">
        <v>0</v>
      </c>
      <c r="Y775" s="1484">
        <v>999</v>
      </c>
      <c r="Z775" s="1487">
        <v>660</v>
      </c>
      <c r="AA775" s="1487">
        <v>679</v>
      </c>
      <c r="AB775" s="1487">
        <v>0</v>
      </c>
      <c r="AC775" s="1487">
        <v>999999</v>
      </c>
      <c r="AD775" s="1484">
        <v>0</v>
      </c>
      <c r="AE775" s="1484">
        <v>50</v>
      </c>
      <c r="AF775" s="144">
        <v>1</v>
      </c>
      <c r="AG775" s="145">
        <v>1</v>
      </c>
      <c r="AH775" s="145">
        <v>1</v>
      </c>
      <c r="AI775" s="145">
        <v>1</v>
      </c>
      <c r="AJ775" s="145">
        <v>0</v>
      </c>
      <c r="AK775" s="145">
        <v>1</v>
      </c>
      <c r="AL775" s="145">
        <v>1</v>
      </c>
      <c r="AM775" s="145">
        <v>1</v>
      </c>
      <c r="AN775" s="145">
        <v>1</v>
      </c>
      <c r="AO775" s="145">
        <v>1</v>
      </c>
      <c r="AP775" s="145">
        <v>1</v>
      </c>
      <c r="AQ775" s="145">
        <v>1</v>
      </c>
      <c r="AR775" s="145">
        <v>1</v>
      </c>
      <c r="AS775" s="145">
        <v>1</v>
      </c>
      <c r="AT775" s="145">
        <v>1</v>
      </c>
      <c r="AU775" s="145">
        <f t="shared" si="236"/>
        <v>0</v>
      </c>
      <c r="AV775" s="145">
        <f t="shared" si="237"/>
        <v>1</v>
      </c>
      <c r="AW775" s="145">
        <f t="shared" si="238"/>
        <v>1</v>
      </c>
      <c r="AX775" s="145">
        <f t="shared" si="244"/>
        <v>1</v>
      </c>
      <c r="AY775" s="145">
        <f t="shared" si="239"/>
        <v>0</v>
      </c>
      <c r="AZ775" s="145">
        <f t="shared" si="240"/>
        <v>1</v>
      </c>
      <c r="BA775" s="146">
        <f t="shared" si="241"/>
        <v>0</v>
      </c>
      <c r="BB775" s="149">
        <f t="shared" si="268"/>
        <v>18</v>
      </c>
      <c r="BC775" s="150">
        <f t="shared" si="269"/>
        <v>18</v>
      </c>
      <c r="BD775" s="150">
        <f t="shared" si="269"/>
        <v>17</v>
      </c>
      <c r="BE775" s="211" t="str">
        <f t="shared" si="262"/>
        <v/>
      </c>
      <c r="BF775" s="205"/>
      <c r="BG775" s="205"/>
      <c r="BH775" s="188">
        <f>IF(AND(Input_Product=Elig!$C775,Elig_MatchAll_Ct&lt;22,$BC775=(Elig_MatchAll_Ct-1),AF775=0),C775,0)</f>
        <v>0</v>
      </c>
      <c r="BI775" s="188">
        <f>IF(AND(Input_Product=Elig!$C775,Elig_MatchAll_Ct&lt;22,$BC775=(Elig_MatchAll_Ct-1),AG775=0),D775,0)</f>
        <v>0</v>
      </c>
      <c r="BJ775" s="188">
        <f>IF(AND(Input_Product=Elig!$C775,Elig_MatchAll_Ct&lt;22,$BC775=(Elig_MatchAll_Ct-1),AH775=0),E775,0)</f>
        <v>0</v>
      </c>
      <c r="BK775" s="188">
        <f>IF(AND(Input_Product=Elig!$C775,Elig_MatchAll_Ct&lt;22,$BC775=(Elig_MatchAll_Ct-1),AI775=0),F775,0)</f>
        <v>0</v>
      </c>
      <c r="BL775" s="188">
        <f>IF(AND(Input_Product=Elig!$C775,Elig_MatchAll_Ct&lt;22,$BC775=(Elig_MatchAll_Ct-1),AJ775=0),G775,0)</f>
        <v>0</v>
      </c>
      <c r="BM775" s="188">
        <f>IF(AND(Input_Product=Elig!$C775,Elig_MatchAll_Ct&lt;22,$BC775=(Elig_MatchAll_Ct-1),AK775=0),H775,0)</f>
        <v>0</v>
      </c>
      <c r="BN775" s="188">
        <f>IF(AND(Input_Product=Elig!$C775,Elig_MatchAll_Ct&lt;22,$BC775=(Elig_MatchAll_Ct-1),AL775=0),I775,0)</f>
        <v>0</v>
      </c>
      <c r="BO775" s="188">
        <f>IF(AND(Input_Product=Elig!$C775,Elig_MatchAll_Ct&lt;22,$BC775=(Elig_MatchAll_Ct-1),AM775=0),J775,0)</f>
        <v>0</v>
      </c>
      <c r="BP775" s="188">
        <f>IF(AND(Input_Product=Elig!$C775,Elig_MatchAll_Ct&lt;22,$BC775=(Elig_MatchAll_Ct-1),AN775=0),K775,0)</f>
        <v>0</v>
      </c>
      <c r="BQ775" s="188">
        <f>IF(AND(Input_Product=Elig!$C775,Elig_MatchAll_Ct&lt;22,$BC775=(Elig_MatchAll_Ct-1),AP775=0),L775,0)</f>
        <v>0</v>
      </c>
      <c r="BR775" s="188">
        <f>IF(AND(Input_Product=Elig!$C775,Elig_MatchAll_Ct&lt;22,$BC775=(Elig_MatchAll_Ct-1),AO775=0),M775,0)</f>
        <v>0</v>
      </c>
      <c r="BS775" s="188">
        <f>IF(AND(Input_Product=Elig!$C775,Elig_MatchAll_Ct&lt;22,$BC775=(Elig_MatchAll_Ct-1),AQ775=0),N775,0)</f>
        <v>0</v>
      </c>
      <c r="BT775" s="188">
        <f>IF(AND(Input_Product=Elig!$C775,Elig_MatchAll_Ct&lt;22,$BC775=(Elig_MatchAll_Ct-1),AR775=0),O775,0)</f>
        <v>0</v>
      </c>
      <c r="BU775" s="188">
        <f>IF(AND(Input_Product=Elig!$C775,Elig_MatchAll_Ct&lt;22,$BC775=(Elig_MatchAll_Ct-1),AS775=0),P775,0)</f>
        <v>0</v>
      </c>
      <c r="BV775" s="189">
        <f>IF(AND(Input_Product=Elig!$C775,Elig_MatchAll_Ct&lt;22,$BC775=(Elig_MatchAll_Ct-1),AT775=0),Q775,0)</f>
        <v>0</v>
      </c>
      <c r="BW775" s="271">
        <f>IF(AND(Input_Product=Elig!$C775,Elig_MatchAll_Ct&lt;22,$BC775=(Elig_MatchAll_Ct-1),AU775=0),R775,0)</f>
        <v>0</v>
      </c>
      <c r="BX775" s="272">
        <f>IF(AND(Input_Product=Elig!$C775,Elig_MatchAll_Ct&lt;22,$BC775=(Elig_MatchAll_Ct-1),AU775=0),S775,0)</f>
        <v>0</v>
      </c>
      <c r="BY775" s="271">
        <f>IF(AND(Input_Product=Elig!$C775,Elig_MatchAll_Ct&lt;22,$BC775=(Elig_MatchAll_Ct-1),AV775=0),T775,0)</f>
        <v>0</v>
      </c>
      <c r="BZ775" s="272">
        <f>IF(AND(Input_Product=Elig!$C775,Elig_MatchAll_Ct&lt;22,$BC775=(Elig_MatchAll_Ct-1),AV775=0),U775,0)</f>
        <v>0</v>
      </c>
      <c r="CA775" s="271">
        <f>IF(AND(Input_Product=Elig!$C775,Elig_MatchAll_Ct&lt;22,$BC775=(Elig_MatchAll_Ct-1),AW775=0),V775,0)</f>
        <v>0</v>
      </c>
      <c r="CB775" s="272">
        <f>IF(AND(Input_Product=Elig!$C775,Elig_MatchAll_Ct&lt;22,$BC775=(Elig_MatchAll_Ct-1),AW775=0),W775,0)</f>
        <v>0</v>
      </c>
      <c r="CC775" s="271">
        <f>IF(AND(Input_Product=Elig!$C775,Elig_MatchAll_Ct&lt;22,$BC775=(Elig_MatchAll_Ct-1),AX775=0),X775,0)</f>
        <v>0</v>
      </c>
      <c r="CD775" s="272">
        <f>IF(AND(Input_Product=Elig!$C775,Elig_MatchAll_Ct&lt;22,$BC775=(Elig_MatchAll_Ct-1),AX775=0),Y775,0)</f>
        <v>0</v>
      </c>
      <c r="CE775" s="271">
        <f>IF(AND(Input_LTV&lt;=AE775,Input_Product=Elig!$C775,Elig_MatchAll_Ct&lt;22,$BC775=(Elig_MatchAll_Ct-1),AY775=0),Z775,0)</f>
        <v>0</v>
      </c>
      <c r="CF775" s="272">
        <f>IF(AND(Input_LTV&lt;=AE775,Input_Product=Elig!$C775,Elig_MatchAll_Ct&lt;22,$BC775=(Elig_MatchAll_Ct-1),AY775=0),AA775,0)</f>
        <v>0</v>
      </c>
      <c r="CG775" s="271">
        <f>IF(AND(Input_Product=Elig!$C775,Elig_MatchAll_Ct&lt;22,$BC775=(Elig_MatchAll_Ct-1),AZ775=0),AB775,0)</f>
        <v>0</v>
      </c>
      <c r="CH775" s="272">
        <f>IF(AND(Input_Product=Elig!$C775,Elig_MatchAll_Ct&lt;22,$BC775=(Elig_MatchAll_Ct-1),AZ775=0),AC775,0)</f>
        <v>0</v>
      </c>
      <c r="CI775" s="271">
        <f>IF(AND(Input_Product=Elig!$C775,Elig_MatchAll_Ct&lt;22,$BC775=(Elig_MatchAll_Ct-1),BA775=0),AD775,0)</f>
        <v>0</v>
      </c>
      <c r="CJ775" s="272">
        <f>IF(AND(Input_Product=Elig!$C775,Elig_MatchAll_Ct&lt;22,$BC775=(Elig_MatchAll_Ct-1),BA775=0),AE775,0)</f>
        <v>0</v>
      </c>
    </row>
    <row r="776" spans="1:88" ht="10.15" customHeight="1" x14ac:dyDescent="0.25">
      <c r="A776" s="1484" t="s">
        <v>76</v>
      </c>
      <c r="B776" s="1484" t="s">
        <v>2189</v>
      </c>
      <c r="C776" s="1489" t="str">
        <f t="shared" si="259"/>
        <v>Second NOO</v>
      </c>
      <c r="D776" s="1490" t="s">
        <v>1338</v>
      </c>
      <c r="E776" s="1490" t="s">
        <v>98</v>
      </c>
      <c r="F776" s="1490" t="s">
        <v>329</v>
      </c>
      <c r="G776" s="1490" t="s">
        <v>178</v>
      </c>
      <c r="H776" s="1490" t="s">
        <v>135</v>
      </c>
      <c r="I776" s="1488" t="s">
        <v>1141</v>
      </c>
      <c r="J776" s="1488" t="s">
        <v>1130</v>
      </c>
      <c r="K776" s="1490" t="s">
        <v>2464</v>
      </c>
      <c r="L776" s="1488" t="s">
        <v>428</v>
      </c>
      <c r="M776" s="1488" t="s">
        <v>1835</v>
      </c>
      <c r="N776" s="1490" t="s">
        <v>1844</v>
      </c>
      <c r="O776" s="1488" t="s">
        <v>309</v>
      </c>
      <c r="P776" s="1488" t="s">
        <v>2434</v>
      </c>
      <c r="Q776" s="1488" t="s">
        <v>293</v>
      </c>
      <c r="R776" s="1542">
        <v>500000.01</v>
      </c>
      <c r="S776" s="1542">
        <v>750000</v>
      </c>
      <c r="T776" s="1488">
        <v>0</v>
      </c>
      <c r="U776" s="1488">
        <f t="shared" si="263"/>
        <v>750000</v>
      </c>
      <c r="V776" s="1488">
        <v>0</v>
      </c>
      <c r="W776" s="1488">
        <v>50</v>
      </c>
      <c r="X776" s="1488">
        <v>0</v>
      </c>
      <c r="Y776" s="1488">
        <v>999</v>
      </c>
      <c r="Z776" s="1491">
        <v>720</v>
      </c>
      <c r="AA776" s="1491">
        <v>999</v>
      </c>
      <c r="AB776" s="1491">
        <v>0</v>
      </c>
      <c r="AC776" s="1491">
        <v>999999</v>
      </c>
      <c r="AD776" s="1488">
        <v>0</v>
      </c>
      <c r="AE776" s="1488">
        <v>60</v>
      </c>
      <c r="AF776" s="144">
        <v>1</v>
      </c>
      <c r="AG776" s="145">
        <v>1</v>
      </c>
      <c r="AH776" s="145">
        <v>1</v>
      </c>
      <c r="AI776" s="145">
        <v>1</v>
      </c>
      <c r="AJ776" s="145">
        <v>0</v>
      </c>
      <c r="AK776" s="145">
        <v>1</v>
      </c>
      <c r="AL776" s="145">
        <v>1</v>
      </c>
      <c r="AM776" s="145">
        <v>1</v>
      </c>
      <c r="AN776" s="145">
        <v>1</v>
      </c>
      <c r="AO776" s="145">
        <v>1</v>
      </c>
      <c r="AP776" s="145">
        <v>1</v>
      </c>
      <c r="AQ776" s="145">
        <v>1</v>
      </c>
      <c r="AR776" s="145">
        <v>1</v>
      </c>
      <c r="AS776" s="145">
        <v>1</v>
      </c>
      <c r="AT776" s="145">
        <v>1</v>
      </c>
      <c r="AU776" s="145">
        <f t="shared" si="236"/>
        <v>0</v>
      </c>
      <c r="AV776" s="145">
        <f t="shared" si="237"/>
        <v>1</v>
      </c>
      <c r="AW776" s="145">
        <f t="shared" si="238"/>
        <v>1</v>
      </c>
      <c r="AX776" s="145">
        <f t="shared" si="244"/>
        <v>1</v>
      </c>
      <c r="AY776" s="145">
        <f t="shared" si="239"/>
        <v>1</v>
      </c>
      <c r="AZ776" s="145">
        <f t="shared" si="240"/>
        <v>1</v>
      </c>
      <c r="BA776" s="146">
        <f t="shared" si="241"/>
        <v>0</v>
      </c>
      <c r="BB776" s="149">
        <f t="shared" si="268"/>
        <v>19</v>
      </c>
      <c r="BC776" s="150">
        <f t="shared" si="269"/>
        <v>19</v>
      </c>
      <c r="BD776" s="150">
        <f t="shared" si="269"/>
        <v>18</v>
      </c>
      <c r="BE776" s="211" t="str">
        <f t="shared" si="262"/>
        <v/>
      </c>
      <c r="BF776" s="194"/>
      <c r="BG776" s="194"/>
      <c r="BH776" s="190">
        <f>IF(AND(Input_Product=Elig!$C776,Elig_MatchAll_Ct&lt;22,$BC776=(Elig_MatchAll_Ct-1),AF776=0),C776,0)</f>
        <v>0</v>
      </c>
      <c r="BI776" s="190">
        <f>IF(AND(Input_Product=Elig!$C776,Elig_MatchAll_Ct&lt;22,$BC776=(Elig_MatchAll_Ct-1),AG776=0),D776,0)</f>
        <v>0</v>
      </c>
      <c r="BJ776" s="190">
        <f>IF(AND(Input_Product=Elig!$C776,Elig_MatchAll_Ct&lt;22,$BC776=(Elig_MatchAll_Ct-1),AH776=0),E776,0)</f>
        <v>0</v>
      </c>
      <c r="BK776" s="190">
        <f>IF(AND(Input_Product=Elig!$C776,Elig_MatchAll_Ct&lt;22,$BC776=(Elig_MatchAll_Ct-1),AI776=0),F776,0)</f>
        <v>0</v>
      </c>
      <c r="BL776" s="190">
        <f>IF(AND(Input_Product=Elig!$C776,Elig_MatchAll_Ct&lt;22,$BC776=(Elig_MatchAll_Ct-1),AJ776=0),G776,0)</f>
        <v>0</v>
      </c>
      <c r="BM776" s="190">
        <f>IF(AND(Input_Product=Elig!$C776,Elig_MatchAll_Ct&lt;22,$BC776=(Elig_MatchAll_Ct-1),AK776=0),H776,0)</f>
        <v>0</v>
      </c>
      <c r="BN776" s="190">
        <f>IF(AND(Input_Product=Elig!$C776,Elig_MatchAll_Ct&lt;22,$BC776=(Elig_MatchAll_Ct-1),AL776=0),I776,0)</f>
        <v>0</v>
      </c>
      <c r="BO776" s="190">
        <f>IF(AND(Input_Product=Elig!$C776,Elig_MatchAll_Ct&lt;22,$BC776=(Elig_MatchAll_Ct-1),AM776=0),J776,0)</f>
        <v>0</v>
      </c>
      <c r="BP776" s="190">
        <f>IF(AND(Input_Product=Elig!$C776,Elig_MatchAll_Ct&lt;22,$BC776=(Elig_MatchAll_Ct-1),AN776=0),K776,0)</f>
        <v>0</v>
      </c>
      <c r="BQ776" s="190">
        <f>IF(AND(Input_Product=Elig!$C776,Elig_MatchAll_Ct&lt;22,$BC776=(Elig_MatchAll_Ct-1),AP776=0),L776,0)</f>
        <v>0</v>
      </c>
      <c r="BR776" s="190">
        <f>IF(AND(Input_Product=Elig!$C776,Elig_MatchAll_Ct&lt;22,$BC776=(Elig_MatchAll_Ct-1),AO776=0),M776,0)</f>
        <v>0</v>
      </c>
      <c r="BS776" s="190">
        <f>IF(AND(Input_Product=Elig!$C776,Elig_MatchAll_Ct&lt;22,$BC776=(Elig_MatchAll_Ct-1),AQ776=0),N776,0)</f>
        <v>0</v>
      </c>
      <c r="BT776" s="190">
        <f>IF(AND(Input_Product=Elig!$C776,Elig_MatchAll_Ct&lt;22,$BC776=(Elig_MatchAll_Ct-1),AR776=0),O776,0)</f>
        <v>0</v>
      </c>
      <c r="BU776" s="190">
        <f>IF(AND(Input_Product=Elig!$C776,Elig_MatchAll_Ct&lt;22,$BC776=(Elig_MatchAll_Ct-1),AS776=0),P776,0)</f>
        <v>0</v>
      </c>
      <c r="BV776" s="191">
        <f>IF(AND(Input_Product=Elig!$C776,Elig_MatchAll_Ct&lt;22,$BC776=(Elig_MatchAll_Ct-1),AT776=0),Q776,0)</f>
        <v>0</v>
      </c>
      <c r="BW776" s="273">
        <f>IF(AND(Input_Product=Elig!$C776,Elig_MatchAll_Ct&lt;22,$BC776=(Elig_MatchAll_Ct-1),AU776=0),R776,0)</f>
        <v>0</v>
      </c>
      <c r="BX776" s="274">
        <f>IF(AND(Input_Product=Elig!$C776,Elig_MatchAll_Ct&lt;22,$BC776=(Elig_MatchAll_Ct-1),AU776=0),S776,0)</f>
        <v>0</v>
      </c>
      <c r="BY776" s="273">
        <f>IF(AND(Input_Product=Elig!$C776,Elig_MatchAll_Ct&lt;22,$BC776=(Elig_MatchAll_Ct-1),AV776=0),T776,0)</f>
        <v>0</v>
      </c>
      <c r="BZ776" s="274">
        <f>IF(AND(Input_Product=Elig!$C776,Elig_MatchAll_Ct&lt;22,$BC776=(Elig_MatchAll_Ct-1),AV776=0),U776,0)</f>
        <v>0</v>
      </c>
      <c r="CA776" s="273">
        <f>IF(AND(Input_Product=Elig!$C776,Elig_MatchAll_Ct&lt;22,$BC776=(Elig_MatchAll_Ct-1),AW776=0),V776,0)</f>
        <v>0</v>
      </c>
      <c r="CB776" s="274">
        <f>IF(AND(Input_Product=Elig!$C776,Elig_MatchAll_Ct&lt;22,$BC776=(Elig_MatchAll_Ct-1),AW776=0),W776,0)</f>
        <v>0</v>
      </c>
      <c r="CC776" s="273">
        <f>IF(AND(Input_Product=Elig!$C776,Elig_MatchAll_Ct&lt;22,$BC776=(Elig_MatchAll_Ct-1),AX776=0),X776,0)</f>
        <v>0</v>
      </c>
      <c r="CD776" s="274">
        <f>IF(AND(Input_Product=Elig!$C776,Elig_MatchAll_Ct&lt;22,$BC776=(Elig_MatchAll_Ct-1),AX776=0),Y776,0)</f>
        <v>0</v>
      </c>
      <c r="CE776" s="273">
        <f>IF(AND(Input_LTV&lt;=AE776,Input_Product=Elig!$C776,Elig_MatchAll_Ct&lt;22,$BC776=(Elig_MatchAll_Ct-1),AY776=0),Z776,0)</f>
        <v>0</v>
      </c>
      <c r="CF776" s="274">
        <f>IF(AND(Input_LTV&lt;=AE776,Input_Product=Elig!$C776,Elig_MatchAll_Ct&lt;22,$BC776=(Elig_MatchAll_Ct-1),AY776=0),AA776,0)</f>
        <v>0</v>
      </c>
      <c r="CG776" s="273">
        <f>IF(AND(Input_Product=Elig!$C776,Elig_MatchAll_Ct&lt;22,$BC776=(Elig_MatchAll_Ct-1),AZ776=0),AB776,0)</f>
        <v>0</v>
      </c>
      <c r="CH776" s="274">
        <f>IF(AND(Input_Product=Elig!$C776,Elig_MatchAll_Ct&lt;22,$BC776=(Elig_MatchAll_Ct-1),AZ776=0),AC776,0)</f>
        <v>0</v>
      </c>
      <c r="CI776" s="273">
        <f>IF(AND(Input_Product=Elig!$C776,Elig_MatchAll_Ct&lt;22,$BC776=(Elig_MatchAll_Ct-1),BA776=0),AD776,0)</f>
        <v>0</v>
      </c>
      <c r="CJ776" s="274">
        <f>IF(AND(Input_Product=Elig!$C776,Elig_MatchAll_Ct&lt;22,$BC776=(Elig_MatchAll_Ct-1),BA776=0),AE776,0)</f>
        <v>0</v>
      </c>
    </row>
    <row r="777" spans="1:88" ht="10.15" customHeight="1" x14ac:dyDescent="0.25">
      <c r="A777" s="1484" t="s">
        <v>76</v>
      </c>
      <c r="B777" s="1484" t="s">
        <v>2190</v>
      </c>
      <c r="C777" s="1485" t="str">
        <f t="shared" si="259"/>
        <v>Second NOO</v>
      </c>
      <c r="D777" s="1484" t="s">
        <v>1338</v>
      </c>
      <c r="E777" s="1484" t="s">
        <v>98</v>
      </c>
      <c r="F777" s="1484" t="s">
        <v>329</v>
      </c>
      <c r="G777" s="1486" t="s">
        <v>178</v>
      </c>
      <c r="H777" s="1486" t="s">
        <v>135</v>
      </c>
      <c r="I777" s="1484" t="s">
        <v>1141</v>
      </c>
      <c r="J777" s="1484" t="s">
        <v>1130</v>
      </c>
      <c r="K777" s="1486" t="s">
        <v>2464</v>
      </c>
      <c r="L777" s="1484" t="s">
        <v>428</v>
      </c>
      <c r="M777" s="1484" t="s">
        <v>1835</v>
      </c>
      <c r="N777" s="1486" t="s">
        <v>1844</v>
      </c>
      <c r="O777" s="1484" t="s">
        <v>309</v>
      </c>
      <c r="P777" s="1484" t="s">
        <v>2434</v>
      </c>
      <c r="Q777" s="1484" t="s">
        <v>293</v>
      </c>
      <c r="R777" s="1543">
        <v>500000.01</v>
      </c>
      <c r="S777" s="1543">
        <v>750000</v>
      </c>
      <c r="T777" s="1484">
        <v>0</v>
      </c>
      <c r="U777" s="1484">
        <f t="shared" si="263"/>
        <v>750000</v>
      </c>
      <c r="V777" s="1484">
        <v>0</v>
      </c>
      <c r="W777" s="1484">
        <v>50</v>
      </c>
      <c r="X777" s="1484">
        <v>0</v>
      </c>
      <c r="Y777" s="1484">
        <v>999</v>
      </c>
      <c r="Z777" s="1487">
        <v>700</v>
      </c>
      <c r="AA777" s="1487">
        <v>719</v>
      </c>
      <c r="AB777" s="1487">
        <v>0</v>
      </c>
      <c r="AC777" s="1487">
        <v>999999</v>
      </c>
      <c r="AD777" s="1484">
        <v>0</v>
      </c>
      <c r="AE777" s="1484">
        <v>55</v>
      </c>
      <c r="AF777" s="144">
        <v>1</v>
      </c>
      <c r="AG777" s="145">
        <v>1</v>
      </c>
      <c r="AH777" s="145">
        <v>1</v>
      </c>
      <c r="AI777" s="145">
        <v>1</v>
      </c>
      <c r="AJ777" s="145">
        <v>0</v>
      </c>
      <c r="AK777" s="145">
        <v>1</v>
      </c>
      <c r="AL777" s="145">
        <v>1</v>
      </c>
      <c r="AM777" s="145">
        <v>1</v>
      </c>
      <c r="AN777" s="145">
        <v>1</v>
      </c>
      <c r="AO777" s="145">
        <v>1</v>
      </c>
      <c r="AP777" s="145">
        <v>1</v>
      </c>
      <c r="AQ777" s="145">
        <v>1</v>
      </c>
      <c r="AR777" s="145">
        <v>1</v>
      </c>
      <c r="AS777" s="145">
        <v>1</v>
      </c>
      <c r="AT777" s="145">
        <v>1</v>
      </c>
      <c r="AU777" s="145">
        <f t="shared" si="236"/>
        <v>0</v>
      </c>
      <c r="AV777" s="145">
        <f t="shared" si="237"/>
        <v>1</v>
      </c>
      <c r="AW777" s="145">
        <f t="shared" si="238"/>
        <v>1</v>
      </c>
      <c r="AX777" s="145">
        <f t="shared" si="244"/>
        <v>1</v>
      </c>
      <c r="AY777" s="145">
        <f t="shared" si="239"/>
        <v>0</v>
      </c>
      <c r="AZ777" s="145">
        <f t="shared" si="240"/>
        <v>1</v>
      </c>
      <c r="BA777" s="146">
        <f t="shared" si="241"/>
        <v>0</v>
      </c>
      <c r="BB777" s="149">
        <f t="shared" si="268"/>
        <v>18</v>
      </c>
      <c r="BC777" s="150">
        <f t="shared" si="269"/>
        <v>18</v>
      </c>
      <c r="BD777" s="150">
        <f t="shared" si="269"/>
        <v>17</v>
      </c>
      <c r="BE777" s="211" t="str">
        <f t="shared" si="262"/>
        <v/>
      </c>
      <c r="BF777" s="205"/>
      <c r="BG777" s="205"/>
      <c r="BH777" s="173">
        <f>IF(AND(Input_Product=Elig!$C777,Elig_MatchAll_Ct&lt;22,$BC777=(Elig_MatchAll_Ct-1),AF777=0),C777,0)</f>
        <v>0</v>
      </c>
      <c r="BI777" s="173">
        <f>IF(AND(Input_Product=Elig!$C777,Elig_MatchAll_Ct&lt;22,$BC777=(Elig_MatchAll_Ct-1),AG777=0),D777,0)</f>
        <v>0</v>
      </c>
      <c r="BJ777" s="173">
        <f>IF(AND(Input_Product=Elig!$C777,Elig_MatchAll_Ct&lt;22,$BC777=(Elig_MatchAll_Ct-1),AH777=0),E777,0)</f>
        <v>0</v>
      </c>
      <c r="BK777" s="173">
        <f>IF(AND(Input_Product=Elig!$C777,Elig_MatchAll_Ct&lt;22,$BC777=(Elig_MatchAll_Ct-1),AI777=0),F777,0)</f>
        <v>0</v>
      </c>
      <c r="BL777" s="173">
        <f>IF(AND(Input_Product=Elig!$C777,Elig_MatchAll_Ct&lt;22,$BC777=(Elig_MatchAll_Ct-1),AJ777=0),G777,0)</f>
        <v>0</v>
      </c>
      <c r="BM777" s="173">
        <f>IF(AND(Input_Product=Elig!$C777,Elig_MatchAll_Ct&lt;22,$BC777=(Elig_MatchAll_Ct-1),AK777=0),H777,0)</f>
        <v>0</v>
      </c>
      <c r="BN777" s="173">
        <f>IF(AND(Input_Product=Elig!$C777,Elig_MatchAll_Ct&lt;22,$BC777=(Elig_MatchAll_Ct-1),AL777=0),I777,0)</f>
        <v>0</v>
      </c>
      <c r="BO777" s="173">
        <f>IF(AND(Input_Product=Elig!$C777,Elig_MatchAll_Ct&lt;22,$BC777=(Elig_MatchAll_Ct-1),AM777=0),J777,0)</f>
        <v>0</v>
      </c>
      <c r="BP777" s="173">
        <f>IF(AND(Input_Product=Elig!$C777,Elig_MatchAll_Ct&lt;22,$BC777=(Elig_MatchAll_Ct-1),AN777=0),K777,0)</f>
        <v>0</v>
      </c>
      <c r="BQ777" s="173">
        <f>IF(AND(Input_Product=Elig!$C777,Elig_MatchAll_Ct&lt;22,$BC777=(Elig_MatchAll_Ct-1),AP777=0),L777,0)</f>
        <v>0</v>
      </c>
      <c r="BR777" s="173">
        <f>IF(AND(Input_Product=Elig!$C777,Elig_MatchAll_Ct&lt;22,$BC777=(Elig_MatchAll_Ct-1),AO777=0),M777,0)</f>
        <v>0</v>
      </c>
      <c r="BS777" s="173">
        <f>IF(AND(Input_Product=Elig!$C777,Elig_MatchAll_Ct&lt;22,$BC777=(Elig_MatchAll_Ct-1),AQ777=0),N777,0)</f>
        <v>0</v>
      </c>
      <c r="BT777" s="173">
        <f>IF(AND(Input_Product=Elig!$C777,Elig_MatchAll_Ct&lt;22,$BC777=(Elig_MatchAll_Ct-1),AR777=0),O777,0)</f>
        <v>0</v>
      </c>
      <c r="BU777" s="173">
        <f>IF(AND(Input_Product=Elig!$C777,Elig_MatchAll_Ct&lt;22,$BC777=(Elig_MatchAll_Ct-1),AS777=0),P777,0)</f>
        <v>0</v>
      </c>
      <c r="BV777" s="174">
        <f>IF(AND(Input_Product=Elig!$C777,Elig_MatchAll_Ct&lt;22,$BC777=(Elig_MatchAll_Ct-1),AT777=0),Q777,0)</f>
        <v>0</v>
      </c>
      <c r="BW777" s="175">
        <f>IF(AND(Input_Product=Elig!$C777,Elig_MatchAll_Ct&lt;22,$BC777=(Elig_MatchAll_Ct-1),AU777=0),R777,0)</f>
        <v>0</v>
      </c>
      <c r="BX777" s="176">
        <f>IF(AND(Input_Product=Elig!$C777,Elig_MatchAll_Ct&lt;22,$BC777=(Elig_MatchAll_Ct-1),AU777=0),S777,0)</f>
        <v>0</v>
      </c>
      <c r="BY777" s="175">
        <f>IF(AND(Input_Product=Elig!$C777,Elig_MatchAll_Ct&lt;22,$BC777=(Elig_MatchAll_Ct-1),AV777=0),T777,0)</f>
        <v>0</v>
      </c>
      <c r="BZ777" s="176">
        <f>IF(AND(Input_Product=Elig!$C777,Elig_MatchAll_Ct&lt;22,$BC777=(Elig_MatchAll_Ct-1),AV777=0),U777,0)</f>
        <v>0</v>
      </c>
      <c r="CA777" s="175">
        <f>IF(AND(Input_Product=Elig!$C777,Elig_MatchAll_Ct&lt;22,$BC777=(Elig_MatchAll_Ct-1),AW777=0),V777,0)</f>
        <v>0</v>
      </c>
      <c r="CB777" s="176">
        <f>IF(AND(Input_Product=Elig!$C777,Elig_MatchAll_Ct&lt;22,$BC777=(Elig_MatchAll_Ct-1),AW777=0),W777,0)</f>
        <v>0</v>
      </c>
      <c r="CC777" s="175">
        <f>IF(AND(Input_Product=Elig!$C777,Elig_MatchAll_Ct&lt;22,$BC777=(Elig_MatchAll_Ct-1),AX777=0),X777,0)</f>
        <v>0</v>
      </c>
      <c r="CD777" s="176">
        <f>IF(AND(Input_Product=Elig!$C777,Elig_MatchAll_Ct&lt;22,$BC777=(Elig_MatchAll_Ct-1),AX777=0),Y777,0)</f>
        <v>0</v>
      </c>
      <c r="CE777" s="175">
        <f>IF(AND(Input_LTV&lt;=AE777,Input_Product=Elig!$C777,Elig_MatchAll_Ct&lt;22,$BC777=(Elig_MatchAll_Ct-1),AY777=0),Z777,0)</f>
        <v>0</v>
      </c>
      <c r="CF777" s="176">
        <f>IF(AND(Input_LTV&lt;=AE777,Input_Product=Elig!$C777,Elig_MatchAll_Ct&lt;22,$BC777=(Elig_MatchAll_Ct-1),AY777=0),AA777,0)</f>
        <v>0</v>
      </c>
      <c r="CG777" s="175">
        <f>IF(AND(Input_Product=Elig!$C777,Elig_MatchAll_Ct&lt;22,$BC777=(Elig_MatchAll_Ct-1),AZ777=0),AB777,0)</f>
        <v>0</v>
      </c>
      <c r="CH777" s="176">
        <f>IF(AND(Input_Product=Elig!$C777,Elig_MatchAll_Ct&lt;22,$BC777=(Elig_MatchAll_Ct-1),AZ777=0),AC777,0)</f>
        <v>0</v>
      </c>
      <c r="CI777" s="175">
        <f>IF(AND(Input_Product=Elig!$C777,Elig_MatchAll_Ct&lt;22,$BC777=(Elig_MatchAll_Ct-1),BA777=0),AD777,0)</f>
        <v>0</v>
      </c>
      <c r="CJ777" s="176">
        <f>IF(AND(Input_Product=Elig!$C777,Elig_MatchAll_Ct&lt;22,$BC777=(Elig_MatchAll_Ct-1),BA777=0),AE777,0)</f>
        <v>0</v>
      </c>
    </row>
    <row r="778" spans="1:88" ht="10.15" customHeight="1" x14ac:dyDescent="0.25">
      <c r="A778" s="1484" t="s">
        <v>76</v>
      </c>
      <c r="B778" s="1484" t="s">
        <v>2191</v>
      </c>
      <c r="C778" s="1485" t="str">
        <f t="shared" si="259"/>
        <v>Second NOO</v>
      </c>
      <c r="D778" s="1484" t="s">
        <v>1338</v>
      </c>
      <c r="E778" s="1484" t="s">
        <v>98</v>
      </c>
      <c r="F778" s="1484" t="s">
        <v>329</v>
      </c>
      <c r="G778" s="1486" t="s">
        <v>178</v>
      </c>
      <c r="H778" s="1486" t="s">
        <v>135</v>
      </c>
      <c r="I778" s="1484" t="s">
        <v>1141</v>
      </c>
      <c r="J778" s="1484" t="s">
        <v>1130</v>
      </c>
      <c r="K778" s="1486" t="s">
        <v>2464</v>
      </c>
      <c r="L778" s="1484" t="s">
        <v>428</v>
      </c>
      <c r="M778" s="1484" t="s">
        <v>1835</v>
      </c>
      <c r="N778" s="1486" t="s">
        <v>1844</v>
      </c>
      <c r="O778" s="1484" t="s">
        <v>309</v>
      </c>
      <c r="P778" s="1484" t="s">
        <v>2434</v>
      </c>
      <c r="Q778" s="1484" t="s">
        <v>293</v>
      </c>
      <c r="R778" s="1543">
        <v>500000.01</v>
      </c>
      <c r="S778" s="1543">
        <v>750000</v>
      </c>
      <c r="T778" s="1484">
        <v>0</v>
      </c>
      <c r="U778" s="1484">
        <f t="shared" si="263"/>
        <v>750000</v>
      </c>
      <c r="V778" s="1484">
        <v>0</v>
      </c>
      <c r="W778" s="1484">
        <v>50</v>
      </c>
      <c r="X778" s="1484">
        <v>0</v>
      </c>
      <c r="Y778" s="1484">
        <v>999</v>
      </c>
      <c r="Z778" s="1487">
        <v>680</v>
      </c>
      <c r="AA778" s="1487">
        <v>699</v>
      </c>
      <c r="AB778" s="1487">
        <v>0</v>
      </c>
      <c r="AC778" s="1487">
        <v>999999</v>
      </c>
      <c r="AD778" s="1484">
        <v>0</v>
      </c>
      <c r="AE778" s="1484">
        <v>50</v>
      </c>
      <c r="AF778" s="144">
        <v>1</v>
      </c>
      <c r="AG778" s="145">
        <v>1</v>
      </c>
      <c r="AH778" s="145">
        <v>1</v>
      </c>
      <c r="AI778" s="145">
        <v>1</v>
      </c>
      <c r="AJ778" s="145">
        <v>0</v>
      </c>
      <c r="AK778" s="145">
        <v>1</v>
      </c>
      <c r="AL778" s="145">
        <v>1</v>
      </c>
      <c r="AM778" s="145">
        <v>1</v>
      </c>
      <c r="AN778" s="145">
        <v>1</v>
      </c>
      <c r="AO778" s="145">
        <v>1</v>
      </c>
      <c r="AP778" s="145">
        <v>1</v>
      </c>
      <c r="AQ778" s="145">
        <v>1</v>
      </c>
      <c r="AR778" s="145">
        <v>1</v>
      </c>
      <c r="AS778" s="145">
        <v>1</v>
      </c>
      <c r="AT778" s="145">
        <v>1</v>
      </c>
      <c r="AU778" s="145">
        <f t="shared" ref="AU778:AU782" si="270">IF(AND(Input_LoanAmt&gt;=Elig_LoanAmt_Min,Input_LoanAmt&lt;=Elig_LoanAmt_Max),1,0)</f>
        <v>0</v>
      </c>
      <c r="AV778" s="145">
        <f t="shared" ref="AV778:AV782" si="271">IF(AND(Input_CashoutAmt&gt;=Elig_CashoutAmt_Min,Input_CashoutAmt&lt;=Elig_CashoutAmt_Max),1,0)</f>
        <v>1</v>
      </c>
      <c r="AW778" s="145">
        <f t="shared" ref="AW778:AW782" si="272">IF(AND(Input_DTI&gt;=Elig_DTI_Min,Input_DTI&lt;=Elig_DTI_Max),1,0)</f>
        <v>1</v>
      </c>
      <c r="AX778" s="145">
        <f t="shared" si="244"/>
        <v>1</v>
      </c>
      <c r="AY778" s="145">
        <f t="shared" ref="AY778:AY782" si="273">IF(AND(Input_CreditScore&gt;=Elig_CreditScore_Min,Input_CreditScore&lt;=Elig_CreditScore_Max),1,0)</f>
        <v>0</v>
      </c>
      <c r="AZ778" s="145">
        <f t="shared" ref="AZ778:AZ782" si="274">IF(AND(Input_ReservesMonths&gt;=Elig_Reserves_Min,Input_ReservesMonths&lt;=Elig_Reserves_Max),1,0)</f>
        <v>1</v>
      </c>
      <c r="BA778" s="146">
        <f t="shared" ref="BA778:BA782" si="275">IF(AND(Input_LTV&gt;=Elig_LTV_Min,Input_LTV&lt;=Elig_LTV_Max),1,0)</f>
        <v>0</v>
      </c>
      <c r="BB778" s="149">
        <f t="shared" si="268"/>
        <v>18</v>
      </c>
      <c r="BC778" s="150">
        <f t="shared" si="269"/>
        <v>18</v>
      </c>
      <c r="BD778" s="150">
        <f t="shared" si="269"/>
        <v>17</v>
      </c>
      <c r="BE778" s="211" t="str">
        <f t="shared" si="262"/>
        <v/>
      </c>
      <c r="BF778" s="205"/>
      <c r="BG778" s="205"/>
      <c r="BH778" s="173">
        <f>IF(AND(Input_Product=Elig!$C778,Elig_MatchAll_Ct&lt;22,$BC778=(Elig_MatchAll_Ct-1),AF778=0),C778,0)</f>
        <v>0</v>
      </c>
      <c r="BI778" s="173">
        <f>IF(AND(Input_Product=Elig!$C778,Elig_MatchAll_Ct&lt;22,$BC778=(Elig_MatchAll_Ct-1),AG778=0),D778,0)</f>
        <v>0</v>
      </c>
      <c r="BJ778" s="173">
        <f>IF(AND(Input_Product=Elig!$C778,Elig_MatchAll_Ct&lt;22,$BC778=(Elig_MatchAll_Ct-1),AH778=0),E778,0)</f>
        <v>0</v>
      </c>
      <c r="BK778" s="173">
        <f>IF(AND(Input_Product=Elig!$C778,Elig_MatchAll_Ct&lt;22,$BC778=(Elig_MatchAll_Ct-1),AI778=0),F778,0)</f>
        <v>0</v>
      </c>
      <c r="BL778" s="173">
        <f>IF(AND(Input_Product=Elig!$C778,Elig_MatchAll_Ct&lt;22,$BC778=(Elig_MatchAll_Ct-1),AJ778=0),G778,0)</f>
        <v>0</v>
      </c>
      <c r="BM778" s="173">
        <f>IF(AND(Input_Product=Elig!$C778,Elig_MatchAll_Ct&lt;22,$BC778=(Elig_MatchAll_Ct-1),AK778=0),H778,0)</f>
        <v>0</v>
      </c>
      <c r="BN778" s="173">
        <f>IF(AND(Input_Product=Elig!$C778,Elig_MatchAll_Ct&lt;22,$BC778=(Elig_MatchAll_Ct-1),AL778=0),I778,0)</f>
        <v>0</v>
      </c>
      <c r="BO778" s="173">
        <f>IF(AND(Input_Product=Elig!$C778,Elig_MatchAll_Ct&lt;22,$BC778=(Elig_MatchAll_Ct-1),AM778=0),J778,0)</f>
        <v>0</v>
      </c>
      <c r="BP778" s="173">
        <f>IF(AND(Input_Product=Elig!$C778,Elig_MatchAll_Ct&lt;22,$BC778=(Elig_MatchAll_Ct-1),AN778=0),K778,0)</f>
        <v>0</v>
      </c>
      <c r="BQ778" s="173">
        <f>IF(AND(Input_Product=Elig!$C778,Elig_MatchAll_Ct&lt;22,$BC778=(Elig_MatchAll_Ct-1),AP778=0),L778,0)</f>
        <v>0</v>
      </c>
      <c r="BR778" s="173">
        <f>IF(AND(Input_Product=Elig!$C778,Elig_MatchAll_Ct&lt;22,$BC778=(Elig_MatchAll_Ct-1),AO778=0),M778,0)</f>
        <v>0</v>
      </c>
      <c r="BS778" s="173">
        <f>IF(AND(Input_Product=Elig!$C778,Elig_MatchAll_Ct&lt;22,$BC778=(Elig_MatchAll_Ct-1),AQ778=0),N778,0)</f>
        <v>0</v>
      </c>
      <c r="BT778" s="173">
        <f>IF(AND(Input_Product=Elig!$C778,Elig_MatchAll_Ct&lt;22,$BC778=(Elig_MatchAll_Ct-1),AR778=0),O778,0)</f>
        <v>0</v>
      </c>
      <c r="BU778" s="173">
        <f>IF(AND(Input_Product=Elig!$C778,Elig_MatchAll_Ct&lt;22,$BC778=(Elig_MatchAll_Ct-1),AS778=0),P778,0)</f>
        <v>0</v>
      </c>
      <c r="BV778" s="174">
        <f>IF(AND(Input_Product=Elig!$C778,Elig_MatchAll_Ct&lt;22,$BC778=(Elig_MatchAll_Ct-1),AT778=0),Q778,0)</f>
        <v>0</v>
      </c>
      <c r="BW778" s="175">
        <f>IF(AND(Input_Product=Elig!$C778,Elig_MatchAll_Ct&lt;22,$BC778=(Elig_MatchAll_Ct-1),AU778=0),R778,0)</f>
        <v>0</v>
      </c>
      <c r="BX778" s="176">
        <f>IF(AND(Input_Product=Elig!$C778,Elig_MatchAll_Ct&lt;22,$BC778=(Elig_MatchAll_Ct-1),AU778=0),S778,0)</f>
        <v>0</v>
      </c>
      <c r="BY778" s="175">
        <f>IF(AND(Input_Product=Elig!$C778,Elig_MatchAll_Ct&lt;22,$BC778=(Elig_MatchAll_Ct-1),AV778=0),T778,0)</f>
        <v>0</v>
      </c>
      <c r="BZ778" s="176">
        <f>IF(AND(Input_Product=Elig!$C778,Elig_MatchAll_Ct&lt;22,$BC778=(Elig_MatchAll_Ct-1),AV778=0),U778,0)</f>
        <v>0</v>
      </c>
      <c r="CA778" s="175">
        <f>IF(AND(Input_Product=Elig!$C778,Elig_MatchAll_Ct&lt;22,$BC778=(Elig_MatchAll_Ct-1),AW778=0),V778,0)</f>
        <v>0</v>
      </c>
      <c r="CB778" s="176">
        <f>IF(AND(Input_Product=Elig!$C778,Elig_MatchAll_Ct&lt;22,$BC778=(Elig_MatchAll_Ct-1),AW778=0),W778,0)</f>
        <v>0</v>
      </c>
      <c r="CC778" s="175">
        <f>IF(AND(Input_Product=Elig!$C778,Elig_MatchAll_Ct&lt;22,$BC778=(Elig_MatchAll_Ct-1),AX778=0),X778,0)</f>
        <v>0</v>
      </c>
      <c r="CD778" s="176">
        <f>IF(AND(Input_Product=Elig!$C778,Elig_MatchAll_Ct&lt;22,$BC778=(Elig_MatchAll_Ct-1),AX778=0),Y778,0)</f>
        <v>0</v>
      </c>
      <c r="CE778" s="175">
        <f>IF(AND(Input_LTV&lt;=AE778,Input_Product=Elig!$C778,Elig_MatchAll_Ct&lt;22,$BC778=(Elig_MatchAll_Ct-1),AY778=0),Z778,0)</f>
        <v>0</v>
      </c>
      <c r="CF778" s="176">
        <f>IF(AND(Input_LTV&lt;=AE778,Input_Product=Elig!$C778,Elig_MatchAll_Ct&lt;22,$BC778=(Elig_MatchAll_Ct-1),AY778=0),AA778,0)</f>
        <v>0</v>
      </c>
      <c r="CG778" s="175">
        <f>IF(AND(Input_Product=Elig!$C778,Elig_MatchAll_Ct&lt;22,$BC778=(Elig_MatchAll_Ct-1),AZ778=0),AB778,0)</f>
        <v>0</v>
      </c>
      <c r="CH778" s="176">
        <f>IF(AND(Input_Product=Elig!$C778,Elig_MatchAll_Ct&lt;22,$BC778=(Elig_MatchAll_Ct-1),AZ778=0),AC778,0)</f>
        <v>0</v>
      </c>
      <c r="CI778" s="175">
        <f>IF(AND(Input_Product=Elig!$C778,Elig_MatchAll_Ct&lt;22,$BC778=(Elig_MatchAll_Ct-1),BA778=0),AD778,0)</f>
        <v>0</v>
      </c>
      <c r="CJ778" s="176">
        <f>IF(AND(Input_Product=Elig!$C778,Elig_MatchAll_Ct&lt;22,$BC778=(Elig_MatchAll_Ct-1),BA778=0),AE778,0)</f>
        <v>0</v>
      </c>
    </row>
    <row r="779" spans="1:88" ht="10.15" customHeight="1" x14ac:dyDescent="0.25">
      <c r="A779" s="1484" t="s">
        <v>76</v>
      </c>
      <c r="B779" s="1484" t="s">
        <v>2192</v>
      </c>
      <c r="C779" s="1485" t="str">
        <f t="shared" si="259"/>
        <v>Second NOO</v>
      </c>
      <c r="D779" s="1484" t="s">
        <v>1338</v>
      </c>
      <c r="E779" s="1484" t="s">
        <v>98</v>
      </c>
      <c r="F779" s="1484" t="s">
        <v>329</v>
      </c>
      <c r="G779" s="1486" t="s">
        <v>178</v>
      </c>
      <c r="H779" s="1486" t="s">
        <v>135</v>
      </c>
      <c r="I779" s="1484" t="s">
        <v>1141</v>
      </c>
      <c r="J779" s="1484" t="s">
        <v>1130</v>
      </c>
      <c r="K779" s="1486" t="s">
        <v>2464</v>
      </c>
      <c r="L779" s="1484" t="s">
        <v>428</v>
      </c>
      <c r="M779" s="1484" t="s">
        <v>1835</v>
      </c>
      <c r="N779" s="1486" t="s">
        <v>1844</v>
      </c>
      <c r="O779" s="1484" t="s">
        <v>309</v>
      </c>
      <c r="P779" s="1484" t="s">
        <v>2434</v>
      </c>
      <c r="Q779" s="1484" t="s">
        <v>293</v>
      </c>
      <c r="R779" s="1543">
        <v>500000.01</v>
      </c>
      <c r="S779" s="1543">
        <v>750000</v>
      </c>
      <c r="T779" s="1484">
        <v>0</v>
      </c>
      <c r="U779" s="1484">
        <f t="shared" si="263"/>
        <v>750000</v>
      </c>
      <c r="V779" s="1484">
        <v>0</v>
      </c>
      <c r="W779" s="1484">
        <v>50</v>
      </c>
      <c r="X779" s="1484">
        <v>0</v>
      </c>
      <c r="Y779" s="1484">
        <v>999</v>
      </c>
      <c r="Z779" s="1487">
        <v>660</v>
      </c>
      <c r="AA779" s="1487">
        <v>679</v>
      </c>
      <c r="AB779" s="1487">
        <v>0</v>
      </c>
      <c r="AC779" s="1487">
        <v>999999</v>
      </c>
      <c r="AD779" s="1484">
        <v>0</v>
      </c>
      <c r="AE779" s="1484">
        <v>45</v>
      </c>
      <c r="AF779" s="144">
        <v>1</v>
      </c>
      <c r="AG779" s="145">
        <v>1</v>
      </c>
      <c r="AH779" s="145">
        <v>1</v>
      </c>
      <c r="AI779" s="145">
        <v>1</v>
      </c>
      <c r="AJ779" s="145">
        <v>0</v>
      </c>
      <c r="AK779" s="145">
        <v>1</v>
      </c>
      <c r="AL779" s="145">
        <v>1</v>
      </c>
      <c r="AM779" s="145">
        <v>1</v>
      </c>
      <c r="AN779" s="145">
        <v>1</v>
      </c>
      <c r="AO779" s="145">
        <v>1</v>
      </c>
      <c r="AP779" s="145">
        <v>1</v>
      </c>
      <c r="AQ779" s="145">
        <v>1</v>
      </c>
      <c r="AR779" s="145">
        <v>1</v>
      </c>
      <c r="AS779" s="145">
        <v>1</v>
      </c>
      <c r="AT779" s="145">
        <v>1</v>
      </c>
      <c r="AU779" s="145">
        <f t="shared" si="270"/>
        <v>0</v>
      </c>
      <c r="AV779" s="145">
        <f t="shared" si="271"/>
        <v>1</v>
      </c>
      <c r="AW779" s="145">
        <f t="shared" si="272"/>
        <v>1</v>
      </c>
      <c r="AX779" s="145">
        <f t="shared" si="244"/>
        <v>1</v>
      </c>
      <c r="AY779" s="145">
        <f t="shared" si="273"/>
        <v>0</v>
      </c>
      <c r="AZ779" s="145">
        <f t="shared" si="274"/>
        <v>1</v>
      </c>
      <c r="BA779" s="146">
        <f t="shared" si="275"/>
        <v>0</v>
      </c>
      <c r="BB779" s="149">
        <f t="shared" si="268"/>
        <v>18</v>
      </c>
      <c r="BC779" s="150">
        <f t="shared" si="269"/>
        <v>18</v>
      </c>
      <c r="BD779" s="150">
        <f t="shared" si="269"/>
        <v>17</v>
      </c>
      <c r="BE779" s="211" t="str">
        <f t="shared" si="262"/>
        <v/>
      </c>
      <c r="BF779" s="205"/>
      <c r="BG779" s="205"/>
      <c r="BH779" s="188">
        <f>IF(AND(Input_Product=Elig!$C779,Elig_MatchAll_Ct&lt;22,$BC779=(Elig_MatchAll_Ct-1),AF779=0),C779,0)</f>
        <v>0</v>
      </c>
      <c r="BI779" s="188">
        <f>IF(AND(Input_Product=Elig!$C779,Elig_MatchAll_Ct&lt;22,$BC779=(Elig_MatchAll_Ct-1),AG779=0),D779,0)</f>
        <v>0</v>
      </c>
      <c r="BJ779" s="188">
        <f>IF(AND(Input_Product=Elig!$C779,Elig_MatchAll_Ct&lt;22,$BC779=(Elig_MatchAll_Ct-1),AH779=0),E779,0)</f>
        <v>0</v>
      </c>
      <c r="BK779" s="188">
        <f>IF(AND(Input_Product=Elig!$C779,Elig_MatchAll_Ct&lt;22,$BC779=(Elig_MatchAll_Ct-1),AI779=0),F779,0)</f>
        <v>0</v>
      </c>
      <c r="BL779" s="188">
        <f>IF(AND(Input_Product=Elig!$C779,Elig_MatchAll_Ct&lt;22,$BC779=(Elig_MatchAll_Ct-1),AJ779=0),G779,0)</f>
        <v>0</v>
      </c>
      <c r="BM779" s="188">
        <f>IF(AND(Input_Product=Elig!$C779,Elig_MatchAll_Ct&lt;22,$BC779=(Elig_MatchAll_Ct-1),AK779=0),H779,0)</f>
        <v>0</v>
      </c>
      <c r="BN779" s="188">
        <f>IF(AND(Input_Product=Elig!$C779,Elig_MatchAll_Ct&lt;22,$BC779=(Elig_MatchAll_Ct-1),AL779=0),I779,0)</f>
        <v>0</v>
      </c>
      <c r="BO779" s="188">
        <f>IF(AND(Input_Product=Elig!$C779,Elig_MatchAll_Ct&lt;22,$BC779=(Elig_MatchAll_Ct-1),AM779=0),J779,0)</f>
        <v>0</v>
      </c>
      <c r="BP779" s="188">
        <f>IF(AND(Input_Product=Elig!$C779,Elig_MatchAll_Ct&lt;22,$BC779=(Elig_MatchAll_Ct-1),AN779=0),K779,0)</f>
        <v>0</v>
      </c>
      <c r="BQ779" s="188">
        <f>IF(AND(Input_Product=Elig!$C779,Elig_MatchAll_Ct&lt;22,$BC779=(Elig_MatchAll_Ct-1),AP779=0),L779,0)</f>
        <v>0</v>
      </c>
      <c r="BR779" s="188">
        <f>IF(AND(Input_Product=Elig!$C779,Elig_MatchAll_Ct&lt;22,$BC779=(Elig_MatchAll_Ct-1),AO779=0),M779,0)</f>
        <v>0</v>
      </c>
      <c r="BS779" s="188">
        <f>IF(AND(Input_Product=Elig!$C779,Elig_MatchAll_Ct&lt;22,$BC779=(Elig_MatchAll_Ct-1),AQ779=0),N779,0)</f>
        <v>0</v>
      </c>
      <c r="BT779" s="188">
        <f>IF(AND(Input_Product=Elig!$C779,Elig_MatchAll_Ct&lt;22,$BC779=(Elig_MatchAll_Ct-1),AR779=0),O779,0)</f>
        <v>0</v>
      </c>
      <c r="BU779" s="188">
        <f>IF(AND(Input_Product=Elig!$C779,Elig_MatchAll_Ct&lt;22,$BC779=(Elig_MatchAll_Ct-1),AS779=0),P779,0)</f>
        <v>0</v>
      </c>
      <c r="BV779" s="189">
        <f>IF(AND(Input_Product=Elig!$C779,Elig_MatchAll_Ct&lt;22,$BC779=(Elig_MatchAll_Ct-1),AT779=0),Q779,0)</f>
        <v>0</v>
      </c>
      <c r="BW779" s="271">
        <f>IF(AND(Input_Product=Elig!$C779,Elig_MatchAll_Ct&lt;22,$BC779=(Elig_MatchAll_Ct-1),AU779=0),R779,0)</f>
        <v>0</v>
      </c>
      <c r="BX779" s="272">
        <f>IF(AND(Input_Product=Elig!$C779,Elig_MatchAll_Ct&lt;22,$BC779=(Elig_MatchAll_Ct-1),AU779=0),S779,0)</f>
        <v>0</v>
      </c>
      <c r="BY779" s="271">
        <f>IF(AND(Input_Product=Elig!$C779,Elig_MatchAll_Ct&lt;22,$BC779=(Elig_MatchAll_Ct-1),AV779=0),T779,0)</f>
        <v>0</v>
      </c>
      <c r="BZ779" s="272">
        <f>IF(AND(Input_Product=Elig!$C779,Elig_MatchAll_Ct&lt;22,$BC779=(Elig_MatchAll_Ct-1),AV779=0),U779,0)</f>
        <v>0</v>
      </c>
      <c r="CA779" s="271">
        <f>IF(AND(Input_Product=Elig!$C779,Elig_MatchAll_Ct&lt;22,$BC779=(Elig_MatchAll_Ct-1),AW779=0),V779,0)</f>
        <v>0</v>
      </c>
      <c r="CB779" s="272">
        <f>IF(AND(Input_Product=Elig!$C779,Elig_MatchAll_Ct&lt;22,$BC779=(Elig_MatchAll_Ct-1),AW779=0),W779,0)</f>
        <v>0</v>
      </c>
      <c r="CC779" s="271">
        <f>IF(AND(Input_Product=Elig!$C779,Elig_MatchAll_Ct&lt;22,$BC779=(Elig_MatchAll_Ct-1),AX779=0),X779,0)</f>
        <v>0</v>
      </c>
      <c r="CD779" s="272">
        <f>IF(AND(Input_Product=Elig!$C779,Elig_MatchAll_Ct&lt;22,$BC779=(Elig_MatchAll_Ct-1),AX779=0),Y779,0)</f>
        <v>0</v>
      </c>
      <c r="CE779" s="271">
        <f>IF(AND(Input_LTV&lt;=AE779,Input_Product=Elig!$C779,Elig_MatchAll_Ct&lt;22,$BC779=(Elig_MatchAll_Ct-1),AY779=0),Z779,0)</f>
        <v>0</v>
      </c>
      <c r="CF779" s="272">
        <f>IF(AND(Input_LTV&lt;=AE779,Input_Product=Elig!$C779,Elig_MatchAll_Ct&lt;22,$BC779=(Elig_MatchAll_Ct-1),AY779=0),AA779,0)</f>
        <v>0</v>
      </c>
      <c r="CG779" s="271">
        <f>IF(AND(Input_Product=Elig!$C779,Elig_MatchAll_Ct&lt;22,$BC779=(Elig_MatchAll_Ct-1),AZ779=0),AB779,0)</f>
        <v>0</v>
      </c>
      <c r="CH779" s="272">
        <f>IF(AND(Input_Product=Elig!$C779,Elig_MatchAll_Ct&lt;22,$BC779=(Elig_MatchAll_Ct-1),AZ779=0),AC779,0)</f>
        <v>0</v>
      </c>
      <c r="CI779" s="271">
        <f>IF(AND(Input_Product=Elig!$C779,Elig_MatchAll_Ct&lt;22,$BC779=(Elig_MatchAll_Ct-1),BA779=0),AD779,0)</f>
        <v>0</v>
      </c>
      <c r="CJ779" s="272">
        <f>IF(AND(Input_Product=Elig!$C779,Elig_MatchAll_Ct&lt;22,$BC779=(Elig_MatchAll_Ct-1),BA779=0),AE779,0)</f>
        <v>0</v>
      </c>
    </row>
    <row r="780" spans="1:88" ht="10.15" customHeight="1" x14ac:dyDescent="0.25">
      <c r="A780" s="1484" t="s">
        <v>76</v>
      </c>
      <c r="B780" s="1484" t="s">
        <v>2193</v>
      </c>
      <c r="C780" s="1489" t="str">
        <f t="shared" si="259"/>
        <v>Second NOO</v>
      </c>
      <c r="D780" s="1490" t="s">
        <v>1338</v>
      </c>
      <c r="E780" s="1490" t="s">
        <v>98</v>
      </c>
      <c r="F780" s="1490" t="s">
        <v>329</v>
      </c>
      <c r="G780" s="1546" t="s">
        <v>180</v>
      </c>
      <c r="H780" s="1490" t="s">
        <v>135</v>
      </c>
      <c r="I780" s="1488" t="s">
        <v>1141</v>
      </c>
      <c r="J780" s="1488" t="s">
        <v>1130</v>
      </c>
      <c r="K780" s="1490" t="s">
        <v>2464</v>
      </c>
      <c r="L780" s="1488" t="s">
        <v>428</v>
      </c>
      <c r="M780" s="1488" t="s">
        <v>1835</v>
      </c>
      <c r="N780" s="1546" t="s">
        <v>1844</v>
      </c>
      <c r="O780" s="1488" t="s">
        <v>2196</v>
      </c>
      <c r="P780" s="1488" t="s">
        <v>2434</v>
      </c>
      <c r="Q780" s="1488" t="s">
        <v>293</v>
      </c>
      <c r="R780" s="1542">
        <v>500000.01</v>
      </c>
      <c r="S780" s="1542">
        <v>750000</v>
      </c>
      <c r="T780" s="1488">
        <v>0</v>
      </c>
      <c r="U780" s="1488">
        <f t="shared" si="263"/>
        <v>750000</v>
      </c>
      <c r="V780" s="1488">
        <v>0</v>
      </c>
      <c r="W780" s="1488">
        <v>50</v>
      </c>
      <c r="X780" s="1542">
        <v>1</v>
      </c>
      <c r="Y780" s="1488">
        <v>999</v>
      </c>
      <c r="Z780" s="1491">
        <v>720</v>
      </c>
      <c r="AA780" s="1491">
        <v>999</v>
      </c>
      <c r="AB780" s="1491">
        <v>0</v>
      </c>
      <c r="AC780" s="1491">
        <v>999999</v>
      </c>
      <c r="AD780" s="1488">
        <v>0</v>
      </c>
      <c r="AE780" s="1542">
        <v>70</v>
      </c>
      <c r="AF780" s="144">
        <v>1</v>
      </c>
      <c r="AG780" s="145">
        <v>1</v>
      </c>
      <c r="AH780" s="145">
        <v>1</v>
      </c>
      <c r="AI780" s="145">
        <v>1</v>
      </c>
      <c r="AJ780" s="145">
        <v>1</v>
      </c>
      <c r="AK780" s="145">
        <v>1</v>
      </c>
      <c r="AL780" s="145">
        <v>1</v>
      </c>
      <c r="AM780" s="145">
        <v>1</v>
      </c>
      <c r="AN780" s="145">
        <v>1</v>
      </c>
      <c r="AO780" s="145">
        <v>1</v>
      </c>
      <c r="AP780" s="145">
        <v>1</v>
      </c>
      <c r="AQ780" s="145">
        <v>1</v>
      </c>
      <c r="AR780" s="145">
        <v>1</v>
      </c>
      <c r="AS780" s="145">
        <v>1</v>
      </c>
      <c r="AT780" s="145">
        <v>1</v>
      </c>
      <c r="AU780" s="145">
        <f t="shared" si="270"/>
        <v>0</v>
      </c>
      <c r="AV780" s="145">
        <f t="shared" si="271"/>
        <v>1</v>
      </c>
      <c r="AW780" s="145">
        <f t="shared" si="272"/>
        <v>1</v>
      </c>
      <c r="AX780" s="145">
        <f t="shared" si="244"/>
        <v>1</v>
      </c>
      <c r="AY780" s="145">
        <f t="shared" si="273"/>
        <v>1</v>
      </c>
      <c r="AZ780" s="145">
        <f t="shared" si="274"/>
        <v>1</v>
      </c>
      <c r="BA780" s="146">
        <f t="shared" si="275"/>
        <v>1</v>
      </c>
      <c r="BB780" s="149">
        <f t="shared" ref="BB780:BB782" si="276">SUM(AF780:BA780)</f>
        <v>21</v>
      </c>
      <c r="BC780" s="150">
        <f t="shared" ref="BC780:BC782" si="277">SUM(AF780:AZ780)</f>
        <v>20</v>
      </c>
      <c r="BD780" s="150">
        <f t="shared" ref="BD780:BD782" si="278">SUM(AG780:BA780)</f>
        <v>20</v>
      </c>
      <c r="BE780" s="211" t="str">
        <f t="shared" si="262"/>
        <v/>
      </c>
      <c r="BF780" s="194"/>
      <c r="BG780" s="194"/>
      <c r="BH780" s="190">
        <f>IF(AND(Input_Product=Elig!$C780,Elig_MatchAll_Ct&lt;22,$BC780=(Elig_MatchAll_Ct-1),AF780=0),C780,0)</f>
        <v>0</v>
      </c>
      <c r="BI780" s="190">
        <f>IF(AND(Input_Product=Elig!$C780,Elig_MatchAll_Ct&lt;22,$BC780=(Elig_MatchAll_Ct-1),AG780=0),D780,0)</f>
        <v>0</v>
      </c>
      <c r="BJ780" s="190">
        <f>IF(AND(Input_Product=Elig!$C780,Elig_MatchAll_Ct&lt;22,$BC780=(Elig_MatchAll_Ct-1),AH780=0),E780,0)</f>
        <v>0</v>
      </c>
      <c r="BK780" s="190">
        <f>IF(AND(Input_Product=Elig!$C780,Elig_MatchAll_Ct&lt;22,$BC780=(Elig_MatchAll_Ct-1),AI780=0),F780,0)</f>
        <v>0</v>
      </c>
      <c r="BL780" s="190">
        <f>IF(AND(Input_Product=Elig!$C780,Elig_MatchAll_Ct&lt;22,$BC780=(Elig_MatchAll_Ct-1),AJ780=0),G780,0)</f>
        <v>0</v>
      </c>
      <c r="BM780" s="190">
        <f>IF(AND(Input_Product=Elig!$C780,Elig_MatchAll_Ct&lt;22,$BC780=(Elig_MatchAll_Ct-1),AK780=0),H780,0)</f>
        <v>0</v>
      </c>
      <c r="BN780" s="190">
        <f>IF(AND(Input_Product=Elig!$C780,Elig_MatchAll_Ct&lt;22,$BC780=(Elig_MatchAll_Ct-1),AL780=0),I780,0)</f>
        <v>0</v>
      </c>
      <c r="BO780" s="190">
        <f>IF(AND(Input_Product=Elig!$C780,Elig_MatchAll_Ct&lt;22,$BC780=(Elig_MatchAll_Ct-1),AM780=0),J780,0)</f>
        <v>0</v>
      </c>
      <c r="BP780" s="190">
        <f>IF(AND(Input_Product=Elig!$C780,Elig_MatchAll_Ct&lt;22,$BC780=(Elig_MatchAll_Ct-1),AN780=0),K780,0)</f>
        <v>0</v>
      </c>
      <c r="BQ780" s="190">
        <f>IF(AND(Input_Product=Elig!$C780,Elig_MatchAll_Ct&lt;22,$BC780=(Elig_MatchAll_Ct-1),AP780=0),L780,0)</f>
        <v>0</v>
      </c>
      <c r="BR780" s="190">
        <f>IF(AND(Input_Product=Elig!$C780,Elig_MatchAll_Ct&lt;22,$BC780=(Elig_MatchAll_Ct-1),AO780=0),M780,0)</f>
        <v>0</v>
      </c>
      <c r="BS780" s="190">
        <f>IF(AND(Input_Product=Elig!$C780,Elig_MatchAll_Ct&lt;22,$BC780=(Elig_MatchAll_Ct-1),AQ780=0),N780,0)</f>
        <v>0</v>
      </c>
      <c r="BT780" s="190">
        <f>IF(AND(Input_Product=Elig!$C780,Elig_MatchAll_Ct&lt;22,$BC780=(Elig_MatchAll_Ct-1),AR780=0),O780,0)</f>
        <v>0</v>
      </c>
      <c r="BU780" s="190">
        <f>IF(AND(Input_Product=Elig!$C780,Elig_MatchAll_Ct&lt;22,$BC780=(Elig_MatchAll_Ct-1),AS780=0),P780,0)</f>
        <v>0</v>
      </c>
      <c r="BV780" s="191">
        <f>IF(AND(Input_Product=Elig!$C780,Elig_MatchAll_Ct&lt;22,$BC780=(Elig_MatchAll_Ct-1),AT780=0),Q780,0)</f>
        <v>0</v>
      </c>
      <c r="BW780" s="273">
        <f>IF(AND(Input_Product=Elig!$C780,Elig_MatchAll_Ct&lt;22,$BC780=(Elig_MatchAll_Ct-1),AU780=0),R780,0)</f>
        <v>0</v>
      </c>
      <c r="BX780" s="274">
        <f>IF(AND(Input_Product=Elig!$C780,Elig_MatchAll_Ct&lt;22,$BC780=(Elig_MatchAll_Ct-1),AU780=0),S780,0)</f>
        <v>0</v>
      </c>
      <c r="BY780" s="273">
        <f>IF(AND(Input_Product=Elig!$C780,Elig_MatchAll_Ct&lt;22,$BC780=(Elig_MatchAll_Ct-1),AV780=0),T780,0)</f>
        <v>0</v>
      </c>
      <c r="BZ780" s="274">
        <f>IF(AND(Input_Product=Elig!$C780,Elig_MatchAll_Ct&lt;22,$BC780=(Elig_MatchAll_Ct-1),AV780=0),U780,0)</f>
        <v>0</v>
      </c>
      <c r="CA780" s="273">
        <f>IF(AND(Input_Product=Elig!$C780,Elig_MatchAll_Ct&lt;22,$BC780=(Elig_MatchAll_Ct-1),AW780=0),V780,0)</f>
        <v>0</v>
      </c>
      <c r="CB780" s="274">
        <f>IF(AND(Input_Product=Elig!$C780,Elig_MatchAll_Ct&lt;22,$BC780=(Elig_MatchAll_Ct-1),AW780=0),W780,0)</f>
        <v>0</v>
      </c>
      <c r="CC780" s="273">
        <f>IF(AND(Input_Product=Elig!$C780,Elig_MatchAll_Ct&lt;22,$BC780=(Elig_MatchAll_Ct-1),AX780=0),X780,0)</f>
        <v>0</v>
      </c>
      <c r="CD780" s="274">
        <f>IF(AND(Input_Product=Elig!$C780,Elig_MatchAll_Ct&lt;22,$BC780=(Elig_MatchAll_Ct-1),AX780=0),Y780,0)</f>
        <v>0</v>
      </c>
      <c r="CE780" s="273">
        <f>IF(AND(Input_LTV&lt;=AE780,Input_Product=Elig!$C780,Elig_MatchAll_Ct&lt;22,$BC780=(Elig_MatchAll_Ct-1),AY780=0),Z780,0)</f>
        <v>0</v>
      </c>
      <c r="CF780" s="274">
        <f>IF(AND(Input_LTV&lt;=AE780,Input_Product=Elig!$C780,Elig_MatchAll_Ct&lt;22,$BC780=(Elig_MatchAll_Ct-1),AY780=0),AA780,0)</f>
        <v>0</v>
      </c>
      <c r="CG780" s="273">
        <f>IF(AND(Input_Product=Elig!$C780,Elig_MatchAll_Ct&lt;22,$BC780=(Elig_MatchAll_Ct-1),AZ780=0),AB780,0)</f>
        <v>0</v>
      </c>
      <c r="CH780" s="274">
        <f>IF(AND(Input_Product=Elig!$C780,Elig_MatchAll_Ct&lt;22,$BC780=(Elig_MatchAll_Ct-1),AZ780=0),AC780,0)</f>
        <v>0</v>
      </c>
      <c r="CI780" s="273">
        <f>IF(AND(Input_Product=Elig!$C780,Elig_MatchAll_Ct&lt;22,$BC780=(Elig_MatchAll_Ct-1),BA780=0),AD780,0)</f>
        <v>0</v>
      </c>
      <c r="CJ780" s="274">
        <f>IF(AND(Input_Product=Elig!$C780,Elig_MatchAll_Ct&lt;22,$BC780=(Elig_MatchAll_Ct-1),BA780=0),AE780,0)</f>
        <v>0</v>
      </c>
    </row>
    <row r="781" spans="1:88" ht="10.15" customHeight="1" x14ac:dyDescent="0.25">
      <c r="A781" s="1484" t="s">
        <v>76</v>
      </c>
      <c r="B781" s="1484" t="s">
        <v>2194</v>
      </c>
      <c r="C781" s="1485" t="str">
        <f t="shared" si="259"/>
        <v>Second NOO</v>
      </c>
      <c r="D781" s="1484" t="s">
        <v>1338</v>
      </c>
      <c r="E781" s="1484" t="s">
        <v>98</v>
      </c>
      <c r="F781" s="1484" t="s">
        <v>329</v>
      </c>
      <c r="G781" s="1547" t="s">
        <v>180</v>
      </c>
      <c r="H781" s="1486" t="s">
        <v>135</v>
      </c>
      <c r="I781" s="1484" t="s">
        <v>1141</v>
      </c>
      <c r="J781" s="1484" t="s">
        <v>1130</v>
      </c>
      <c r="K781" s="1486" t="s">
        <v>2464</v>
      </c>
      <c r="L781" s="1484" t="s">
        <v>428</v>
      </c>
      <c r="M781" s="1484" t="s">
        <v>1835</v>
      </c>
      <c r="N781" s="1547" t="s">
        <v>1844</v>
      </c>
      <c r="O781" s="1484" t="s">
        <v>2196</v>
      </c>
      <c r="P781" s="1484" t="s">
        <v>2434</v>
      </c>
      <c r="Q781" s="1484" t="s">
        <v>293</v>
      </c>
      <c r="R781" s="1543">
        <v>500000.01</v>
      </c>
      <c r="S781" s="1543">
        <v>750000</v>
      </c>
      <c r="T781" s="1484">
        <v>0</v>
      </c>
      <c r="U781" s="1484">
        <f t="shared" si="263"/>
        <v>750000</v>
      </c>
      <c r="V781" s="1484">
        <v>0</v>
      </c>
      <c r="W781" s="1484">
        <v>50</v>
      </c>
      <c r="X781" s="1543">
        <v>1</v>
      </c>
      <c r="Y781" s="1484">
        <v>999</v>
      </c>
      <c r="Z781" s="1487">
        <v>700</v>
      </c>
      <c r="AA781" s="1487">
        <v>719</v>
      </c>
      <c r="AB781" s="1487">
        <v>0</v>
      </c>
      <c r="AC781" s="1487">
        <v>999999</v>
      </c>
      <c r="AD781" s="1484">
        <v>0</v>
      </c>
      <c r="AE781" s="1543">
        <v>65</v>
      </c>
      <c r="AF781" s="144">
        <v>1</v>
      </c>
      <c r="AG781" s="145">
        <v>1</v>
      </c>
      <c r="AH781" s="145">
        <v>1</v>
      </c>
      <c r="AI781" s="145">
        <v>1</v>
      </c>
      <c r="AJ781" s="145">
        <v>1</v>
      </c>
      <c r="AK781" s="145">
        <v>1</v>
      </c>
      <c r="AL781" s="145">
        <v>1</v>
      </c>
      <c r="AM781" s="145">
        <v>1</v>
      </c>
      <c r="AN781" s="145">
        <v>1</v>
      </c>
      <c r="AO781" s="145">
        <v>1</v>
      </c>
      <c r="AP781" s="145">
        <v>1</v>
      </c>
      <c r="AQ781" s="145">
        <v>1</v>
      </c>
      <c r="AR781" s="145">
        <v>1</v>
      </c>
      <c r="AS781" s="145">
        <v>1</v>
      </c>
      <c r="AT781" s="145">
        <v>1</v>
      </c>
      <c r="AU781" s="145">
        <f t="shared" si="270"/>
        <v>0</v>
      </c>
      <c r="AV781" s="145">
        <f t="shared" si="271"/>
        <v>1</v>
      </c>
      <c r="AW781" s="145">
        <f t="shared" si="272"/>
        <v>1</v>
      </c>
      <c r="AX781" s="145">
        <f t="shared" ref="AX781:AX782" si="279">IF(AND(Input_DSCR&gt;=Elig_DSCR_Min,Input_DSCR&lt;=Elig_DSCR_Max),1,0)</f>
        <v>1</v>
      </c>
      <c r="AY781" s="145">
        <f t="shared" si="273"/>
        <v>0</v>
      </c>
      <c r="AZ781" s="145">
        <f t="shared" si="274"/>
        <v>1</v>
      </c>
      <c r="BA781" s="146">
        <f t="shared" si="275"/>
        <v>0</v>
      </c>
      <c r="BB781" s="149">
        <f t="shared" si="276"/>
        <v>19</v>
      </c>
      <c r="BC781" s="150">
        <f t="shared" si="277"/>
        <v>19</v>
      </c>
      <c r="BD781" s="150">
        <f t="shared" si="278"/>
        <v>18</v>
      </c>
      <c r="BE781" s="211" t="str">
        <f t="shared" si="262"/>
        <v/>
      </c>
      <c r="BF781" s="205"/>
      <c r="BG781" s="205"/>
      <c r="BH781" s="173">
        <f>IF(AND(Input_Product=Elig!$C781,Elig_MatchAll_Ct&lt;22,$BC781=(Elig_MatchAll_Ct-1),AF781=0),C781,0)</f>
        <v>0</v>
      </c>
      <c r="BI781" s="173">
        <f>IF(AND(Input_Product=Elig!$C781,Elig_MatchAll_Ct&lt;22,$BC781=(Elig_MatchAll_Ct-1),AG781=0),D781,0)</f>
        <v>0</v>
      </c>
      <c r="BJ781" s="173">
        <f>IF(AND(Input_Product=Elig!$C781,Elig_MatchAll_Ct&lt;22,$BC781=(Elig_MatchAll_Ct-1),AH781=0),E781,0)</f>
        <v>0</v>
      </c>
      <c r="BK781" s="173">
        <f>IF(AND(Input_Product=Elig!$C781,Elig_MatchAll_Ct&lt;22,$BC781=(Elig_MatchAll_Ct-1),AI781=0),F781,0)</f>
        <v>0</v>
      </c>
      <c r="BL781" s="173">
        <f>IF(AND(Input_Product=Elig!$C781,Elig_MatchAll_Ct&lt;22,$BC781=(Elig_MatchAll_Ct-1),AJ781=0),G781,0)</f>
        <v>0</v>
      </c>
      <c r="BM781" s="173">
        <f>IF(AND(Input_Product=Elig!$C781,Elig_MatchAll_Ct&lt;22,$BC781=(Elig_MatchAll_Ct-1),AK781=0),H781,0)</f>
        <v>0</v>
      </c>
      <c r="BN781" s="173">
        <f>IF(AND(Input_Product=Elig!$C781,Elig_MatchAll_Ct&lt;22,$BC781=(Elig_MatchAll_Ct-1),AL781=0),I781,0)</f>
        <v>0</v>
      </c>
      <c r="BO781" s="173">
        <f>IF(AND(Input_Product=Elig!$C781,Elig_MatchAll_Ct&lt;22,$BC781=(Elig_MatchAll_Ct-1),AM781=0),J781,0)</f>
        <v>0</v>
      </c>
      <c r="BP781" s="173">
        <f>IF(AND(Input_Product=Elig!$C781,Elig_MatchAll_Ct&lt;22,$BC781=(Elig_MatchAll_Ct-1),AN781=0),K781,0)</f>
        <v>0</v>
      </c>
      <c r="BQ781" s="173">
        <f>IF(AND(Input_Product=Elig!$C781,Elig_MatchAll_Ct&lt;22,$BC781=(Elig_MatchAll_Ct-1),AP781=0),L781,0)</f>
        <v>0</v>
      </c>
      <c r="BR781" s="173">
        <f>IF(AND(Input_Product=Elig!$C781,Elig_MatchAll_Ct&lt;22,$BC781=(Elig_MatchAll_Ct-1),AO781=0),M781,0)</f>
        <v>0</v>
      </c>
      <c r="BS781" s="173">
        <f>IF(AND(Input_Product=Elig!$C781,Elig_MatchAll_Ct&lt;22,$BC781=(Elig_MatchAll_Ct-1),AQ781=0),N781,0)</f>
        <v>0</v>
      </c>
      <c r="BT781" s="173">
        <f>IF(AND(Input_Product=Elig!$C781,Elig_MatchAll_Ct&lt;22,$BC781=(Elig_MatchAll_Ct-1),AR781=0),O781,0)</f>
        <v>0</v>
      </c>
      <c r="BU781" s="173">
        <f>IF(AND(Input_Product=Elig!$C781,Elig_MatchAll_Ct&lt;22,$BC781=(Elig_MatchAll_Ct-1),AS781=0),P781,0)</f>
        <v>0</v>
      </c>
      <c r="BV781" s="174">
        <f>IF(AND(Input_Product=Elig!$C781,Elig_MatchAll_Ct&lt;22,$BC781=(Elig_MatchAll_Ct-1),AT781=0),Q781,0)</f>
        <v>0</v>
      </c>
      <c r="BW781" s="175">
        <f>IF(AND(Input_Product=Elig!$C781,Elig_MatchAll_Ct&lt;22,$BC781=(Elig_MatchAll_Ct-1),AU781=0),R781,0)</f>
        <v>0</v>
      </c>
      <c r="BX781" s="176">
        <f>IF(AND(Input_Product=Elig!$C781,Elig_MatchAll_Ct&lt;22,$BC781=(Elig_MatchAll_Ct-1),AU781=0),S781,0)</f>
        <v>0</v>
      </c>
      <c r="BY781" s="175">
        <f>IF(AND(Input_Product=Elig!$C781,Elig_MatchAll_Ct&lt;22,$BC781=(Elig_MatchAll_Ct-1),AV781=0),T781,0)</f>
        <v>0</v>
      </c>
      <c r="BZ781" s="176">
        <f>IF(AND(Input_Product=Elig!$C781,Elig_MatchAll_Ct&lt;22,$BC781=(Elig_MatchAll_Ct-1),AV781=0),U781,0)</f>
        <v>0</v>
      </c>
      <c r="CA781" s="175">
        <f>IF(AND(Input_Product=Elig!$C781,Elig_MatchAll_Ct&lt;22,$BC781=(Elig_MatchAll_Ct-1),AW781=0),V781,0)</f>
        <v>0</v>
      </c>
      <c r="CB781" s="176">
        <f>IF(AND(Input_Product=Elig!$C781,Elig_MatchAll_Ct&lt;22,$BC781=(Elig_MatchAll_Ct-1),AW781=0),W781,0)</f>
        <v>0</v>
      </c>
      <c r="CC781" s="175">
        <f>IF(AND(Input_Product=Elig!$C781,Elig_MatchAll_Ct&lt;22,$BC781=(Elig_MatchAll_Ct-1),AX781=0),X781,0)</f>
        <v>0</v>
      </c>
      <c r="CD781" s="176">
        <f>IF(AND(Input_Product=Elig!$C781,Elig_MatchAll_Ct&lt;22,$BC781=(Elig_MatchAll_Ct-1),AX781=0),Y781,0)</f>
        <v>0</v>
      </c>
      <c r="CE781" s="175">
        <f>IF(AND(Input_LTV&lt;=AE781,Input_Product=Elig!$C781,Elig_MatchAll_Ct&lt;22,$BC781=(Elig_MatchAll_Ct-1),AY781=0),Z781,0)</f>
        <v>0</v>
      </c>
      <c r="CF781" s="176">
        <f>IF(AND(Input_LTV&lt;=AE781,Input_Product=Elig!$C781,Elig_MatchAll_Ct&lt;22,$BC781=(Elig_MatchAll_Ct-1),AY781=0),AA781,0)</f>
        <v>0</v>
      </c>
      <c r="CG781" s="175">
        <f>IF(AND(Input_Product=Elig!$C781,Elig_MatchAll_Ct&lt;22,$BC781=(Elig_MatchAll_Ct-1),AZ781=0),AB781,0)</f>
        <v>0</v>
      </c>
      <c r="CH781" s="176">
        <f>IF(AND(Input_Product=Elig!$C781,Elig_MatchAll_Ct&lt;22,$BC781=(Elig_MatchAll_Ct-1),AZ781=0),AC781,0)</f>
        <v>0</v>
      </c>
      <c r="CI781" s="175">
        <f>IF(AND(Input_Product=Elig!$C781,Elig_MatchAll_Ct&lt;22,$BC781=(Elig_MatchAll_Ct-1),BA781=0),AD781,0)</f>
        <v>0</v>
      </c>
      <c r="CJ781" s="176">
        <f>IF(AND(Input_Product=Elig!$C781,Elig_MatchAll_Ct&lt;22,$BC781=(Elig_MatchAll_Ct-1),BA781=0),AE781,0)</f>
        <v>0</v>
      </c>
    </row>
    <row r="782" spans="1:88" ht="10.15" customHeight="1" x14ac:dyDescent="0.25">
      <c r="A782" s="1484" t="s">
        <v>76</v>
      </c>
      <c r="B782" s="1484" t="s">
        <v>2195</v>
      </c>
      <c r="C782" s="1485" t="str">
        <f t="shared" si="259"/>
        <v>Second NOO</v>
      </c>
      <c r="D782" s="1484" t="s">
        <v>1338</v>
      </c>
      <c r="E782" s="1484" t="s">
        <v>98</v>
      </c>
      <c r="F782" s="1484" t="s">
        <v>329</v>
      </c>
      <c r="G782" s="1547" t="s">
        <v>180</v>
      </c>
      <c r="H782" s="1486" t="s">
        <v>135</v>
      </c>
      <c r="I782" s="1484" t="s">
        <v>1141</v>
      </c>
      <c r="J782" s="1484" t="s">
        <v>1130</v>
      </c>
      <c r="K782" s="1486" t="s">
        <v>2464</v>
      </c>
      <c r="L782" s="1484" t="s">
        <v>428</v>
      </c>
      <c r="M782" s="1484" t="s">
        <v>1835</v>
      </c>
      <c r="N782" s="1547" t="s">
        <v>1844</v>
      </c>
      <c r="O782" s="1484" t="s">
        <v>2196</v>
      </c>
      <c r="P782" s="1484" t="s">
        <v>2434</v>
      </c>
      <c r="Q782" s="1484" t="s">
        <v>293</v>
      </c>
      <c r="R782" s="1543">
        <v>500000.01</v>
      </c>
      <c r="S782" s="1543">
        <v>750000</v>
      </c>
      <c r="T782" s="1484">
        <v>0</v>
      </c>
      <c r="U782" s="1484">
        <f t="shared" si="263"/>
        <v>750000</v>
      </c>
      <c r="V782" s="1484">
        <v>0</v>
      </c>
      <c r="W782" s="1484">
        <v>50</v>
      </c>
      <c r="X782" s="1543">
        <v>1</v>
      </c>
      <c r="Y782" s="1484">
        <v>999</v>
      </c>
      <c r="Z782" s="1487">
        <v>680</v>
      </c>
      <c r="AA782" s="1487">
        <v>699</v>
      </c>
      <c r="AB782" s="1487">
        <v>0</v>
      </c>
      <c r="AC782" s="1487">
        <v>999999</v>
      </c>
      <c r="AD782" s="1484">
        <v>0</v>
      </c>
      <c r="AE782" s="1543">
        <v>55</v>
      </c>
      <c r="AF782" s="144">
        <v>1</v>
      </c>
      <c r="AG782" s="145">
        <v>1</v>
      </c>
      <c r="AH782" s="145">
        <v>1</v>
      </c>
      <c r="AI782" s="145">
        <v>1</v>
      </c>
      <c r="AJ782" s="145">
        <v>1</v>
      </c>
      <c r="AK782" s="145">
        <v>1</v>
      </c>
      <c r="AL782" s="145">
        <v>1</v>
      </c>
      <c r="AM782" s="145">
        <v>1</v>
      </c>
      <c r="AN782" s="145">
        <v>1</v>
      </c>
      <c r="AO782" s="145">
        <v>1</v>
      </c>
      <c r="AP782" s="145">
        <v>1</v>
      </c>
      <c r="AQ782" s="145">
        <v>1</v>
      </c>
      <c r="AR782" s="145">
        <v>1</v>
      </c>
      <c r="AS782" s="145">
        <v>1</v>
      </c>
      <c r="AT782" s="145">
        <v>1</v>
      </c>
      <c r="AU782" s="145">
        <f t="shared" si="270"/>
        <v>0</v>
      </c>
      <c r="AV782" s="145">
        <f t="shared" si="271"/>
        <v>1</v>
      </c>
      <c r="AW782" s="145">
        <f t="shared" si="272"/>
        <v>1</v>
      </c>
      <c r="AX782" s="145">
        <f t="shared" si="279"/>
        <v>1</v>
      </c>
      <c r="AY782" s="145">
        <f t="shared" si="273"/>
        <v>0</v>
      </c>
      <c r="AZ782" s="145">
        <f t="shared" si="274"/>
        <v>1</v>
      </c>
      <c r="BA782" s="146">
        <f t="shared" si="275"/>
        <v>0</v>
      </c>
      <c r="BB782" s="149">
        <f t="shared" si="276"/>
        <v>19</v>
      </c>
      <c r="BC782" s="150">
        <f t="shared" si="277"/>
        <v>19</v>
      </c>
      <c r="BD782" s="150">
        <f t="shared" si="278"/>
        <v>18</v>
      </c>
      <c r="BE782" s="211" t="str">
        <f t="shared" si="262"/>
        <v/>
      </c>
      <c r="BF782" s="205"/>
      <c r="BG782" s="205"/>
      <c r="BH782" s="173">
        <f>IF(AND(Input_Product=Elig!$C782,Elig_MatchAll_Ct&lt;22,$BC782=(Elig_MatchAll_Ct-1),AF782=0),C782,0)</f>
        <v>0</v>
      </c>
      <c r="BI782" s="173">
        <f>IF(AND(Input_Product=Elig!$C782,Elig_MatchAll_Ct&lt;22,$BC782=(Elig_MatchAll_Ct-1),AG782=0),D782,0)</f>
        <v>0</v>
      </c>
      <c r="BJ782" s="173">
        <f>IF(AND(Input_Product=Elig!$C782,Elig_MatchAll_Ct&lt;22,$BC782=(Elig_MatchAll_Ct-1),AH782=0),E782,0)</f>
        <v>0</v>
      </c>
      <c r="BK782" s="173">
        <f>IF(AND(Input_Product=Elig!$C782,Elig_MatchAll_Ct&lt;22,$BC782=(Elig_MatchAll_Ct-1),AI782=0),F782,0)</f>
        <v>0</v>
      </c>
      <c r="BL782" s="173">
        <f>IF(AND(Input_Product=Elig!$C782,Elig_MatchAll_Ct&lt;22,$BC782=(Elig_MatchAll_Ct-1),AJ782=0),G782,0)</f>
        <v>0</v>
      </c>
      <c r="BM782" s="173">
        <f>IF(AND(Input_Product=Elig!$C782,Elig_MatchAll_Ct&lt;22,$BC782=(Elig_MatchAll_Ct-1),AK782=0),H782,0)</f>
        <v>0</v>
      </c>
      <c r="BN782" s="173">
        <f>IF(AND(Input_Product=Elig!$C782,Elig_MatchAll_Ct&lt;22,$BC782=(Elig_MatchAll_Ct-1),AL782=0),I782,0)</f>
        <v>0</v>
      </c>
      <c r="BO782" s="173">
        <f>IF(AND(Input_Product=Elig!$C782,Elig_MatchAll_Ct&lt;22,$BC782=(Elig_MatchAll_Ct-1),AM782=0),J782,0)</f>
        <v>0</v>
      </c>
      <c r="BP782" s="173">
        <f>IF(AND(Input_Product=Elig!$C782,Elig_MatchAll_Ct&lt;22,$BC782=(Elig_MatchAll_Ct-1),AN782=0),K782,0)</f>
        <v>0</v>
      </c>
      <c r="BQ782" s="173">
        <f>IF(AND(Input_Product=Elig!$C782,Elig_MatchAll_Ct&lt;22,$BC782=(Elig_MatchAll_Ct-1),AP782=0),L782,0)</f>
        <v>0</v>
      </c>
      <c r="BR782" s="173">
        <f>IF(AND(Input_Product=Elig!$C782,Elig_MatchAll_Ct&lt;22,$BC782=(Elig_MatchAll_Ct-1),AO782=0),M782,0)</f>
        <v>0</v>
      </c>
      <c r="BS782" s="173">
        <f>IF(AND(Input_Product=Elig!$C782,Elig_MatchAll_Ct&lt;22,$BC782=(Elig_MatchAll_Ct-1),AQ782=0),N782,0)</f>
        <v>0</v>
      </c>
      <c r="BT782" s="173">
        <f>IF(AND(Input_Product=Elig!$C782,Elig_MatchAll_Ct&lt;22,$BC782=(Elig_MatchAll_Ct-1),AR782=0),O782,0)</f>
        <v>0</v>
      </c>
      <c r="BU782" s="173">
        <f>IF(AND(Input_Product=Elig!$C782,Elig_MatchAll_Ct&lt;22,$BC782=(Elig_MatchAll_Ct-1),AS782=0),P782,0)</f>
        <v>0</v>
      </c>
      <c r="BV782" s="174">
        <f>IF(AND(Input_Product=Elig!$C782,Elig_MatchAll_Ct&lt;22,$BC782=(Elig_MatchAll_Ct-1),AT782=0),Q782,0)</f>
        <v>0</v>
      </c>
      <c r="BW782" s="175">
        <f>IF(AND(Input_Product=Elig!$C782,Elig_MatchAll_Ct&lt;22,$BC782=(Elig_MatchAll_Ct-1),AU782=0),R782,0)</f>
        <v>0</v>
      </c>
      <c r="BX782" s="176">
        <f>IF(AND(Input_Product=Elig!$C782,Elig_MatchAll_Ct&lt;22,$BC782=(Elig_MatchAll_Ct-1),AU782=0),S782,0)</f>
        <v>0</v>
      </c>
      <c r="BY782" s="175">
        <f>IF(AND(Input_Product=Elig!$C782,Elig_MatchAll_Ct&lt;22,$BC782=(Elig_MatchAll_Ct-1),AV782=0),T782,0)</f>
        <v>0</v>
      </c>
      <c r="BZ782" s="176">
        <f>IF(AND(Input_Product=Elig!$C782,Elig_MatchAll_Ct&lt;22,$BC782=(Elig_MatchAll_Ct-1),AV782=0),U782,0)</f>
        <v>0</v>
      </c>
      <c r="CA782" s="175">
        <f>IF(AND(Input_Product=Elig!$C782,Elig_MatchAll_Ct&lt;22,$BC782=(Elig_MatchAll_Ct-1),AW782=0),V782,0)</f>
        <v>0</v>
      </c>
      <c r="CB782" s="176">
        <f>IF(AND(Input_Product=Elig!$C782,Elig_MatchAll_Ct&lt;22,$BC782=(Elig_MatchAll_Ct-1),AW782=0),W782,0)</f>
        <v>0</v>
      </c>
      <c r="CC782" s="175">
        <f>IF(AND(Input_Product=Elig!$C782,Elig_MatchAll_Ct&lt;22,$BC782=(Elig_MatchAll_Ct-1),AX782=0),X782,0)</f>
        <v>0</v>
      </c>
      <c r="CD782" s="176">
        <f>IF(AND(Input_Product=Elig!$C782,Elig_MatchAll_Ct&lt;22,$BC782=(Elig_MatchAll_Ct-1),AX782=0),Y782,0)</f>
        <v>0</v>
      </c>
      <c r="CE782" s="175">
        <f>IF(AND(Input_LTV&lt;=AE782,Input_Product=Elig!$C782,Elig_MatchAll_Ct&lt;22,$BC782=(Elig_MatchAll_Ct-1),AY782=0),Z782,0)</f>
        <v>0</v>
      </c>
      <c r="CF782" s="176">
        <f>IF(AND(Input_LTV&lt;=AE782,Input_Product=Elig!$C782,Elig_MatchAll_Ct&lt;22,$BC782=(Elig_MatchAll_Ct-1),AY782=0),AA782,0)</f>
        <v>0</v>
      </c>
      <c r="CG782" s="175">
        <f>IF(AND(Input_Product=Elig!$C782,Elig_MatchAll_Ct&lt;22,$BC782=(Elig_MatchAll_Ct-1),AZ782=0),AB782,0)</f>
        <v>0</v>
      </c>
      <c r="CH782" s="176">
        <f>IF(AND(Input_Product=Elig!$C782,Elig_MatchAll_Ct&lt;22,$BC782=(Elig_MatchAll_Ct-1),AZ782=0),AC782,0)</f>
        <v>0</v>
      </c>
      <c r="CI782" s="175">
        <f>IF(AND(Input_Product=Elig!$C782,Elig_MatchAll_Ct&lt;22,$BC782=(Elig_MatchAll_Ct-1),BA782=0),AD782,0)</f>
        <v>0</v>
      </c>
      <c r="CJ782" s="176">
        <f>IF(AND(Input_Product=Elig!$C782,Elig_MatchAll_Ct&lt;22,$BC782=(Elig_MatchAll_Ct-1),BA782=0),AE782,0)</f>
        <v>0</v>
      </c>
    </row>
    <row r="783" spans="1:88" ht="10.15" customHeight="1" x14ac:dyDescent="0.25">
      <c r="A783" s="963"/>
      <c r="B783" s="963"/>
      <c r="C783" s="964"/>
      <c r="D783" s="965"/>
      <c r="E783" s="965"/>
      <c r="F783" s="965"/>
      <c r="G783" s="966"/>
      <c r="H783" s="966"/>
      <c r="I783" s="965"/>
      <c r="J783" s="965"/>
      <c r="K783" s="966"/>
      <c r="L783" s="965"/>
      <c r="M783" s="965"/>
      <c r="N783" s="966"/>
      <c r="O783" s="965"/>
      <c r="P783" s="965"/>
      <c r="Q783" s="965"/>
      <c r="R783" s="965"/>
      <c r="S783" s="965"/>
      <c r="T783" s="965"/>
      <c r="U783" s="965"/>
      <c r="V783" s="965"/>
      <c r="W783" s="965"/>
      <c r="X783" s="965"/>
      <c r="Y783" s="965"/>
      <c r="Z783" s="967"/>
      <c r="AA783" s="967"/>
      <c r="AB783" s="967"/>
      <c r="AC783" s="967"/>
      <c r="AD783" s="965"/>
      <c r="AE783" s="1492"/>
      <c r="AF783" s="144">
        <v>0</v>
      </c>
      <c r="AG783" s="145">
        <v>0</v>
      </c>
      <c r="AH783" s="145">
        <v>0</v>
      </c>
      <c r="AI783" s="145">
        <v>0</v>
      </c>
      <c r="AJ783" s="145">
        <v>0</v>
      </c>
      <c r="AK783" s="145">
        <v>0</v>
      </c>
      <c r="AL783" s="145">
        <v>0</v>
      </c>
      <c r="AM783" s="145">
        <v>0</v>
      </c>
      <c r="AN783" s="145">
        <v>0</v>
      </c>
      <c r="AO783" s="145">
        <v>0</v>
      </c>
      <c r="AP783" s="145">
        <v>0</v>
      </c>
      <c r="AQ783" s="145">
        <v>0</v>
      </c>
      <c r="AR783" s="145">
        <v>0</v>
      </c>
      <c r="AS783" s="145">
        <v>0</v>
      </c>
      <c r="AT783" s="145">
        <v>0</v>
      </c>
      <c r="AU783" s="145"/>
      <c r="AV783" s="145"/>
      <c r="AW783" s="145"/>
      <c r="AX783" s="145"/>
      <c r="AY783" s="145"/>
      <c r="AZ783" s="145"/>
      <c r="BA783" s="146"/>
      <c r="BB783" s="149"/>
      <c r="BC783" s="150"/>
      <c r="BD783" s="150"/>
      <c r="BE783" s="211"/>
      <c r="BF783" s="906"/>
      <c r="BG783" s="906"/>
      <c r="BH783" s="907"/>
      <c r="BI783" s="907"/>
      <c r="BJ783" s="907"/>
      <c r="BK783" s="907"/>
      <c r="BL783" s="907"/>
      <c r="BM783" s="907"/>
      <c r="BN783" s="907"/>
      <c r="BO783" s="907"/>
      <c r="BP783" s="907"/>
      <c r="BQ783" s="907"/>
      <c r="BR783" s="907"/>
      <c r="BS783" s="907"/>
      <c r="BT783" s="907"/>
      <c r="BU783" s="907"/>
      <c r="BV783" s="908"/>
      <c r="BW783" s="909"/>
      <c r="BX783" s="910"/>
      <c r="BY783" s="909"/>
      <c r="BZ783" s="910"/>
      <c r="CA783" s="909"/>
      <c r="CB783" s="910"/>
      <c r="CC783" s="909"/>
      <c r="CD783" s="910"/>
      <c r="CE783" s="909"/>
      <c r="CF783" s="910"/>
      <c r="CG783" s="909"/>
      <c r="CH783" s="910"/>
      <c r="CI783" s="909"/>
      <c r="CJ783" s="910"/>
    </row>
    <row r="784" spans="1:88" ht="10.15" customHeight="1" x14ac:dyDescent="0.25"/>
    <row r="785" ht="10.15" customHeight="1" x14ac:dyDescent="0.25"/>
    <row r="786" ht="10.15" customHeight="1" x14ac:dyDescent="0.25"/>
    <row r="787" ht="9" customHeight="1" x14ac:dyDescent="0.25"/>
    <row r="788" ht="9" customHeight="1" x14ac:dyDescent="0.25"/>
    <row r="789" ht="9" customHeight="1" x14ac:dyDescent="0.25"/>
    <row r="790" ht="9" customHeight="1" x14ac:dyDescent="0.25"/>
    <row r="791" ht="9" customHeight="1" x14ac:dyDescent="0.25"/>
    <row r="792" ht="9" customHeight="1" x14ac:dyDescent="0.25"/>
    <row r="793" ht="9" customHeight="1" x14ac:dyDescent="0.25"/>
    <row r="794" ht="9" customHeight="1" x14ac:dyDescent="0.25"/>
    <row r="795" ht="9" customHeight="1" x14ac:dyDescent="0.25"/>
    <row r="796" ht="9" customHeight="1" x14ac:dyDescent="0.25"/>
    <row r="797" ht="9" customHeight="1" x14ac:dyDescent="0.25"/>
    <row r="798" ht="9" customHeight="1" x14ac:dyDescent="0.25"/>
    <row r="799" ht="9" customHeight="1" x14ac:dyDescent="0.25"/>
    <row r="800" ht="9" customHeight="1" x14ac:dyDescent="0.25"/>
    <row r="801" ht="9" customHeight="1" x14ac:dyDescent="0.25"/>
    <row r="802" ht="9" customHeight="1" x14ac:dyDescent="0.25"/>
    <row r="803" ht="9" customHeight="1" x14ac:dyDescent="0.25"/>
    <row r="804" ht="9" customHeight="1" x14ac:dyDescent="0.25"/>
    <row r="805" ht="9" customHeight="1" x14ac:dyDescent="0.25"/>
    <row r="806" ht="9" customHeight="1" x14ac:dyDescent="0.25"/>
    <row r="807" ht="9" customHeight="1" x14ac:dyDescent="0.25"/>
    <row r="808" ht="9" customHeight="1" x14ac:dyDescent="0.25"/>
    <row r="809" ht="9" customHeight="1" x14ac:dyDescent="0.25"/>
    <row r="810" ht="9" customHeight="1" x14ac:dyDescent="0.25"/>
    <row r="811" ht="9" customHeight="1" x14ac:dyDescent="0.25"/>
    <row r="812" ht="9" customHeight="1" x14ac:dyDescent="0.25"/>
    <row r="813" ht="9" customHeight="1" x14ac:dyDescent="0.25"/>
    <row r="814" ht="9" customHeight="1" x14ac:dyDescent="0.25"/>
    <row r="815" ht="9" customHeight="1" x14ac:dyDescent="0.25"/>
    <row r="816" ht="9" customHeight="1" x14ac:dyDescent="0.25"/>
    <row r="817" ht="9" customHeight="1" x14ac:dyDescent="0.25"/>
    <row r="818" ht="9" customHeight="1" x14ac:dyDescent="0.25"/>
    <row r="819" ht="9" customHeight="1" x14ac:dyDescent="0.25"/>
    <row r="820" ht="9" customHeight="1" x14ac:dyDescent="0.25"/>
    <row r="821" ht="9" customHeight="1" x14ac:dyDescent="0.25"/>
    <row r="822" ht="9" customHeight="1" x14ac:dyDescent="0.25"/>
    <row r="823" ht="9" customHeight="1" x14ac:dyDescent="0.25"/>
    <row r="824" ht="9" customHeight="1" x14ac:dyDescent="0.25"/>
    <row r="825" ht="9" customHeight="1" x14ac:dyDescent="0.25"/>
    <row r="826" ht="9" customHeight="1" x14ac:dyDescent="0.25"/>
    <row r="827" ht="9" customHeight="1" x14ac:dyDescent="0.25"/>
    <row r="828" ht="9" customHeight="1" x14ac:dyDescent="0.25"/>
    <row r="829" ht="9" customHeight="1" x14ac:dyDescent="0.25"/>
    <row r="830" ht="9" customHeight="1" x14ac:dyDescent="0.25"/>
    <row r="831" ht="9" customHeight="1" x14ac:dyDescent="0.25"/>
    <row r="832" ht="9" customHeight="1" x14ac:dyDescent="0.25"/>
    <row r="833" ht="9" customHeight="1" x14ac:dyDescent="0.25"/>
    <row r="834" ht="9" customHeight="1" x14ac:dyDescent="0.25"/>
    <row r="835" ht="9" customHeight="1" x14ac:dyDescent="0.25"/>
    <row r="836" ht="9" customHeight="1" x14ac:dyDescent="0.25"/>
    <row r="837" ht="9" customHeight="1" x14ac:dyDescent="0.25"/>
    <row r="838" ht="9" customHeight="1" x14ac:dyDescent="0.25"/>
    <row r="839" ht="9" customHeight="1" x14ac:dyDescent="0.25"/>
    <row r="840" ht="9" customHeight="1" x14ac:dyDescent="0.25"/>
    <row r="841" ht="9" customHeight="1" x14ac:dyDescent="0.25"/>
    <row r="842" ht="9" customHeight="1" x14ac:dyDescent="0.25"/>
    <row r="843" ht="9" customHeight="1" x14ac:dyDescent="0.25"/>
    <row r="844" ht="9" customHeight="1" x14ac:dyDescent="0.25"/>
    <row r="845" ht="9" customHeight="1" x14ac:dyDescent="0.25"/>
    <row r="846" ht="9" customHeight="1" x14ac:dyDescent="0.25"/>
    <row r="847" ht="9" customHeight="1" x14ac:dyDescent="0.25"/>
    <row r="848" ht="9" customHeight="1" x14ac:dyDescent="0.25"/>
    <row r="849" ht="9" customHeight="1" x14ac:dyDescent="0.25"/>
    <row r="850" ht="9" customHeight="1" x14ac:dyDescent="0.25"/>
    <row r="851" ht="9" customHeight="1" x14ac:dyDescent="0.25"/>
    <row r="852" ht="9" customHeight="1" x14ac:dyDescent="0.25"/>
    <row r="853" ht="9" customHeight="1" x14ac:dyDescent="0.25"/>
    <row r="854" ht="9" customHeight="1" x14ac:dyDescent="0.25"/>
    <row r="855" ht="9" customHeight="1" x14ac:dyDescent="0.25"/>
    <row r="856" ht="9" customHeight="1" x14ac:dyDescent="0.25"/>
    <row r="857" ht="9" customHeight="1" x14ac:dyDescent="0.25"/>
    <row r="858" ht="9" customHeight="1" x14ac:dyDescent="0.25"/>
    <row r="859" ht="9" customHeight="1" x14ac:dyDescent="0.25"/>
    <row r="860" ht="9" customHeight="1" x14ac:dyDescent="0.25"/>
    <row r="861" ht="9" customHeight="1" x14ac:dyDescent="0.25"/>
    <row r="862" ht="9" customHeight="1" x14ac:dyDescent="0.25"/>
    <row r="863" ht="9" customHeight="1" x14ac:dyDescent="0.25"/>
    <row r="864" ht="9" customHeight="1" x14ac:dyDescent="0.25"/>
    <row r="865" ht="9" customHeight="1" x14ac:dyDescent="0.25"/>
    <row r="866" ht="9" customHeight="1" x14ac:dyDescent="0.25"/>
    <row r="867" ht="9" customHeight="1" x14ac:dyDescent="0.25"/>
    <row r="868" ht="9" customHeight="1" x14ac:dyDescent="0.25"/>
    <row r="869" ht="9" customHeight="1" x14ac:dyDescent="0.25"/>
    <row r="870" ht="9" customHeight="1" x14ac:dyDescent="0.25"/>
    <row r="871" ht="9" customHeight="1" x14ac:dyDescent="0.25"/>
    <row r="872" ht="9" customHeight="1" x14ac:dyDescent="0.25"/>
    <row r="873" ht="9" customHeight="1" x14ac:dyDescent="0.25"/>
    <row r="874" ht="9" customHeight="1" x14ac:dyDescent="0.25"/>
    <row r="875" ht="9" customHeight="1" x14ac:dyDescent="0.25"/>
    <row r="876" ht="9" customHeight="1" x14ac:dyDescent="0.25"/>
    <row r="877" ht="9" customHeight="1" x14ac:dyDescent="0.25"/>
    <row r="878" ht="9" customHeight="1" x14ac:dyDescent="0.25"/>
    <row r="879" ht="9" customHeight="1" x14ac:dyDescent="0.25"/>
    <row r="880" ht="9" customHeight="1" x14ac:dyDescent="0.25"/>
    <row r="881" ht="9" customHeight="1" x14ac:dyDescent="0.25"/>
    <row r="882" ht="9" customHeight="1" x14ac:dyDescent="0.25"/>
    <row r="883" ht="9" customHeight="1" x14ac:dyDescent="0.25"/>
    <row r="884" ht="9" customHeight="1" x14ac:dyDescent="0.25"/>
    <row r="885" ht="9" customHeight="1" x14ac:dyDescent="0.25"/>
    <row r="886" ht="9" customHeight="1" x14ac:dyDescent="0.25"/>
    <row r="887" ht="9" customHeight="1" x14ac:dyDescent="0.25"/>
    <row r="888" ht="9" customHeight="1" x14ac:dyDescent="0.25"/>
    <row r="889" ht="9" customHeight="1" x14ac:dyDescent="0.25"/>
    <row r="890" ht="9" customHeight="1" x14ac:dyDescent="0.25"/>
    <row r="891" ht="9" customHeight="1" x14ac:dyDescent="0.25"/>
    <row r="892" ht="9" customHeight="1" x14ac:dyDescent="0.25"/>
    <row r="893" ht="9" customHeight="1" x14ac:dyDescent="0.25"/>
    <row r="894" ht="9" customHeight="1" x14ac:dyDescent="0.25"/>
    <row r="895" ht="9" customHeight="1" x14ac:dyDescent="0.25"/>
    <row r="896" ht="9" customHeight="1" x14ac:dyDescent="0.25"/>
    <row r="897" ht="9" customHeight="1" x14ac:dyDescent="0.25"/>
    <row r="898" ht="9" customHeight="1" x14ac:dyDescent="0.25"/>
    <row r="899" ht="9" customHeight="1" x14ac:dyDescent="0.25"/>
    <row r="900" ht="9" customHeight="1" x14ac:dyDescent="0.25"/>
    <row r="901" ht="9" customHeight="1" x14ac:dyDescent="0.25"/>
    <row r="902" ht="9" customHeight="1" x14ac:dyDescent="0.25"/>
    <row r="903" ht="9" customHeight="1" x14ac:dyDescent="0.25"/>
    <row r="904" ht="9" customHeight="1" x14ac:dyDescent="0.25"/>
    <row r="905" ht="9" customHeight="1" x14ac:dyDescent="0.25"/>
    <row r="906" ht="9" customHeight="1" x14ac:dyDescent="0.25"/>
    <row r="907" ht="9" customHeight="1" x14ac:dyDescent="0.25"/>
    <row r="908" ht="9" customHeight="1" x14ac:dyDescent="0.25"/>
    <row r="909" ht="9" customHeight="1" x14ac:dyDescent="0.25"/>
    <row r="910" ht="9" customHeight="1" x14ac:dyDescent="0.25"/>
    <row r="911" ht="9" customHeight="1" x14ac:dyDescent="0.25"/>
    <row r="912" ht="9" customHeight="1" x14ac:dyDescent="0.25"/>
    <row r="913" ht="9" customHeight="1" x14ac:dyDescent="0.25"/>
    <row r="914" ht="9" customHeight="1" x14ac:dyDescent="0.25"/>
    <row r="915" ht="9" customHeight="1" x14ac:dyDescent="0.25"/>
    <row r="916" ht="9" customHeight="1" x14ac:dyDescent="0.25"/>
    <row r="917" ht="9" customHeight="1" x14ac:dyDescent="0.25"/>
    <row r="918" ht="9" customHeight="1" x14ac:dyDescent="0.25"/>
    <row r="919" ht="9" customHeight="1" x14ac:dyDescent="0.25"/>
    <row r="920" ht="9" customHeight="1" x14ac:dyDescent="0.25"/>
    <row r="921" ht="9" customHeight="1" x14ac:dyDescent="0.25"/>
    <row r="922" ht="9" customHeight="1" x14ac:dyDescent="0.25"/>
    <row r="923" ht="9" customHeight="1" x14ac:dyDescent="0.25"/>
    <row r="924" ht="9" customHeight="1" x14ac:dyDescent="0.25"/>
    <row r="925" ht="9" customHeight="1" x14ac:dyDescent="0.25"/>
    <row r="926" ht="9" customHeight="1" x14ac:dyDescent="0.25"/>
    <row r="927" ht="9" customHeight="1" x14ac:dyDescent="0.25"/>
    <row r="928" ht="9" customHeight="1" x14ac:dyDescent="0.25"/>
    <row r="929" ht="9" customHeight="1" x14ac:dyDescent="0.25"/>
    <row r="930" ht="9" customHeight="1" x14ac:dyDescent="0.25"/>
    <row r="931" ht="9" customHeight="1" x14ac:dyDescent="0.25"/>
    <row r="932" ht="9" customHeight="1" x14ac:dyDescent="0.25"/>
    <row r="933" ht="9" customHeight="1" x14ac:dyDescent="0.25"/>
    <row r="934" ht="9" customHeight="1" x14ac:dyDescent="0.25"/>
    <row r="935" ht="9" customHeight="1" x14ac:dyDescent="0.25"/>
    <row r="936" ht="9" customHeight="1" x14ac:dyDescent="0.25"/>
    <row r="937" ht="9" customHeight="1" x14ac:dyDescent="0.25"/>
    <row r="938" ht="9" customHeight="1" x14ac:dyDescent="0.25"/>
    <row r="939" ht="9" customHeight="1" x14ac:dyDescent="0.25"/>
    <row r="940" ht="9" customHeight="1" x14ac:dyDescent="0.25"/>
    <row r="941" ht="9" customHeight="1" x14ac:dyDescent="0.25"/>
    <row r="942" ht="9" customHeight="1" x14ac:dyDescent="0.25"/>
    <row r="943" ht="9" customHeight="1" x14ac:dyDescent="0.25"/>
    <row r="944" ht="9" customHeight="1" x14ac:dyDescent="0.25"/>
    <row r="945" ht="9" customHeight="1" x14ac:dyDescent="0.25"/>
    <row r="946" ht="9" customHeight="1" x14ac:dyDescent="0.25"/>
    <row r="947" ht="9" customHeight="1" x14ac:dyDescent="0.25"/>
    <row r="948" ht="9" customHeight="1" x14ac:dyDescent="0.25"/>
    <row r="949" ht="9" customHeight="1" x14ac:dyDescent="0.25"/>
    <row r="950" ht="9" customHeight="1" x14ac:dyDescent="0.25"/>
    <row r="951" ht="9" customHeight="1" x14ac:dyDescent="0.25"/>
    <row r="952" ht="9" customHeight="1" x14ac:dyDescent="0.25"/>
    <row r="953" ht="9" customHeight="1" x14ac:dyDescent="0.25"/>
    <row r="954" ht="9" customHeight="1" x14ac:dyDescent="0.25"/>
    <row r="955" ht="9" customHeight="1" x14ac:dyDescent="0.25"/>
    <row r="956" ht="9" customHeight="1" x14ac:dyDescent="0.25"/>
    <row r="957" ht="9" customHeight="1" x14ac:dyDescent="0.25"/>
    <row r="958" ht="9" customHeight="1" x14ac:dyDescent="0.25"/>
    <row r="959" ht="9" customHeight="1" x14ac:dyDescent="0.25"/>
    <row r="960" ht="9" customHeight="1" x14ac:dyDescent="0.25"/>
    <row r="961" ht="9" customHeight="1" x14ac:dyDescent="0.25"/>
    <row r="962" ht="9" customHeight="1" x14ac:dyDescent="0.25"/>
    <row r="963" ht="9" customHeight="1" x14ac:dyDescent="0.25"/>
    <row r="964" ht="9" customHeight="1" x14ac:dyDescent="0.25"/>
    <row r="965" ht="9" customHeight="1" x14ac:dyDescent="0.25"/>
    <row r="966" ht="9" customHeight="1" x14ac:dyDescent="0.25"/>
    <row r="967" ht="9" customHeight="1" x14ac:dyDescent="0.25"/>
    <row r="968" ht="9" customHeight="1" x14ac:dyDescent="0.25"/>
    <row r="969" ht="9" customHeight="1" x14ac:dyDescent="0.25"/>
    <row r="970" ht="9" customHeight="1" x14ac:dyDescent="0.25"/>
    <row r="971" ht="9" customHeight="1" x14ac:dyDescent="0.25"/>
    <row r="972" ht="9" customHeight="1" x14ac:dyDescent="0.25"/>
    <row r="973" ht="9" customHeight="1" x14ac:dyDescent="0.25"/>
    <row r="974" ht="9" customHeight="1" x14ac:dyDescent="0.25"/>
    <row r="975" ht="9" customHeight="1" x14ac:dyDescent="0.25"/>
    <row r="976" ht="9" customHeight="1" x14ac:dyDescent="0.25"/>
    <row r="977" ht="9" customHeight="1" x14ac:dyDescent="0.25"/>
    <row r="978" ht="9" customHeight="1" x14ac:dyDescent="0.25"/>
    <row r="979" ht="9" customHeight="1" x14ac:dyDescent="0.25"/>
    <row r="980" ht="9" customHeight="1" x14ac:dyDescent="0.25"/>
    <row r="981" ht="9" customHeight="1" x14ac:dyDescent="0.25"/>
    <row r="982" ht="9" customHeight="1" x14ac:dyDescent="0.25"/>
    <row r="983" ht="9" customHeight="1" x14ac:dyDescent="0.25"/>
    <row r="984" ht="9" customHeight="1" x14ac:dyDescent="0.25"/>
    <row r="985" ht="9" customHeight="1" x14ac:dyDescent="0.25"/>
    <row r="986" ht="9" customHeight="1" x14ac:dyDescent="0.25"/>
    <row r="987" ht="9" customHeight="1" x14ac:dyDescent="0.25"/>
    <row r="988" ht="9" customHeight="1" x14ac:dyDescent="0.25"/>
    <row r="989" ht="9" customHeight="1" x14ac:dyDescent="0.25"/>
    <row r="990" ht="9" customHeight="1" x14ac:dyDescent="0.25"/>
    <row r="991" ht="9" customHeight="1" x14ac:dyDescent="0.25"/>
    <row r="992" ht="9" customHeight="1" x14ac:dyDescent="0.25"/>
    <row r="993" ht="9" customHeight="1" x14ac:dyDescent="0.25"/>
    <row r="994" ht="9" customHeight="1" x14ac:dyDescent="0.25"/>
    <row r="995" ht="9" customHeight="1" x14ac:dyDescent="0.25"/>
    <row r="996" ht="9" customHeight="1" x14ac:dyDescent="0.25"/>
    <row r="997" ht="9" customHeight="1" x14ac:dyDescent="0.25"/>
    <row r="998" ht="9" customHeight="1" x14ac:dyDescent="0.25"/>
    <row r="999" ht="9" customHeight="1" x14ac:dyDescent="0.25"/>
    <row r="1000" ht="9" customHeight="1" x14ac:dyDescent="0.25"/>
    <row r="1001" ht="9" customHeight="1" x14ac:dyDescent="0.25"/>
    <row r="1002" ht="9" customHeight="1" x14ac:dyDescent="0.25"/>
    <row r="1003" ht="9" customHeight="1" x14ac:dyDescent="0.25"/>
    <row r="1004" ht="9" customHeight="1" x14ac:dyDescent="0.25"/>
    <row r="1005" ht="9" customHeight="1" x14ac:dyDescent="0.25"/>
    <row r="1006" ht="9" customHeight="1" x14ac:dyDescent="0.25"/>
  </sheetData>
  <sheetProtection algorithmName="SHA-512" hashValue="ACtb+InDGPQPQHQE5h4KUgzHxAxX7hHcAi8z5I3ebB6Bl8Cnv+6QUkFVUo+h4bJ0rssfSBi3umqHbns6sZleHA==" saltValue="B0sm6oiZGS7Z1AbJFDcdmw==" spinCount="100000" sheet="1" objects="1" scenarios="1"/>
  <mergeCells count="13">
    <mergeCell ref="B1:BC1"/>
    <mergeCell ref="AF3:BA3"/>
    <mergeCell ref="CG6:CH6"/>
    <mergeCell ref="CI6:CJ6"/>
    <mergeCell ref="BW6:BX6"/>
    <mergeCell ref="BY6:BZ6"/>
    <mergeCell ref="CA6:CB6"/>
    <mergeCell ref="CC6:CD6"/>
    <mergeCell ref="CE6:CF6"/>
    <mergeCell ref="C4:AE4"/>
    <mergeCell ref="C5:I5"/>
    <mergeCell ref="R5:AE5"/>
    <mergeCell ref="AF5:BA5"/>
  </mergeCells>
  <phoneticPr fontId="10"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0D9E-4366-4A27-B546-8D1749D65CF1}">
  <sheetPr codeName="Sheet12"/>
  <dimension ref="B1:W226"/>
  <sheetViews>
    <sheetView showGridLines="0" workbookViewId="0">
      <pane ySplit="12" topLeftCell="A142" activePane="bottomLeft" state="frozen"/>
      <selection pane="bottomLeft"/>
    </sheetView>
  </sheetViews>
  <sheetFormatPr defaultColWidth="8.85546875" defaultRowHeight="11.25" x14ac:dyDescent="0.2"/>
  <cols>
    <col min="1" max="1" width="2" style="1" customWidth="1"/>
    <col min="2" max="2" width="15.28515625" style="460" bestFit="1" customWidth="1"/>
    <col min="3" max="3" width="19.140625" style="460" customWidth="1"/>
    <col min="4" max="4" width="9.28515625" style="460" customWidth="1"/>
    <col min="5" max="6" width="10.7109375" style="460" customWidth="1"/>
    <col min="7" max="7" width="8.5703125" style="460" customWidth="1"/>
    <col min="8" max="8" width="9.28515625" style="460" customWidth="1"/>
    <col min="9" max="10" width="16.7109375" style="460" customWidth="1"/>
    <col min="11" max="11" width="12.28515625" style="460" customWidth="1"/>
    <col min="12" max="12" width="2.28515625" style="460" customWidth="1"/>
    <col min="13" max="13" width="12.7109375" style="1257" customWidth="1"/>
    <col min="14" max="14" width="9" style="1257" customWidth="1"/>
    <col min="15" max="15" width="11.140625" style="1259" customWidth="1"/>
    <col min="16" max="16" width="7.5703125" style="1263" customWidth="1"/>
    <col min="17" max="18" width="7.5703125" style="1259" customWidth="1"/>
    <col min="19" max="19" width="14.7109375" style="1259" customWidth="1"/>
    <col min="20" max="20" width="13.7109375" style="460" customWidth="1"/>
    <col min="21" max="21" width="3.5703125" style="460" bestFit="1" customWidth="1"/>
    <col min="22" max="22" width="11.7109375" style="199" customWidth="1"/>
    <col min="23" max="16384" width="8.85546875" style="1"/>
  </cols>
  <sheetData>
    <row r="1" spans="2:23" x14ac:dyDescent="0.2">
      <c r="N1" s="1259"/>
      <c r="P1" s="1259"/>
    </row>
    <row r="2" spans="2:23" x14ac:dyDescent="0.2">
      <c r="K2" s="1261" t="s">
        <v>1142</v>
      </c>
      <c r="N2" s="1259"/>
      <c r="P2" s="1259"/>
    </row>
    <row r="3" spans="2:23" ht="3.6" customHeight="1" x14ac:dyDescent="0.2"/>
    <row r="4" spans="2:23" x14ac:dyDescent="0.2">
      <c r="B4" s="2244" t="s">
        <v>301</v>
      </c>
      <c r="C4" s="2244"/>
      <c r="D4" s="2244"/>
      <c r="E4" s="2244"/>
      <c r="F4" s="2244"/>
      <c r="G4" s="2244"/>
      <c r="H4" s="2244"/>
      <c r="I4" s="2244"/>
      <c r="J4" s="2244"/>
      <c r="K4" s="2244"/>
      <c r="L4" s="2244"/>
      <c r="M4" s="2244"/>
      <c r="N4" s="2244"/>
      <c r="O4" s="2244"/>
      <c r="P4" s="2244"/>
      <c r="Q4" s="2244"/>
      <c r="R4" s="2244"/>
      <c r="S4" s="2244"/>
      <c r="T4" s="2244"/>
    </row>
    <row r="5" spans="2:23" x14ac:dyDescent="0.2">
      <c r="B5" s="2244"/>
      <c r="C5" s="2244"/>
      <c r="D5" s="2244"/>
      <c r="E5" s="2244"/>
      <c r="F5" s="2244"/>
      <c r="G5" s="2244"/>
      <c r="H5" s="2244"/>
      <c r="I5" s="2244"/>
      <c r="J5" s="2244"/>
      <c r="K5" s="2244"/>
      <c r="L5" s="2244"/>
      <c r="M5" s="2244"/>
      <c r="N5" s="2244"/>
      <c r="O5" s="2244"/>
      <c r="P5" s="2244"/>
      <c r="Q5" s="2244"/>
      <c r="R5" s="2244"/>
      <c r="S5" s="2244"/>
      <c r="T5" s="2244"/>
    </row>
    <row r="6" spans="2:23" ht="22.5" x14ac:dyDescent="0.2">
      <c r="B6" s="1264"/>
      <c r="C6" s="1265"/>
      <c r="D6" s="1265"/>
      <c r="E6" s="1265"/>
      <c r="F6" s="1265"/>
      <c r="G6" s="1265"/>
      <c r="H6" s="1265"/>
      <c r="I6" s="1265"/>
      <c r="J6" s="1265"/>
      <c r="K6" s="1265"/>
      <c r="L6" s="1266"/>
      <c r="M6" s="1267" t="s">
        <v>264</v>
      </c>
      <c r="N6" s="1268" t="s">
        <v>290</v>
      </c>
      <c r="O6" s="1269" t="s">
        <v>270</v>
      </c>
      <c r="P6" s="1270" t="s">
        <v>1856</v>
      </c>
      <c r="Q6" s="1269" t="s">
        <v>282</v>
      </c>
      <c r="R6" s="1269" t="s">
        <v>266</v>
      </c>
      <c r="S6" s="1270" t="s">
        <v>279</v>
      </c>
      <c r="T6" s="1269" t="s">
        <v>147</v>
      </c>
    </row>
    <row r="7" spans="2:23" x14ac:dyDescent="0.2">
      <c r="B7" s="1271"/>
      <c r="C7" s="1272"/>
      <c r="D7" s="1272"/>
      <c r="E7" s="1272"/>
      <c r="F7" s="1272"/>
      <c r="G7" s="1272"/>
      <c r="H7" s="1272" t="s">
        <v>1025</v>
      </c>
      <c r="I7" s="1272"/>
      <c r="K7" s="1272"/>
      <c r="L7" s="1273"/>
      <c r="M7" s="1274">
        <f>IFERROR(INDEX(Elig_All,MATCH(Elig_FindMatrixMatch_LTVMax,Elig_ID,0),18),0)</f>
        <v>350000</v>
      </c>
      <c r="N7" s="1275">
        <f>IFERROR(INDEX(Elig_All,MATCH(Elig_FindMatrixMatch_LTVMax,Elig_ID,0),20),0)</f>
        <v>350000</v>
      </c>
      <c r="O7" s="1275">
        <f>IFERROR(INDEX(Elig_All,MATCH(Elig_FindMatrixMatch_LTVMax,Elig_ID,0),30),0)</f>
        <v>80</v>
      </c>
      <c r="P7" s="1276">
        <f>IFERROR(INDEX(Elig_All,MATCH(Elig_FindMatrixMatch_LTVMax,Elig_ID,0),25),999)</f>
        <v>720</v>
      </c>
      <c r="Q7" s="1277">
        <f>IFERROR(INDEX(Elig_All,MATCH(Elig_FindMatrixMatch_LTVMax,Elig_ID,0),27),999)</f>
        <v>0</v>
      </c>
      <c r="R7" s="1278">
        <f>IFERROR(INDEX(Elig_All,MATCH(Elig_FindMatrixMatch_LTVMax,Elig_ID,0),22),0)</f>
        <v>50</v>
      </c>
      <c r="S7" s="1275">
        <f>IFERROR(INDEX(Elig_All,MATCH(Elig_FindMatrixMatch_LTVMax,Elig_ID,0),23),999)</f>
        <v>1</v>
      </c>
      <c r="T7" s="1279" t="s">
        <v>412</v>
      </c>
    </row>
    <row r="8" spans="2:23" x14ac:dyDescent="0.2">
      <c r="B8" s="1271"/>
      <c r="C8" s="1272"/>
      <c r="D8" s="1272"/>
      <c r="E8" s="1272"/>
      <c r="F8" s="1272"/>
      <c r="G8" s="1272"/>
      <c r="H8" s="1272" t="s">
        <v>1026</v>
      </c>
      <c r="I8" s="1272"/>
      <c r="K8" s="1272"/>
      <c r="L8" s="1273"/>
      <c r="M8" s="1274">
        <f>MIN(Elig_OverlayRange_LoanAmt)</f>
        <v>0</v>
      </c>
      <c r="N8" s="1275">
        <f>MIN(Elig_OverlayRange_CashoutAmt)</f>
        <v>0</v>
      </c>
      <c r="O8" s="1275">
        <f>IF(MIN(Elig_OverlayRange_LTV)+Elig_Total_LTV_OverlayReduction&lt;0,-0.001,MIN(Elig_OverlayRange_LTV)+Elig_Total_LTV_OverlayReduction)</f>
        <v>80</v>
      </c>
      <c r="P8" s="1276">
        <f>MAX(Elig_OverlayRange_CredScore)</f>
        <v>0</v>
      </c>
      <c r="Q8" s="1277">
        <f>MAX(Elig_OverlayRange_Reserves)</f>
        <v>0</v>
      </c>
      <c r="R8" s="1278">
        <f>MIN(Elig_OverlayRange_DTI)</f>
        <v>0</v>
      </c>
      <c r="S8" s="1275">
        <f>MAX(Elig_OverlayRange_DSCR)</f>
        <v>1</v>
      </c>
      <c r="T8" s="1279" t="s">
        <v>472</v>
      </c>
    </row>
    <row r="9" spans="2:23" x14ac:dyDescent="0.2">
      <c r="B9" s="1271"/>
      <c r="C9" s="1272"/>
      <c r="D9" s="1272"/>
      <c r="E9" s="1272"/>
      <c r="F9" s="1272"/>
      <c r="G9" s="1272"/>
      <c r="H9" s="1272" t="s">
        <v>1027</v>
      </c>
      <c r="I9" s="1272"/>
      <c r="K9" s="1272"/>
      <c r="L9" s="1273"/>
      <c r="M9" s="1280" t="str">
        <f>IFERROR(INDEX(Elig_OverlayRange_Reason,MATCH(Elig_OverlayLimit_LoanAmt_Max,Elig_OverlayRange_LoanAmt,0),1),"")</f>
        <v/>
      </c>
      <c r="N9" s="1281" t="str">
        <f>IFERROR(INDEX(Elig_OverlayRange_Reason,MATCH(Elig_OverlayLimit_CashoutAmt_Max,Elig_OverlayRange_CashoutAmt,0),1),"")</f>
        <v/>
      </c>
      <c r="O9" s="1281" t="str">
        <f>IF(Elig_BaseLimit_LTV_Max&gt;Elig_OverlayLimit_LTV_Max,TRIM(IFERROR(INDEX(Elig_OverlayRange_Reason,MATCH(Elig_OverlayLimit_LTV_Max,Elig_OverlayRange_LTV,0),1),"")&amp;" "&amp;IFERROR(INDEX(Elig_OverlayLTVMatrix_ReductionReason,MATCH(-50,Elig_OverlayLTVMatrix_Reduction,-1)),"")),"")</f>
        <v/>
      </c>
      <c r="P9" s="1281" t="str">
        <f>IFERROR(INDEX(Elig_OverlayRange_Reason,MATCH(Elig_OverlayLimit_CredScore_Min,Elig_OverlayRange_CredScore,0),1),"")</f>
        <v/>
      </c>
      <c r="Q9" s="1887"/>
      <c r="R9" s="1282" t="str">
        <f>IFERROR(INDEX(Elig_OverlayRange_Reason,MATCH(Elig_OverlayLimit_DTI_Max,Elig_OverlayRange_DTI,0),1),"")</f>
        <v/>
      </c>
      <c r="S9" s="1283" cm="1">
        <f t="array" ref="S9">IFERROR(INDEX(Elig_OverlayRange_Reason,MATCH(Elig_OverlayLimit_DSCR_Min,Elig_OverlayRange_DSCR,0),1),"")</f>
        <v>0</v>
      </c>
      <c r="T9" s="1284" t="s">
        <v>474</v>
      </c>
    </row>
    <row r="10" spans="2:23" x14ac:dyDescent="0.2">
      <c r="B10" s="1271"/>
      <c r="C10" s="1272"/>
      <c r="D10" s="1272"/>
      <c r="E10" s="1272"/>
      <c r="F10" s="1272"/>
      <c r="G10" s="1272"/>
      <c r="H10" s="1272" t="s">
        <v>1028</v>
      </c>
      <c r="I10" s="1272"/>
      <c r="K10" s="1272"/>
      <c r="L10" s="1273"/>
      <c r="M10" s="1285" t="str">
        <f>IF(IFERROR(Result_TotalLLPA,"LLPAError")="LLPAError","",IF(IFERROR(Elig!AU4,"AmtError")="AmtError","Invalid Loan Amt",IF(AND(Elig_MatchAll_Ct=22,Elig_OverlayLimit_LoanAmt_Max=0,Input_LoanAmt&lt;Elig_OverlayLimit_LoanAmt_Max),"",IF(AND(Input_LoanAmt&lt;=_xlfn.MINIFS(M7:M8,M7:M8,"&gt;0"),M7&lt;&gt;0),"","Max Loan Amt "&amp;_xlfn.MINIFS(M7:M8,M7:M8,"&gt;0")))&amp;IF(Input_LoanAmt&gt;Elig_OverlayLimit_LoanAmt_Max," "&amp;Elig_OverlayReason_LoanAmt_Max,"")))</f>
        <v xml:space="preserve"> </v>
      </c>
      <c r="N10" s="1262" t="str">
        <f>IF(AND(Elig_MatchAll_Ct=22,Input_CashoutAmt&gt;Elig_FinalLimit_CashoutAmt_Max,Elig_OverlayLimit_CashoutAmt_Max&lt;&gt;0,Elig_BaseLimit_CashoutAmt_Max&gt;Elig_OverlayLimit_CashoutAmt_Max),"Max COAmt "&amp;Elig_OverlayLimit_CashoutAmt_Max&amp;" "&amp;Elig_OverlayReason_CashoutAmt_Max,"")</f>
        <v/>
      </c>
      <c r="O10" s="1258" t="str">
        <f>IF(AND(Elig_MatchAll_Ct=22,Input_LTV&gt;Elig_FinalLimit_LTV_Max,Elig_OverlayLimit_LTV_Max&lt;&gt;0,Elig_BaseLimit_LTV_Max&gt;Elig_OverlayLimit_LTV_Max),IF(Elig_OverlayLimit_LTV_Max=0.01,"N/A "&amp;Elig_OverlayReason_LTV_Max,("Max CLTV "&amp;MROUND(ABS(Elig_OverlayLimit_LTV_Max),0.01)&amp;" "&amp;Elig_OverlayReason_LTV_Max)),"")</f>
        <v/>
      </c>
      <c r="P10" s="1262" t="str">
        <f>IF(AND(Elig_MatchAll_Ct=22,Input_CreditScore&lt;Elig_FinalLimit_CredScore_Min,Elig_OverlayLimit_CredScore_Min&lt;&gt;0,Elig_BaseLimit_CredScore_Min&lt;Elig_OverlayLimit_CredScore_Min),"Min CS "&amp;Elig_OverlayLimit_CredScore_Min&amp;" "&amp;Elig_OverlayReason_CredScore_Min,"")</f>
        <v/>
      </c>
      <c r="Q10" s="1262" t="str">
        <f>IF(AND(Elig_MatchAll_Ct=22,Input_ReservesMonths&lt;Elig_FinalLimit_Reserves_Min,Elig_OverlayLimit_Reserves_Min&lt;&gt;0,Elig_BaseLimit_Reserves_Min&lt;Elig_OverlayLimit_Reserves_Min),"Min Reserves "&amp;Elig_OverlayLimit_Reserves_Min&amp;" "&amp;Elig_OverlayReason_Reserves_Min,"")</f>
        <v/>
      </c>
      <c r="R10" s="1286" t="str">
        <f>IF(AND(Elig_MatchAll_Ct=22,Input_DTI&gt;Elig_FinalLimit_DTI_Max,Elig_OverlayLimit_DTI_Max&lt;&gt;0,Elig_BaseLimit_DTI_Max&gt;Elig_OverlayLimit_DTI_Max),"Max DTI "&amp;Elig_OverlayLimit_DTI_Max&amp;" "&amp;Elig_OverlayReason_DTI_Max,"")</f>
        <v/>
      </c>
      <c r="S10" s="1287" t="str">
        <f>IF(AND(Elig_MatchAll_Ct=22,Input_DSCR&lt;Elig_FinalLimit_DSCR_Min,Elig_OverlayLimit_DSCR_Min&lt;&gt;0,Elig_BaseLimit_DSCR_Min&lt;Elig_OverlayLimit_DSCR_Min),"Min CS "&amp;Elig_OverlayLimit_DSCR_Min&amp;" "&amp;Elig_OverlayReason_DSCR_Min,"")</f>
        <v/>
      </c>
      <c r="T10" s="1288" t="s">
        <v>475</v>
      </c>
    </row>
    <row r="11" spans="2:23" x14ac:dyDescent="0.2">
      <c r="B11" s="1271"/>
      <c r="C11" s="1272"/>
      <c r="D11" s="1272"/>
      <c r="E11" s="1272"/>
      <c r="F11" s="1272"/>
      <c r="G11" s="1272"/>
      <c r="H11" s="1272" t="s">
        <v>1029</v>
      </c>
      <c r="I11" s="1272"/>
      <c r="K11" s="1272"/>
      <c r="L11" s="1273"/>
      <c r="M11" s="1289">
        <f>IF(M8=0,Elig_BaseLimit_LoanAmt_Max,MIN(M7:M8))</f>
        <v>350000</v>
      </c>
      <c r="N11" s="1260">
        <f>IF(N8=0,Elig_BaseLimit_CashoutAmt_Max,MIN(N7:N8))</f>
        <v>350000</v>
      </c>
      <c r="O11" s="1260">
        <f>IF(O8=0,Elig_BaseLimit_LTV_Max,MIN(O7:O8))</f>
        <v>80</v>
      </c>
      <c r="P11" s="1290">
        <f>IF(P8=0,Elig_BaseLimit_CredScore_Min,MAX(P7:P8))</f>
        <v>720</v>
      </c>
      <c r="Q11" s="1260">
        <f>IF(Q8=0,Elig_BaseLimit_Reserves_Min,MAX(Q7:Q8))</f>
        <v>0</v>
      </c>
      <c r="R11" s="1291">
        <f>IF(R8=0,Elig_BaseLimit_DTI_Max,MIN(R7:R8))</f>
        <v>50</v>
      </c>
      <c r="S11" s="1260">
        <f>IF(S8=0,Elig_BaseLimit_DSCR_Min,MAX(S7:S8))</f>
        <v>1</v>
      </c>
      <c r="T11" s="1292" t="s">
        <v>413</v>
      </c>
    </row>
    <row r="12" spans="2:23" x14ac:dyDescent="0.2">
      <c r="B12" s="1293"/>
      <c r="C12" s="1294"/>
      <c r="D12" s="1294"/>
      <c r="E12" s="1294"/>
      <c r="F12" s="1294"/>
      <c r="G12" s="1294"/>
      <c r="H12" s="1294"/>
      <c r="I12" s="1294"/>
      <c r="J12" s="1294"/>
      <c r="K12" s="1294"/>
      <c r="L12" s="1295"/>
      <c r="M12" s="1289" t="str">
        <f>IF(AND(Input_LoanAmt&gt;Elig_FinalLimit_LoanAmt_Max,Elig_FinalLimit_LoanAmt_Max&lt;Elig_BaseLimit_LoanAmt_Max),Elig_OverlayReason_LoanAmt_Max &amp;" (Amt)","")&amp;IF(AND(Elig_BaseLimit_LoanAmt_Max=0,Elig_OverlayLimit_LoanAmt_Max=0),Elig_OverlayReason_LoanAmt_Max,"")</f>
        <v/>
      </c>
      <c r="N12" s="1260" t="str">
        <f>IF(AND(Input_CashoutAmt&gt;Elig_FinalLimit_CashoutAmt_Max,Elig_FinalLimit_CashoutAmt_Max&lt;Elig_BaseLimit_CashoutAmt_Max),Elig_OverlayReason_CashoutAmt_Max&amp;" (CashOutAmt)","")</f>
        <v/>
      </c>
      <c r="O12" s="1260" t="str">
        <f>IF(AND(Input_CreditScore&gt;Elig_FinalLimit_CredScore_Min,Elig_FinalLimit_LTV_Max&lt;Elig_BaseLimit_LTV_Max),Elig_OverlayReason_LTV_Max&amp;" "&amp;" (CLTV "&amp;Elig_OverlayLimit_LTV_Max&amp;")","")</f>
        <v/>
      </c>
      <c r="P12" s="1260" t="str">
        <f>IF(AND(Input_CreditScore&lt;Elig_FinalLimit_CredScore_Min,Elig_FinalLimit_CredScore_Min&gt;Elig_BaseLimit_CredScore_Min),Elig_OverlayReason_CredScore_Min&amp;" (CS)","")</f>
        <v/>
      </c>
      <c r="Q12" s="1260"/>
      <c r="R12" s="1260" t="str">
        <f>IF(AND(Input_DTI&gt;Elig_FinalLimit_DTI_Max,Elig_FinalLimit_DTI_Max&lt;Elig_BaseLimit_DTI_Max),Elig_OverlayReason_DTI_Max&amp;" (LTV)","")</f>
        <v/>
      </c>
      <c r="S12" s="1260" t="str">
        <f>IF(AND(Input_DSCR&lt;Elig_FinalLimit_DSCR_Min,Elig_FinalLimit_DSCR_Min&gt;Elig_BaseLimit_DSCR_Min),Elig_OverlayReason_DSCR_Min&amp;" (DSCR)","")</f>
        <v/>
      </c>
      <c r="T12" s="1296" t="str">
        <f>TRIM(IFERROR(Elig_OverlayMessage_LoanAmt_Max,"")&amp;" "&amp;IFERROR(Elig_OverlayMessage_CashoutAmt_Max,"")&amp;" "&amp;IFERROR(Elig_OverlayMessage_LTV_Max,"")&amp;" "&amp;IFERROR(Elig_OverlayMessage_CredScore_Min,"")&amp;" "&amp;IFERROR(Elig_OverlayMessage_Reserves_Min,"")&amp;" "&amp;IFERROR(Elig_OverlayMessage_DTI_Max,"")&amp;" "&amp;IFERROR(Elig_OverlayMessage_DSCR_Min,""))</f>
        <v/>
      </c>
      <c r="W12" s="1" t="str">
        <f>Elig_OverlayMessage_LoanAmt_Max</f>
        <v/>
      </c>
    </row>
    <row r="13" spans="2:23" ht="5.45" customHeight="1" x14ac:dyDescent="0.2">
      <c r="H13" s="1272"/>
      <c r="I13" s="1272"/>
      <c r="J13" s="1272"/>
      <c r="K13" s="1272"/>
      <c r="L13" s="1272"/>
      <c r="M13" s="460"/>
      <c r="N13" s="460"/>
      <c r="O13" s="460"/>
      <c r="P13" s="460"/>
      <c r="Q13" s="460"/>
      <c r="R13" s="460"/>
      <c r="S13" s="460"/>
    </row>
    <row r="14" spans="2:23" x14ac:dyDescent="0.2">
      <c r="B14" s="2241" t="s">
        <v>287</v>
      </c>
      <c r="C14" s="2241"/>
      <c r="D14" s="2241"/>
      <c r="E14" s="2241"/>
      <c r="F14" s="2241"/>
      <c r="G14" s="2241"/>
      <c r="H14" s="2241"/>
      <c r="I14" s="2241"/>
      <c r="J14" s="2241"/>
      <c r="K14" s="2241"/>
      <c r="L14" s="1272"/>
      <c r="M14" s="1272"/>
      <c r="N14" s="1272"/>
      <c r="O14" s="1272"/>
      <c r="P14" s="1272"/>
      <c r="Q14" s="1272"/>
      <c r="R14" s="1272"/>
      <c r="S14" s="1272"/>
    </row>
    <row r="15" spans="2:23" x14ac:dyDescent="0.2">
      <c r="B15" s="1297" t="s">
        <v>258</v>
      </c>
      <c r="C15" s="1298" t="s">
        <v>44</v>
      </c>
      <c r="D15" s="1299" t="s">
        <v>1030</v>
      </c>
      <c r="E15" s="1298" t="s">
        <v>267</v>
      </c>
      <c r="F15" s="1299" t="s">
        <v>279</v>
      </c>
      <c r="G15" s="1299" t="s">
        <v>280</v>
      </c>
      <c r="H15" s="1299" t="s">
        <v>24</v>
      </c>
      <c r="I15" s="1299" t="s">
        <v>2147</v>
      </c>
      <c r="J15" s="1299" t="s">
        <v>2148</v>
      </c>
      <c r="K15" s="1300" t="s">
        <v>276</v>
      </c>
      <c r="M15" s="1302" t="s">
        <v>1339</v>
      </c>
      <c r="O15" s="1439">
        <f>SUM(Elig_OverlayLTVMatrix_Reduction)</f>
        <v>0</v>
      </c>
      <c r="Q15" s="1303"/>
      <c r="R15" s="1303"/>
      <c r="S15" s="1303"/>
      <c r="T15" s="1304" t="s">
        <v>415</v>
      </c>
    </row>
    <row r="16" spans="2:23" x14ac:dyDescent="0.2">
      <c r="B16" s="1440" t="str">
        <f t="shared" ref="B16:B24" si="0">Input_Name_Product1</f>
        <v>NonQM OO</v>
      </c>
      <c r="C16" s="1305" t="s">
        <v>237</v>
      </c>
      <c r="D16" s="1306"/>
      <c r="E16" s="1306"/>
      <c r="F16" s="1306"/>
      <c r="G16" s="1306"/>
      <c r="H16" s="1307">
        <v>-5</v>
      </c>
      <c r="I16" s="1420"/>
      <c r="J16" s="1420"/>
      <c r="K16" s="1306"/>
      <c r="M16" s="671"/>
      <c r="N16" s="671"/>
      <c r="O16" s="1437" t="str">
        <f>IF(AND(Input_Product=EligOverlay!B16,Input_CreditHistory=EligOverlay!C16),H16,"")</f>
        <v/>
      </c>
      <c r="P16" s="671"/>
      <c r="Q16" s="671"/>
      <c r="R16" s="671"/>
      <c r="S16" s="671"/>
      <c r="T16" s="541" t="s">
        <v>237</v>
      </c>
    </row>
    <row r="17" spans="2:20" x14ac:dyDescent="0.2">
      <c r="B17" s="1440" t="str">
        <f t="shared" si="0"/>
        <v>NonQM OO</v>
      </c>
      <c r="C17" s="1305" t="s">
        <v>151</v>
      </c>
      <c r="D17" s="1306"/>
      <c r="E17" s="1306"/>
      <c r="F17" s="1306"/>
      <c r="G17" s="1306"/>
      <c r="H17" s="1307">
        <v>-20</v>
      </c>
      <c r="I17" s="1420"/>
      <c r="J17" s="1420"/>
      <c r="K17" s="1306"/>
      <c r="M17" s="671"/>
      <c r="N17" s="671"/>
      <c r="O17" s="1437" t="str">
        <f>IF(AND(Input_Product=EligOverlay!B17,Input_CreditHistory=EligOverlay!C17),H17,"")</f>
        <v/>
      </c>
      <c r="P17" s="671"/>
      <c r="Q17" s="671"/>
      <c r="R17" s="671"/>
      <c r="S17" s="671"/>
      <c r="T17" s="541" t="s">
        <v>151</v>
      </c>
    </row>
    <row r="18" spans="2:20" x14ac:dyDescent="0.2">
      <c r="B18" s="1440" t="str">
        <f t="shared" si="0"/>
        <v>NonQM OO</v>
      </c>
      <c r="C18" s="1305" t="s">
        <v>2021</v>
      </c>
      <c r="D18" s="1306"/>
      <c r="E18" s="1306"/>
      <c r="F18" s="1306"/>
      <c r="G18" s="1306"/>
      <c r="H18" s="1307">
        <v>-20</v>
      </c>
      <c r="I18" s="1420"/>
      <c r="J18" s="1420"/>
      <c r="K18" s="1306"/>
      <c r="M18" s="671"/>
      <c r="N18" s="671"/>
      <c r="O18" s="1437" t="str">
        <f>IF(AND(Input_Product=EligOverlay!B18,Input_CreditHistory=EligOverlay!C18),H18,"")</f>
        <v/>
      </c>
      <c r="P18" s="671"/>
      <c r="Q18" s="671"/>
      <c r="R18" s="671"/>
      <c r="S18" s="671"/>
      <c r="T18" s="541" t="s">
        <v>2021</v>
      </c>
    </row>
    <row r="19" spans="2:20" x14ac:dyDescent="0.2">
      <c r="B19" s="1440" t="str">
        <f t="shared" si="0"/>
        <v>NonQM OO</v>
      </c>
      <c r="C19" s="1305" t="s">
        <v>2261</v>
      </c>
      <c r="D19" s="1787" t="s">
        <v>2257</v>
      </c>
      <c r="E19" s="1306"/>
      <c r="F19" s="1306"/>
      <c r="G19" s="1306"/>
      <c r="H19" s="1307">
        <v>-15</v>
      </c>
      <c r="I19" s="1420"/>
      <c r="J19" s="1420"/>
      <c r="K19" s="1306"/>
      <c r="M19" s="671"/>
      <c r="N19" s="671"/>
      <c r="O19" s="1786" t="str">
        <f>IF(AND(Input_Product=EligOverlay!B19,Input_HousingHistory=EligOverlay!C19,Input_Purpose&lt;&gt;"Cash-Out"),H19,"")</f>
        <v/>
      </c>
      <c r="P19" s="671"/>
      <c r="Q19" s="671"/>
      <c r="R19" s="671"/>
      <c r="S19" s="671"/>
      <c r="T19" s="541" t="s">
        <v>2261</v>
      </c>
    </row>
    <row r="20" spans="2:20" x14ac:dyDescent="0.2">
      <c r="B20" s="1440" t="str">
        <f t="shared" si="0"/>
        <v>NonQM OO</v>
      </c>
      <c r="C20" s="1305" t="s">
        <v>2261</v>
      </c>
      <c r="D20" s="1787" t="s">
        <v>16</v>
      </c>
      <c r="E20" s="1306"/>
      <c r="F20" s="1306"/>
      <c r="G20" s="1306"/>
      <c r="H20" s="1307">
        <v>-15</v>
      </c>
      <c r="I20" s="1420"/>
      <c r="J20" s="1420"/>
      <c r="K20" s="1306"/>
      <c r="M20" s="671"/>
      <c r="N20" s="671"/>
      <c r="O20" s="1786" t="str">
        <f>IF(AND(Input_Product=EligOverlay!B20,Input_HousingHistory=EligOverlay!C20,Input_Purpose="Cash-Out"),"","")</f>
        <v/>
      </c>
      <c r="P20" s="671"/>
      <c r="Q20" s="671"/>
      <c r="R20" s="671"/>
      <c r="S20" s="671"/>
      <c r="T20" s="541" t="s">
        <v>2261</v>
      </c>
    </row>
    <row r="21" spans="2:20" x14ac:dyDescent="0.2">
      <c r="B21" s="1440" t="str">
        <f t="shared" si="0"/>
        <v>NonQM OO</v>
      </c>
      <c r="C21" s="1305" t="s">
        <v>2264</v>
      </c>
      <c r="D21" s="1787" t="s">
        <v>2257</v>
      </c>
      <c r="E21" s="1306"/>
      <c r="F21" s="1306"/>
      <c r="G21" s="1306"/>
      <c r="H21" s="1307">
        <v>-5</v>
      </c>
      <c r="I21" s="1420"/>
      <c r="J21" s="1420"/>
      <c r="K21" s="1306"/>
      <c r="M21" s="671"/>
      <c r="N21" s="671"/>
      <c r="O21" s="1786" t="str">
        <f>IF(AND(Input_Product=EligOverlay!B21,Input_HousingHistory=EligOverlay!C21,Input_Purpose&lt;&gt;"Cash-Out"),H21,"")</f>
        <v/>
      </c>
      <c r="P21" s="671"/>
      <c r="Q21" s="671"/>
      <c r="R21" s="671"/>
      <c r="S21" s="671"/>
      <c r="T21" s="541" t="s">
        <v>2264</v>
      </c>
    </row>
    <row r="22" spans="2:20" x14ac:dyDescent="0.2">
      <c r="B22" s="1440" t="str">
        <f t="shared" si="0"/>
        <v>NonQM OO</v>
      </c>
      <c r="C22" s="1305" t="s">
        <v>2264</v>
      </c>
      <c r="D22" s="1787" t="s">
        <v>16</v>
      </c>
      <c r="E22" s="1306"/>
      <c r="F22" s="1306"/>
      <c r="G22" s="1306"/>
      <c r="H22" s="1307">
        <v>-5</v>
      </c>
      <c r="I22" s="1420"/>
      <c r="J22" s="1420"/>
      <c r="K22" s="1306"/>
      <c r="M22" s="671"/>
      <c r="N22" s="671"/>
      <c r="O22" s="1786" t="str">
        <f>IF(AND(Input_Product=EligOverlay!B22,Input_HousingHistory=EligOverlay!C22,Input_Purpose="Cash-Out"),"","")</f>
        <v/>
      </c>
      <c r="P22" s="671"/>
      <c r="Q22" s="671"/>
      <c r="R22" s="671"/>
      <c r="S22" s="671"/>
      <c r="T22" s="541" t="s">
        <v>2264</v>
      </c>
    </row>
    <row r="23" spans="2:20" x14ac:dyDescent="0.2">
      <c r="B23" s="1440" t="str">
        <f t="shared" si="0"/>
        <v>NonQM OO</v>
      </c>
      <c r="C23" s="1305" t="s">
        <v>2259</v>
      </c>
      <c r="D23" s="1306"/>
      <c r="E23" s="1306"/>
      <c r="F23" s="1306"/>
      <c r="G23" s="1306"/>
      <c r="H23" s="1307">
        <v>-5</v>
      </c>
      <c r="I23" s="1420"/>
      <c r="J23" s="1420"/>
      <c r="K23" s="1306"/>
      <c r="M23" s="671"/>
      <c r="N23" s="671"/>
      <c r="O23" s="1437" t="str">
        <f>IF(AND(Input_Product=EligOverlay!B23,Input_HousingHistory=EligOverlay!C23),H23,"")</f>
        <v/>
      </c>
      <c r="P23" s="671"/>
      <c r="Q23" s="671"/>
      <c r="R23" s="671"/>
      <c r="S23" s="671"/>
      <c r="T23" s="541" t="s">
        <v>2259</v>
      </c>
    </row>
    <row r="24" spans="2:20" x14ac:dyDescent="0.2">
      <c r="B24" s="1440" t="str">
        <f t="shared" si="0"/>
        <v>NonQM OO</v>
      </c>
      <c r="C24" s="1305" t="s">
        <v>2263</v>
      </c>
      <c r="D24" s="1306"/>
      <c r="E24" s="1306"/>
      <c r="F24" s="1306"/>
      <c r="G24" s="1306"/>
      <c r="H24" s="1307">
        <v>-5</v>
      </c>
      <c r="I24" s="1420"/>
      <c r="J24" s="1420"/>
      <c r="K24" s="1306"/>
      <c r="M24" s="671"/>
      <c r="N24" s="671"/>
      <c r="O24" s="1437" t="str">
        <f>IF(AND(Input_Product=EligOverlay!B24,Input_HousingHistory=EligOverlay!C24),H24,"")</f>
        <v/>
      </c>
      <c r="P24" s="671"/>
      <c r="Q24" s="671"/>
      <c r="R24" s="671"/>
      <c r="S24" s="671"/>
      <c r="T24" s="541" t="s">
        <v>2263</v>
      </c>
    </row>
    <row r="25" spans="2:20" x14ac:dyDescent="0.2">
      <c r="B25" s="1441" t="str">
        <f t="shared" ref="B25:B30" si="1">Input_Name_Product2</f>
        <v>NonQM NOO</v>
      </c>
      <c r="C25" s="1305" t="s">
        <v>237</v>
      </c>
      <c r="D25" s="1306"/>
      <c r="E25" s="1306"/>
      <c r="F25" s="1306"/>
      <c r="G25" s="1306"/>
      <c r="H25" s="1307">
        <v>-5</v>
      </c>
      <c r="I25" s="1420"/>
      <c r="J25" s="1420"/>
      <c r="K25" s="1306"/>
      <c r="M25" s="1420"/>
      <c r="N25" s="1420"/>
      <c r="O25" s="1437" t="str">
        <f>IF(AND(Input_Product=EligOverlay!B25,Input_CreditHistory=EligOverlay!C25),H25,"")</f>
        <v/>
      </c>
      <c r="P25" s="1435"/>
      <c r="Q25" s="1420"/>
      <c r="R25" s="1420"/>
      <c r="S25" s="1420"/>
      <c r="T25" s="541" t="s">
        <v>237</v>
      </c>
    </row>
    <row r="26" spans="2:20" x14ac:dyDescent="0.2">
      <c r="B26" s="1441" t="str">
        <f t="shared" si="1"/>
        <v>NonQM NOO</v>
      </c>
      <c r="C26" s="1305" t="s">
        <v>2261</v>
      </c>
      <c r="D26" s="1306"/>
      <c r="E26" s="1306"/>
      <c r="F26" s="1306"/>
      <c r="G26" s="1306"/>
      <c r="H26" s="1307">
        <v>-15</v>
      </c>
      <c r="I26" s="1420"/>
      <c r="J26" s="1420"/>
      <c r="K26" s="1306"/>
      <c r="M26" s="671"/>
      <c r="N26" s="671"/>
      <c r="O26" s="1437" t="str">
        <f>IF(AND(Input_Product=EligOverlay!B26,Input_HousingHistory=EligOverlay!C26),H26,"")</f>
        <v/>
      </c>
      <c r="P26" s="671"/>
      <c r="Q26" s="671"/>
      <c r="R26" s="671"/>
      <c r="S26" s="671"/>
      <c r="T26" s="541" t="s">
        <v>2261</v>
      </c>
    </row>
    <row r="27" spans="2:20" x14ac:dyDescent="0.2">
      <c r="B27" s="1441" t="str">
        <f t="shared" si="1"/>
        <v>NonQM NOO</v>
      </c>
      <c r="C27" s="1305" t="s">
        <v>2259</v>
      </c>
      <c r="D27" s="1306"/>
      <c r="E27" s="1306"/>
      <c r="F27" s="1306"/>
      <c r="G27" s="1306"/>
      <c r="H27" s="1307">
        <v>-5</v>
      </c>
      <c r="I27" s="1420"/>
      <c r="J27" s="1420"/>
      <c r="K27" s="1306"/>
      <c r="M27" s="671"/>
      <c r="N27" s="671"/>
      <c r="O27" s="1437" t="str">
        <f>IF(AND(Input_Product=EligOverlay!B27,Input_HousingHistory=EligOverlay!C27),H27,"")</f>
        <v/>
      </c>
      <c r="P27" s="671"/>
      <c r="Q27" s="671"/>
      <c r="R27" s="671"/>
      <c r="S27" s="671"/>
      <c r="T27" s="541" t="s">
        <v>2259</v>
      </c>
    </row>
    <row r="28" spans="2:20" x14ac:dyDescent="0.2">
      <c r="B28" s="1441" t="str">
        <f t="shared" si="1"/>
        <v>NonQM NOO</v>
      </c>
      <c r="C28" s="1305" t="s">
        <v>2264</v>
      </c>
      <c r="D28" s="1306"/>
      <c r="E28" s="1306"/>
      <c r="F28" s="1306"/>
      <c r="G28" s="1306"/>
      <c r="H28" s="1307">
        <v>-5</v>
      </c>
      <c r="I28" s="1420"/>
      <c r="J28" s="1420"/>
      <c r="K28" s="1306"/>
      <c r="M28" s="671"/>
      <c r="N28" s="671"/>
      <c r="O28" s="1437" t="str">
        <f>IF(AND(Input_Product=EligOverlay!B28,Input_HousingHistory=EligOverlay!C28),H28,"")</f>
        <v/>
      </c>
      <c r="P28" s="671"/>
      <c r="Q28" s="671"/>
      <c r="R28" s="671"/>
      <c r="S28" s="671"/>
      <c r="T28" s="541" t="s">
        <v>2264</v>
      </c>
    </row>
    <row r="29" spans="2:20" x14ac:dyDescent="0.2">
      <c r="B29" s="1441" t="str">
        <f t="shared" si="1"/>
        <v>NonQM NOO</v>
      </c>
      <c r="C29" s="1305" t="s">
        <v>2263</v>
      </c>
      <c r="D29" s="1306"/>
      <c r="E29" s="1306"/>
      <c r="F29" s="1306"/>
      <c r="G29" s="1306"/>
      <c r="H29" s="1307">
        <v>-5</v>
      </c>
      <c r="I29" s="1420"/>
      <c r="J29" s="1420"/>
      <c r="K29" s="1306"/>
      <c r="M29" s="671"/>
      <c r="N29" s="671"/>
      <c r="O29" s="1437" t="str">
        <f>IF(AND(Input_Product=EligOverlay!B29,Input_HousingHistory=EligOverlay!C29),H29,"")</f>
        <v/>
      </c>
      <c r="P29" s="671"/>
      <c r="Q29" s="671"/>
      <c r="R29" s="671"/>
      <c r="S29" s="671"/>
      <c r="T29" s="541" t="s">
        <v>2263</v>
      </c>
    </row>
    <row r="30" spans="2:20" x14ac:dyDescent="0.2">
      <c r="B30" s="1441" t="str">
        <f t="shared" si="1"/>
        <v>NonQM NOO</v>
      </c>
      <c r="C30" s="1305" t="s">
        <v>45</v>
      </c>
      <c r="D30" s="1306"/>
      <c r="E30" s="1306"/>
      <c r="F30" s="1306"/>
      <c r="G30" s="1306"/>
      <c r="H30" s="1307">
        <v>-5</v>
      </c>
      <c r="I30" s="1420"/>
      <c r="J30" s="1420"/>
      <c r="K30" s="1306"/>
      <c r="M30" s="671"/>
      <c r="N30" s="671"/>
      <c r="O30" s="1437" t="str">
        <f>IF(AND(Input_Product=EligOverlay!B30,Input_Citizenship=EligOverlay!C30),H30,"")</f>
        <v/>
      </c>
      <c r="P30" s="671"/>
      <c r="Q30" s="671"/>
      <c r="R30" s="671"/>
      <c r="S30" s="671"/>
      <c r="T30" s="541" t="s">
        <v>45</v>
      </c>
    </row>
    <row r="31" spans="2:20" x14ac:dyDescent="0.2">
      <c r="B31" s="1441" t="str">
        <f>Input_Name_Product2</f>
        <v>NonQM NOO</v>
      </c>
      <c r="C31" s="1306"/>
      <c r="D31" s="1931">
        <v>680</v>
      </c>
      <c r="E31" s="1932">
        <v>999</v>
      </c>
      <c r="F31" s="1425">
        <v>0.75</v>
      </c>
      <c r="G31" s="1425">
        <v>0.99990000000000001</v>
      </c>
      <c r="H31" s="1307">
        <v>-5</v>
      </c>
      <c r="I31" s="1420"/>
      <c r="J31" s="1420"/>
      <c r="K31" s="1306"/>
      <c r="M31" s="671"/>
      <c r="N31" s="671"/>
      <c r="O31" s="1933" t="str">
        <f>IF(AND(Input_Product=EligOverlay!B31,Input_CreditScore&gt;=EligOverlay!D31,Input_CreditScore&lt;=EligOverlay!E31,Input_DSCR&gt;=EligOverlay!F31,Input_DSCR&lt;=EligOverlay!G31),H31,"")</f>
        <v/>
      </c>
      <c r="P31" s="671"/>
      <c r="Q31" s="671"/>
      <c r="R31" s="671"/>
      <c r="S31" s="671"/>
      <c r="T31" s="541" t="s">
        <v>62</v>
      </c>
    </row>
    <row r="32" spans="2:20" x14ac:dyDescent="0.2">
      <c r="B32" s="1441" t="str">
        <f>Input_Name_Product2</f>
        <v>NonQM NOO</v>
      </c>
      <c r="C32" s="1306"/>
      <c r="D32" s="1931">
        <v>700</v>
      </c>
      <c r="E32" s="1932">
        <v>999</v>
      </c>
      <c r="F32" s="1425">
        <v>1E-4</v>
      </c>
      <c r="G32" s="1425">
        <v>0.74990000000000001</v>
      </c>
      <c r="H32" s="1307">
        <v>-5</v>
      </c>
      <c r="I32" s="1420"/>
      <c r="J32" s="1420"/>
      <c r="K32" s="1306"/>
      <c r="M32" s="671"/>
      <c r="N32" s="671"/>
      <c r="O32" s="1933" t="str">
        <f>IF(AND(Input_Product=EligOverlay!B32,Input_CreditScore&gt;=EligOverlay!D32,Input_CreditScore&lt;=EligOverlay!E32,Input_DSCR&gt;=EligOverlay!F32,Input_DSCR&lt;=EligOverlay!G32),H32,"")</f>
        <v/>
      </c>
      <c r="P32" s="671"/>
      <c r="Q32" s="671"/>
      <c r="R32" s="671"/>
      <c r="S32" s="671"/>
      <c r="T32" s="541" t="s">
        <v>62</v>
      </c>
    </row>
    <row r="33" spans="2:20" x14ac:dyDescent="0.2">
      <c r="B33" s="1441" t="str">
        <f>Input_Name_Product2</f>
        <v>NonQM NOO</v>
      </c>
      <c r="C33" s="1306"/>
      <c r="D33" s="1931">
        <v>680</v>
      </c>
      <c r="E33" s="1932">
        <v>699</v>
      </c>
      <c r="F33" s="1425">
        <v>1E-4</v>
      </c>
      <c r="G33" s="1425">
        <v>0.74990000000000001</v>
      </c>
      <c r="H33" s="1307">
        <v>-10</v>
      </c>
      <c r="I33" s="1420"/>
      <c r="J33" s="1420"/>
      <c r="K33" s="1306"/>
      <c r="M33" s="671"/>
      <c r="N33" s="671"/>
      <c r="O33" s="1933" t="str">
        <f>IF(AND(Input_Product=EligOverlay!B33,Input_CreditScore&gt;=EligOverlay!D33,Input_CreditScore&lt;=EligOverlay!E33,Input_DSCR&gt;=EligOverlay!F33,Input_DSCR&lt;=EligOverlay!G33),H33,"")</f>
        <v/>
      </c>
      <c r="P33" s="671"/>
      <c r="Q33" s="671"/>
      <c r="R33" s="671"/>
      <c r="S33" s="671"/>
      <c r="T33" s="541" t="s">
        <v>62</v>
      </c>
    </row>
    <row r="34" spans="2:20" x14ac:dyDescent="0.2">
      <c r="B34" s="1441" t="str">
        <f>Input_Name_Product2</f>
        <v>NonQM NOO</v>
      </c>
      <c r="C34" s="1306"/>
      <c r="D34" s="1931">
        <v>660</v>
      </c>
      <c r="E34" s="1932">
        <v>679</v>
      </c>
      <c r="F34" s="1425">
        <v>1E-4</v>
      </c>
      <c r="G34" s="1425">
        <v>0.74990000000000001</v>
      </c>
      <c r="H34" s="1307">
        <v>-15</v>
      </c>
      <c r="I34" s="1420"/>
      <c r="J34" s="1420"/>
      <c r="K34" s="1306"/>
      <c r="M34" s="671"/>
      <c r="N34" s="671"/>
      <c r="O34" s="1933" t="str">
        <f>IF(AND(Input_Product=EligOverlay!B34,Input_CreditScore&gt;=EligOverlay!D34,Input_CreditScore&lt;=EligOverlay!E34,Input_DSCR&gt;=EligOverlay!F34,Input_DSCR&lt;=EligOverlay!G34),H34,"")</f>
        <v/>
      </c>
      <c r="P34" s="671"/>
      <c r="Q34" s="671"/>
      <c r="R34" s="671"/>
      <c r="S34" s="671"/>
      <c r="T34" s="541" t="s">
        <v>62</v>
      </c>
    </row>
    <row r="35" spans="2:20" x14ac:dyDescent="0.2">
      <c r="B35" s="1441"/>
      <c r="C35" s="1306"/>
      <c r="D35" s="1306"/>
      <c r="E35" s="1306"/>
      <c r="F35" s="1425"/>
      <c r="G35" s="1425"/>
      <c r="H35" s="1307"/>
      <c r="I35" s="1420"/>
      <c r="J35" s="1420"/>
      <c r="K35" s="1306"/>
      <c r="M35" s="671"/>
      <c r="N35" s="671"/>
      <c r="O35" s="1437"/>
      <c r="P35" s="671"/>
      <c r="Q35" s="671"/>
      <c r="R35" s="671"/>
      <c r="S35" s="671"/>
      <c r="T35" s="541"/>
    </row>
    <row r="36" spans="2:20" x14ac:dyDescent="0.2">
      <c r="B36" s="1441"/>
      <c r="C36" s="1306"/>
      <c r="D36" s="1306"/>
      <c r="E36" s="1306"/>
      <c r="F36" s="1425"/>
      <c r="G36" s="1425"/>
      <c r="H36" s="1307"/>
      <c r="I36" s="1420"/>
      <c r="J36" s="1420"/>
      <c r="K36" s="1306"/>
      <c r="M36" s="671"/>
      <c r="N36" s="671"/>
      <c r="O36" s="1437"/>
      <c r="P36" s="671"/>
      <c r="Q36" s="671"/>
      <c r="R36" s="671"/>
      <c r="S36" s="671"/>
      <c r="T36" s="541"/>
    </row>
    <row r="37" spans="2:20" x14ac:dyDescent="0.2">
      <c r="B37" s="1441"/>
      <c r="C37" s="1306"/>
      <c r="D37" s="1306"/>
      <c r="E37" s="1306"/>
      <c r="F37" s="1425"/>
      <c r="G37" s="1425"/>
      <c r="H37" s="1307"/>
      <c r="I37" s="1420"/>
      <c r="J37" s="1420"/>
      <c r="K37" s="1306"/>
      <c r="M37" s="671"/>
      <c r="N37" s="671"/>
      <c r="O37" s="1437"/>
      <c r="P37" s="671"/>
      <c r="Q37" s="671"/>
      <c r="R37" s="671"/>
      <c r="S37" s="671"/>
      <c r="T37" s="541"/>
    </row>
    <row r="38" spans="2:20" x14ac:dyDescent="0.2">
      <c r="B38" s="1444"/>
      <c r="M38" s="1272"/>
      <c r="N38" s="1272"/>
      <c r="O38" s="1272"/>
      <c r="P38" s="1272"/>
      <c r="Q38" s="1272"/>
      <c r="R38" s="1272"/>
      <c r="S38" s="1272"/>
      <c r="T38" s="1445"/>
    </row>
    <row r="39" spans="2:20" x14ac:dyDescent="0.2">
      <c r="B39" s="2242" t="s">
        <v>286</v>
      </c>
      <c r="C39" s="2243"/>
      <c r="D39" s="2243"/>
      <c r="E39" s="2243"/>
      <c r="F39" s="2243"/>
      <c r="G39" s="2243"/>
      <c r="H39" s="2243"/>
      <c r="I39" s="2243"/>
      <c r="J39" s="2243"/>
      <c r="K39" s="2243"/>
      <c r="M39" s="1464"/>
      <c r="N39" s="1333" t="s">
        <v>416</v>
      </c>
      <c r="O39" s="1334">
        <f>INDEX(Elig_All,MATCH(Elig_FindMatrixMatch_LTVMax,Elig_ID,0),30)</f>
        <v>80</v>
      </c>
      <c r="P39" s="1335"/>
      <c r="Q39" s="1334">
        <f>INDEX(Elig_All,MATCH(Elig_FindMatrixMatch_LTVMax,Elig_ID,0),27)</f>
        <v>0</v>
      </c>
      <c r="R39" s="1336"/>
      <c r="S39" s="1334">
        <f>INDEX(Elig_All,MATCH(Elig_FindMatrixMatch_LTVMax,Elig_ID,0),23)</f>
        <v>1</v>
      </c>
      <c r="T39" s="1447"/>
    </row>
    <row r="40" spans="2:20" x14ac:dyDescent="0.2">
      <c r="B40" s="1448" t="s">
        <v>258</v>
      </c>
      <c r="C40" s="1298" t="s">
        <v>33</v>
      </c>
      <c r="D40" s="1299" t="s">
        <v>290</v>
      </c>
      <c r="E40" s="1308" t="s">
        <v>347</v>
      </c>
      <c r="F40" s="1308" t="s">
        <v>43</v>
      </c>
      <c r="G40" s="1299" t="s">
        <v>269</v>
      </c>
      <c r="H40" s="1299" t="s">
        <v>270</v>
      </c>
      <c r="I40" s="1308"/>
      <c r="J40" s="1308"/>
      <c r="K40" s="1309"/>
      <c r="M40" s="1310"/>
      <c r="N40" s="1311"/>
      <c r="O40" s="1337"/>
      <c r="P40" s="1312"/>
      <c r="Q40" s="1313"/>
      <c r="R40" s="1313"/>
      <c r="S40" s="1311"/>
      <c r="T40" s="1449" t="s">
        <v>414</v>
      </c>
    </row>
    <row r="41" spans="2:20" x14ac:dyDescent="0.2">
      <c r="B41" s="1440" t="str">
        <f>Input_Name_Product1</f>
        <v>NonQM OO</v>
      </c>
      <c r="C41" s="1424" t="s">
        <v>16</v>
      </c>
      <c r="D41" s="1875">
        <f>Input_LoanAmt</f>
        <v>150000</v>
      </c>
      <c r="E41" s="1420"/>
      <c r="F41" s="1420"/>
      <c r="G41" s="1307">
        <v>0.01</v>
      </c>
      <c r="H41" s="1307">
        <v>65</v>
      </c>
      <c r="I41" s="1420"/>
      <c r="J41" s="1420"/>
      <c r="K41" s="1420"/>
      <c r="M41" s="1420"/>
      <c r="N41" s="1433" t="str">
        <f>IF(AND(Input_Product=EligOverlay!B41,Input_Purpose=EligOverlay!C41,Input_LTV&gt;=EligOverlay!G41,Input_LTV&lt;=EligOverlay!H41),D41,"")</f>
        <v/>
      </c>
      <c r="O41" s="1436"/>
      <c r="P41" s="1435"/>
      <c r="Q41" s="1420"/>
      <c r="R41" s="1420"/>
      <c r="S41" s="1420"/>
      <c r="T41" s="541" t="s">
        <v>296</v>
      </c>
    </row>
    <row r="42" spans="2:20" x14ac:dyDescent="0.2">
      <c r="B42" s="1440" t="str">
        <f>Input_Name_Product1</f>
        <v>NonQM OO</v>
      </c>
      <c r="C42" s="1424" t="s">
        <v>16</v>
      </c>
      <c r="D42" s="1875">
        <f>Input_LoanAmt</f>
        <v>150000</v>
      </c>
      <c r="E42" s="1420"/>
      <c r="F42" s="1420"/>
      <c r="G42" s="1307">
        <v>65.010000000000005</v>
      </c>
      <c r="H42" s="1307">
        <v>999</v>
      </c>
      <c r="I42" s="1420"/>
      <c r="J42" s="1420"/>
      <c r="K42" s="1420"/>
      <c r="M42" s="1420"/>
      <c r="N42" s="1433" t="str">
        <f>IF(AND(Input_Product=EligOverlay!B42,Input_Purpose=EligOverlay!C42,Input_LTV&gt;=EligOverlay!G42,Input_LTV&lt;=EligOverlay!H42),D42,"")</f>
        <v/>
      </c>
      <c r="O42" s="1436"/>
      <c r="P42" s="1435"/>
      <c r="Q42" s="1420"/>
      <c r="R42" s="1420"/>
      <c r="S42" s="1420"/>
      <c r="T42" s="541" t="s">
        <v>296</v>
      </c>
    </row>
    <row r="43" spans="2:20" x14ac:dyDescent="0.2">
      <c r="B43" s="1440" t="str">
        <f>Input_Name_Product1</f>
        <v>NonQM OO</v>
      </c>
      <c r="C43" s="1424" t="s">
        <v>16</v>
      </c>
      <c r="D43" s="1307">
        <v>0</v>
      </c>
      <c r="E43" s="1420"/>
      <c r="F43" s="1869" t="s">
        <v>2021</v>
      </c>
      <c r="G43" s="1307">
        <v>0.01</v>
      </c>
      <c r="H43" s="1307">
        <v>999</v>
      </c>
      <c r="I43" s="1420"/>
      <c r="J43" s="1420"/>
      <c r="K43" s="1420"/>
      <c r="M43" s="1420"/>
      <c r="N43" s="1433" t="str">
        <f>IF(AND(Input_Product=EligOverlay!B43,Input_Purpose=EligOverlay!C43,Input_LTV&gt;=EligOverlay!G43,Input_LTV&lt;=EligOverlay!H43,Input_CreditHistory=EligOverlay!F43),D43,"")</f>
        <v/>
      </c>
      <c r="O43" s="1436"/>
      <c r="P43" s="1435"/>
      <c r="Q43" s="1420"/>
      <c r="R43" s="1420"/>
      <c r="S43" s="1420"/>
      <c r="T43" s="541" t="s">
        <v>2254</v>
      </c>
    </row>
    <row r="44" spans="2:20" x14ac:dyDescent="0.2">
      <c r="B44" s="1441" t="str">
        <f>Input_Name_Product2</f>
        <v>NonQM NOO</v>
      </c>
      <c r="C44" s="1424" t="s">
        <v>16</v>
      </c>
      <c r="D44" s="1875">
        <f>Input_LoanAmt</f>
        <v>150000</v>
      </c>
      <c r="E44" s="1420"/>
      <c r="F44" s="1420"/>
      <c r="G44" s="1307">
        <v>0.01</v>
      </c>
      <c r="H44" s="1307">
        <v>65</v>
      </c>
      <c r="I44" s="1420"/>
      <c r="J44" s="1420"/>
      <c r="K44" s="1420"/>
      <c r="M44" s="1420"/>
      <c r="N44" s="1433" t="str">
        <f>IF(AND(Input_Product=EligOverlay!B44,Input_Purpose=EligOverlay!C44,Input_LTV&gt;=EligOverlay!G44,Input_LTV&lt;=EligOverlay!H44),D44,"")</f>
        <v/>
      </c>
      <c r="O44" s="1436"/>
      <c r="P44" s="1435"/>
      <c r="Q44" s="1420"/>
      <c r="R44" s="1420"/>
      <c r="S44" s="1420"/>
      <c r="T44" s="541" t="s">
        <v>296</v>
      </c>
    </row>
    <row r="45" spans="2:20" x14ac:dyDescent="0.2">
      <c r="B45" s="1441" t="str">
        <f>Input_Name_Product2</f>
        <v>NonQM NOO</v>
      </c>
      <c r="C45" s="1424" t="s">
        <v>16</v>
      </c>
      <c r="D45" s="1921">
        <f>IF(Input_LoanAmt&gt;1000000,1000000,Input_LoanAmt)</f>
        <v>150000</v>
      </c>
      <c r="E45" s="1420"/>
      <c r="F45" s="1420"/>
      <c r="G45" s="1307">
        <v>65.010000000000005</v>
      </c>
      <c r="H45" s="1307">
        <v>999</v>
      </c>
      <c r="I45" s="1420"/>
      <c r="J45" s="1420"/>
      <c r="K45" s="1420"/>
      <c r="M45" s="1420"/>
      <c r="N45" s="1433" t="str">
        <f>IF(AND(Input_Product=EligOverlay!B45,Input_Purpose=EligOverlay!C45,Input_LTV&gt;=EligOverlay!G45,Input_LTV&lt;=EligOverlay!H45),D45,"")</f>
        <v/>
      </c>
      <c r="O45" s="1436"/>
      <c r="P45" s="1435"/>
      <c r="Q45" s="1420"/>
      <c r="R45" s="1420"/>
      <c r="S45" s="1420"/>
      <c r="T45" s="541" t="s">
        <v>296</v>
      </c>
    </row>
    <row r="46" spans="2:20" x14ac:dyDescent="0.2">
      <c r="B46" s="1442" t="str">
        <f>Input_Name_Product4</f>
        <v>Second OO</v>
      </c>
      <c r="C46" s="1424" t="s">
        <v>16</v>
      </c>
      <c r="D46" s="1875">
        <f>Input_LoanAmt</f>
        <v>150000</v>
      </c>
      <c r="E46" s="1420"/>
      <c r="F46" s="1420"/>
      <c r="G46" s="1307">
        <v>0.01</v>
      </c>
      <c r="H46" s="1307">
        <v>90</v>
      </c>
      <c r="I46" s="1420"/>
      <c r="J46" s="1420"/>
      <c r="K46" s="1420"/>
      <c r="M46" s="1420"/>
      <c r="N46" s="1433" t="str">
        <f>IF(AND(Input_Product=B46,Input_Purpose=C46,Input_LTV&gt;=G46,Input_LTV&lt;=H46),D46,"")</f>
        <v/>
      </c>
      <c r="O46" s="1436"/>
      <c r="P46" s="1435"/>
      <c r="Q46" s="1420"/>
      <c r="R46" s="1420"/>
      <c r="S46" s="1420"/>
      <c r="T46" s="541" t="s">
        <v>296</v>
      </c>
    </row>
    <row r="47" spans="2:20" x14ac:dyDescent="0.2">
      <c r="B47" s="1450" t="str">
        <f>Input_Name_Product5</f>
        <v>Second NOO</v>
      </c>
      <c r="C47" s="1424" t="s">
        <v>16</v>
      </c>
      <c r="D47" s="1875">
        <f>Input_LoanAmt</f>
        <v>150000</v>
      </c>
      <c r="E47" s="1420"/>
      <c r="F47" s="1420"/>
      <c r="G47" s="1307">
        <v>0.01</v>
      </c>
      <c r="H47" s="1307">
        <v>90</v>
      </c>
      <c r="I47" s="1420"/>
      <c r="J47" s="1420"/>
      <c r="K47" s="1420"/>
      <c r="M47" s="1420"/>
      <c r="N47" s="1433" t="str">
        <f>IF(AND(Input_Product=B47,Input_Purpose=C47,Input_LTV&gt;=G47,Input_LTV&lt;=H47),D47,"")</f>
        <v/>
      </c>
      <c r="O47" s="1436"/>
      <c r="P47" s="1435"/>
      <c r="Q47" s="1420"/>
      <c r="R47" s="1420"/>
      <c r="S47" s="1420"/>
      <c r="T47" s="541" t="s">
        <v>296</v>
      </c>
    </row>
    <row r="49" spans="2:20" x14ac:dyDescent="0.2">
      <c r="B49" s="1448" t="s">
        <v>258</v>
      </c>
      <c r="C49" s="1885" t="s">
        <v>276</v>
      </c>
      <c r="D49" s="1332" t="s">
        <v>263</v>
      </c>
      <c r="E49" s="1332" t="s">
        <v>264</v>
      </c>
      <c r="F49" s="1308" t="s">
        <v>33</v>
      </c>
      <c r="G49" s="1299" t="s">
        <v>2397</v>
      </c>
      <c r="H49" s="1299" t="s">
        <v>2398</v>
      </c>
      <c r="I49" s="1308"/>
      <c r="J49" s="1308"/>
      <c r="K49" s="1308"/>
    </row>
    <row r="50" spans="2:20" x14ac:dyDescent="0.2">
      <c r="B50" s="1440" t="str">
        <f t="shared" ref="B50:B56" si="2">Input_Name_Product1</f>
        <v>NonQM OO</v>
      </c>
      <c r="C50" s="1886">
        <v>0</v>
      </c>
      <c r="D50" s="1420">
        <v>0</v>
      </c>
      <c r="E50" s="1420">
        <v>4000000</v>
      </c>
      <c r="F50" s="1421" t="s">
        <v>35</v>
      </c>
      <c r="G50" s="1420">
        <v>0</v>
      </c>
      <c r="H50" s="1420">
        <v>65</v>
      </c>
      <c r="I50" s="1420"/>
      <c r="J50" s="1420"/>
      <c r="K50" s="1420"/>
      <c r="M50" s="1420"/>
      <c r="N50" s="1436"/>
      <c r="O50" s="1436"/>
      <c r="P50" s="1435"/>
      <c r="Q50" s="1421" t="str">
        <f>IF(AND(Input_Product=EligOverlay!B50,Input_LoanAmt&gt;=EligOverlay!D50,Input_LoanAmt&lt;=EligOverlay!E50,Input_Purpose=EligOverlay!F50,Input_LTV&gt;EligOverlay!G50,Input_LTV&lt;=EligOverlay!H50),C50,"")</f>
        <v/>
      </c>
      <c r="R50" s="1420"/>
      <c r="S50" s="1420"/>
      <c r="T50" s="541" t="s">
        <v>2518</v>
      </c>
    </row>
    <row r="51" spans="2:20" x14ac:dyDescent="0.2">
      <c r="B51" s="1440" t="str">
        <f t="shared" si="2"/>
        <v>NonQM OO</v>
      </c>
      <c r="C51" s="1886">
        <v>6</v>
      </c>
      <c r="D51" s="1420">
        <v>0</v>
      </c>
      <c r="E51" s="1420">
        <v>1000000</v>
      </c>
      <c r="F51" s="1421" t="s">
        <v>35</v>
      </c>
      <c r="G51" s="1420">
        <v>65</v>
      </c>
      <c r="H51" s="1420">
        <v>999</v>
      </c>
      <c r="I51" s="1420"/>
      <c r="J51" s="1420"/>
      <c r="K51" s="1420"/>
      <c r="M51" s="1420"/>
      <c r="N51" s="1436"/>
      <c r="O51" s="1436"/>
      <c r="P51" s="1435"/>
      <c r="Q51" s="1421" t="str">
        <f>IF(AND(Input_Product=EligOverlay!B51,Input_LoanAmt&gt;=EligOverlay!D51,Input_LoanAmt&lt;=EligOverlay!E51,Input_Purpose=EligOverlay!F51,Input_LTV&gt;EligOverlay!G51,Input_LTV&lt;=EligOverlay!H51),C51,"")</f>
        <v/>
      </c>
      <c r="R51" s="1420"/>
      <c r="S51" s="1420"/>
      <c r="T51" s="541" t="s">
        <v>2518</v>
      </c>
    </row>
    <row r="52" spans="2:20" x14ac:dyDescent="0.2">
      <c r="B52" s="1440" t="str">
        <f t="shared" si="2"/>
        <v>NonQM OO</v>
      </c>
      <c r="C52" s="1886">
        <v>9</v>
      </c>
      <c r="D52" s="1420">
        <v>1000000.01</v>
      </c>
      <c r="E52" s="1420">
        <v>2000000</v>
      </c>
      <c r="F52" s="1421" t="s">
        <v>35</v>
      </c>
      <c r="G52" s="1420">
        <v>65</v>
      </c>
      <c r="H52" s="1420">
        <v>999</v>
      </c>
      <c r="I52" s="1420"/>
      <c r="J52" s="1420"/>
      <c r="K52" s="1420"/>
      <c r="M52" s="1420"/>
      <c r="N52" s="1436"/>
      <c r="O52" s="1436"/>
      <c r="P52" s="1435"/>
      <c r="Q52" s="1421" t="str">
        <f>IF(AND(Input_Product=EligOverlay!B52,Input_LoanAmt&gt;=EligOverlay!D52,Input_LoanAmt&lt;=EligOverlay!E52,Input_Purpose=EligOverlay!F52,Input_LTV&gt;EligOverlay!G52,Input_LTV&lt;=EligOverlay!H52),C52,"")</f>
        <v/>
      </c>
      <c r="R52" s="1420"/>
      <c r="S52" s="1420"/>
      <c r="T52" s="541" t="s">
        <v>2518</v>
      </c>
    </row>
    <row r="53" spans="2:20" x14ac:dyDescent="0.2">
      <c r="B53" s="1440" t="str">
        <f t="shared" si="2"/>
        <v>NonQM OO</v>
      </c>
      <c r="C53" s="1886">
        <v>12</v>
      </c>
      <c r="D53" s="1420">
        <v>2000000.01</v>
      </c>
      <c r="E53" s="1420">
        <v>4000000</v>
      </c>
      <c r="F53" s="1421" t="s">
        <v>35</v>
      </c>
      <c r="G53" s="1420">
        <v>65</v>
      </c>
      <c r="H53" s="1420">
        <v>999</v>
      </c>
      <c r="I53" s="1420"/>
      <c r="J53" s="1420"/>
      <c r="K53" s="1420"/>
      <c r="M53" s="1420"/>
      <c r="N53" s="1436"/>
      <c r="O53" s="1436"/>
      <c r="P53" s="1435"/>
      <c r="Q53" s="1421" t="str">
        <f>IF(AND(Input_Product=EligOverlay!B53,Input_LoanAmt&gt;=EligOverlay!D53,Input_LoanAmt&lt;=EligOverlay!E53,Input_Purpose=EligOverlay!F53,Input_LTV&gt;EligOverlay!G53,Input_LTV&lt;=EligOverlay!H53),C53,"")</f>
        <v/>
      </c>
      <c r="R53" s="1420"/>
      <c r="S53" s="1420"/>
      <c r="T53" s="541" t="s">
        <v>2518</v>
      </c>
    </row>
    <row r="54" spans="2:20" x14ac:dyDescent="0.2">
      <c r="B54" s="1440" t="str">
        <f t="shared" si="2"/>
        <v>NonQM OO</v>
      </c>
      <c r="C54" s="1886">
        <v>6</v>
      </c>
      <c r="D54" s="1420">
        <v>0</v>
      </c>
      <c r="E54" s="1420">
        <v>1000000</v>
      </c>
      <c r="F54" s="1433" t="s">
        <v>35</v>
      </c>
      <c r="G54" s="1420">
        <v>0</v>
      </c>
      <c r="H54" s="1420">
        <v>999</v>
      </c>
      <c r="I54" s="1420"/>
      <c r="J54" s="1420"/>
      <c r="K54" s="1420"/>
      <c r="M54" s="1420"/>
      <c r="N54" s="1436"/>
      <c r="O54" s="1436"/>
      <c r="P54" s="1435"/>
      <c r="Q54" s="1433" t="str">
        <f>IF(AND(Input_Product=EligOverlay!B54,Input_LoanAmt&gt;=EligOverlay!D54,Input_LoanAmt&lt;=EligOverlay!E54,Input_Purpose&lt;&gt;EligOverlay!F54,Input_LTV&gt;EligOverlay!G54,Input_LTV&lt;=EligOverlay!H54),C54,"")</f>
        <v/>
      </c>
      <c r="R54" s="1420"/>
      <c r="S54" s="1420"/>
      <c r="T54" s="541" t="s">
        <v>2518</v>
      </c>
    </row>
    <row r="55" spans="2:20" x14ac:dyDescent="0.2">
      <c r="B55" s="1440" t="str">
        <f t="shared" si="2"/>
        <v>NonQM OO</v>
      </c>
      <c r="C55" s="1886">
        <v>9</v>
      </c>
      <c r="D55" s="1420">
        <v>1000000.01</v>
      </c>
      <c r="E55" s="1420">
        <v>2000000</v>
      </c>
      <c r="F55" s="1433" t="s">
        <v>35</v>
      </c>
      <c r="G55" s="1420">
        <v>0</v>
      </c>
      <c r="H55" s="1420">
        <v>999</v>
      </c>
      <c r="I55" s="1420"/>
      <c r="J55" s="1420"/>
      <c r="K55" s="1420"/>
      <c r="M55" s="1420"/>
      <c r="N55" s="1436"/>
      <c r="O55" s="1436"/>
      <c r="P55" s="1435"/>
      <c r="Q55" s="1433" t="str">
        <f>IF(AND(Input_Product=EligOverlay!B55,Input_LoanAmt&gt;=EligOverlay!D55,Input_LoanAmt&lt;=EligOverlay!E55,Input_Purpose&lt;&gt;EligOverlay!F55,Input_LTV&gt;EligOverlay!G55,Input_LTV&lt;=EligOverlay!H55),C55,"")</f>
        <v/>
      </c>
      <c r="R55" s="1420"/>
      <c r="S55" s="1420"/>
      <c r="T55" s="541" t="s">
        <v>2518</v>
      </c>
    </row>
    <row r="56" spans="2:20" x14ac:dyDescent="0.2">
      <c r="B56" s="1440" t="str">
        <f t="shared" si="2"/>
        <v>NonQM OO</v>
      </c>
      <c r="C56" s="1886">
        <v>12</v>
      </c>
      <c r="D56" s="1420">
        <v>2000000.01</v>
      </c>
      <c r="E56" s="1420">
        <v>4000000</v>
      </c>
      <c r="F56" s="1433" t="s">
        <v>35</v>
      </c>
      <c r="G56" s="1420">
        <v>0</v>
      </c>
      <c r="H56" s="1420">
        <v>999</v>
      </c>
      <c r="I56" s="1420"/>
      <c r="J56" s="1420"/>
      <c r="K56" s="1420"/>
      <c r="M56" s="1420"/>
      <c r="N56" s="1436"/>
      <c r="O56" s="1436"/>
      <c r="P56" s="1435"/>
      <c r="Q56" s="1433" t="str">
        <f>IF(AND(Input_Product=EligOverlay!B56,Input_LoanAmt&gt;=EligOverlay!D56,Input_LoanAmt&lt;=EligOverlay!E56,Input_Purpose&lt;&gt;EligOverlay!F56,Input_LTV&gt;EligOverlay!G56,Input_LTV&lt;=EligOverlay!H56),C56,"")</f>
        <v/>
      </c>
      <c r="R56" s="1420"/>
      <c r="S56" s="1420"/>
      <c r="T56" s="541" t="s">
        <v>2518</v>
      </c>
    </row>
    <row r="57" spans="2:20" x14ac:dyDescent="0.2">
      <c r="B57" s="1441" t="str">
        <f t="shared" ref="B57:B63" si="3">Input_Name_Product2</f>
        <v>NonQM NOO</v>
      </c>
      <c r="C57" s="1886">
        <v>0</v>
      </c>
      <c r="D57" s="1420">
        <v>0</v>
      </c>
      <c r="E57" s="1420">
        <v>4000000</v>
      </c>
      <c r="F57" s="1421" t="s">
        <v>35</v>
      </c>
      <c r="G57" s="1420">
        <v>0</v>
      </c>
      <c r="H57" s="1420">
        <v>65</v>
      </c>
      <c r="I57" s="1420"/>
      <c r="J57" s="1420"/>
      <c r="K57" s="1420"/>
      <c r="M57" s="1420"/>
      <c r="N57" s="1436"/>
      <c r="O57" s="1436"/>
      <c r="P57" s="1435"/>
      <c r="Q57" s="1421" t="str">
        <f>IF(AND(Input_Product=EligOverlay!B57,Input_LoanAmt&gt;=EligOverlay!D57,Input_LoanAmt&lt;=EligOverlay!E57,Input_Purpose=EligOverlay!F57,Input_LTV&gt;EligOverlay!G57,Input_LTV&lt;=EligOverlay!H57),C57,"")</f>
        <v/>
      </c>
      <c r="R57" s="1420"/>
      <c r="S57" s="1420"/>
      <c r="T57" s="541" t="s">
        <v>2518</v>
      </c>
    </row>
    <row r="58" spans="2:20" x14ac:dyDescent="0.2">
      <c r="B58" s="1441" t="str">
        <f t="shared" si="3"/>
        <v>NonQM NOO</v>
      </c>
      <c r="C58" s="1886">
        <v>6</v>
      </c>
      <c r="D58" s="1420">
        <v>0</v>
      </c>
      <c r="E58" s="1420">
        <v>1000000</v>
      </c>
      <c r="F58" s="1421" t="s">
        <v>35</v>
      </c>
      <c r="G58" s="1420">
        <v>65</v>
      </c>
      <c r="H58" s="1420">
        <v>999</v>
      </c>
      <c r="I58" s="1420"/>
      <c r="J58" s="1420"/>
      <c r="K58" s="1420"/>
      <c r="M58" s="1420"/>
      <c r="N58" s="1436"/>
      <c r="O58" s="1436"/>
      <c r="P58" s="1435"/>
      <c r="Q58" s="1421" t="str">
        <f>IF(AND(Input_Product=EligOverlay!B58,Input_LoanAmt&gt;=EligOverlay!D58,Input_LoanAmt&lt;=EligOverlay!E58,Input_Purpose=EligOverlay!F58,Input_LTV&gt;EligOverlay!G58,Input_LTV&lt;=EligOverlay!H58),C58,"")</f>
        <v/>
      </c>
      <c r="R58" s="1420"/>
      <c r="S58" s="1420"/>
      <c r="T58" s="541" t="s">
        <v>2518</v>
      </c>
    </row>
    <row r="59" spans="2:20" x14ac:dyDescent="0.2">
      <c r="B59" s="1441" t="str">
        <f t="shared" si="3"/>
        <v>NonQM NOO</v>
      </c>
      <c r="C59" s="1886">
        <v>9</v>
      </c>
      <c r="D59" s="1420">
        <v>1000000.01</v>
      </c>
      <c r="E59" s="1420">
        <v>2000000</v>
      </c>
      <c r="F59" s="1421" t="s">
        <v>35</v>
      </c>
      <c r="G59" s="1420">
        <v>65</v>
      </c>
      <c r="H59" s="1420">
        <v>999</v>
      </c>
      <c r="I59" s="1420"/>
      <c r="J59" s="1420"/>
      <c r="K59" s="1420"/>
      <c r="M59" s="1420"/>
      <c r="N59" s="1436"/>
      <c r="O59" s="1436"/>
      <c r="P59" s="1435"/>
      <c r="Q59" s="1421" t="str">
        <f>IF(AND(Input_Product=EligOverlay!B59,Input_LoanAmt&gt;=EligOverlay!D59,Input_LoanAmt&lt;=EligOverlay!E59,Input_Purpose=EligOverlay!F59,Input_LTV&gt;EligOverlay!G59,Input_LTV&lt;=EligOverlay!H59),C59,"")</f>
        <v/>
      </c>
      <c r="R59" s="1420"/>
      <c r="S59" s="1420"/>
      <c r="T59" s="541" t="s">
        <v>2518</v>
      </c>
    </row>
    <row r="60" spans="2:20" x14ac:dyDescent="0.2">
      <c r="B60" s="1441" t="str">
        <f t="shared" si="3"/>
        <v>NonQM NOO</v>
      </c>
      <c r="C60" s="1886">
        <v>12</v>
      </c>
      <c r="D60" s="1420">
        <v>2000000.01</v>
      </c>
      <c r="E60" s="1420">
        <v>4000000</v>
      </c>
      <c r="F60" s="1421" t="s">
        <v>35</v>
      </c>
      <c r="G60" s="1420">
        <v>65</v>
      </c>
      <c r="H60" s="1420">
        <v>999</v>
      </c>
      <c r="I60" s="1420"/>
      <c r="J60" s="1420"/>
      <c r="K60" s="1420"/>
      <c r="M60" s="1420"/>
      <c r="N60" s="1436"/>
      <c r="O60" s="1436"/>
      <c r="P60" s="1435"/>
      <c r="Q60" s="1421" t="str">
        <f>IF(AND(Input_Product=EligOverlay!B60,Input_LoanAmt&gt;=EligOverlay!D60,Input_LoanAmt&lt;=EligOverlay!E60,Input_Purpose=EligOverlay!F60,Input_LTV&gt;EligOverlay!G60,Input_LTV&lt;=EligOverlay!H60),C60,"")</f>
        <v/>
      </c>
      <c r="R60" s="1420"/>
      <c r="S60" s="1420"/>
      <c r="T60" s="541" t="s">
        <v>2518</v>
      </c>
    </row>
    <row r="61" spans="2:20" x14ac:dyDescent="0.2">
      <c r="B61" s="1441" t="str">
        <f t="shared" si="3"/>
        <v>NonQM NOO</v>
      </c>
      <c r="C61" s="1886">
        <v>6</v>
      </c>
      <c r="D61" s="1420">
        <v>0</v>
      </c>
      <c r="E61" s="1420">
        <v>1000000</v>
      </c>
      <c r="F61" s="1433" t="s">
        <v>35</v>
      </c>
      <c r="G61" s="1420">
        <v>0</v>
      </c>
      <c r="H61" s="1420">
        <v>999</v>
      </c>
      <c r="I61" s="1420"/>
      <c r="J61" s="1420"/>
      <c r="K61" s="1420"/>
      <c r="M61" s="1420"/>
      <c r="N61" s="1436"/>
      <c r="O61" s="1436"/>
      <c r="P61" s="1435"/>
      <c r="Q61" s="1433" t="str">
        <f>IF(AND(Input_Product=EligOverlay!B61,Input_LoanAmt&gt;=EligOverlay!D61,Input_LoanAmt&lt;=EligOverlay!E61,Input_Purpose&lt;&gt;EligOverlay!F61,Input_LTV&gt;EligOverlay!G61,Input_LTV&lt;=EligOverlay!H61),C61,"")</f>
        <v/>
      </c>
      <c r="R61" s="1420"/>
      <c r="S61" s="1420"/>
      <c r="T61" s="541" t="s">
        <v>2518</v>
      </c>
    </row>
    <row r="62" spans="2:20" x14ac:dyDescent="0.2">
      <c r="B62" s="1441" t="str">
        <f t="shared" si="3"/>
        <v>NonQM NOO</v>
      </c>
      <c r="C62" s="1886">
        <v>9</v>
      </c>
      <c r="D62" s="1420">
        <v>1000000.01</v>
      </c>
      <c r="E62" s="1420">
        <v>2000000</v>
      </c>
      <c r="F62" s="1433" t="s">
        <v>35</v>
      </c>
      <c r="G62" s="1420">
        <v>0</v>
      </c>
      <c r="H62" s="1420">
        <v>999</v>
      </c>
      <c r="I62" s="1420"/>
      <c r="J62" s="1420"/>
      <c r="K62" s="1420"/>
      <c r="M62" s="1420"/>
      <c r="N62" s="1436"/>
      <c r="O62" s="1436"/>
      <c r="P62" s="1435"/>
      <c r="Q62" s="1433" t="str">
        <f>IF(AND(Input_Product=EligOverlay!B62,Input_LoanAmt&gt;=EligOverlay!D62,Input_LoanAmt&lt;=EligOverlay!E62,Input_Purpose&lt;&gt;EligOverlay!F62,Input_LTV&gt;EligOverlay!G62,Input_LTV&lt;=EligOverlay!H62),C62,"")</f>
        <v/>
      </c>
      <c r="R62" s="1420"/>
      <c r="S62" s="1420"/>
      <c r="T62" s="541" t="s">
        <v>2518</v>
      </c>
    </row>
    <row r="63" spans="2:20" x14ac:dyDescent="0.2">
      <c r="B63" s="1441" t="str">
        <f t="shared" si="3"/>
        <v>NonQM NOO</v>
      </c>
      <c r="C63" s="1886">
        <v>12</v>
      </c>
      <c r="D63" s="1420">
        <v>2000000.01</v>
      </c>
      <c r="E63" s="1420">
        <v>4000000</v>
      </c>
      <c r="F63" s="1433" t="s">
        <v>35</v>
      </c>
      <c r="G63" s="1420">
        <v>0</v>
      </c>
      <c r="H63" s="1420">
        <v>999</v>
      </c>
      <c r="I63" s="1420"/>
      <c r="J63" s="1420"/>
      <c r="K63" s="1420"/>
      <c r="M63" s="1420"/>
      <c r="N63" s="1436"/>
      <c r="O63" s="1436"/>
      <c r="P63" s="1435"/>
      <c r="Q63" s="1433" t="str">
        <f>IF(AND(Input_Product=EligOverlay!B63,Input_LoanAmt&gt;=EligOverlay!D63,Input_LoanAmt&lt;=EligOverlay!E63,Input_Purpose&lt;&gt;EligOverlay!F63,Input_LTV&gt;EligOverlay!G63,Input_LTV&lt;=EligOverlay!H63),C63,"")</f>
        <v/>
      </c>
      <c r="R63" s="1420"/>
      <c r="S63" s="1420"/>
      <c r="T63" s="541" t="s">
        <v>2518</v>
      </c>
    </row>
    <row r="65" spans="2:20" x14ac:dyDescent="0.2">
      <c r="B65" s="1448" t="s">
        <v>258</v>
      </c>
      <c r="C65" s="1298" t="s">
        <v>427</v>
      </c>
      <c r="D65" s="1298" t="s">
        <v>8</v>
      </c>
      <c r="E65" s="1308"/>
      <c r="F65" s="1308"/>
      <c r="G65" s="1308"/>
      <c r="H65" s="1308"/>
      <c r="I65" s="1308"/>
      <c r="J65" s="1299" t="s">
        <v>1842</v>
      </c>
      <c r="K65" s="1309"/>
      <c r="M65" s="1438"/>
      <c r="N65" s="1438"/>
      <c r="O65" s="1438"/>
      <c r="P65" s="1438"/>
      <c r="Q65" s="1438"/>
      <c r="R65" s="1438"/>
      <c r="S65" s="1438"/>
      <c r="T65" s="1451"/>
    </row>
    <row r="66" spans="2:20" x14ac:dyDescent="0.2">
      <c r="B66" s="1442" t="str">
        <f>Input_Name_Product4</f>
        <v>Second OO</v>
      </c>
      <c r="C66" s="1424" t="s">
        <v>422</v>
      </c>
      <c r="D66" s="1430">
        <v>400000</v>
      </c>
      <c r="E66" s="1420"/>
      <c r="F66" s="1420"/>
      <c r="G66" s="1420"/>
      <c r="H66" s="1420"/>
      <c r="I66" s="1420"/>
      <c r="J66" s="1307">
        <v>400000</v>
      </c>
      <c r="K66" s="1420"/>
      <c r="M66" s="1433" t="str">
        <f>IF(AND(Input_Product=EligOverlay!B66,Input_ValuationType=EligOverlay!C66,Input_LoanAmt&gt;EligOverlay!D66),EligOverlay!J66,"")</f>
        <v/>
      </c>
      <c r="N66" s="1420"/>
      <c r="O66" s="1435"/>
      <c r="P66" s="1435"/>
      <c r="Q66" s="1420"/>
      <c r="R66" s="1420"/>
      <c r="S66" s="1420"/>
      <c r="T66" s="541" t="s">
        <v>1843</v>
      </c>
    </row>
    <row r="67" spans="2:20" x14ac:dyDescent="0.2">
      <c r="B67" s="1450" t="str">
        <f>Input_Name_Product5</f>
        <v>Second NOO</v>
      </c>
      <c r="C67" s="1424" t="s">
        <v>422</v>
      </c>
      <c r="D67" s="1430">
        <v>400000</v>
      </c>
      <c r="E67" s="1420"/>
      <c r="F67" s="1420"/>
      <c r="G67" s="1420"/>
      <c r="H67" s="1420"/>
      <c r="I67" s="1420"/>
      <c r="J67" s="1307">
        <v>400000</v>
      </c>
      <c r="K67" s="1420"/>
      <c r="M67" s="1433" t="str">
        <f>IF(AND(Input_Product=EligOverlay!B67,Input_ValuationType=EligOverlay!C67,Input_LoanAmt&gt;EligOverlay!D67),EligOverlay!J67,"")</f>
        <v/>
      </c>
      <c r="N67" s="1420"/>
      <c r="O67" s="1435"/>
      <c r="P67" s="1435"/>
      <c r="Q67" s="1420"/>
      <c r="R67" s="1420"/>
      <c r="S67" s="1420"/>
      <c r="T67" s="541" t="s">
        <v>1843</v>
      </c>
    </row>
    <row r="69" spans="2:20" x14ac:dyDescent="0.2">
      <c r="B69" s="1448" t="s">
        <v>258</v>
      </c>
      <c r="C69" s="1298" t="s">
        <v>33</v>
      </c>
      <c r="D69" s="1298" t="s">
        <v>224</v>
      </c>
      <c r="E69" s="1308"/>
      <c r="F69" s="1308"/>
      <c r="G69" s="1308"/>
      <c r="H69" s="1299" t="s">
        <v>270</v>
      </c>
      <c r="I69" s="1308"/>
      <c r="J69" s="1308"/>
      <c r="K69" s="1309"/>
      <c r="M69" s="460"/>
      <c r="N69" s="460"/>
      <c r="O69" s="460"/>
      <c r="P69" s="460"/>
      <c r="Q69" s="460"/>
      <c r="R69" s="460"/>
      <c r="S69" s="460"/>
      <c r="T69" s="1445"/>
    </row>
    <row r="70" spans="2:20" x14ac:dyDescent="0.2">
      <c r="B70" s="1440" t="str">
        <f>Input_Name_Product1</f>
        <v>NonQM OO</v>
      </c>
      <c r="C70" s="1424" t="s">
        <v>16</v>
      </c>
      <c r="D70" s="1305" t="s">
        <v>2261</v>
      </c>
      <c r="E70" s="1420"/>
      <c r="F70" s="1420"/>
      <c r="G70" s="1420"/>
      <c r="H70" s="1307">
        <v>0.01</v>
      </c>
      <c r="I70" s="1420"/>
      <c r="J70" s="1420"/>
      <c r="K70" s="1420"/>
      <c r="M70" s="1420"/>
      <c r="N70" s="1420"/>
      <c r="O70" s="1433" t="str">
        <f>IF(AND(Input_Product=EligOverlay!B70,Input_Purpose=EligOverlay!C70,Input_HousingHistory=EligOverlay!D70),H70,"")</f>
        <v/>
      </c>
      <c r="P70" s="1435"/>
      <c r="Q70" s="1420"/>
      <c r="R70" s="1420"/>
      <c r="S70" s="1420"/>
      <c r="T70" s="541" t="s">
        <v>2256</v>
      </c>
    </row>
    <row r="71" spans="2:20" x14ac:dyDescent="0.2">
      <c r="B71" s="1440" t="str">
        <f>Input_Name_Product1</f>
        <v>NonQM OO</v>
      </c>
      <c r="C71" s="1424" t="s">
        <v>16</v>
      </c>
      <c r="D71" s="1305" t="s">
        <v>2264</v>
      </c>
      <c r="E71" s="1420"/>
      <c r="F71" s="1420"/>
      <c r="G71" s="1420"/>
      <c r="H71" s="1307">
        <v>0.01</v>
      </c>
      <c r="I71" s="1420"/>
      <c r="J71" s="1420"/>
      <c r="K71" s="1420"/>
      <c r="M71" s="1420"/>
      <c r="N71" s="1420"/>
      <c r="O71" s="1433" t="str">
        <f>IF(AND(Input_Product=EligOverlay!B71,Input_Purpose=EligOverlay!C71,Input_HousingHistory=EligOverlay!D71),H71,"")</f>
        <v/>
      </c>
      <c r="P71" s="1435"/>
      <c r="Q71" s="1420"/>
      <c r="R71" s="1420"/>
      <c r="S71" s="1420"/>
      <c r="T71" s="541" t="s">
        <v>2256</v>
      </c>
    </row>
    <row r="72" spans="2:20" x14ac:dyDescent="0.2">
      <c r="B72" s="1441" t="str">
        <f>Input_Name_Product2</f>
        <v>NonQM NOO</v>
      </c>
      <c r="C72" s="1424" t="s">
        <v>16</v>
      </c>
      <c r="D72" s="1305" t="s">
        <v>2261</v>
      </c>
      <c r="E72" s="1422"/>
      <c r="F72" s="1422"/>
      <c r="G72" s="1422"/>
      <c r="H72" s="1307">
        <v>0.01</v>
      </c>
      <c r="I72" s="1420"/>
      <c r="J72" s="1422"/>
      <c r="K72" s="1422"/>
      <c r="M72" s="1420"/>
      <c r="N72" s="1420"/>
      <c r="O72" s="1433" t="str">
        <f>IF(AND(Input_Product=EligOverlay!B72,Input_Purpose=EligOverlay!C72,Input_HousingHistory=EligOverlay!D72),H72,"")</f>
        <v/>
      </c>
      <c r="P72" s="1435"/>
      <c r="Q72" s="1420"/>
      <c r="R72" s="1420"/>
      <c r="S72" s="1420"/>
      <c r="T72" s="541" t="s">
        <v>2256</v>
      </c>
    </row>
    <row r="73" spans="2:20" x14ac:dyDescent="0.2">
      <c r="B73" s="1441" t="str">
        <f>Input_Name_Product2</f>
        <v>NonQM NOO</v>
      </c>
      <c r="C73" s="1424" t="s">
        <v>16</v>
      </c>
      <c r="D73" s="1305" t="s">
        <v>2264</v>
      </c>
      <c r="E73" s="1422"/>
      <c r="F73" s="1422"/>
      <c r="G73" s="1422"/>
      <c r="H73" s="1307">
        <v>0.01</v>
      </c>
      <c r="I73" s="1420"/>
      <c r="J73" s="1422"/>
      <c r="K73" s="1422"/>
      <c r="M73" s="1420"/>
      <c r="N73" s="1420"/>
      <c r="O73" s="1433" t="str">
        <f>IF(AND(Input_Product=EligOverlay!B73,Input_Purpose=EligOverlay!C73,Input_HousingHistory=EligOverlay!D73),H73,"")</f>
        <v/>
      </c>
      <c r="P73" s="1435"/>
      <c r="Q73" s="1420"/>
      <c r="R73" s="1420"/>
      <c r="S73" s="1420"/>
      <c r="T73" s="541" t="s">
        <v>2256</v>
      </c>
    </row>
    <row r="74" spans="2:20" x14ac:dyDescent="0.2">
      <c r="B74" s="1446"/>
      <c r="C74" s="1272"/>
      <c r="D74" s="1272"/>
      <c r="E74" s="1272"/>
      <c r="F74" s="1272"/>
      <c r="G74" s="1272"/>
      <c r="H74" s="1272"/>
      <c r="I74" s="1272"/>
      <c r="J74" s="1272"/>
      <c r="K74" s="1272"/>
      <c r="M74" s="460"/>
      <c r="N74" s="460"/>
      <c r="O74" s="460"/>
      <c r="P74" s="460"/>
      <c r="Q74" s="460"/>
      <c r="R74" s="460"/>
      <c r="S74" s="460"/>
      <c r="T74" s="1445"/>
    </row>
    <row r="75" spans="2:20" x14ac:dyDescent="0.2">
      <c r="B75" s="1448" t="s">
        <v>258</v>
      </c>
      <c r="C75" s="1298" t="s">
        <v>33</v>
      </c>
      <c r="D75" s="1298" t="s">
        <v>40</v>
      </c>
      <c r="E75" s="1298" t="s">
        <v>39</v>
      </c>
      <c r="F75" s="1298" t="s">
        <v>1337</v>
      </c>
      <c r="G75" s="1308"/>
      <c r="H75" s="1299" t="s">
        <v>270</v>
      </c>
      <c r="I75" s="1308"/>
      <c r="J75" s="1308"/>
      <c r="K75" s="1309"/>
      <c r="M75" s="460"/>
      <c r="N75" s="460"/>
      <c r="O75" s="460"/>
      <c r="P75" s="460"/>
      <c r="Q75" s="460"/>
      <c r="R75" s="460"/>
      <c r="S75" s="460"/>
      <c r="T75" s="1445"/>
    </row>
    <row r="76" spans="2:20" x14ac:dyDescent="0.2">
      <c r="B76" s="1440" t="str">
        <f>Input_Name_Product1</f>
        <v>NonQM OO</v>
      </c>
      <c r="C76" s="1424" t="s">
        <v>16</v>
      </c>
      <c r="D76" s="1424" t="s">
        <v>403</v>
      </c>
      <c r="E76" s="1424" t="s">
        <v>37</v>
      </c>
      <c r="F76" s="1424" t="s">
        <v>1990</v>
      </c>
      <c r="G76" s="1420"/>
      <c r="H76" s="1307">
        <v>0.01</v>
      </c>
      <c r="I76" s="1420"/>
      <c r="J76" s="1420"/>
      <c r="K76" s="1420"/>
      <c r="M76" s="1420"/>
      <c r="N76" s="1420"/>
      <c r="O76" s="1795"/>
      <c r="P76" s="1435"/>
      <c r="Q76" s="1420"/>
      <c r="R76" s="1420"/>
      <c r="S76" s="1420"/>
      <c r="T76" s="541" t="s">
        <v>1336</v>
      </c>
    </row>
    <row r="77" spans="2:20" x14ac:dyDescent="0.2">
      <c r="B77" s="1441" t="str">
        <f>Input_Name_Product2</f>
        <v>NonQM NOO</v>
      </c>
      <c r="C77" s="1424" t="s">
        <v>16</v>
      </c>
      <c r="D77" s="1424" t="s">
        <v>403</v>
      </c>
      <c r="E77" s="1424" t="s">
        <v>37</v>
      </c>
      <c r="F77" s="1424" t="s">
        <v>1990</v>
      </c>
      <c r="G77" s="1422"/>
      <c r="H77" s="1307">
        <v>0.01</v>
      </c>
      <c r="I77" s="1420"/>
      <c r="J77" s="1422"/>
      <c r="K77" s="1422"/>
      <c r="M77" s="1420"/>
      <c r="N77" s="1420"/>
      <c r="O77" s="1795"/>
      <c r="P77" s="1435"/>
      <c r="Q77" s="1420"/>
      <c r="R77" s="1420"/>
      <c r="S77" s="1420"/>
      <c r="T77" s="541" t="s">
        <v>1336</v>
      </c>
    </row>
    <row r="78" spans="2:20" x14ac:dyDescent="0.2">
      <c r="B78" s="1442" t="str">
        <f>Input_Name_Product4</f>
        <v>Second OO</v>
      </c>
      <c r="C78" s="1424" t="s">
        <v>16</v>
      </c>
      <c r="D78" s="1424" t="s">
        <v>403</v>
      </c>
      <c r="E78" s="1424" t="s">
        <v>37</v>
      </c>
      <c r="F78" s="1424" t="s">
        <v>1990</v>
      </c>
      <c r="G78" s="1422"/>
      <c r="H78" s="1307">
        <v>0.01</v>
      </c>
      <c r="I78" s="1420"/>
      <c r="J78" s="1422"/>
      <c r="K78" s="1422"/>
      <c r="M78" s="1420"/>
      <c r="N78" s="1420"/>
      <c r="O78" s="1795"/>
      <c r="P78" s="1435"/>
      <c r="Q78" s="1420"/>
      <c r="R78" s="1420"/>
      <c r="S78" s="1420"/>
      <c r="T78" s="541" t="s">
        <v>1336</v>
      </c>
    </row>
    <row r="79" spans="2:20" x14ac:dyDescent="0.2">
      <c r="B79" s="1450" t="str">
        <f>Input_Name_Product5</f>
        <v>Second NOO</v>
      </c>
      <c r="C79" s="1424" t="s">
        <v>16</v>
      </c>
      <c r="D79" s="1424" t="s">
        <v>403</v>
      </c>
      <c r="E79" s="1424" t="s">
        <v>37</v>
      </c>
      <c r="F79" s="1424" t="s">
        <v>1990</v>
      </c>
      <c r="G79" s="1422"/>
      <c r="H79" s="1307">
        <v>0.01</v>
      </c>
      <c r="I79" s="1420"/>
      <c r="J79" s="1422"/>
      <c r="K79" s="1422"/>
      <c r="M79" s="1420"/>
      <c r="N79" s="1420"/>
      <c r="O79" s="1795"/>
      <c r="P79" s="1435"/>
      <c r="Q79" s="1420"/>
      <c r="R79" s="1420"/>
      <c r="S79" s="1420"/>
      <c r="T79" s="541" t="s">
        <v>1336</v>
      </c>
    </row>
    <row r="81" spans="2:20" x14ac:dyDescent="0.2">
      <c r="B81" s="1448" t="s">
        <v>258</v>
      </c>
      <c r="C81" s="1298" t="s">
        <v>33</v>
      </c>
      <c r="D81" s="1298" t="s">
        <v>40</v>
      </c>
      <c r="E81" s="1298" t="s">
        <v>39</v>
      </c>
      <c r="F81" s="1308"/>
      <c r="G81" s="1308"/>
      <c r="H81" s="1299" t="s">
        <v>270</v>
      </c>
      <c r="I81" s="1308"/>
      <c r="J81" s="1308"/>
      <c r="K81" s="1309"/>
      <c r="M81" s="460"/>
      <c r="N81" s="460"/>
      <c r="O81" s="460"/>
      <c r="P81" s="460"/>
      <c r="Q81" s="460"/>
      <c r="R81" s="460"/>
      <c r="S81" s="460"/>
      <c r="T81" s="1445"/>
    </row>
    <row r="82" spans="2:20" x14ac:dyDescent="0.2">
      <c r="B82" s="1440" t="str">
        <f>Input_Name_Product1</f>
        <v>NonQM OO</v>
      </c>
      <c r="C82" s="1424" t="s">
        <v>16</v>
      </c>
      <c r="D82" s="1424" t="s">
        <v>403</v>
      </c>
      <c r="E82" s="1424" t="s">
        <v>37</v>
      </c>
      <c r="F82" s="1420"/>
      <c r="G82" s="1420"/>
      <c r="H82" s="1307">
        <v>80</v>
      </c>
      <c r="I82" s="1420"/>
      <c r="J82" s="1420"/>
      <c r="K82" s="1420"/>
      <c r="M82" s="1420"/>
      <c r="N82" s="1420"/>
      <c r="O82" s="1433" t="str">
        <f>IF(AND(Input_Product=EligOverlay!B82,Input_State=EligOverlay!D82,Input_Occupancy=EligOverlay!E82,Input_Purpose=EligOverlay!C82),H82,"")</f>
        <v/>
      </c>
      <c r="P82" s="1435"/>
      <c r="Q82" s="1420"/>
      <c r="R82" s="1420"/>
      <c r="S82" s="1420"/>
      <c r="T82" s="541" t="s">
        <v>1387</v>
      </c>
    </row>
    <row r="83" spans="2:20" x14ac:dyDescent="0.2">
      <c r="B83" s="1441" t="str">
        <f>Input_Name_Product2</f>
        <v>NonQM NOO</v>
      </c>
      <c r="C83" s="1424" t="s">
        <v>16</v>
      </c>
      <c r="D83" s="1424" t="s">
        <v>403</v>
      </c>
      <c r="E83" s="1424" t="s">
        <v>37</v>
      </c>
      <c r="F83" s="1422"/>
      <c r="G83" s="1422"/>
      <c r="H83" s="1307">
        <v>80</v>
      </c>
      <c r="I83" s="1420"/>
      <c r="J83" s="1422"/>
      <c r="K83" s="1422"/>
      <c r="M83" s="1420"/>
      <c r="N83" s="1420"/>
      <c r="O83" s="1433" t="str">
        <f>IF(AND(Input_Product=EligOverlay!B83,Input_State=EligOverlay!D83,Input_Occupancy=EligOverlay!E83,Input_Purpose=EligOverlay!C83),H83,"")</f>
        <v/>
      </c>
      <c r="P83" s="1435"/>
      <c r="Q83" s="1420"/>
      <c r="R83" s="1420"/>
      <c r="S83" s="1420"/>
      <c r="T83" s="541" t="s">
        <v>1387</v>
      </c>
    </row>
    <row r="84" spans="2:20" x14ac:dyDescent="0.2">
      <c r="B84" s="1442" t="str">
        <f>Input_Name_Product4</f>
        <v>Second OO</v>
      </c>
      <c r="C84" s="1424" t="s">
        <v>16</v>
      </c>
      <c r="D84" s="1424" t="s">
        <v>403</v>
      </c>
      <c r="E84" s="1424" t="s">
        <v>37</v>
      </c>
      <c r="F84" s="1422"/>
      <c r="G84" s="1422"/>
      <c r="H84" s="1307">
        <v>80</v>
      </c>
      <c r="I84" s="1420"/>
      <c r="J84" s="1422"/>
      <c r="K84" s="1422"/>
      <c r="M84" s="1420"/>
      <c r="N84" s="1420"/>
      <c r="O84" s="1433" t="str">
        <f>IF(AND(Input_Product=EligOverlay!B84,Input_State=EligOverlay!D84,Input_Occupancy=EligOverlay!E84,Input_Purpose=EligOverlay!C84),H84,"")</f>
        <v/>
      </c>
      <c r="P84" s="1435"/>
      <c r="Q84" s="1420"/>
      <c r="R84" s="1420"/>
      <c r="S84" s="1420"/>
      <c r="T84" s="541" t="s">
        <v>1387</v>
      </c>
    </row>
    <row r="85" spans="2:20" x14ac:dyDescent="0.2">
      <c r="B85" s="1450" t="str">
        <f>Input_Name_Product5</f>
        <v>Second NOO</v>
      </c>
      <c r="C85" s="1424" t="s">
        <v>16</v>
      </c>
      <c r="D85" s="1424" t="s">
        <v>403</v>
      </c>
      <c r="E85" s="1424" t="s">
        <v>37</v>
      </c>
      <c r="F85" s="1422"/>
      <c r="G85" s="1422"/>
      <c r="H85" s="1307">
        <v>80</v>
      </c>
      <c r="I85" s="1420"/>
      <c r="J85" s="1422"/>
      <c r="K85" s="1422"/>
      <c r="M85" s="1420"/>
      <c r="N85" s="1420"/>
      <c r="O85" s="1433" t="str">
        <f>IF(AND(Input_Product=EligOverlay!B85,Input_State=EligOverlay!D85,Input_Occupancy=EligOverlay!E85,Input_Purpose=EligOverlay!C85),H85,"")</f>
        <v/>
      </c>
      <c r="P85" s="1435"/>
      <c r="Q85" s="1420"/>
      <c r="R85" s="1420"/>
      <c r="S85" s="1420"/>
      <c r="T85" s="541" t="s">
        <v>1387</v>
      </c>
    </row>
    <row r="87" spans="2:20" x14ac:dyDescent="0.2">
      <c r="B87" s="1448" t="s">
        <v>258</v>
      </c>
      <c r="C87" s="1299" t="s">
        <v>1380</v>
      </c>
      <c r="D87" s="1298" t="s">
        <v>40</v>
      </c>
      <c r="E87" s="1308"/>
      <c r="F87" s="1298" t="s">
        <v>1337</v>
      </c>
      <c r="G87" s="1308"/>
      <c r="H87" s="1299" t="s">
        <v>270</v>
      </c>
      <c r="I87" s="1308"/>
      <c r="J87" s="1308"/>
      <c r="K87" s="1309"/>
      <c r="M87" s="460"/>
      <c r="N87" s="460"/>
      <c r="O87" s="460"/>
      <c r="P87" s="460"/>
      <c r="Q87" s="460"/>
      <c r="R87" s="460"/>
      <c r="S87" s="460"/>
      <c r="T87" s="1445"/>
    </row>
    <row r="88" spans="2:20" x14ac:dyDescent="0.2">
      <c r="B88" s="1440" t="str">
        <f>Input_Name_Product1</f>
        <v>NonQM OO</v>
      </c>
      <c r="C88" s="1431">
        <v>12</v>
      </c>
      <c r="D88" s="1424" t="s">
        <v>370</v>
      </c>
      <c r="E88" s="1420"/>
      <c r="F88" s="1424" t="s">
        <v>1990</v>
      </c>
      <c r="G88" s="1420"/>
      <c r="H88" s="1307">
        <v>0.01</v>
      </c>
      <c r="I88" s="1420"/>
      <c r="J88" s="1420"/>
      <c r="K88" s="1420"/>
      <c r="M88" s="1420"/>
      <c r="N88" s="1420"/>
      <c r="O88" s="1433" t="str">
        <f>IF(AND(Input_Product=EligOverlay!B88,Input_NoteRate&gt;EligOverlay!C88,Input_State=EligOverlay!D88,Input_Ratesheet_Source=EligOverlay!F88),H88,"")</f>
        <v/>
      </c>
      <c r="P88" s="1435"/>
      <c r="Q88" s="1420"/>
      <c r="R88" s="1420"/>
      <c r="S88" s="1420"/>
      <c r="T88" s="1452" t="s">
        <v>1381</v>
      </c>
    </row>
    <row r="89" spans="2:20" x14ac:dyDescent="0.2">
      <c r="B89" s="1441" t="str">
        <f>Input_Name_Product2</f>
        <v>NonQM NOO</v>
      </c>
      <c r="C89" s="1431">
        <v>12</v>
      </c>
      <c r="D89" s="1424" t="s">
        <v>370</v>
      </c>
      <c r="E89" s="1422"/>
      <c r="F89" s="1424" t="s">
        <v>1990</v>
      </c>
      <c r="G89" s="1422"/>
      <c r="H89" s="1307">
        <v>0.01</v>
      </c>
      <c r="I89" s="1420"/>
      <c r="J89" s="1422"/>
      <c r="K89" s="1422"/>
      <c r="M89" s="1420"/>
      <c r="N89" s="1420"/>
      <c r="O89" s="1433" t="str">
        <f>IF(AND(Input_Product=EligOverlay!B89,Input_NoteRate&gt;EligOverlay!C89,Input_State=EligOverlay!D89,Input_Ratesheet_Source=EligOverlay!F89),H89,"")</f>
        <v/>
      </c>
      <c r="P89" s="1435"/>
      <c r="Q89" s="1420"/>
      <c r="R89" s="1420"/>
      <c r="S89" s="1420"/>
      <c r="T89" s="541" t="s">
        <v>1381</v>
      </c>
    </row>
    <row r="90" spans="2:20" x14ac:dyDescent="0.2">
      <c r="B90" s="1442" t="str">
        <f>Input_Name_Product4</f>
        <v>Second OO</v>
      </c>
      <c r="C90" s="1431">
        <v>12</v>
      </c>
      <c r="D90" s="1424" t="s">
        <v>370</v>
      </c>
      <c r="E90" s="1422"/>
      <c r="F90" s="1424" t="s">
        <v>1990</v>
      </c>
      <c r="G90" s="1422"/>
      <c r="H90" s="1307">
        <v>0.01</v>
      </c>
      <c r="I90" s="1420"/>
      <c r="J90" s="1422"/>
      <c r="K90" s="1422"/>
      <c r="M90" s="1420"/>
      <c r="N90" s="1420"/>
      <c r="O90" s="1433" t="str">
        <f>IF(AND(Input_Product=EligOverlay!B90,Input_NoteRate&gt;EligOverlay!C90,Input_State=EligOverlay!D90,Input_Ratesheet_Source=EligOverlay!F90),H90,"")</f>
        <v/>
      </c>
      <c r="P90" s="1435"/>
      <c r="Q90" s="1420"/>
      <c r="R90" s="1420"/>
      <c r="S90" s="1420"/>
      <c r="T90" s="541" t="s">
        <v>1381</v>
      </c>
    </row>
    <row r="91" spans="2:20" x14ac:dyDescent="0.2">
      <c r="B91" s="1450" t="str">
        <f>Input_Name_Product5</f>
        <v>Second NOO</v>
      </c>
      <c r="C91" s="1431">
        <v>12</v>
      </c>
      <c r="D91" s="1424" t="s">
        <v>370</v>
      </c>
      <c r="E91" s="1422"/>
      <c r="F91" s="1424" t="s">
        <v>1990</v>
      </c>
      <c r="G91" s="1422"/>
      <c r="H91" s="1307">
        <v>0.01</v>
      </c>
      <c r="I91" s="1420"/>
      <c r="J91" s="1422"/>
      <c r="K91" s="1422"/>
      <c r="M91" s="1420"/>
      <c r="N91" s="1420"/>
      <c r="O91" s="1433" t="str">
        <f>IF(AND(Input_Product=EligOverlay!B91,Input_NoteRate&gt;EligOverlay!C91,Input_State=EligOverlay!D91,Input_Ratesheet_Source=EligOverlay!F91),H91,"")</f>
        <v/>
      </c>
      <c r="P91" s="1435"/>
      <c r="Q91" s="1420"/>
      <c r="R91" s="1420"/>
      <c r="S91" s="1420"/>
      <c r="T91" s="541" t="s">
        <v>1381</v>
      </c>
    </row>
    <row r="92" spans="2:20" x14ac:dyDescent="0.2">
      <c r="T92" s="1445"/>
    </row>
    <row r="93" spans="2:20" x14ac:dyDescent="0.2">
      <c r="B93" s="1446"/>
      <c r="C93" s="1272"/>
      <c r="D93" s="1272"/>
      <c r="E93" s="1272"/>
      <c r="F93" s="1272"/>
      <c r="G93" s="1272"/>
      <c r="H93" s="1272"/>
      <c r="I93" s="1272"/>
      <c r="J93" s="1272"/>
      <c r="K93" s="1272"/>
      <c r="M93" s="460"/>
      <c r="N93" s="460"/>
      <c r="O93" s="460"/>
      <c r="P93" s="460"/>
      <c r="Q93" s="460"/>
      <c r="R93" s="460"/>
      <c r="S93" s="460"/>
      <c r="T93" s="1445"/>
    </row>
    <row r="94" spans="2:20" x14ac:dyDescent="0.2">
      <c r="B94" s="1444"/>
      <c r="C94" s="1453" t="s">
        <v>39</v>
      </c>
      <c r="D94" s="1454" t="s">
        <v>1851</v>
      </c>
      <c r="E94" s="1454"/>
      <c r="F94" s="1454"/>
      <c r="G94" s="1454" t="s">
        <v>264</v>
      </c>
      <c r="H94" s="1454" t="s">
        <v>1852</v>
      </c>
      <c r="I94" s="1454" t="s">
        <v>1853</v>
      </c>
      <c r="J94" s="1454" t="s">
        <v>1854</v>
      </c>
      <c r="K94" s="1454" t="s">
        <v>1855</v>
      </c>
      <c r="M94" s="460"/>
      <c r="N94" s="460"/>
      <c r="O94" s="460"/>
      <c r="P94" s="460"/>
      <c r="Q94" s="460"/>
      <c r="R94" s="460"/>
      <c r="S94" s="460"/>
      <c r="T94" s="1445"/>
    </row>
    <row r="95" spans="2:20" x14ac:dyDescent="0.2">
      <c r="B95" s="1446"/>
      <c r="C95" s="1272"/>
      <c r="D95" s="1272"/>
      <c r="E95" s="1272"/>
      <c r="F95" s="1272"/>
      <c r="G95" s="1272"/>
      <c r="H95" s="1272"/>
      <c r="I95" s="1272"/>
      <c r="J95" s="1272"/>
      <c r="K95" s="1272"/>
      <c r="M95" s="460"/>
      <c r="N95" s="460"/>
      <c r="O95" s="460"/>
      <c r="P95" s="460"/>
      <c r="Q95" s="460"/>
      <c r="R95" s="460"/>
      <c r="S95" s="460"/>
      <c r="T95" s="1445"/>
    </row>
    <row r="96" spans="2:20" x14ac:dyDescent="0.2">
      <c r="B96" s="1448" t="s">
        <v>258</v>
      </c>
      <c r="C96" s="1298" t="s">
        <v>284</v>
      </c>
      <c r="D96" s="1314" t="s">
        <v>70</v>
      </c>
      <c r="E96" s="1314" t="s">
        <v>282</v>
      </c>
      <c r="F96" s="1314" t="s">
        <v>2415</v>
      </c>
      <c r="G96" s="1553" t="s">
        <v>264</v>
      </c>
      <c r="H96" s="1332" t="s">
        <v>270</v>
      </c>
      <c r="I96" s="1299" t="s">
        <v>281</v>
      </c>
      <c r="J96" s="1299" t="s">
        <v>2258</v>
      </c>
      <c r="K96" s="1552" t="s">
        <v>2253</v>
      </c>
      <c r="M96" s="460"/>
      <c r="N96" s="460"/>
      <c r="O96" s="460"/>
      <c r="P96" s="460"/>
      <c r="Q96" s="460"/>
      <c r="R96" s="460"/>
      <c r="S96" s="460"/>
      <c r="T96" s="1445"/>
    </row>
    <row r="97" spans="2:20" x14ac:dyDescent="0.2">
      <c r="B97" s="1440" t="str">
        <f t="shared" ref="B97:B102" si="4">Input_Name_Product1</f>
        <v>NonQM OO</v>
      </c>
      <c r="C97" s="1305" t="s">
        <v>2423</v>
      </c>
      <c r="D97" s="1429"/>
      <c r="E97" s="1429"/>
      <c r="F97" s="1429"/>
      <c r="G97" s="1429"/>
      <c r="H97" s="1429"/>
      <c r="I97" s="1316">
        <v>640</v>
      </c>
      <c r="J97" s="1429"/>
      <c r="K97" s="1429"/>
      <c r="M97" s="1420"/>
      <c r="N97" s="1420"/>
      <c r="O97" s="1420"/>
      <c r="P97" s="1319" t="str">
        <f>IF(AND(Input_Product=EligOverlay!B97,Input_FirstTimeHomeBuyer=EligOverlay!C97,Input_CreditScore&lt;EligOverlay!I97),I97,"")</f>
        <v/>
      </c>
      <c r="Q97" s="1420"/>
      <c r="R97" s="1420"/>
      <c r="S97" s="1420"/>
      <c r="T97" s="541" t="s">
        <v>2471</v>
      </c>
    </row>
    <row r="98" spans="2:20" x14ac:dyDescent="0.2">
      <c r="B98" s="1440" t="str">
        <f t="shared" si="4"/>
        <v>NonQM OO</v>
      </c>
      <c r="C98" s="1305" t="s">
        <v>2425</v>
      </c>
      <c r="D98" s="1429"/>
      <c r="E98" s="1429"/>
      <c r="F98" s="1429"/>
      <c r="G98" s="1867">
        <v>1500000</v>
      </c>
      <c r="H98" s="1868">
        <v>80</v>
      </c>
      <c r="I98" s="1905">
        <v>680</v>
      </c>
      <c r="J98" s="1905">
        <v>999</v>
      </c>
      <c r="K98" s="1868">
        <v>50</v>
      </c>
      <c r="M98" s="1433" t="str">
        <f>IF(AND(Input_Product=EligOverlay!B98,Input_FirstTimeHomeBuyer=EligOverlay!C98,Input_CreditScore&gt;=EligOverlay!I98,Input_CreditScore&lt;=EligOverlay!J98,Input_LoanAmt&gt;EligOverlay!G98),G98,"")</f>
        <v/>
      </c>
      <c r="N98" s="1420"/>
      <c r="O98" s="1433" t="str">
        <f>IF(AND(Input_Product=EligOverlay!B98,Input_FirstTimeHomeBuyer=EligOverlay!C98,Input_CreditScore&gt;=EligOverlay!I98,Input_CreditScore&lt;=EligOverlay!J98,Input_LTV&gt;EligOverlay!H98),H98,"")</f>
        <v/>
      </c>
      <c r="P98" s="1420"/>
      <c r="Q98" s="1420"/>
      <c r="R98" s="1433" t="str">
        <f>IF(AND(Input_Product=EligOverlay!B98,Input_FirstTimeHomeBuyer=EligOverlay!C98,Input_CreditScore&gt;=EligOverlay!I98,Input_CreditScore&lt;=EligOverlay!J98,Input_DTI&gt;EligOverlay!K98),F98,"")</f>
        <v/>
      </c>
      <c r="S98" s="1420"/>
      <c r="T98" s="541" t="s">
        <v>2472</v>
      </c>
    </row>
    <row r="99" spans="2:20" x14ac:dyDescent="0.2">
      <c r="B99" s="1440" t="str">
        <f t="shared" si="4"/>
        <v>NonQM OO</v>
      </c>
      <c r="C99" s="1305" t="s">
        <v>2425</v>
      </c>
      <c r="D99" s="1429"/>
      <c r="E99" s="1429"/>
      <c r="F99" s="1429"/>
      <c r="G99" s="1867">
        <v>1000000</v>
      </c>
      <c r="H99" s="1868">
        <v>75</v>
      </c>
      <c r="I99" s="1905">
        <v>660</v>
      </c>
      <c r="J99" s="1905">
        <v>679</v>
      </c>
      <c r="K99" s="1868">
        <v>50</v>
      </c>
      <c r="M99" s="1433" t="str">
        <f>IF(AND(Input_Product=EligOverlay!B99,Input_FirstTimeHomeBuyer=EligOverlay!C99,Input_CreditScore&gt;=EligOverlay!I99,Input_CreditScore&lt;=EligOverlay!J99,Input_LoanAmt&gt;EligOverlay!G99),G99,"")</f>
        <v/>
      </c>
      <c r="N99" s="1420"/>
      <c r="O99" s="1433" t="str">
        <f>IF(AND(Input_Product=EligOverlay!B99,Input_FirstTimeHomeBuyer=EligOverlay!C99,Input_CreditScore&gt;=EligOverlay!I99,Input_CreditScore&lt;=EligOverlay!J99,Input_LTV&gt;EligOverlay!H99),H99,"")</f>
        <v/>
      </c>
      <c r="P99" s="1420"/>
      <c r="Q99" s="1420"/>
      <c r="R99" s="1433" t="str">
        <f>IF(AND(Input_Product=EligOverlay!B99,Input_FirstTimeHomeBuyer=EligOverlay!C99,Input_CreditScore&gt;=EligOverlay!I99,Input_CreditScore&lt;=EligOverlay!J99,Input_DTI&gt;EligOverlay!K99),F99,"")</f>
        <v/>
      </c>
      <c r="S99" s="1420"/>
      <c r="T99" s="541" t="s">
        <v>2472</v>
      </c>
    </row>
    <row r="100" spans="2:20" x14ac:dyDescent="0.2">
      <c r="B100" s="1440" t="str">
        <f t="shared" si="4"/>
        <v>NonQM OO</v>
      </c>
      <c r="C100" s="1305" t="s">
        <v>2425</v>
      </c>
      <c r="D100" s="1429"/>
      <c r="E100" s="1429"/>
      <c r="F100" s="1429"/>
      <c r="G100" s="1867">
        <v>1000000</v>
      </c>
      <c r="H100" s="1868">
        <v>70</v>
      </c>
      <c r="I100" s="1432">
        <v>640</v>
      </c>
      <c r="J100" s="1905">
        <v>659</v>
      </c>
      <c r="K100" s="1868">
        <v>50</v>
      </c>
      <c r="M100" s="1433" t="str">
        <f>IF(AND(Input_Product=EligOverlay!B100,Input_FirstTimeHomeBuyer=EligOverlay!C100,Input_CreditScore&gt;=EligOverlay!I100,Input_CreditScore&lt;=EligOverlay!J100,Input_LoanAmt&gt;EligOverlay!G100),G100,"")</f>
        <v/>
      </c>
      <c r="N100" s="1420"/>
      <c r="O100" s="1433" t="str">
        <f>IF(AND(Input_Product=EligOverlay!B100,Input_FirstTimeHomeBuyer=EligOverlay!C100,Input_CreditScore&gt;=EligOverlay!I100,Input_CreditScore&lt;=EligOverlay!J100,Input_LTV&gt;EligOverlay!H100),H100,"")</f>
        <v/>
      </c>
      <c r="P100" s="1906" t="str">
        <f>IF(AND(Input_Product=EligOverlay!B100,Input_FirstTimeHomeBuyer=EligOverlay!C100,Input_CreditScore&lt;EligOverlay!I100),I100,"")</f>
        <v/>
      </c>
      <c r="Q100" s="1420"/>
      <c r="R100" s="1433" t="str">
        <f>IF(AND(Input_Product=EligOverlay!B100,Input_FirstTimeHomeBuyer=EligOverlay!C100,Input_CreditScore&gt;=EligOverlay!I100,Input_CreditScore&lt;=EligOverlay!J100,Input_DTI&gt;EligOverlay!K100),F100,"")</f>
        <v/>
      </c>
      <c r="S100" s="1433" t="str">
        <f>IF(AND(Input_Product=EligOverlay!B100,Input_FirstTimeHomeBuyer=EligOverlay!C100,Input_CreditScore&gt;=EligOverlay!I100,Input_CreditScore&lt;=EligOverlay!J100,Input_DSCR&lt;EligOverlay!F100),F100,"")</f>
        <v/>
      </c>
      <c r="T100" s="541" t="s">
        <v>2472</v>
      </c>
    </row>
    <row r="101" spans="2:20" x14ac:dyDescent="0.2">
      <c r="B101" s="1440" t="str">
        <f t="shared" si="4"/>
        <v>NonQM OO</v>
      </c>
      <c r="C101" s="1305" t="s">
        <v>2423</v>
      </c>
      <c r="D101" s="1919" t="s">
        <v>283</v>
      </c>
      <c r="E101" s="1920" t="s">
        <v>124</v>
      </c>
      <c r="F101" s="1429"/>
      <c r="G101" s="1429"/>
      <c r="H101" s="1429"/>
      <c r="I101" s="1"/>
      <c r="J101" s="1905">
        <v>999</v>
      </c>
      <c r="K101" s="1429"/>
      <c r="M101" s="1420"/>
      <c r="N101" s="1420"/>
      <c r="O101" s="1420"/>
      <c r="P101" s="1319" t="str">
        <f>IF(AND(Input_Product=EligOverlay!B101,Input_FirstTimeHomeBuyer=EligOverlay!C101,OR(Input_CreditHistory&lt;&gt;EligOverlay!D101,Input_CreditHistory&lt;&gt;EligOverlay!E101)),J101,"")</f>
        <v/>
      </c>
      <c r="Q101" s="1420"/>
      <c r="R101" s="1420"/>
      <c r="S101" s="1420"/>
      <c r="T101" s="541" t="s">
        <v>2466</v>
      </c>
    </row>
    <row r="102" spans="2:20" x14ac:dyDescent="0.2">
      <c r="B102" s="1440" t="str">
        <f t="shared" si="4"/>
        <v>NonQM OO</v>
      </c>
      <c r="C102" s="1305" t="s">
        <v>2425</v>
      </c>
      <c r="D102" s="1919">
        <v>1</v>
      </c>
      <c r="E102" s="1919">
        <v>3</v>
      </c>
      <c r="F102" s="1919" t="s">
        <v>1407</v>
      </c>
      <c r="G102" s="1919" t="s">
        <v>1408</v>
      </c>
      <c r="H102" s="1919" t="s">
        <v>185</v>
      </c>
      <c r="I102" s="1"/>
      <c r="J102" s="1905">
        <v>999</v>
      </c>
      <c r="K102" s="1429"/>
      <c r="M102" s="1420"/>
      <c r="N102" s="1420"/>
      <c r="O102" s="1420"/>
      <c r="P102" s="1319" t="str">
        <f>IF(AND(Input_Product=EligOverlay!B102,Input_FirstTimeHomeBuyer=EligOverlay!C102,Input_DocType&lt;&gt;F102,Input_DocType&lt;&gt;G102,Input_DocType&lt;&gt;H102),J102,"")</f>
        <v/>
      </c>
      <c r="Q102" s="1420"/>
      <c r="R102" s="1420"/>
      <c r="S102" s="1420"/>
      <c r="T102" s="541" t="s">
        <v>2465</v>
      </c>
    </row>
    <row r="103" spans="2:20" x14ac:dyDescent="0.2">
      <c r="B103" s="1441" t="str">
        <f t="shared" ref="B103:B107" si="5">Input_Name_Product2</f>
        <v>NonQM NOO</v>
      </c>
      <c r="C103" s="1305" t="s">
        <v>2427</v>
      </c>
      <c r="D103" s="1429"/>
      <c r="E103" s="1429"/>
      <c r="F103" s="1429"/>
      <c r="G103" s="1867">
        <v>1500000</v>
      </c>
      <c r="H103" s="1429"/>
      <c r="I103" s="1316">
        <v>660</v>
      </c>
      <c r="J103" s="1429"/>
      <c r="K103" s="1429"/>
      <c r="M103" s="1433" t="str">
        <f>IF(AND(Input_Product=EligOverlay!B103,Input_FirstTimeHomeBuyer=EligOverlay!C103,Input_LoanAmt&gt;EligOverlay!G103),G103,"")</f>
        <v/>
      </c>
      <c r="N103" s="1420"/>
      <c r="O103" s="1420"/>
      <c r="P103" s="1433" t="str">
        <f>IF(AND(Input_Product=EligOverlay!B103,Input_FirstTimeHomeBuyer=EligOverlay!C103,Input_CreditScore&lt;EligOverlay!I103),I103,"")</f>
        <v/>
      </c>
      <c r="Q103" s="1420"/>
      <c r="R103" s="1420"/>
      <c r="S103" s="1420"/>
      <c r="T103" s="541" t="s">
        <v>2467</v>
      </c>
    </row>
    <row r="104" spans="2:20" x14ac:dyDescent="0.2">
      <c r="B104" s="1441" t="str">
        <f t="shared" si="5"/>
        <v>NonQM NOO</v>
      </c>
      <c r="C104" s="1305" t="s">
        <v>2429</v>
      </c>
      <c r="D104" s="1429"/>
      <c r="E104" s="1868">
        <v>12</v>
      </c>
      <c r="F104" s="1868">
        <v>1</v>
      </c>
      <c r="G104" s="1867">
        <v>1500000</v>
      </c>
      <c r="H104" s="1868">
        <v>75</v>
      </c>
      <c r="I104" s="1316">
        <v>700</v>
      </c>
      <c r="J104" s="1429"/>
      <c r="K104" s="1429"/>
      <c r="M104" s="1433" t="str">
        <f>IF(AND(Input_Product=EligOverlay!B104,Input_FirstTimeHomeBuyer=EligOverlay!C104,Input_LoanAmt&gt;EligOverlay!G104),G104,"")</f>
        <v/>
      </c>
      <c r="N104" s="1420"/>
      <c r="O104" s="1433" t="str">
        <f>IF(AND(Input_Product=EligOverlay!B104,Input_FirstTimeHomeBuyer=EligOverlay!C104,Input_LTV&gt;EligOverlay!H104),H104,"")</f>
        <v/>
      </c>
      <c r="P104" s="1433" t="str">
        <f>IF(AND(Input_Product=EligOverlay!B104,Input_FirstTimeHomeBuyer=EligOverlay!C104,Input_CreditScore&lt;EligOverlay!I104),I104,"")</f>
        <v/>
      </c>
      <c r="Q104" s="1433" t="str">
        <f>IF(AND(Input_Product=EligOverlay!B104,Input_FirstTimeHomeBuyer=EligOverlay!C104,Input_ReservesMonths&lt;EligOverlay!E104),E104,"")</f>
        <v/>
      </c>
      <c r="R104" s="1420"/>
      <c r="S104" s="1433" t="str">
        <f>IF(AND(Input_Product=EligOverlay!B104,Input_FirstTimeHomeBuyer=EligOverlay!C104,Input_DocType="09-DSCR",Input_DSCR&lt;EligOverlay!F104),F104,"")</f>
        <v/>
      </c>
      <c r="T104" s="541" t="s">
        <v>2468</v>
      </c>
    </row>
    <row r="105" spans="2:20" x14ac:dyDescent="0.2">
      <c r="B105" s="1441" t="str">
        <f t="shared" si="5"/>
        <v>NonQM NOO</v>
      </c>
      <c r="C105" s="1305" t="s">
        <v>2427</v>
      </c>
      <c r="D105" s="1904" t="s">
        <v>189</v>
      </c>
      <c r="E105" s="1429"/>
      <c r="F105" s="1429"/>
      <c r="G105" s="1429"/>
      <c r="H105" s="1868">
        <v>0.01</v>
      </c>
      <c r="I105" s="1429"/>
      <c r="J105" s="1429"/>
      <c r="K105" s="1429"/>
      <c r="M105" s="1420"/>
      <c r="N105" s="1420"/>
      <c r="O105" s="1433" t="str">
        <f>IF(AND(Input_Product=EligOverlay!B105,Input_FirstTimeHomeBuyer=EligOverlay!C105,Input_DocType&lt;&gt;EligOverlay!D105),H105,"")</f>
        <v/>
      </c>
      <c r="P105" s="1420"/>
      <c r="Q105" s="1420"/>
      <c r="R105" s="1420"/>
      <c r="S105" s="1420"/>
      <c r="T105" s="541" t="s">
        <v>2469</v>
      </c>
    </row>
    <row r="106" spans="2:20" x14ac:dyDescent="0.2">
      <c r="B106" s="1441" t="str">
        <f t="shared" si="5"/>
        <v>NonQM NOO</v>
      </c>
      <c r="C106" s="1305" t="s">
        <v>2429</v>
      </c>
      <c r="D106" s="1904" t="s">
        <v>189</v>
      </c>
      <c r="E106" s="1429"/>
      <c r="F106" s="1429"/>
      <c r="G106" s="1429"/>
      <c r="H106" s="1868">
        <v>0.01</v>
      </c>
      <c r="I106" s="1429"/>
      <c r="J106" s="1429"/>
      <c r="K106" s="1429"/>
      <c r="M106" s="1420"/>
      <c r="N106" s="1420"/>
      <c r="O106" s="1433" t="str">
        <f>IF(AND(Input_Product=EligOverlay!B106,Input_FirstTimeHomeBuyer=EligOverlay!C106,Input_DocType&lt;&gt;EligOverlay!D106),H106,"")</f>
        <v/>
      </c>
      <c r="P106" s="1420"/>
      <c r="Q106" s="1420"/>
      <c r="R106" s="1420"/>
      <c r="S106" s="1420"/>
      <c r="T106" s="541" t="s">
        <v>2470</v>
      </c>
    </row>
    <row r="107" spans="2:20" x14ac:dyDescent="0.2">
      <c r="B107" s="1441" t="str">
        <f t="shared" si="5"/>
        <v>NonQM NOO</v>
      </c>
      <c r="C107" s="1305" t="s">
        <v>2431</v>
      </c>
      <c r="D107" s="1904" t="s">
        <v>189</v>
      </c>
      <c r="E107" s="1868">
        <v>12</v>
      </c>
      <c r="F107" s="1868">
        <v>1</v>
      </c>
      <c r="G107" s="1867">
        <v>1500000</v>
      </c>
      <c r="H107" s="1868">
        <v>75</v>
      </c>
      <c r="I107" s="1905">
        <v>700</v>
      </c>
      <c r="J107" s="1919" t="s">
        <v>283</v>
      </c>
      <c r="K107" s="1920" t="s">
        <v>124</v>
      </c>
      <c r="M107" s="1433" t="str">
        <f>IF(AND(Input_Product=EligOverlay!B107,Input_FirstTimeHomeBuyer=EligOverlay!C107,Input_LoanAmt&gt;EligOverlay!G107),G107,"")</f>
        <v/>
      </c>
      <c r="N107" s="1420"/>
      <c r="O107" s="1433" t="str">
        <f>IF(AND(Input_Product=EligOverlay!B107,Input_FirstTimeHomeBuyer=EligOverlay!C107,Input_LTV&gt;EligOverlay!H107),H107,"")</f>
        <v/>
      </c>
      <c r="P107" s="1433" t="str">
        <f>IF(AND(Input_CreditHistory&lt;&gt;EligOverlay!J107,Input_CreditHistory&lt;&gt;EligOverlay!K107),999,IF(AND(Input_Product=EligOverlay!B107,Input_FirstTimeHomeBuyer=EligOverlay!C107,Input_CreditScore&lt;EligOverlay!I107),I107,""))</f>
        <v/>
      </c>
      <c r="Q107" s="1433" t="str">
        <f>IF(AND(Input_Product=EligOverlay!B107,Input_FirstTimeHomeBuyer=EligOverlay!C107,Input_ReservesMonths&lt;EligOverlay!E107),E107,"")</f>
        <v/>
      </c>
      <c r="R107" s="1420"/>
      <c r="S107" s="1433" t="str">
        <f>IF(AND(Input_Product=EligOverlay!B107,Input_FirstTimeHomeBuyer=EligOverlay!C107,Input_DocType="09-DSCR",Input_DSCR&lt;EligOverlay!F107),F107,"")</f>
        <v/>
      </c>
      <c r="T107" s="541" t="str">
        <f>IF(AND(Input_CreditHistory&lt;&gt;EligOverlay!J107,Input_CreditHistory&lt;&gt;EligOverlay!K107),"FTHB and FTINV Lates","FTHB and FTINV")</f>
        <v>FTHB and FTINV</v>
      </c>
    </row>
    <row r="108" spans="2:20" x14ac:dyDescent="0.2">
      <c r="B108" s="1444"/>
      <c r="M108" s="460"/>
      <c r="N108" s="460"/>
      <c r="O108" s="460"/>
      <c r="P108" s="460"/>
      <c r="Q108" s="460"/>
      <c r="R108" s="460"/>
      <c r="S108" s="460"/>
      <c r="T108" s="1445"/>
    </row>
    <row r="109" spans="2:20" x14ac:dyDescent="0.2">
      <c r="B109" s="1448" t="s">
        <v>258</v>
      </c>
      <c r="C109" s="1298" t="s">
        <v>39</v>
      </c>
      <c r="D109" s="1318" t="s">
        <v>411</v>
      </c>
      <c r="E109" s="1299" t="s">
        <v>265</v>
      </c>
      <c r="F109" s="1299" t="s">
        <v>266</v>
      </c>
      <c r="G109" s="1299" t="s">
        <v>264</v>
      </c>
      <c r="H109" s="1299" t="s">
        <v>270</v>
      </c>
      <c r="I109" s="1299"/>
      <c r="J109" s="1299" t="s">
        <v>281</v>
      </c>
      <c r="K109" s="1315" t="s">
        <v>307</v>
      </c>
      <c r="M109" s="460"/>
      <c r="N109" s="460"/>
      <c r="O109" s="460"/>
      <c r="P109" s="460"/>
      <c r="Q109" s="460"/>
      <c r="R109" s="460"/>
      <c r="S109" s="460"/>
      <c r="T109" s="1445"/>
    </row>
    <row r="110" spans="2:20" x14ac:dyDescent="0.2">
      <c r="B110" s="1440" t="str">
        <f>Input_Name_Product1</f>
        <v>NonQM OO</v>
      </c>
      <c r="C110" s="1305" t="s">
        <v>37</v>
      </c>
      <c r="D110" s="1305" t="s">
        <v>246</v>
      </c>
      <c r="E110" s="1307">
        <v>50.01</v>
      </c>
      <c r="F110" s="1307">
        <v>55</v>
      </c>
      <c r="G110" s="1307">
        <v>1500000</v>
      </c>
      <c r="H110" s="1307">
        <v>80</v>
      </c>
      <c r="I110" s="1420"/>
      <c r="J110" s="1316">
        <v>680</v>
      </c>
      <c r="K110" s="1432">
        <v>3</v>
      </c>
      <c r="M110" s="1433" t="str">
        <f>IF(AND(Input_Product=EligOverlay!B110,Input_Occupancy=EligOverlay!C110,Input_DTI&gt;=EligOverlay!E110,Input_DTI&lt;=EligOverlay!F110),G110,"")</f>
        <v/>
      </c>
      <c r="N110" s="1420"/>
      <c r="O110" s="1433" t="str">
        <f>IF(AND(Input_Product=EligOverlay!B110,Input_DocType=EligOverlay!D110,Input_Occupancy=EligOverlay!C110,Input_DTI&gt;=EligOverlay!E110,Input_DTI&lt;=EligOverlay!F110),"",IF(AND(Input_Product=EligOverlay!B110,Input_Occupancy=EligOverlay!C110,Input_DTI&gt;=EligOverlay!E110,Input_DTI&lt;=EligOverlay!F110),H110,""))</f>
        <v/>
      </c>
      <c r="P110" s="1319" t="str">
        <f>IF(AND(Input_Product=EligOverlay!B110,Input_Occupancy=EligOverlay!C110,Input_DTI&gt;=EligOverlay!E110,Input_DTI&lt;=EligOverlay!F110),J110,"")</f>
        <v/>
      </c>
      <c r="Q110" s="1319" t="str">
        <f>IF(AND(Input_Product=EligOverlay!B110,Input_Occupancy=EligOverlay!C110,Input_DTI&gt;=EligOverlay!E110,Input_DTI&lt;=EligOverlay!F110),K110+IF(Elig_BaseLimit_Reserves_Min=999,0,Elig_BaseLimit_Reserves_Min),"")</f>
        <v/>
      </c>
      <c r="R110" s="1420"/>
      <c r="S110" s="1420"/>
      <c r="T110" s="541" t="s">
        <v>14</v>
      </c>
    </row>
    <row r="111" spans="2:20" x14ac:dyDescent="0.2">
      <c r="B111" s="1440" t="str">
        <f>Input_Name_Product1</f>
        <v>NonQM OO</v>
      </c>
      <c r="C111" s="1305" t="s">
        <v>17</v>
      </c>
      <c r="D111" s="1305" t="s">
        <v>246</v>
      </c>
      <c r="E111" s="1307">
        <v>50.01</v>
      </c>
      <c r="F111" s="1307">
        <v>55</v>
      </c>
      <c r="G111" s="1307">
        <v>1500000</v>
      </c>
      <c r="H111" s="1307">
        <v>70</v>
      </c>
      <c r="I111" s="1420"/>
      <c r="J111" s="1316">
        <v>680</v>
      </c>
      <c r="K111" s="1432">
        <v>3</v>
      </c>
      <c r="M111" s="1433" t="str">
        <f>IF(AND(Input_Product=EligOverlay!B111,Input_Occupancy=EligOverlay!C111,Input_DTI&gt;=EligOverlay!E111,Input_DTI&lt;=EligOverlay!F111),G111,"")</f>
        <v/>
      </c>
      <c r="N111" s="1420"/>
      <c r="O111" s="1433" t="str">
        <f>IF(AND(Input_Product=EligOverlay!B111,Input_DocType=EligOverlay!D111,Input_Occupancy=EligOverlay!C111,Input_DTI&gt;=EligOverlay!E111,Input_DTI&lt;=EligOverlay!F111),"",IF(AND(Input_Product=EligOverlay!B111,Input_Occupancy=EligOverlay!C111,Input_DTI&gt;=EligOverlay!E111,Input_DTI&lt;=EligOverlay!F111),H111,""))</f>
        <v/>
      </c>
      <c r="P111" s="1319" t="str">
        <f>IF(AND(Input_Product=EligOverlay!B111,Input_Occupancy=EligOverlay!C111,Input_DTI&gt;=EligOverlay!E111,Input_DTI&lt;=EligOverlay!F111),J111,"")</f>
        <v/>
      </c>
      <c r="Q111" s="1319" t="str">
        <f>IF(AND(Input_Product=EligOverlay!B111,Input_Occupancy=EligOverlay!C111,Input_DTI&gt;=EligOverlay!E111,Input_DTI&lt;=EligOverlay!F111),K111+IF(Elig_BaseLimit_Reserves_Min=999,0,Elig_BaseLimit_Reserves_Min),"")</f>
        <v/>
      </c>
      <c r="R111" s="1420"/>
      <c r="S111" s="1420"/>
      <c r="T111" s="541" t="s">
        <v>14</v>
      </c>
    </row>
    <row r="112" spans="2:20" x14ac:dyDescent="0.2">
      <c r="B112" s="1441" t="str">
        <f>Input_Name_Product2</f>
        <v>NonQM NOO</v>
      </c>
      <c r="C112" s="1305" t="s">
        <v>38</v>
      </c>
      <c r="D112" s="1305" t="s">
        <v>246</v>
      </c>
      <c r="E112" s="1307">
        <v>50.01</v>
      </c>
      <c r="F112" s="1307">
        <v>55</v>
      </c>
      <c r="G112" s="1307">
        <v>1500000</v>
      </c>
      <c r="H112" s="1307">
        <v>75</v>
      </c>
      <c r="I112" s="1420"/>
      <c r="J112" s="1316">
        <v>680</v>
      </c>
      <c r="K112" s="1432">
        <v>3</v>
      </c>
      <c r="M112" s="1433" t="str">
        <f>IF(AND(Input_Product=EligOverlay!B112,Input_Occupancy=EligOverlay!C112,Input_DTI&gt;=EligOverlay!E112,Input_DTI&lt;=EligOverlay!F112),G112,"")</f>
        <v/>
      </c>
      <c r="N112" s="1420"/>
      <c r="O112" s="1433" t="str">
        <f>IF(AND(Input_Product=EligOverlay!B112,Input_DocType=EligOverlay!D112,Input_Occupancy=EligOverlay!C112,Input_DTI&gt;=EligOverlay!E112,Input_DTI&lt;=EligOverlay!F112),"",IF(AND(Input_Product=EligOverlay!B112,Input_Occupancy=EligOverlay!C112,Input_DTI&gt;=EligOverlay!E112,Input_DTI&lt;=EligOverlay!F112),H112,""))</f>
        <v/>
      </c>
      <c r="P112" s="1319" t="str">
        <f>IF(AND(Input_Product=EligOverlay!B112,Input_Occupancy=EligOverlay!C112,Input_DTI&gt;=EligOverlay!E112,Input_DTI&lt;=EligOverlay!F112),J112,"")</f>
        <v/>
      </c>
      <c r="Q112" s="1319" t="str">
        <f>IF(AND(Input_Product=EligOverlay!B112,Input_Occupancy=EligOverlay!C112,Input_DTI&gt;=EligOverlay!E112,Input_DTI&lt;=EligOverlay!F112),K112+IF(Elig_BaseLimit_Reserves_Min=999,0,Elig_BaseLimit_Reserves_Min),"")</f>
        <v/>
      </c>
      <c r="R112" s="1420"/>
      <c r="S112" s="1420"/>
      <c r="T112" s="541" t="s">
        <v>14</v>
      </c>
    </row>
    <row r="113" spans="2:22" x14ac:dyDescent="0.2">
      <c r="B113" s="1441" t="str">
        <f>Input_Name_Product2</f>
        <v>NonQM NOO</v>
      </c>
      <c r="C113" s="1305" t="s">
        <v>38</v>
      </c>
      <c r="D113" s="1305" t="s">
        <v>466</v>
      </c>
      <c r="E113" s="1420"/>
      <c r="F113" s="1420"/>
      <c r="G113" s="1420"/>
      <c r="H113" s="1420"/>
      <c r="I113" s="1420"/>
      <c r="J113" s="1420"/>
      <c r="K113" s="1420"/>
      <c r="M113" s="1433" t="str">
        <f>IF(AND(Input_Product=EligOverlay!B113,Input_Occupancy=EligOverlay!C113,Input_DocType=EligOverlay!D113),G113,"")</f>
        <v/>
      </c>
      <c r="N113" s="1420"/>
      <c r="O113" s="1420"/>
      <c r="P113" s="1420"/>
      <c r="Q113" s="1420"/>
      <c r="R113" s="1420"/>
      <c r="S113" s="1420"/>
      <c r="T113" s="541" t="s">
        <v>2508</v>
      </c>
    </row>
    <row r="114" spans="2:22" x14ac:dyDescent="0.2">
      <c r="B114" s="1444"/>
      <c r="M114" s="460"/>
      <c r="N114" s="1320"/>
      <c r="O114" s="1320"/>
      <c r="P114" s="460"/>
      <c r="Q114" s="460"/>
      <c r="R114" s="460"/>
      <c r="S114" s="460"/>
      <c r="T114" s="1445"/>
    </row>
    <row r="115" spans="2:22" x14ac:dyDescent="0.2">
      <c r="B115" s="1448" t="s">
        <v>258</v>
      </c>
      <c r="C115" s="1298" t="s">
        <v>167</v>
      </c>
      <c r="D115" s="1299" t="s">
        <v>279</v>
      </c>
      <c r="E115" s="1299" t="s">
        <v>280</v>
      </c>
      <c r="F115" s="1314" t="s">
        <v>49</v>
      </c>
      <c r="G115" s="1299" t="s">
        <v>279</v>
      </c>
      <c r="H115" s="1299" t="s">
        <v>270</v>
      </c>
      <c r="I115" s="1299"/>
      <c r="J115" s="1299" t="s">
        <v>281</v>
      </c>
      <c r="K115" s="1309"/>
      <c r="M115" s="460"/>
      <c r="N115" s="1321"/>
      <c r="O115" s="1321"/>
      <c r="P115" s="460"/>
      <c r="Q115" s="460"/>
      <c r="R115" s="460"/>
      <c r="S115" s="460"/>
      <c r="T115" s="1445"/>
    </row>
    <row r="116" spans="2:22" x14ac:dyDescent="0.2">
      <c r="B116" s="1440" t="str">
        <f>Input_Name_Product1</f>
        <v>NonQM OO</v>
      </c>
      <c r="C116" s="1305" t="s">
        <v>4</v>
      </c>
      <c r="D116" s="1306"/>
      <c r="E116" s="1306"/>
      <c r="F116" s="1306"/>
      <c r="G116" s="1306"/>
      <c r="H116" s="1307">
        <v>90</v>
      </c>
      <c r="I116" s="1420"/>
      <c r="J116" s="1422"/>
      <c r="K116" s="1422"/>
      <c r="M116" s="1420"/>
      <c r="N116" s="1420"/>
      <c r="O116" s="1433" t="str">
        <f>IF(AND(Input_Product=EligOverlay!B116,Input_AmortType=C116),H116,"")</f>
        <v/>
      </c>
      <c r="P116" s="1420"/>
      <c r="Q116" s="1420"/>
      <c r="R116" s="1420"/>
      <c r="S116" s="1420"/>
      <c r="T116" s="541" t="s">
        <v>452</v>
      </c>
    </row>
    <row r="117" spans="2:22" x14ac:dyDescent="0.2">
      <c r="B117" s="1441" t="str">
        <f>Input_Name_Product2</f>
        <v>NonQM NOO</v>
      </c>
      <c r="C117" s="1305" t="s">
        <v>4</v>
      </c>
      <c r="D117" s="1306"/>
      <c r="E117" s="1306"/>
      <c r="F117" s="1306"/>
      <c r="G117" s="1306"/>
      <c r="H117" s="1307">
        <v>80</v>
      </c>
      <c r="I117" s="1420"/>
      <c r="J117" s="1422"/>
      <c r="K117" s="1422"/>
      <c r="M117" s="1420"/>
      <c r="N117" s="1420"/>
      <c r="O117" s="1433" t="str">
        <f>IF(AND(Input_Product=EligOverlay!B117,Input_AmortType=C117),H117,"")</f>
        <v/>
      </c>
      <c r="P117" s="1420"/>
      <c r="Q117" s="1420"/>
      <c r="R117" s="1420"/>
      <c r="S117" s="1420"/>
      <c r="T117" s="541" t="s">
        <v>452</v>
      </c>
    </row>
    <row r="118" spans="2:22" x14ac:dyDescent="0.2">
      <c r="B118" s="1441" t="str">
        <f>Input_Name_Product2</f>
        <v>NonQM NOO</v>
      </c>
      <c r="C118" s="1305" t="s">
        <v>4</v>
      </c>
      <c r="D118" s="1306"/>
      <c r="E118" s="1429">
        <v>0.75</v>
      </c>
      <c r="F118" s="1429"/>
      <c r="G118" s="1306"/>
      <c r="H118" s="1420"/>
      <c r="I118" s="1420"/>
      <c r="J118" s="1934">
        <v>680</v>
      </c>
      <c r="K118" s="1422"/>
      <c r="M118" s="1420"/>
      <c r="N118" s="1420"/>
      <c r="O118" s="1420"/>
      <c r="P118" s="1906" t="str">
        <f>IF(AND(Input_Product=EligOverlay!B118,Input_AmortType=C118,Input_DSCR&lt;EligOverlay!E118),J118,"")</f>
        <v/>
      </c>
      <c r="Q118" s="1420"/>
      <c r="R118" s="1420"/>
      <c r="S118" s="1420"/>
      <c r="T118" s="541" t="s">
        <v>452</v>
      </c>
    </row>
    <row r="119" spans="2:22" x14ac:dyDescent="0.2">
      <c r="B119" s="1444"/>
      <c r="M119" s="460"/>
      <c r="N119" s="460"/>
      <c r="O119" s="460"/>
      <c r="P119" s="460"/>
      <c r="Q119" s="460"/>
      <c r="R119" s="460"/>
      <c r="S119" s="460"/>
      <c r="T119" s="1445"/>
    </row>
    <row r="120" spans="2:22" x14ac:dyDescent="0.2">
      <c r="B120" s="1448" t="s">
        <v>258</v>
      </c>
      <c r="C120" s="1298" t="s">
        <v>39</v>
      </c>
      <c r="D120" s="1298" t="s">
        <v>36</v>
      </c>
      <c r="E120" s="1314"/>
      <c r="F120" s="1314"/>
      <c r="G120" s="1317"/>
      <c r="H120" s="1299" t="s">
        <v>270</v>
      </c>
      <c r="I120" s="1331"/>
      <c r="J120" s="1317"/>
      <c r="K120" s="1309"/>
      <c r="M120" s="460"/>
      <c r="N120" s="460"/>
      <c r="O120" s="460"/>
      <c r="P120" s="460"/>
      <c r="Q120" s="460"/>
      <c r="R120" s="460"/>
      <c r="S120" s="460"/>
      <c r="T120" s="1445"/>
    </row>
    <row r="121" spans="2:22" x14ac:dyDescent="0.2">
      <c r="B121" s="1440" t="str">
        <f>Input_Name_Product1</f>
        <v>NonQM OO</v>
      </c>
      <c r="C121" s="1305" t="s">
        <v>17</v>
      </c>
      <c r="D121" s="1305" t="s">
        <v>132</v>
      </c>
      <c r="E121" s="1306"/>
      <c r="F121" s="1306"/>
      <c r="G121" s="1306"/>
      <c r="H121" s="1307">
        <v>0.01</v>
      </c>
      <c r="I121" s="1420"/>
      <c r="J121" s="1420"/>
      <c r="K121" s="1420"/>
      <c r="M121" s="1420"/>
      <c r="N121" s="1420"/>
      <c r="O121" s="1433" t="str">
        <f>IF(AND(Input_Product=EligOverlay!B121,Input_Occupancy=EligOverlay!C121,Input_PropertyType=EligOverlay!D121),H121,"")</f>
        <v/>
      </c>
      <c r="P121" s="1435"/>
      <c r="Q121" s="1420"/>
      <c r="R121" s="1420"/>
      <c r="S121" s="1420"/>
      <c r="T121" s="541" t="s">
        <v>1384</v>
      </c>
      <c r="U121" s="460" t="s">
        <v>76</v>
      </c>
    </row>
    <row r="122" spans="2:22" x14ac:dyDescent="0.2">
      <c r="B122" s="1440" t="str">
        <f>Input_Name_Product1</f>
        <v>NonQM OO</v>
      </c>
      <c r="C122" s="1305" t="s">
        <v>17</v>
      </c>
      <c r="D122" s="1305" t="s">
        <v>133</v>
      </c>
      <c r="E122" s="1306"/>
      <c r="F122" s="1306"/>
      <c r="G122" s="1306"/>
      <c r="H122" s="1307">
        <v>0.01</v>
      </c>
      <c r="I122" s="1420"/>
      <c r="J122" s="1422"/>
      <c r="K122" s="1422"/>
      <c r="M122" s="1420"/>
      <c r="N122" s="1420"/>
      <c r="O122" s="1433" t="str">
        <f>IF(AND(Input_Product=EligOverlay!B122,Input_Occupancy=EligOverlay!C122,Input_PropertyType=EligOverlay!D122),H122,"")</f>
        <v/>
      </c>
      <c r="P122" s="1435"/>
      <c r="Q122" s="1420"/>
      <c r="R122" s="1420"/>
      <c r="S122" s="1420"/>
      <c r="T122" s="541" t="s">
        <v>1385</v>
      </c>
      <c r="U122" s="460" t="s">
        <v>76</v>
      </c>
    </row>
    <row r="123" spans="2:22" x14ac:dyDescent="0.2">
      <c r="B123" s="1440" t="str">
        <f>Input_Name_Product1</f>
        <v>NonQM OO</v>
      </c>
      <c r="C123" s="1305" t="s">
        <v>17</v>
      </c>
      <c r="D123" s="1305" t="s">
        <v>134</v>
      </c>
      <c r="E123" s="1306"/>
      <c r="F123" s="1306"/>
      <c r="G123" s="1306"/>
      <c r="H123" s="1307">
        <v>0.01</v>
      </c>
      <c r="I123" s="1420"/>
      <c r="J123" s="1422"/>
      <c r="K123" s="1422"/>
      <c r="M123" s="1420"/>
      <c r="N123" s="1420"/>
      <c r="O123" s="1433" t="str">
        <f>IF(AND(Input_Product=EligOverlay!B123,Input_Occupancy=EligOverlay!C123,Input_PropertyType=EligOverlay!D123),H123,"")</f>
        <v/>
      </c>
      <c r="P123" s="1435"/>
      <c r="Q123" s="1420"/>
      <c r="R123" s="1420"/>
      <c r="S123" s="1420"/>
      <c r="T123" s="541" t="s">
        <v>1386</v>
      </c>
      <c r="U123" s="460" t="s">
        <v>76</v>
      </c>
    </row>
    <row r="124" spans="2:22" x14ac:dyDescent="0.2">
      <c r="B124" s="1442" t="str">
        <f>Input_Name_Product4</f>
        <v>Second OO</v>
      </c>
      <c r="C124" s="1305" t="s">
        <v>17</v>
      </c>
      <c r="D124" s="1305" t="s">
        <v>132</v>
      </c>
      <c r="E124" s="1306"/>
      <c r="F124" s="1306"/>
      <c r="G124" s="1306"/>
      <c r="H124" s="1307">
        <v>0.01</v>
      </c>
      <c r="I124" s="1420"/>
      <c r="J124" s="1422"/>
      <c r="K124" s="1422"/>
      <c r="M124" s="1420"/>
      <c r="N124" s="1420"/>
      <c r="O124" s="1433" t="str">
        <f>IF(AND(Input_Product=EligOverlay!B124,Input_Occupancy=EligOverlay!C124,Input_PropertyType=EligOverlay!D124),H124,"")</f>
        <v/>
      </c>
      <c r="P124" s="1435"/>
      <c r="Q124" s="1420"/>
      <c r="R124" s="1420"/>
      <c r="S124" s="1420"/>
      <c r="T124" s="541" t="s">
        <v>1384</v>
      </c>
      <c r="U124" s="460" t="s">
        <v>76</v>
      </c>
      <c r="V124" s="1463"/>
    </row>
    <row r="125" spans="2:22" x14ac:dyDescent="0.2">
      <c r="B125" s="1442" t="str">
        <f>Input_Name_Product4</f>
        <v>Second OO</v>
      </c>
      <c r="C125" s="1305" t="s">
        <v>17</v>
      </c>
      <c r="D125" s="1305" t="s">
        <v>133</v>
      </c>
      <c r="E125" s="1306"/>
      <c r="F125" s="1306"/>
      <c r="G125" s="1306"/>
      <c r="H125" s="1307">
        <v>0.01</v>
      </c>
      <c r="I125" s="1420"/>
      <c r="J125" s="1422"/>
      <c r="K125" s="1422"/>
      <c r="M125" s="1420"/>
      <c r="N125" s="1420"/>
      <c r="O125" s="1433" t="str">
        <f>IF(AND(Input_Product=EligOverlay!B125,Input_Occupancy=EligOverlay!C125,Input_PropertyType=EligOverlay!D125),H125,"")</f>
        <v/>
      </c>
      <c r="P125" s="1435"/>
      <c r="Q125" s="1420"/>
      <c r="R125" s="1420"/>
      <c r="S125" s="1420"/>
      <c r="T125" s="541" t="s">
        <v>1385</v>
      </c>
      <c r="U125" s="460" t="s">
        <v>76</v>
      </c>
    </row>
    <row r="126" spans="2:22" x14ac:dyDescent="0.2">
      <c r="B126" s="1442" t="str">
        <f>Input_Name_Product4</f>
        <v>Second OO</v>
      </c>
      <c r="C126" s="1305" t="s">
        <v>17</v>
      </c>
      <c r="D126" s="1305" t="s">
        <v>134</v>
      </c>
      <c r="E126" s="1306"/>
      <c r="F126" s="1306"/>
      <c r="G126" s="1306"/>
      <c r="H126" s="1307">
        <v>0.01</v>
      </c>
      <c r="I126" s="1420"/>
      <c r="J126" s="1422"/>
      <c r="K126" s="1422"/>
      <c r="M126" s="1420"/>
      <c r="N126" s="1420"/>
      <c r="O126" s="1433" t="str">
        <f>IF(AND(Input_Product=EligOverlay!B126,Input_Occupancy=EligOverlay!C126,Input_PropertyType=EligOverlay!D126),H126,"")</f>
        <v/>
      </c>
      <c r="P126" s="1435"/>
      <c r="Q126" s="1420"/>
      <c r="R126" s="1420"/>
      <c r="S126" s="1420"/>
      <c r="T126" s="541" t="s">
        <v>1386</v>
      </c>
      <c r="U126" s="460" t="s">
        <v>76</v>
      </c>
    </row>
    <row r="127" spans="2:22" x14ac:dyDescent="0.2">
      <c r="B127" s="1444"/>
      <c r="M127" s="460"/>
      <c r="N127" s="460"/>
      <c r="O127" s="460"/>
      <c r="P127" s="460"/>
      <c r="Q127" s="460"/>
      <c r="R127" s="460"/>
      <c r="S127" s="460"/>
      <c r="T127" s="1445"/>
      <c r="U127" s="460" t="s">
        <v>76</v>
      </c>
    </row>
    <row r="128" spans="2:22" x14ac:dyDescent="0.2">
      <c r="B128" s="1448" t="s">
        <v>258</v>
      </c>
      <c r="C128" s="1298" t="s">
        <v>46</v>
      </c>
      <c r="D128" s="1298" t="s">
        <v>36</v>
      </c>
      <c r="E128" s="1314"/>
      <c r="F128" s="1314"/>
      <c r="G128" s="1317"/>
      <c r="H128" s="1299" t="s">
        <v>270</v>
      </c>
      <c r="I128" s="1331"/>
      <c r="J128" s="1317" t="s">
        <v>2292</v>
      </c>
      <c r="K128" s="1315" t="s">
        <v>282</v>
      </c>
      <c r="M128" s="460"/>
      <c r="N128" s="460"/>
      <c r="O128" s="460"/>
      <c r="P128" s="460"/>
      <c r="Q128" s="460"/>
      <c r="R128" s="460"/>
      <c r="S128" s="460"/>
      <c r="T128" s="1445"/>
      <c r="U128" s="460" t="s">
        <v>76</v>
      </c>
    </row>
    <row r="129" spans="2:21" x14ac:dyDescent="0.2">
      <c r="B129" s="1455" t="str">
        <f>Input_Name_Product1</f>
        <v>NonQM OO</v>
      </c>
      <c r="C129" s="1305" t="s">
        <v>45</v>
      </c>
      <c r="D129" s="1305" t="s">
        <v>131</v>
      </c>
      <c r="E129" s="1306"/>
      <c r="F129" s="1306"/>
      <c r="G129" s="1306"/>
      <c r="H129" s="1307">
        <v>0.01</v>
      </c>
      <c r="I129" s="1420"/>
      <c r="J129" s="1423"/>
      <c r="K129" s="1306"/>
      <c r="M129" s="1420" t="str">
        <f>IF(AND(Input_Product=EligOverlay!B129,Input_Citizenship=EligOverlay!C129,Input_PropertyType=EligOverlay!D129),H129,"")</f>
        <v/>
      </c>
      <c r="N129" s="1420"/>
      <c r="O129" s="1433" t="str">
        <f>IF(AND(Input_Product=EligOverlay!B129,Input_Citizenship=EligOverlay!C129,Input_PropertyType=EligOverlay!D129),H129,"")</f>
        <v/>
      </c>
      <c r="P129" s="1435"/>
      <c r="Q129" s="1420"/>
      <c r="R129" s="1420"/>
      <c r="S129" s="1420"/>
      <c r="T129" s="541" t="s">
        <v>1413</v>
      </c>
      <c r="U129" s="460" t="s">
        <v>76</v>
      </c>
    </row>
    <row r="130" spans="2:21" x14ac:dyDescent="0.2">
      <c r="B130" s="1455" t="str">
        <f>Input_Name_Product1</f>
        <v>NonQM OO</v>
      </c>
      <c r="C130" s="1305" t="s">
        <v>45</v>
      </c>
      <c r="D130" s="1305" t="s">
        <v>1397</v>
      </c>
      <c r="E130" s="1306"/>
      <c r="F130" s="1306"/>
      <c r="G130" s="1306"/>
      <c r="H130" s="1307">
        <v>0.01</v>
      </c>
      <c r="I130" s="1420"/>
      <c r="J130" s="1423"/>
      <c r="K130" s="1422"/>
      <c r="M130" s="1420"/>
      <c r="N130" s="1420"/>
      <c r="O130" s="1433" t="str">
        <f>IF(AND(Input_Product=EligOverlay!B130,Input_Citizenship=EligOverlay!C130,Input_PropertyType=EligOverlay!D130),H130,"")</f>
        <v/>
      </c>
      <c r="P130" s="1435"/>
      <c r="Q130" s="1420"/>
      <c r="R130" s="1420"/>
      <c r="S130" s="1420"/>
      <c r="T130" s="541" t="s">
        <v>1414</v>
      </c>
      <c r="U130" s="460" t="s">
        <v>76</v>
      </c>
    </row>
    <row r="131" spans="2:21" x14ac:dyDescent="0.2">
      <c r="B131" s="1441" t="str">
        <f>Input_Name_Product2</f>
        <v>NonQM NOO</v>
      </c>
      <c r="C131" s="1305" t="s">
        <v>45</v>
      </c>
      <c r="D131" s="1305" t="s">
        <v>131</v>
      </c>
      <c r="E131" s="1306"/>
      <c r="F131" s="1306"/>
      <c r="G131" s="1306"/>
      <c r="H131" s="1307">
        <v>0.01</v>
      </c>
      <c r="I131" s="1420"/>
      <c r="J131" s="1423"/>
      <c r="K131" s="1306"/>
      <c r="M131" s="1420" t="str">
        <f>IF(AND(Input_Product=EligOverlay!B131,Input_Citizenship=EligOverlay!C131,Input_PropertyType=EligOverlay!D131),H131,"")</f>
        <v/>
      </c>
      <c r="N131" s="1420"/>
      <c r="O131" s="1433" t="str">
        <f>IF(AND(Input_Product=EligOverlay!B131,Input_Citizenship=EligOverlay!C131,Input_PropertyType=EligOverlay!D131),H131,"")</f>
        <v/>
      </c>
      <c r="P131" s="1435"/>
      <c r="Q131" s="1420"/>
      <c r="R131" s="1420"/>
      <c r="S131" s="1420"/>
      <c r="T131" s="541" t="s">
        <v>1413</v>
      </c>
    </row>
    <row r="132" spans="2:21" x14ac:dyDescent="0.2">
      <c r="B132" s="1441" t="str">
        <f>Input_Name_Product2</f>
        <v>NonQM NOO</v>
      </c>
      <c r="C132" s="1305" t="s">
        <v>45</v>
      </c>
      <c r="D132" s="1305" t="s">
        <v>1397</v>
      </c>
      <c r="E132" s="1306"/>
      <c r="F132" s="1306"/>
      <c r="G132" s="1306"/>
      <c r="H132" s="1307">
        <v>0.01</v>
      </c>
      <c r="I132" s="1420"/>
      <c r="J132" s="1423"/>
      <c r="K132" s="1422"/>
      <c r="M132" s="1420"/>
      <c r="N132" s="1420"/>
      <c r="O132" s="1433" t="str">
        <f>IF(AND(Input_Product=EligOverlay!B132,Input_Citizenship=EligOverlay!C132,Input_PropertyType=EligOverlay!D132),H132,"")</f>
        <v/>
      </c>
      <c r="P132" s="1435"/>
      <c r="Q132" s="1420"/>
      <c r="R132" s="1420"/>
      <c r="S132" s="1420"/>
      <c r="T132" s="541" t="s">
        <v>1414</v>
      </c>
    </row>
    <row r="133" spans="2:21" x14ac:dyDescent="0.2">
      <c r="B133" s="1444"/>
      <c r="M133" s="460"/>
      <c r="N133" s="460"/>
      <c r="O133" s="460"/>
      <c r="P133" s="460"/>
      <c r="Q133" s="460"/>
      <c r="R133" s="460"/>
      <c r="S133" s="460"/>
      <c r="T133" s="1445"/>
      <c r="U133" s="460" t="s">
        <v>76</v>
      </c>
    </row>
    <row r="134" spans="2:21" x14ac:dyDescent="0.2">
      <c r="B134" s="1448" t="s">
        <v>258</v>
      </c>
      <c r="C134" s="1298" t="s">
        <v>39</v>
      </c>
      <c r="D134" s="1300"/>
      <c r="E134" s="1314" t="s">
        <v>1836</v>
      </c>
      <c r="F134" s="1314"/>
      <c r="G134" s="1317"/>
      <c r="H134" s="1299" t="s">
        <v>270</v>
      </c>
      <c r="I134" s="1331"/>
      <c r="J134" s="1317"/>
      <c r="K134" s="1309"/>
      <c r="M134" s="460"/>
      <c r="N134" s="460"/>
      <c r="O134" s="460"/>
      <c r="P134" s="460"/>
      <c r="Q134" s="460"/>
      <c r="R134" s="460"/>
      <c r="S134" s="460"/>
      <c r="T134" s="1445"/>
      <c r="U134" s="460" t="s">
        <v>76</v>
      </c>
    </row>
    <row r="135" spans="2:21" x14ac:dyDescent="0.2">
      <c r="B135" s="1455" t="str">
        <f>Input_Name_Product1</f>
        <v>NonQM OO</v>
      </c>
      <c r="C135" s="1305" t="s">
        <v>17</v>
      </c>
      <c r="D135" s="1306"/>
      <c r="E135" s="1306"/>
      <c r="F135" s="1306"/>
      <c r="G135" s="1306"/>
      <c r="H135" s="1307">
        <v>85</v>
      </c>
      <c r="I135" s="1420"/>
      <c r="J135" s="1422"/>
      <c r="K135" s="1422"/>
      <c r="M135" s="1420"/>
      <c r="N135" s="1420"/>
      <c r="O135" s="1433" t="str">
        <f>IF(AND(Input_Product=EligOverlay!B135,Input_Occupancy=EligOverlay!C135),H135,"")</f>
        <v/>
      </c>
      <c r="P135" s="1435"/>
      <c r="Q135" s="1420"/>
      <c r="R135" s="1420"/>
      <c r="S135" s="1420"/>
      <c r="T135" s="541" t="s">
        <v>471</v>
      </c>
    </row>
    <row r="136" spans="2:21" x14ac:dyDescent="0.2">
      <c r="B136" s="1442" t="str">
        <f>Input_Name_Product4</f>
        <v>Second OO</v>
      </c>
      <c r="C136" s="1305" t="s">
        <v>17</v>
      </c>
      <c r="D136" s="1306" t="s">
        <v>1402</v>
      </c>
      <c r="E136" s="1306"/>
      <c r="F136" s="1306"/>
      <c r="G136" s="1306"/>
      <c r="H136" s="1307">
        <v>0.01</v>
      </c>
      <c r="I136" s="1420"/>
      <c r="J136" s="1422"/>
      <c r="K136" s="1422"/>
      <c r="M136" s="1420"/>
      <c r="N136" s="1420"/>
      <c r="O136" s="1433" t="str">
        <f>IF(AND(Input_Product=EligOverlay!B136,Input_Occupancy=EligOverlay!C136,Input_PropertyType="SFR-Rural"),H136,"")</f>
        <v/>
      </c>
      <c r="P136" s="1435"/>
      <c r="Q136" s="1420"/>
      <c r="R136" s="1420"/>
      <c r="S136" s="1420"/>
      <c r="T136" s="541" t="s">
        <v>1810</v>
      </c>
    </row>
    <row r="137" spans="2:21" x14ac:dyDescent="0.2">
      <c r="B137" s="1450" t="str">
        <f>Input_Name_Product5</f>
        <v>Second NOO</v>
      </c>
      <c r="C137" s="1305" t="s">
        <v>38</v>
      </c>
      <c r="D137" s="1306" t="s">
        <v>1402</v>
      </c>
      <c r="E137" s="1306"/>
      <c r="F137" s="1306"/>
      <c r="G137" s="1306"/>
      <c r="H137" s="1307">
        <v>0.01</v>
      </c>
      <c r="I137" s="1420"/>
      <c r="J137" s="1422"/>
      <c r="K137" s="1422"/>
      <c r="M137" s="1420"/>
      <c r="N137" s="1420"/>
      <c r="O137" s="1433" t="str">
        <f>IF(AND(Input_Product=EligOverlay!B137,Input_Occupancy=EligOverlay!C137,Input_PropertyType="SFR-Rural"),H137,"")</f>
        <v/>
      </c>
      <c r="P137" s="1435"/>
      <c r="Q137" s="1420"/>
      <c r="R137" s="1420"/>
      <c r="S137" s="1420"/>
      <c r="T137" s="541" t="s">
        <v>1809</v>
      </c>
    </row>
    <row r="138" spans="2:21" x14ac:dyDescent="0.2">
      <c r="B138" s="1442" t="str">
        <f>Input_Name_Product4</f>
        <v>Second OO</v>
      </c>
      <c r="C138" s="1306"/>
      <c r="D138" s="1306" t="s">
        <v>1402</v>
      </c>
      <c r="E138" s="1306"/>
      <c r="F138" s="1306"/>
      <c r="G138" s="1306"/>
      <c r="H138" s="1307">
        <v>80</v>
      </c>
      <c r="I138" s="1420"/>
      <c r="J138" s="1422"/>
      <c r="K138" s="1422"/>
      <c r="M138" s="1420"/>
      <c r="N138" s="1420"/>
      <c r="O138" s="1421" t="str">
        <f>IF(AND(Input_Product=EligOverlay!B138,Input_PropertyType="SFR-Rural"),H138,"")</f>
        <v/>
      </c>
      <c r="P138" s="1435"/>
      <c r="Q138" s="1420"/>
      <c r="R138" s="1420"/>
      <c r="S138" s="1420"/>
      <c r="T138" s="541" t="s">
        <v>1837</v>
      </c>
    </row>
    <row r="139" spans="2:21" x14ac:dyDescent="0.2">
      <c r="B139" s="1444"/>
      <c r="M139" s="460"/>
      <c r="N139" s="460"/>
      <c r="O139" s="460"/>
      <c r="P139" s="460"/>
      <c r="Q139" s="460"/>
      <c r="R139" s="460"/>
      <c r="S139" s="460"/>
      <c r="T139" s="1445"/>
    </row>
    <row r="140" spans="2:21" x14ac:dyDescent="0.2">
      <c r="B140" s="1448" t="s">
        <v>258</v>
      </c>
      <c r="C140" s="1298" t="s">
        <v>39</v>
      </c>
      <c r="D140" s="1314" t="s">
        <v>2483</v>
      </c>
      <c r="E140" s="1299" t="s">
        <v>70</v>
      </c>
      <c r="F140" s="1299" t="s">
        <v>279</v>
      </c>
      <c r="G140" s="1299" t="s">
        <v>280</v>
      </c>
      <c r="H140" s="1299" t="s">
        <v>270</v>
      </c>
      <c r="I140" s="1299" t="s">
        <v>281</v>
      </c>
      <c r="J140" s="1299" t="s">
        <v>2258</v>
      </c>
      <c r="K140" s="1309" t="s">
        <v>8</v>
      </c>
      <c r="M140" s="460"/>
      <c r="N140" s="460"/>
      <c r="O140" s="460"/>
      <c r="P140" s="460"/>
      <c r="Q140" s="460"/>
      <c r="R140" s="460"/>
      <c r="S140" s="460"/>
      <c r="T140" s="1445"/>
    </row>
    <row r="141" spans="2:21" x14ac:dyDescent="0.2">
      <c r="B141" s="1441" t="str">
        <f t="shared" ref="B141:B152" si="6">Input_Name_Product2</f>
        <v>NonQM NOO</v>
      </c>
      <c r="C141" s="1305" t="s">
        <v>38</v>
      </c>
      <c r="D141" s="1306"/>
      <c r="E141" s="1424" t="s">
        <v>189</v>
      </c>
      <c r="F141" s="1307"/>
      <c r="G141" s="1307">
        <v>1</v>
      </c>
      <c r="H141" s="1420"/>
      <c r="I141" s="1316">
        <v>680</v>
      </c>
      <c r="J141" s="1934"/>
      <c r="K141" s="1422"/>
      <c r="M141" s="1420"/>
      <c r="N141" s="1420"/>
      <c r="O141" s="1420"/>
      <c r="P141" s="1319" t="str">
        <f>IF(AND(Input_DocType=EligOverlay!E141,Input_Product=EligOverlay!B141,Input_Occupancy=EligOverlay!C141,Input_DSCR&lt;EligOverlay!G141,Input_CreditScore&lt;EligOverlay!I141),I141,"")</f>
        <v/>
      </c>
      <c r="Q141" s="1420"/>
      <c r="R141" s="1420"/>
      <c r="S141" s="1420"/>
      <c r="T141" s="1452" t="s">
        <v>2485</v>
      </c>
    </row>
    <row r="142" spans="2:21" x14ac:dyDescent="0.2">
      <c r="B142" s="1936" t="str">
        <f t="shared" si="6"/>
        <v>NonQM NOO</v>
      </c>
      <c r="C142" s="1937" t="s">
        <v>38</v>
      </c>
      <c r="D142" s="1938" t="s">
        <v>16</v>
      </c>
      <c r="E142" s="1971"/>
      <c r="F142" s="1939">
        <v>0.75</v>
      </c>
      <c r="G142" s="1939">
        <v>0.99</v>
      </c>
      <c r="H142" s="1939">
        <v>70</v>
      </c>
      <c r="I142" s="1940">
        <v>680</v>
      </c>
      <c r="J142" s="1941"/>
      <c r="K142" s="1942"/>
      <c r="M142" s="1420"/>
      <c r="N142" s="1420"/>
      <c r="O142" s="1319" t="str">
        <f>IF(AND(Input_Product=EligOverlay!B142,Input_Occupancy=EligOverlay!C142,Input_DSCR&gt;=EligOverlay!F142,Input_DSCR&lt;=EligOverlay!G142,Input_CreditScore&lt;EligOverlay!I142,Input_Purpose="Cash-Out"),H142,"")</f>
        <v/>
      </c>
      <c r="P142" s="245"/>
      <c r="Q142" s="1420"/>
      <c r="R142" s="1420"/>
      <c r="S142" s="1420"/>
      <c r="T142" s="1452" t="s">
        <v>2486</v>
      </c>
    </row>
    <row r="143" spans="2:21" x14ac:dyDescent="0.2">
      <c r="B143" s="1948" t="str">
        <f t="shared" si="6"/>
        <v>NonQM NOO</v>
      </c>
      <c r="C143" s="1949" t="s">
        <v>38</v>
      </c>
      <c r="D143" s="1950" t="s">
        <v>34</v>
      </c>
      <c r="E143" s="1972"/>
      <c r="F143" s="1951">
        <v>0</v>
      </c>
      <c r="G143" s="1952">
        <v>0.75</v>
      </c>
      <c r="H143" s="1953"/>
      <c r="I143" s="1954">
        <v>700</v>
      </c>
      <c r="J143" s="1954">
        <v>999</v>
      </c>
      <c r="K143" s="1977">
        <v>3000000</v>
      </c>
      <c r="M143" s="1433" t="str">
        <f>IF(AND(Input_Product=EligOverlay!B143,Input_Occupancy=EligOverlay!C143,Input_DSCR&gt;=EligOverlay!F143,Input_DSCR&lt;EligOverlay!G143,Input_CreditScore&gt;=EligOverlay!I143,Input_CreditScore&lt;=EligOverlay!J143,Input_Purpose=EligOverlay!D143),K143,"")</f>
        <v/>
      </c>
      <c r="N143" s="1420"/>
      <c r="O143" s="1420"/>
      <c r="P143" s="1420"/>
      <c r="Q143" s="1420"/>
      <c r="R143" s="1420"/>
      <c r="S143" s="1420"/>
      <c r="T143" s="1452" t="s">
        <v>2484</v>
      </c>
    </row>
    <row r="144" spans="2:21" x14ac:dyDescent="0.2">
      <c r="B144" s="1955" t="str">
        <f t="shared" si="6"/>
        <v>NonQM NOO</v>
      </c>
      <c r="C144" s="1305" t="s">
        <v>38</v>
      </c>
      <c r="D144" s="1425" t="s">
        <v>35</v>
      </c>
      <c r="E144" s="1973"/>
      <c r="F144" s="1307">
        <v>0</v>
      </c>
      <c r="G144" s="1935">
        <v>0.75</v>
      </c>
      <c r="H144" s="1420"/>
      <c r="I144" s="1316">
        <v>700</v>
      </c>
      <c r="J144" s="1316">
        <v>999</v>
      </c>
      <c r="K144" s="1978">
        <v>2000000</v>
      </c>
      <c r="M144" s="1433" t="str">
        <f>IF(AND(Input_Product=EligOverlay!B144,Input_Occupancy=EligOverlay!C144,Input_DSCR&gt;=EligOverlay!F144,Input_DSCR&lt;EligOverlay!G144,Input_CreditScore&gt;=EligOverlay!I144,Input_CreditScore&lt;=EligOverlay!J144,Input_Purpose=EligOverlay!D144),K144,"")</f>
        <v/>
      </c>
      <c r="N144" s="1420"/>
      <c r="O144" s="1420"/>
      <c r="P144" s="1420"/>
      <c r="Q144" s="1420"/>
      <c r="R144" s="1420"/>
      <c r="S144" s="1420"/>
      <c r="T144" s="1452" t="s">
        <v>2484</v>
      </c>
    </row>
    <row r="145" spans="2:20" x14ac:dyDescent="0.2">
      <c r="B145" s="1956" t="str">
        <f t="shared" si="6"/>
        <v>NonQM NOO</v>
      </c>
      <c r="C145" s="1957" t="s">
        <v>38</v>
      </c>
      <c r="D145" s="1958" t="s">
        <v>16</v>
      </c>
      <c r="E145" s="1974"/>
      <c r="F145" s="1959">
        <v>0</v>
      </c>
      <c r="G145" s="1960">
        <v>0.75</v>
      </c>
      <c r="H145" s="1961"/>
      <c r="I145" s="1962">
        <v>700</v>
      </c>
      <c r="J145" s="1962">
        <v>999</v>
      </c>
      <c r="K145" s="1979">
        <v>2000000</v>
      </c>
      <c r="M145" s="1433" t="str">
        <f>IF(AND(Input_Product=EligOverlay!B145,Input_Occupancy=EligOverlay!C145,Input_DSCR&gt;=EligOverlay!F145,Input_DSCR&lt;EligOverlay!G145,Input_CreditScore&gt;=EligOverlay!I145,Input_CreditScore&lt;=EligOverlay!J145,Input_Purpose=EligOverlay!D145),K145,"")</f>
        <v/>
      </c>
      <c r="N145" s="1420"/>
      <c r="O145" s="1420"/>
      <c r="P145" s="1420"/>
      <c r="Q145" s="1420"/>
      <c r="R145" s="1420"/>
      <c r="S145" s="1420"/>
      <c r="T145" s="1452" t="s">
        <v>2484</v>
      </c>
    </row>
    <row r="146" spans="2:20" x14ac:dyDescent="0.2">
      <c r="B146" s="1948" t="str">
        <f t="shared" si="6"/>
        <v>NonQM NOO</v>
      </c>
      <c r="C146" s="1949" t="s">
        <v>38</v>
      </c>
      <c r="D146" s="1950" t="s">
        <v>34</v>
      </c>
      <c r="E146" s="1972"/>
      <c r="F146" s="1951">
        <v>0</v>
      </c>
      <c r="G146" s="1952">
        <v>0.75</v>
      </c>
      <c r="H146" s="1953"/>
      <c r="I146" s="1954">
        <v>680</v>
      </c>
      <c r="J146" s="1954">
        <v>699</v>
      </c>
      <c r="K146" s="1977">
        <v>3000000</v>
      </c>
      <c r="M146" s="1433" t="str">
        <f>IF(AND(Input_Product=EligOverlay!B146,Input_Occupancy=EligOverlay!C146,Input_DSCR&gt;=EligOverlay!F146,Input_DSCR&lt;EligOverlay!G146,Input_CreditScore&gt;=EligOverlay!I146,Input_CreditScore&lt;=EligOverlay!J146,Input_Purpose=EligOverlay!D146),K146,"")</f>
        <v/>
      </c>
      <c r="N146" s="1420"/>
      <c r="O146" s="1420"/>
      <c r="P146" s="1420"/>
      <c r="Q146" s="1420"/>
      <c r="R146" s="1420"/>
      <c r="S146" s="1420"/>
      <c r="T146" s="1452" t="s">
        <v>2484</v>
      </c>
    </row>
    <row r="147" spans="2:20" x14ac:dyDescent="0.2">
      <c r="B147" s="1955" t="str">
        <f t="shared" si="6"/>
        <v>NonQM NOO</v>
      </c>
      <c r="C147" s="1305" t="s">
        <v>38</v>
      </c>
      <c r="D147" s="1425" t="s">
        <v>35</v>
      </c>
      <c r="E147" s="1973"/>
      <c r="F147" s="1307">
        <v>0</v>
      </c>
      <c r="G147" s="1935">
        <v>0.75</v>
      </c>
      <c r="H147" s="1420"/>
      <c r="I147" s="1316">
        <v>680</v>
      </c>
      <c r="J147" s="1316">
        <v>699</v>
      </c>
      <c r="K147" s="1978">
        <v>2000000</v>
      </c>
      <c r="M147" s="1433" t="str">
        <f>IF(AND(Input_Product=EligOverlay!B147,Input_Occupancy=EligOverlay!C147,Input_DSCR&gt;=EligOverlay!F147,Input_DSCR&lt;EligOverlay!G147,Input_CreditScore&gt;=EligOverlay!I147,Input_CreditScore&lt;=EligOverlay!J147,Input_Purpose=EligOverlay!D147),K147,"")</f>
        <v/>
      </c>
      <c r="N147" s="1420"/>
      <c r="O147" s="1420"/>
      <c r="P147" s="1420"/>
      <c r="Q147" s="1420"/>
      <c r="R147" s="1420"/>
      <c r="S147" s="1420"/>
      <c r="T147" s="1452" t="s">
        <v>2484</v>
      </c>
    </row>
    <row r="148" spans="2:20" x14ac:dyDescent="0.2">
      <c r="B148" s="1956" t="str">
        <f t="shared" si="6"/>
        <v>NonQM NOO</v>
      </c>
      <c r="C148" s="1957" t="s">
        <v>38</v>
      </c>
      <c r="D148" s="1958" t="s">
        <v>16</v>
      </c>
      <c r="E148" s="1974"/>
      <c r="F148" s="1959">
        <v>0</v>
      </c>
      <c r="G148" s="1960">
        <v>0.75</v>
      </c>
      <c r="H148" s="1961"/>
      <c r="I148" s="1962">
        <v>680</v>
      </c>
      <c r="J148" s="1962">
        <v>699</v>
      </c>
      <c r="K148" s="1979">
        <v>2000000</v>
      </c>
      <c r="M148" s="1433" t="str">
        <f>IF(AND(Input_Product=EligOverlay!B148,Input_Occupancy=EligOverlay!C148,Input_DSCR&gt;=EligOverlay!F148,Input_DSCR&lt;EligOverlay!G148,Input_CreditScore&gt;=EligOverlay!I148,Input_CreditScore&lt;=EligOverlay!J148,Input_Purpose=EligOverlay!D148),K148,"")</f>
        <v/>
      </c>
      <c r="N148" s="1420"/>
      <c r="O148" s="1420"/>
      <c r="P148" s="1420"/>
      <c r="Q148" s="1420"/>
      <c r="R148" s="1420"/>
      <c r="S148" s="1420"/>
      <c r="T148" s="1452" t="s">
        <v>2484</v>
      </c>
    </row>
    <row r="149" spans="2:20" x14ac:dyDescent="0.2">
      <c r="B149" s="1948" t="str">
        <f t="shared" si="6"/>
        <v>NonQM NOO</v>
      </c>
      <c r="C149" s="1949" t="s">
        <v>38</v>
      </c>
      <c r="D149" s="1950" t="s">
        <v>34</v>
      </c>
      <c r="E149" s="1972"/>
      <c r="F149" s="1951">
        <v>0</v>
      </c>
      <c r="G149" s="1952">
        <v>0.75</v>
      </c>
      <c r="H149" s="1953"/>
      <c r="I149" s="1954">
        <v>660</v>
      </c>
      <c r="J149" s="1954">
        <v>679</v>
      </c>
      <c r="K149" s="1977">
        <v>1000000</v>
      </c>
      <c r="M149" s="1433" t="str">
        <f>IF(AND(Input_Product=EligOverlay!B149,Input_Occupancy=EligOverlay!C149,Input_DSCR&gt;=EligOverlay!F149,Input_DSCR&lt;EligOverlay!G149,Input_CreditScore&gt;=EligOverlay!I149,Input_CreditScore&lt;=EligOverlay!J149,Input_Purpose=EligOverlay!D149),K149,"")</f>
        <v/>
      </c>
      <c r="N149" s="1420"/>
      <c r="O149" s="1420"/>
      <c r="P149" s="1420"/>
      <c r="Q149" s="1420"/>
      <c r="R149" s="1420"/>
      <c r="S149" s="1420"/>
      <c r="T149" s="1452" t="s">
        <v>2484</v>
      </c>
    </row>
    <row r="150" spans="2:20" x14ac:dyDescent="0.2">
      <c r="B150" s="1963" t="str">
        <f t="shared" si="6"/>
        <v>NonQM NOO</v>
      </c>
      <c r="C150" s="1943" t="s">
        <v>38</v>
      </c>
      <c r="D150" s="1425" t="s">
        <v>35</v>
      </c>
      <c r="E150" s="1975"/>
      <c r="F150" s="1944">
        <v>0</v>
      </c>
      <c r="G150" s="1945">
        <v>0.75</v>
      </c>
      <c r="H150" s="1946"/>
      <c r="I150" s="1947">
        <v>660</v>
      </c>
      <c r="J150" s="1947">
        <v>679</v>
      </c>
      <c r="K150" s="1980">
        <v>0</v>
      </c>
      <c r="M150" s="1433" t="str">
        <f>IF(AND(Input_Product=EligOverlay!B150,Input_Occupancy=EligOverlay!C150,Input_DSCR&gt;=EligOverlay!F150,Input_DSCR&lt;EligOverlay!G150,Input_CreditScore&gt;=EligOverlay!I150,Input_CreditScore&lt;=EligOverlay!J150,Input_Purpose=EligOverlay!D150),K150,"")</f>
        <v/>
      </c>
      <c r="N150" s="1420"/>
      <c r="O150" s="1420"/>
      <c r="P150" s="1420"/>
      <c r="Q150" s="1420"/>
      <c r="R150" s="1420"/>
      <c r="S150" s="1420"/>
      <c r="T150" s="1452" t="s">
        <v>2484</v>
      </c>
    </row>
    <row r="151" spans="2:20" x14ac:dyDescent="0.2">
      <c r="B151" s="1964" t="str">
        <f t="shared" si="6"/>
        <v>NonQM NOO</v>
      </c>
      <c r="C151" s="1965" t="s">
        <v>38</v>
      </c>
      <c r="D151" s="1958" t="s">
        <v>16</v>
      </c>
      <c r="E151" s="1976"/>
      <c r="F151" s="1966">
        <v>0</v>
      </c>
      <c r="G151" s="1967">
        <v>0.75</v>
      </c>
      <c r="H151" s="1968"/>
      <c r="I151" s="1969">
        <v>660</v>
      </c>
      <c r="J151" s="1969">
        <v>679</v>
      </c>
      <c r="K151" s="1981">
        <v>0</v>
      </c>
      <c r="M151" s="1433" t="str">
        <f>IF(AND(Input_Product=EligOverlay!B151,Input_Occupancy=EligOverlay!C151,Input_DSCR&gt;=EligOverlay!F151,Input_DSCR&lt;EligOverlay!G151,Input_CreditScore&gt;=EligOverlay!I151,Input_CreditScore&lt;=EligOverlay!J151,Input_Purpose=EligOverlay!D151),K151,"")</f>
        <v/>
      </c>
      <c r="N151" s="1420"/>
      <c r="O151" s="1420"/>
      <c r="P151" s="1420"/>
      <c r="Q151" s="1420"/>
      <c r="R151" s="1420"/>
      <c r="S151" s="1420"/>
      <c r="T151" s="1452" t="s">
        <v>2484</v>
      </c>
    </row>
    <row r="152" spans="2:20" x14ac:dyDescent="0.2">
      <c r="B152" s="1964" t="str">
        <f t="shared" si="6"/>
        <v>NonQM NOO</v>
      </c>
      <c r="C152" s="1965" t="s">
        <v>38</v>
      </c>
      <c r="D152" s="1968"/>
      <c r="E152" s="1968"/>
      <c r="F152" s="1966">
        <v>0</v>
      </c>
      <c r="G152" s="1967">
        <v>0.75</v>
      </c>
      <c r="H152" s="1968"/>
      <c r="I152" s="1968"/>
      <c r="J152" s="1968"/>
      <c r="K152" s="1981">
        <v>3000000</v>
      </c>
      <c r="M152" s="1433" t="str">
        <f>IF(AND(Input_Product=EligOverlay!B152,Input_Occupancy=EligOverlay!C152,Input_DSCR&gt;=EligOverlay!F152,Input_DSCR&lt;EligOverlay!G152),K152,"")</f>
        <v/>
      </c>
      <c r="N152" s="1420"/>
      <c r="O152" s="1420"/>
      <c r="P152" s="1420"/>
      <c r="Q152" s="1420"/>
      <c r="R152" s="1420"/>
      <c r="S152" s="1420"/>
      <c r="T152" s="1452" t="s">
        <v>2484</v>
      </c>
    </row>
    <row r="153" spans="2:20" x14ac:dyDescent="0.2">
      <c r="B153" s="1988" t="str">
        <f>Input_Name_Product5</f>
        <v>Second NOO</v>
      </c>
      <c r="C153" s="1989"/>
      <c r="D153" s="1989" t="s">
        <v>82</v>
      </c>
      <c r="E153" s="1990" t="s">
        <v>189</v>
      </c>
      <c r="F153" s="1991"/>
      <c r="G153" s="1992" t="s">
        <v>2517</v>
      </c>
      <c r="H153" s="1993">
        <f>IF(IFERROR(FIND(Input_State,EligOverlay!G153),0)&gt;0,"",0.01)</f>
        <v>0.01</v>
      </c>
      <c r="I153" s="1994"/>
      <c r="J153" s="1994"/>
      <c r="K153" s="1995"/>
      <c r="M153" s="1420"/>
      <c r="N153" s="1420"/>
      <c r="O153" s="1433" t="str">
        <f>IF(AND(Input_Product=EligOverlay!B153,Input_DocType=EligOverlay!E153,Input_PrepayPenalty=EligOverlay!D153),H153,"")</f>
        <v/>
      </c>
      <c r="P153" s="1420"/>
      <c r="Q153" s="1420"/>
      <c r="R153" s="1420"/>
      <c r="S153" s="1420"/>
      <c r="T153" s="1452" t="s">
        <v>2255</v>
      </c>
    </row>
    <row r="154" spans="2:20" x14ac:dyDescent="0.2">
      <c r="B154" s="1444"/>
      <c r="H154" s="460" t="str">
        <f>IF(IFERROR(FIND(Input_State,EligOverlay!G153),"")&gt;0,"",0.01)</f>
        <v/>
      </c>
      <c r="M154" s="460"/>
      <c r="N154" s="460"/>
      <c r="O154" s="460"/>
      <c r="P154" s="460"/>
      <c r="Q154" s="460"/>
      <c r="R154" s="460"/>
      <c r="S154" s="460"/>
      <c r="T154" s="1445"/>
    </row>
    <row r="155" spans="2:20" x14ac:dyDescent="0.2">
      <c r="B155" s="1444"/>
      <c r="M155" s="460"/>
      <c r="N155" s="460"/>
      <c r="O155" s="460"/>
      <c r="P155" s="460"/>
      <c r="Q155" s="460"/>
      <c r="R155" s="460"/>
      <c r="S155" s="460"/>
      <c r="T155" s="1445"/>
    </row>
    <row r="156" spans="2:20" x14ac:dyDescent="0.2">
      <c r="B156" s="1444"/>
      <c r="M156" s="460"/>
      <c r="N156" s="460"/>
      <c r="O156" s="460"/>
      <c r="P156" s="460"/>
      <c r="Q156" s="460"/>
      <c r="R156" s="460"/>
      <c r="S156" s="460"/>
      <c r="T156" s="1445"/>
    </row>
    <row r="157" spans="2:20" x14ac:dyDescent="0.2">
      <c r="B157" s="1456" t="s">
        <v>258</v>
      </c>
      <c r="C157" s="1298" t="s">
        <v>36</v>
      </c>
      <c r="D157" s="1314"/>
      <c r="E157" s="1314"/>
      <c r="F157" s="1314"/>
      <c r="G157" s="1317"/>
      <c r="H157" s="1332" t="s">
        <v>1850</v>
      </c>
      <c r="I157" s="1332" t="s">
        <v>1849</v>
      </c>
      <c r="J157" s="1332" t="s">
        <v>306</v>
      </c>
      <c r="K157" s="1301" t="s">
        <v>1399</v>
      </c>
      <c r="M157" s="460"/>
      <c r="N157" s="460"/>
      <c r="O157" s="460"/>
      <c r="P157" s="460"/>
      <c r="Q157" s="460"/>
      <c r="R157" s="460"/>
      <c r="S157" s="460"/>
      <c r="T157" s="1445"/>
    </row>
    <row r="158" spans="2:20" x14ac:dyDescent="0.2">
      <c r="B158" s="1440" t="str">
        <f t="shared" ref="B158:B184" si="7">Input_Name_Product1</f>
        <v>NonQM OO</v>
      </c>
      <c r="C158" s="1305" t="s">
        <v>83</v>
      </c>
      <c r="D158" s="1306"/>
      <c r="E158" s="1306"/>
      <c r="F158" s="1306"/>
      <c r="G158" s="1306"/>
      <c r="H158" s="1307">
        <v>90</v>
      </c>
      <c r="I158" s="1307">
        <v>90</v>
      </c>
      <c r="J158" s="1307">
        <v>80</v>
      </c>
      <c r="K158" s="1426"/>
      <c r="M158" s="1420"/>
      <c r="N158" s="1420"/>
      <c r="O158" s="1420"/>
      <c r="P158" s="1435"/>
      <c r="Q158" s="1420"/>
      <c r="R158" s="1420"/>
      <c r="S158" s="1420"/>
      <c r="T158" s="1443"/>
    </row>
    <row r="159" spans="2:20" x14ac:dyDescent="0.2">
      <c r="B159" s="1440" t="str">
        <f t="shared" si="7"/>
        <v>NonQM OO</v>
      </c>
      <c r="C159" s="1305" t="s">
        <v>1402</v>
      </c>
      <c r="D159" s="1306"/>
      <c r="E159" s="1306"/>
      <c r="F159" s="1306"/>
      <c r="G159" s="1306"/>
      <c r="H159" s="1307">
        <v>80</v>
      </c>
      <c r="I159" s="1307">
        <v>80</v>
      </c>
      <c r="J159" s="1307">
        <v>70</v>
      </c>
      <c r="K159" s="1426"/>
      <c r="M159" s="1420"/>
      <c r="N159" s="1420"/>
      <c r="O159" s="1434" t="str">
        <f>IF(AND(Input_Product=EligOverlay!B159,Input_PropertyType=EligOverlay!C159),IF(Input_Purpose="Purchase",EligOverlay!H159,IF(Input_Purpose="Rate-Term",EligOverlay!I159,IF(Input_Purpose="Cash-Out",EligOverlay!J159,""))),"")</f>
        <v/>
      </c>
      <c r="P159" s="1435"/>
      <c r="Q159" s="1420"/>
      <c r="R159" s="1420"/>
      <c r="S159" s="1420"/>
      <c r="T159" s="1457" t="s">
        <v>1402</v>
      </c>
    </row>
    <row r="160" spans="2:20" x14ac:dyDescent="0.2">
      <c r="B160" s="1440" t="str">
        <f t="shared" si="7"/>
        <v>NonQM OO</v>
      </c>
      <c r="C160" s="1305" t="s">
        <v>2308</v>
      </c>
      <c r="D160" s="1306"/>
      <c r="E160" s="1306"/>
      <c r="F160" s="1306"/>
      <c r="G160" s="1306"/>
      <c r="H160" s="1307">
        <v>80</v>
      </c>
      <c r="I160" s="1307">
        <v>80</v>
      </c>
      <c r="J160" s="1307">
        <v>70</v>
      </c>
      <c r="K160" s="1426"/>
      <c r="M160" s="1420"/>
      <c r="N160" s="1420"/>
      <c r="O160" s="1434" t="str">
        <f>IF(AND(Input_Product=EligOverlay!B160,Input_PropertyType=EligOverlay!C160),IF(Input_Purpose="Purchase",EligOverlay!H160,IF(Input_Purpose="Rate-Term",EligOverlay!I160,IF(Input_Purpose="Cash-Out",EligOverlay!J160,""))),"")</f>
        <v/>
      </c>
      <c r="P160" s="1435"/>
      <c r="Q160" s="1420"/>
      <c r="R160" s="1420"/>
      <c r="S160" s="1420"/>
      <c r="T160" s="1457" t="s">
        <v>2308</v>
      </c>
    </row>
    <row r="161" spans="2:20" x14ac:dyDescent="0.2">
      <c r="B161" s="1440" t="str">
        <f t="shared" si="7"/>
        <v>NonQM OO</v>
      </c>
      <c r="C161" s="1305" t="s">
        <v>154</v>
      </c>
      <c r="D161" s="1306"/>
      <c r="E161" s="1306"/>
      <c r="F161" s="1306"/>
      <c r="G161" s="1306"/>
      <c r="H161" s="1307">
        <v>90</v>
      </c>
      <c r="I161" s="1307">
        <v>90</v>
      </c>
      <c r="J161" s="1307">
        <v>80</v>
      </c>
      <c r="K161" s="1426"/>
      <c r="M161" s="1420"/>
      <c r="N161" s="1420"/>
      <c r="O161" s="1420"/>
      <c r="P161" s="1435"/>
      <c r="Q161" s="1420"/>
      <c r="R161" s="1420"/>
      <c r="S161" s="1420"/>
      <c r="T161" s="1457" t="s">
        <v>154</v>
      </c>
    </row>
    <row r="162" spans="2:20" x14ac:dyDescent="0.2">
      <c r="B162" s="1440" t="str">
        <f t="shared" si="7"/>
        <v>NonQM OO</v>
      </c>
      <c r="C162" s="1305" t="s">
        <v>127</v>
      </c>
      <c r="D162" s="1306"/>
      <c r="E162" s="1306"/>
      <c r="F162" s="1306"/>
      <c r="G162" s="1306"/>
      <c r="H162" s="1307">
        <v>90</v>
      </c>
      <c r="I162" s="1307">
        <v>90</v>
      </c>
      <c r="J162" s="1307">
        <v>80</v>
      </c>
      <c r="K162" s="1426"/>
      <c r="M162" s="1420"/>
      <c r="N162" s="1420"/>
      <c r="O162" s="1420"/>
      <c r="P162" s="1435"/>
      <c r="Q162" s="1420"/>
      <c r="R162" s="1420"/>
      <c r="S162" s="1420"/>
      <c r="T162" s="1457" t="s">
        <v>127</v>
      </c>
    </row>
    <row r="163" spans="2:20" x14ac:dyDescent="0.2">
      <c r="B163" s="1440" t="str">
        <f t="shared" si="7"/>
        <v>NonQM OO</v>
      </c>
      <c r="C163" s="1305" t="s">
        <v>222</v>
      </c>
      <c r="D163" s="1306"/>
      <c r="E163" s="1306"/>
      <c r="F163" s="1306"/>
      <c r="G163" s="1306"/>
      <c r="H163" s="1307">
        <v>90</v>
      </c>
      <c r="I163" s="1307">
        <v>90</v>
      </c>
      <c r="J163" s="1307">
        <v>80</v>
      </c>
      <c r="K163" s="1426"/>
      <c r="M163" s="1420"/>
      <c r="N163" s="1420"/>
      <c r="O163" s="1434" t="str">
        <f>IF(AND(Input_Product=EligOverlay!B163,Input_PropertyType=EligOverlay!C163),IF(Input_Purpose="Purchase",EligOverlay!H163,IF(Input_Purpose="Rate-Term",EligOverlay!I163,IF(Input_Purpose="Cash-Out",EligOverlay!J163,""))),"")</f>
        <v/>
      </c>
      <c r="P163" s="1435"/>
      <c r="Q163" s="1420"/>
      <c r="R163" s="1420"/>
      <c r="S163" s="1420"/>
      <c r="T163" s="1457" t="s">
        <v>222</v>
      </c>
    </row>
    <row r="164" spans="2:20" x14ac:dyDescent="0.2">
      <c r="B164" s="1440" t="str">
        <f t="shared" si="7"/>
        <v>NonQM OO</v>
      </c>
      <c r="C164" s="1305" t="s">
        <v>132</v>
      </c>
      <c r="D164" s="1306"/>
      <c r="E164" s="1306"/>
      <c r="F164" s="1306"/>
      <c r="G164" s="1306"/>
      <c r="H164" s="1307">
        <v>85</v>
      </c>
      <c r="I164" s="1307">
        <v>85</v>
      </c>
      <c r="J164" s="1307">
        <v>80</v>
      </c>
      <c r="K164" s="1426"/>
      <c r="M164" s="1420"/>
      <c r="N164" s="1420"/>
      <c r="O164" s="1434" t="str">
        <f>IF(AND(Input_Product=EligOverlay!B164,Input_PropertyType=EligOverlay!C164),IF(Input_Purpose="Purchase",EligOverlay!H164,IF(Input_Purpose="Rate-Term",EligOverlay!I164,IF(Input_Purpose="Cash-Out",EligOverlay!J164,""))),"")</f>
        <v/>
      </c>
      <c r="P164" s="1435"/>
      <c r="Q164" s="1420"/>
      <c r="R164" s="1420"/>
      <c r="S164" s="1420"/>
      <c r="T164" s="1457" t="s">
        <v>132</v>
      </c>
    </row>
    <row r="165" spans="2:20" x14ac:dyDescent="0.2">
      <c r="B165" s="1440" t="str">
        <f t="shared" si="7"/>
        <v>NonQM OO</v>
      </c>
      <c r="C165" s="1305" t="s">
        <v>133</v>
      </c>
      <c r="D165" s="1306"/>
      <c r="E165" s="1306"/>
      <c r="F165" s="1306"/>
      <c r="G165" s="1306"/>
      <c r="H165" s="1307">
        <v>85</v>
      </c>
      <c r="I165" s="1307">
        <v>85</v>
      </c>
      <c r="J165" s="1307">
        <v>80</v>
      </c>
      <c r="K165" s="1426"/>
      <c r="M165" s="1420"/>
      <c r="N165" s="1420"/>
      <c r="O165" s="1434" t="str">
        <f>IF(AND(Input_Product=EligOverlay!B165,Input_PropertyType=EligOverlay!C165),IF(Input_Purpose="Purchase",EligOverlay!H165,IF(Input_Purpose="Rate-Term",EligOverlay!I165,IF(Input_Purpose="Cash-Out",EligOverlay!J165,""))),"")</f>
        <v/>
      </c>
      <c r="P165" s="1435"/>
      <c r="Q165" s="1420"/>
      <c r="R165" s="1420"/>
      <c r="S165" s="1420"/>
      <c r="T165" s="1457" t="s">
        <v>133</v>
      </c>
    </row>
    <row r="166" spans="2:20" x14ac:dyDescent="0.2">
      <c r="B166" s="1440" t="str">
        <f t="shared" si="7"/>
        <v>NonQM OO</v>
      </c>
      <c r="C166" s="1305" t="s">
        <v>134</v>
      </c>
      <c r="D166" s="1306"/>
      <c r="E166" s="1306"/>
      <c r="F166" s="1306"/>
      <c r="G166" s="1306"/>
      <c r="H166" s="1307">
        <v>85</v>
      </c>
      <c r="I166" s="1307">
        <v>85</v>
      </c>
      <c r="J166" s="1307">
        <v>80</v>
      </c>
      <c r="K166" s="1426"/>
      <c r="M166" s="1420"/>
      <c r="N166" s="1420"/>
      <c r="O166" s="1434" t="str">
        <f>IF(AND(Input_Product=EligOverlay!B166,Input_PropertyType=EligOverlay!C166),IF(Input_Purpose="Purchase",EligOverlay!H166,IF(Input_Purpose="Rate-Term",EligOverlay!I166,IF(Input_Purpose="Cash-Out",EligOverlay!J166,""))),"")</f>
        <v/>
      </c>
      <c r="P166" s="1435"/>
      <c r="Q166" s="1420"/>
      <c r="R166" s="1420"/>
      <c r="S166" s="1420"/>
      <c r="T166" s="1457" t="s">
        <v>134</v>
      </c>
    </row>
    <row r="167" spans="2:20" x14ac:dyDescent="0.2">
      <c r="B167" s="1440" t="str">
        <f t="shared" si="7"/>
        <v>NonQM OO</v>
      </c>
      <c r="C167" s="1305" t="s">
        <v>130</v>
      </c>
      <c r="D167" s="1306"/>
      <c r="E167" s="1306"/>
      <c r="F167" s="1306"/>
      <c r="G167" s="1306"/>
      <c r="H167" s="1307">
        <v>90</v>
      </c>
      <c r="I167" s="1307">
        <v>90</v>
      </c>
      <c r="J167" s="1307">
        <v>80</v>
      </c>
      <c r="K167" s="1426"/>
      <c r="M167" s="1420"/>
      <c r="N167" s="1420"/>
      <c r="O167" s="1434" t="str">
        <f>IF(AND(Input_Product=EligOverlay!B167,Input_PropertyType=EligOverlay!C167),IF(Input_Purpose="Purchase",EligOverlay!H167,IF(Input_Purpose="Rate-Term",EligOverlay!I167,IF(Input_Purpose="Cash-Out",EligOverlay!J167,""))),"")</f>
        <v/>
      </c>
      <c r="P167" s="1435"/>
      <c r="Q167" s="1420"/>
      <c r="R167" s="1420"/>
      <c r="S167" s="1420"/>
      <c r="T167" s="1457" t="s">
        <v>130</v>
      </c>
    </row>
    <row r="168" spans="2:20" x14ac:dyDescent="0.2">
      <c r="B168" s="1440" t="str">
        <f t="shared" si="7"/>
        <v>NonQM OO</v>
      </c>
      <c r="C168" s="1305" t="s">
        <v>131</v>
      </c>
      <c r="D168" s="1306"/>
      <c r="E168" s="1306"/>
      <c r="F168" s="1306"/>
      <c r="G168" s="1306"/>
      <c r="H168" s="1307">
        <v>85</v>
      </c>
      <c r="I168" s="1307">
        <v>85</v>
      </c>
      <c r="J168" s="1307">
        <v>80</v>
      </c>
      <c r="K168" s="1426"/>
      <c r="M168" s="1420"/>
      <c r="N168" s="1420"/>
      <c r="O168" s="1434" t="str">
        <f>IF(AND(Input_Product=EligOverlay!B168,Input_PropertyType=EligOverlay!C168),IF(Input_Purpose="Purchase",EligOverlay!H168,IF(Input_Purpose="Rate-Term",EligOverlay!I168,IF(Input_Purpose="Cash-Out",EligOverlay!J168,""))),"")</f>
        <v/>
      </c>
      <c r="P168" s="1435"/>
      <c r="Q168" s="1420"/>
      <c r="R168" s="1420"/>
      <c r="S168" s="1420"/>
      <c r="T168" s="1457" t="s">
        <v>131</v>
      </c>
    </row>
    <row r="169" spans="2:20" x14ac:dyDescent="0.2">
      <c r="B169" s="1440" t="str">
        <f t="shared" si="7"/>
        <v>NonQM OO</v>
      </c>
      <c r="C169" s="1305" t="s">
        <v>1397</v>
      </c>
      <c r="D169" s="1306"/>
      <c r="E169" s="1306"/>
      <c r="F169" s="1306"/>
      <c r="G169" s="1306"/>
      <c r="H169" s="1307">
        <v>85</v>
      </c>
      <c r="I169" s="1307">
        <v>85</v>
      </c>
      <c r="J169" s="1307">
        <v>75</v>
      </c>
      <c r="K169" s="1867">
        <v>2500000</v>
      </c>
      <c r="M169" s="1433" t="str">
        <f>IF(AND(Input_Product=EligOverlay!B169,Input_PropertyType=EligOverlay!C169,Input_LoanAmt&gt;EligOverlay!K169),K169,"")</f>
        <v/>
      </c>
      <c r="N169" s="1420"/>
      <c r="O169" s="1434" t="str">
        <f>IF(AND(Input_Product=EligOverlay!B169,Input_PropertyType=EligOverlay!C169),IF(Input_Purpose="Purchase",EligOverlay!H169,IF(Input_Purpose="Rate-Term",EligOverlay!I169,IF(Input_Purpose="Cash-Out",EligOverlay!J169,""))),"")</f>
        <v/>
      </c>
      <c r="P169" s="1435"/>
      <c r="Q169" s="1420"/>
      <c r="R169" s="1420"/>
      <c r="S169" s="1420"/>
      <c r="T169" s="1457" t="s">
        <v>1397</v>
      </c>
    </row>
    <row r="170" spans="2:20" x14ac:dyDescent="0.2">
      <c r="B170" s="1440" t="str">
        <f t="shared" si="7"/>
        <v>NonQM OO</v>
      </c>
      <c r="C170" s="1305" t="s">
        <v>152</v>
      </c>
      <c r="D170" s="1306"/>
      <c r="E170" s="1306"/>
      <c r="F170" s="1306"/>
      <c r="G170" s="1306"/>
      <c r="H170" s="1307">
        <v>90</v>
      </c>
      <c r="I170" s="1307">
        <v>90</v>
      </c>
      <c r="J170" s="1307">
        <v>80</v>
      </c>
      <c r="K170" s="1426"/>
      <c r="M170" s="1420"/>
      <c r="N170" s="1420"/>
      <c r="O170" s="1434" t="str">
        <f>IF(AND(Input_Product=EligOverlay!B170,Input_PropertyType=EligOverlay!C170),IF(Input_Purpose="Purchase",EligOverlay!H170,IF(Input_Purpose="Rate-Term",EligOverlay!I170,IF(Input_Purpose="Cash-Out",EligOverlay!J170,""))),"")</f>
        <v/>
      </c>
      <c r="P170" s="1435"/>
      <c r="Q170" s="1420"/>
      <c r="R170" s="1420"/>
      <c r="S170" s="1420"/>
      <c r="T170" s="1457" t="s">
        <v>152</v>
      </c>
    </row>
    <row r="171" spans="2:20" x14ac:dyDescent="0.2">
      <c r="B171" s="1440" t="str">
        <f t="shared" si="7"/>
        <v>NonQM OO</v>
      </c>
      <c r="C171" s="1305" t="s">
        <v>153</v>
      </c>
      <c r="D171" s="1306"/>
      <c r="E171" s="1306"/>
      <c r="F171" s="1306"/>
      <c r="G171" s="1306"/>
      <c r="H171" s="1307">
        <v>90</v>
      </c>
      <c r="I171" s="1307">
        <v>90</v>
      </c>
      <c r="J171" s="1307">
        <v>80</v>
      </c>
      <c r="K171" s="1426"/>
      <c r="M171" s="1420"/>
      <c r="N171" s="1420"/>
      <c r="O171" s="1434" t="str">
        <f>IF(AND(Input_Product=EligOverlay!B171,Input_PropertyType=EligOverlay!C171),IF(Input_Purpose="Purchase",EligOverlay!H171,IF(Input_Purpose="Rate-Term",EligOverlay!I171,IF(Input_Purpose="Cash-Out",EligOverlay!J171,""))),"")</f>
        <v/>
      </c>
      <c r="P171" s="1435"/>
      <c r="Q171" s="1420"/>
      <c r="R171" s="1420"/>
      <c r="S171" s="1420"/>
      <c r="T171" s="1457" t="s">
        <v>153</v>
      </c>
    </row>
    <row r="172" spans="2:20" x14ac:dyDescent="0.2">
      <c r="B172" s="1440" t="str">
        <f t="shared" si="7"/>
        <v>NonQM OO</v>
      </c>
      <c r="C172" s="1305" t="s">
        <v>19</v>
      </c>
      <c r="D172" s="1306"/>
      <c r="E172" s="1306"/>
      <c r="F172" s="1306"/>
      <c r="G172" s="1306"/>
      <c r="H172" s="1307">
        <v>90</v>
      </c>
      <c r="I172" s="1307">
        <v>90</v>
      </c>
      <c r="J172" s="1307">
        <v>80</v>
      </c>
      <c r="K172" s="1426"/>
      <c r="M172" s="1420"/>
      <c r="N172" s="1420"/>
      <c r="O172" s="1434" t="str">
        <f>IF(AND(Input_Product=EligOverlay!B172,Input_PropertyType=EligOverlay!C172),IF(Input_Purpose="Purchase",EligOverlay!H172,IF(Input_Purpose="Rate-Term",EligOverlay!I172,IF(Input_Purpose="Cash-Out",EligOverlay!J172,""))),"")</f>
        <v/>
      </c>
      <c r="P172" s="1435"/>
      <c r="Q172" s="1420"/>
      <c r="R172" s="1420"/>
      <c r="S172" s="1420"/>
      <c r="T172" s="1457" t="s">
        <v>19</v>
      </c>
    </row>
    <row r="173" spans="2:20" x14ac:dyDescent="0.2">
      <c r="B173" s="1440" t="str">
        <f t="shared" si="7"/>
        <v>NonQM OO</v>
      </c>
      <c r="C173" s="1305" t="s">
        <v>129</v>
      </c>
      <c r="D173" s="1306"/>
      <c r="E173" s="1306"/>
      <c r="F173" s="1306"/>
      <c r="G173" s="1306"/>
      <c r="H173" s="1307">
        <v>0.01</v>
      </c>
      <c r="I173" s="1307">
        <v>0.01</v>
      </c>
      <c r="J173" s="1307">
        <v>0.01</v>
      </c>
      <c r="K173" s="1426"/>
      <c r="M173" s="1420"/>
      <c r="N173" s="1420"/>
      <c r="O173" s="1434" t="str">
        <f>IF(AND(Input_Product=EligOverlay!B173,Input_PropertyType=EligOverlay!C173),IF(Input_Purpose="Purchase",EligOverlay!H173,IF(Input_Purpose="Rate-Term",EligOverlay!I173,IF(Input_Purpose="Cash-Out",EligOverlay!J173,""))),"")</f>
        <v/>
      </c>
      <c r="P173" s="1435"/>
      <c r="Q173" s="1420"/>
      <c r="R173" s="1420"/>
      <c r="S173" s="1420"/>
      <c r="T173" s="1457" t="s">
        <v>129</v>
      </c>
    </row>
    <row r="174" spans="2:20" x14ac:dyDescent="0.2">
      <c r="B174" s="1440" t="str">
        <f t="shared" si="7"/>
        <v>NonQM OO</v>
      </c>
      <c r="C174" s="1305" t="s">
        <v>232</v>
      </c>
      <c r="D174" s="1306"/>
      <c r="E174" s="1306"/>
      <c r="F174" s="1306"/>
      <c r="G174" s="1306"/>
      <c r="H174" s="1307">
        <v>0.01</v>
      </c>
      <c r="I174" s="1307">
        <v>0.01</v>
      </c>
      <c r="J174" s="1307">
        <v>0.01</v>
      </c>
      <c r="K174" s="1426"/>
      <c r="M174" s="1420"/>
      <c r="N174" s="1420"/>
      <c r="O174" s="1434" t="str">
        <f>IF(AND(Input_Product=EligOverlay!B174,Input_PropertyType=EligOverlay!C174),IF(Input_Purpose="Purchase",EligOverlay!H174,IF(Input_Purpose="Rate-Term",EligOverlay!I174,IF(Input_Purpose="Cash-Out",EligOverlay!J174,""))),"")</f>
        <v/>
      </c>
      <c r="P174" s="1435"/>
      <c r="Q174" s="1420"/>
      <c r="R174" s="1420"/>
      <c r="S174" s="1420"/>
      <c r="T174" s="1457" t="s">
        <v>232</v>
      </c>
    </row>
    <row r="175" spans="2:20" x14ac:dyDescent="0.2">
      <c r="B175" s="1440" t="str">
        <f t="shared" si="7"/>
        <v>NonQM OO</v>
      </c>
      <c r="C175" s="1305" t="s">
        <v>233</v>
      </c>
      <c r="D175" s="1306"/>
      <c r="E175" s="1306"/>
      <c r="F175" s="1306"/>
      <c r="G175" s="1306"/>
      <c r="H175" s="1307">
        <v>0.01</v>
      </c>
      <c r="I175" s="1307">
        <v>0.01</v>
      </c>
      <c r="J175" s="1307">
        <v>0.01</v>
      </c>
      <c r="K175" s="1426"/>
      <c r="M175" s="1420"/>
      <c r="N175" s="1420"/>
      <c r="O175" s="1434" t="str">
        <f>IF(AND(Input_Product=EligOverlay!B175,Input_PropertyType=EligOverlay!C175),IF(Input_Purpose="Purchase",EligOverlay!H175,IF(Input_Purpose="Rate-Term",EligOverlay!I175,IF(Input_Purpose="Cash-Out",EligOverlay!J175,""))),"")</f>
        <v/>
      </c>
      <c r="P175" s="1435"/>
      <c r="Q175" s="1420"/>
      <c r="R175" s="1420"/>
      <c r="S175" s="1420"/>
      <c r="T175" s="1457" t="s">
        <v>233</v>
      </c>
    </row>
    <row r="176" spans="2:20" x14ac:dyDescent="0.2">
      <c r="B176" s="1440" t="str">
        <f t="shared" si="7"/>
        <v>NonQM OO</v>
      </c>
      <c r="C176" s="1305" t="s">
        <v>234</v>
      </c>
      <c r="D176" s="1306"/>
      <c r="E176" s="1306"/>
      <c r="F176" s="1306"/>
      <c r="G176" s="1306"/>
      <c r="H176" s="1307">
        <v>0.01</v>
      </c>
      <c r="I176" s="1307">
        <v>0.01</v>
      </c>
      <c r="J176" s="1307">
        <v>0.01</v>
      </c>
      <c r="K176" s="1426"/>
      <c r="M176" s="1420"/>
      <c r="N176" s="1420"/>
      <c r="O176" s="1434" t="str">
        <f>IF(AND(Input_Product=EligOverlay!B176,Input_PropertyType=EligOverlay!C176),IF(Input_Purpose="Purchase",EligOverlay!H176,IF(Input_Purpose="Rate-Term",EligOverlay!I176,IF(Input_Purpose="Cash-Out",EligOverlay!J176,""))),"")</f>
        <v/>
      </c>
      <c r="P176" s="1435"/>
      <c r="Q176" s="1420"/>
      <c r="R176" s="1420"/>
      <c r="S176" s="1420"/>
      <c r="T176" s="1457" t="s">
        <v>234</v>
      </c>
    </row>
    <row r="177" spans="2:20" x14ac:dyDescent="0.2">
      <c r="B177" s="1440" t="str">
        <f t="shared" si="7"/>
        <v>NonQM OO</v>
      </c>
      <c r="C177" s="1305" t="s">
        <v>235</v>
      </c>
      <c r="D177" s="1306"/>
      <c r="E177" s="1306"/>
      <c r="F177" s="1306"/>
      <c r="G177" s="1306"/>
      <c r="H177" s="1307">
        <v>0.01</v>
      </c>
      <c r="I177" s="1307">
        <v>0.01</v>
      </c>
      <c r="J177" s="1307">
        <v>0.01</v>
      </c>
      <c r="K177" s="1426"/>
      <c r="M177" s="1420"/>
      <c r="N177" s="1420"/>
      <c r="O177" s="1434" t="str">
        <f>IF(AND(Input_Product=EligOverlay!B177,Input_PropertyType=EligOverlay!C177),IF(Input_Purpose="Purchase",EligOverlay!H177,IF(Input_Purpose="Rate-Term",EligOverlay!I177,IF(Input_Purpose="Cash-Out",EligOverlay!J177,""))),"")</f>
        <v/>
      </c>
      <c r="P177" s="1435"/>
      <c r="Q177" s="1420"/>
      <c r="R177" s="1420"/>
      <c r="S177" s="1420"/>
      <c r="T177" s="1457" t="s">
        <v>235</v>
      </c>
    </row>
    <row r="178" spans="2:20" x14ac:dyDescent="0.2">
      <c r="B178" s="1440" t="str">
        <f t="shared" si="7"/>
        <v>NonQM OO</v>
      </c>
      <c r="C178" s="1305" t="s">
        <v>239</v>
      </c>
      <c r="D178" s="1306"/>
      <c r="E178" s="1306"/>
      <c r="F178" s="1306"/>
      <c r="G178" s="1306"/>
      <c r="H178" s="1307">
        <v>0.01</v>
      </c>
      <c r="I178" s="1307">
        <v>0.01</v>
      </c>
      <c r="J178" s="1307">
        <v>0.01</v>
      </c>
      <c r="K178" s="1426"/>
      <c r="M178" s="1420"/>
      <c r="N178" s="1420"/>
      <c r="O178" s="1434" t="str">
        <f>IF(AND(Input_Product=EligOverlay!B178,Input_PropertyType=EligOverlay!C178),IF(Input_Purpose="Purchase",EligOverlay!H178,IF(Input_Purpose="Rate-Term",EligOverlay!I178,IF(Input_Purpose="Cash-Out",EligOverlay!J178,""))),"")</f>
        <v/>
      </c>
      <c r="P178" s="1435"/>
      <c r="Q178" s="1420"/>
      <c r="R178" s="1420"/>
      <c r="S178" s="1420"/>
      <c r="T178" s="1457" t="s">
        <v>239</v>
      </c>
    </row>
    <row r="179" spans="2:20" x14ac:dyDescent="0.2">
      <c r="B179" s="1440" t="str">
        <f t="shared" si="7"/>
        <v>NonQM OO</v>
      </c>
      <c r="C179" s="1305" t="s">
        <v>240</v>
      </c>
      <c r="D179" s="1306"/>
      <c r="E179" s="1306"/>
      <c r="F179" s="1306"/>
      <c r="G179" s="1306"/>
      <c r="H179" s="1307">
        <v>0.01</v>
      </c>
      <c r="I179" s="1307">
        <v>0.01</v>
      </c>
      <c r="J179" s="1307">
        <v>0.01</v>
      </c>
      <c r="K179" s="1426"/>
      <c r="M179" s="1420"/>
      <c r="N179" s="1420"/>
      <c r="O179" s="1434" t="str">
        <f>IF(AND(Input_Product=EligOverlay!B179,Input_PropertyType=EligOverlay!C179),IF(Input_Purpose="Purchase",EligOverlay!H179,IF(Input_Purpose="Rate-Term",EligOverlay!I179,IF(Input_Purpose="Cash-Out",EligOverlay!J179,""))),"")</f>
        <v/>
      </c>
      <c r="P179" s="1435"/>
      <c r="Q179" s="1420"/>
      <c r="R179" s="1420"/>
      <c r="S179" s="1420"/>
      <c r="T179" s="1457" t="s">
        <v>240</v>
      </c>
    </row>
    <row r="180" spans="2:20" x14ac:dyDescent="0.2">
      <c r="B180" s="1440" t="str">
        <f t="shared" si="7"/>
        <v>NonQM OO</v>
      </c>
      <c r="C180" s="1305" t="s">
        <v>241</v>
      </c>
      <c r="D180" s="1306"/>
      <c r="E180" s="1306"/>
      <c r="F180" s="1306"/>
      <c r="G180" s="1306"/>
      <c r="H180" s="1307">
        <v>0.01</v>
      </c>
      <c r="I180" s="1307">
        <v>0.01</v>
      </c>
      <c r="J180" s="1307">
        <v>0.01</v>
      </c>
      <c r="K180" s="1426"/>
      <c r="M180" s="1420"/>
      <c r="N180" s="1420"/>
      <c r="O180" s="1434" t="str">
        <f>IF(AND(Input_Product=EligOverlay!B180,Input_PropertyType=EligOverlay!C180),IF(Input_Purpose="Purchase",EligOverlay!H180,IF(Input_Purpose="Rate-Term",EligOverlay!I180,IF(Input_Purpose="Cash-Out",EligOverlay!J180,""))),"")</f>
        <v/>
      </c>
      <c r="P180" s="1435"/>
      <c r="Q180" s="1420"/>
      <c r="R180" s="1420"/>
      <c r="S180" s="1420"/>
      <c r="T180" s="1457" t="s">
        <v>241</v>
      </c>
    </row>
    <row r="181" spans="2:20" x14ac:dyDescent="0.2">
      <c r="B181" s="1440" t="str">
        <f t="shared" si="7"/>
        <v>NonQM OO</v>
      </c>
      <c r="C181" s="1427" t="s">
        <v>242</v>
      </c>
      <c r="D181" s="1306"/>
      <c r="E181" s="1306"/>
      <c r="F181" s="1306"/>
      <c r="G181" s="1306"/>
      <c r="H181" s="1307">
        <v>0.01</v>
      </c>
      <c r="I181" s="1307">
        <v>0.01</v>
      </c>
      <c r="J181" s="1307">
        <v>0.01</v>
      </c>
      <c r="K181" s="1426"/>
      <c r="M181" s="1420"/>
      <c r="N181" s="1420"/>
      <c r="O181" s="1434" t="str">
        <f>IF(AND(Input_Product=EligOverlay!B181,Input_PropertyType=EligOverlay!C181),IF(Input_Purpose="Purchase",EligOverlay!H181,IF(Input_Purpose="Rate-Term",EligOverlay!I181,IF(Input_Purpose="Cash-Out",EligOverlay!J181,""))),"")</f>
        <v/>
      </c>
      <c r="P181" s="1435"/>
      <c r="Q181" s="1420"/>
      <c r="R181" s="1420"/>
      <c r="S181" s="1420"/>
      <c r="T181" s="1457" t="s">
        <v>242</v>
      </c>
    </row>
    <row r="182" spans="2:20" x14ac:dyDescent="0.2">
      <c r="B182" s="1440" t="str">
        <f t="shared" si="7"/>
        <v>NonQM OO</v>
      </c>
      <c r="C182" s="1427" t="s">
        <v>243</v>
      </c>
      <c r="D182" s="1306"/>
      <c r="E182" s="1306"/>
      <c r="F182" s="1306"/>
      <c r="G182" s="1306"/>
      <c r="H182" s="1307">
        <v>0.01</v>
      </c>
      <c r="I182" s="1307">
        <v>0.01</v>
      </c>
      <c r="J182" s="1307">
        <v>0.01</v>
      </c>
      <c r="K182" s="1426"/>
      <c r="M182" s="1420"/>
      <c r="N182" s="1420"/>
      <c r="O182" s="1434" t="str">
        <f>IF(AND(Input_Product=EligOverlay!B182,Input_PropertyType=EligOverlay!C182),IF(Input_Purpose="Purchase",EligOverlay!H182,IF(Input_Purpose="Rate-Term",EligOverlay!I182,IF(Input_Purpose="Cash-Out",EligOverlay!J182,""))),"")</f>
        <v/>
      </c>
      <c r="P182" s="1435"/>
      <c r="Q182" s="1420"/>
      <c r="R182" s="1420"/>
      <c r="S182" s="1420"/>
      <c r="T182" s="1457" t="s">
        <v>243</v>
      </c>
    </row>
    <row r="183" spans="2:20" x14ac:dyDescent="0.2">
      <c r="B183" s="1440" t="str">
        <f t="shared" si="7"/>
        <v>NonQM OO</v>
      </c>
      <c r="C183" s="1428" t="s">
        <v>244</v>
      </c>
      <c r="D183" s="1306"/>
      <c r="E183" s="1306"/>
      <c r="F183" s="1306"/>
      <c r="G183" s="1306"/>
      <c r="H183" s="1307">
        <v>0.01</v>
      </c>
      <c r="I183" s="1307">
        <v>0.01</v>
      </c>
      <c r="J183" s="1307">
        <v>0.01</v>
      </c>
      <c r="K183" s="1426"/>
      <c r="M183" s="1420"/>
      <c r="N183" s="1420"/>
      <c r="O183" s="1434" t="str">
        <f>IF(AND(Input_Product=EligOverlay!B183,Input_PropertyType=EligOverlay!C183),IF(Input_Purpose="Purchase",EligOverlay!H183,IF(Input_Purpose="Rate-Term",EligOverlay!I183,IF(Input_Purpose="Cash-Out",EligOverlay!J183,""))),"")</f>
        <v/>
      </c>
      <c r="P183" s="1435"/>
      <c r="Q183" s="1420"/>
      <c r="R183" s="1420"/>
      <c r="S183" s="1420"/>
      <c r="T183" s="1457" t="s">
        <v>244</v>
      </c>
    </row>
    <row r="184" spans="2:20" x14ac:dyDescent="0.2">
      <c r="B184" s="1440" t="str">
        <f t="shared" si="7"/>
        <v>NonQM OO</v>
      </c>
      <c r="C184" s="1305" t="s">
        <v>245</v>
      </c>
      <c r="D184" s="1306"/>
      <c r="E184" s="1306"/>
      <c r="F184" s="1306"/>
      <c r="G184" s="1306"/>
      <c r="H184" s="1307">
        <v>0.01</v>
      </c>
      <c r="I184" s="1307">
        <v>0.01</v>
      </c>
      <c r="J184" s="1307">
        <v>0.01</v>
      </c>
      <c r="K184" s="1426"/>
      <c r="M184" s="1420"/>
      <c r="N184" s="1420"/>
      <c r="O184" s="1434" t="str">
        <f>IF(AND(Input_Product=EligOverlay!B184,Input_PropertyType=EligOverlay!C184),IF(Input_Purpose="Purchase",EligOverlay!H184,IF(Input_Purpose="Rate-Term",EligOverlay!I184,IF(Input_Purpose="Cash-Out",EligOverlay!J184,""))),"")</f>
        <v/>
      </c>
      <c r="P184" s="1435"/>
      <c r="Q184" s="1420"/>
      <c r="R184" s="1420"/>
      <c r="S184" s="1420"/>
      <c r="T184" s="1457" t="s">
        <v>245</v>
      </c>
    </row>
    <row r="185" spans="2:20" x14ac:dyDescent="0.2">
      <c r="B185" s="1442" t="str">
        <f>Input_Name_Product4</f>
        <v>Second OO</v>
      </c>
      <c r="C185" s="1305" t="s">
        <v>130</v>
      </c>
      <c r="D185" s="1306"/>
      <c r="E185" s="1306"/>
      <c r="F185" s="1306"/>
      <c r="G185" s="1306"/>
      <c r="H185" s="1307">
        <v>75</v>
      </c>
      <c r="I185" s="1307">
        <v>75</v>
      </c>
      <c r="J185" s="1307">
        <v>75</v>
      </c>
      <c r="K185" s="1426"/>
      <c r="M185" s="1420"/>
      <c r="N185" s="1420"/>
      <c r="O185" s="1434" t="str">
        <f>IF(AND(Input_Product=EligOverlay!B185,Input_PropertyType=EligOverlay!C185),IF(Input_Purpose="Purchase",EligOverlay!H185,IF(Input_Purpose="Rate-Term",EligOverlay!I185,IF(Input_Purpose="Cash-Out",EligOverlay!J185,""))),"")</f>
        <v/>
      </c>
      <c r="P185" s="1435"/>
      <c r="Q185" s="1420"/>
      <c r="R185" s="1420"/>
      <c r="S185" s="1420"/>
      <c r="T185" s="1457" t="s">
        <v>130</v>
      </c>
    </row>
    <row r="186" spans="2:20" x14ac:dyDescent="0.2">
      <c r="B186" s="1442" t="str">
        <f>Input_Name_Product4</f>
        <v>Second OO</v>
      </c>
      <c r="C186" s="1305" t="s">
        <v>132</v>
      </c>
      <c r="D186" s="1306"/>
      <c r="E186" s="1306"/>
      <c r="F186" s="1306"/>
      <c r="G186" s="1306"/>
      <c r="H186" s="1307">
        <v>75</v>
      </c>
      <c r="I186" s="1307">
        <v>75</v>
      </c>
      <c r="J186" s="1307">
        <v>75</v>
      </c>
      <c r="K186" s="1426"/>
      <c r="M186" s="1420"/>
      <c r="N186" s="1420"/>
      <c r="O186" s="1434" t="str">
        <f>IF(AND(Input_Product=EligOverlay!B186,Input_PropertyType=EligOverlay!C186),IF(Input_Purpose="Purchase",EligOverlay!H186,IF(Input_Purpose="Rate-Term",EligOverlay!I186,IF(Input_Purpose="Cash-Out",EligOverlay!J186,""))),"")</f>
        <v/>
      </c>
      <c r="P186" s="1435"/>
      <c r="Q186" s="1420"/>
      <c r="R186" s="1420"/>
      <c r="S186" s="1420"/>
      <c r="T186" s="1457" t="s">
        <v>132</v>
      </c>
    </row>
    <row r="187" spans="2:20" x14ac:dyDescent="0.2">
      <c r="B187" s="1442" t="str">
        <f>Input_Name_Product4</f>
        <v>Second OO</v>
      </c>
      <c r="C187" s="1305" t="s">
        <v>133</v>
      </c>
      <c r="D187" s="1306"/>
      <c r="E187" s="1306"/>
      <c r="F187" s="1306"/>
      <c r="G187" s="1306"/>
      <c r="H187" s="1307">
        <v>75</v>
      </c>
      <c r="I187" s="1307">
        <v>75</v>
      </c>
      <c r="J187" s="1307">
        <v>75</v>
      </c>
      <c r="K187" s="1426"/>
      <c r="M187" s="1420"/>
      <c r="N187" s="1420"/>
      <c r="O187" s="1434" t="str">
        <f>IF(AND(Input_Product=EligOverlay!B187,Input_PropertyType=EligOverlay!C187),IF(Input_Purpose="Purchase",EligOverlay!H187,IF(Input_Purpose="Rate-Term",EligOverlay!I187,IF(Input_Purpose="Cash-Out",EligOverlay!J187,""))),"")</f>
        <v/>
      </c>
      <c r="P187" s="1435"/>
      <c r="Q187" s="1420"/>
      <c r="R187" s="1420"/>
      <c r="S187" s="1420"/>
      <c r="T187" s="1457" t="s">
        <v>133</v>
      </c>
    </row>
    <row r="188" spans="2:20" x14ac:dyDescent="0.2">
      <c r="B188" s="1442" t="str">
        <f>Input_Name_Product4</f>
        <v>Second OO</v>
      </c>
      <c r="C188" s="1305" t="s">
        <v>134</v>
      </c>
      <c r="D188" s="1306"/>
      <c r="E188" s="1306"/>
      <c r="F188" s="1306"/>
      <c r="G188" s="1306"/>
      <c r="H188" s="1307">
        <v>75</v>
      </c>
      <c r="I188" s="1307">
        <v>75</v>
      </c>
      <c r="J188" s="1307">
        <v>75</v>
      </c>
      <c r="K188" s="1426"/>
      <c r="M188" s="1420"/>
      <c r="N188" s="1420"/>
      <c r="O188" s="1434" t="str">
        <f>IF(AND(Input_Product=EligOverlay!B188,Input_PropertyType=EligOverlay!C188),IF(Input_Purpose="Purchase",EligOverlay!H188,IF(Input_Purpose="Rate-Term",EligOverlay!I188,IF(Input_Purpose="Cash-Out",EligOverlay!J188,""))),"")</f>
        <v/>
      </c>
      <c r="P188" s="1435"/>
      <c r="Q188" s="1420"/>
      <c r="R188" s="1420"/>
      <c r="S188" s="1420"/>
      <c r="T188" s="1457" t="s">
        <v>134</v>
      </c>
    </row>
    <row r="189" spans="2:20" x14ac:dyDescent="0.2">
      <c r="B189" s="1458" t="str">
        <f>Input_Name_Product5</f>
        <v>Second NOO</v>
      </c>
      <c r="C189" s="1305" t="s">
        <v>130</v>
      </c>
      <c r="D189" s="1306"/>
      <c r="E189" s="1306"/>
      <c r="F189" s="1306"/>
      <c r="G189" s="1306"/>
      <c r="H189" s="1307">
        <v>70</v>
      </c>
      <c r="I189" s="1307">
        <v>70</v>
      </c>
      <c r="J189" s="1307">
        <v>70</v>
      </c>
      <c r="K189" s="1426"/>
      <c r="M189" s="1420"/>
      <c r="N189" s="1420"/>
      <c r="O189" s="1434" t="str">
        <f>IF(AND(Input_Product=EligOverlay!B189,Input_PropertyType=EligOverlay!C189),IF(Input_Purpose="Purchase",EligOverlay!H189,IF(Input_Purpose="Rate-Term",EligOverlay!I189,IF(Input_Purpose="Cash-Out",EligOverlay!J189,""))),"")</f>
        <v/>
      </c>
      <c r="P189" s="1435"/>
      <c r="Q189" s="1420"/>
      <c r="R189" s="1420"/>
      <c r="S189" s="1420"/>
      <c r="T189" s="1457" t="s">
        <v>130</v>
      </c>
    </row>
    <row r="190" spans="2:20" x14ac:dyDescent="0.2">
      <c r="B190" s="1458" t="str">
        <f>Input_Name_Product5</f>
        <v>Second NOO</v>
      </c>
      <c r="C190" s="1305" t="s">
        <v>132</v>
      </c>
      <c r="D190" s="1306"/>
      <c r="E190" s="1306"/>
      <c r="F190" s="1306"/>
      <c r="G190" s="1306"/>
      <c r="H190" s="1307">
        <v>70</v>
      </c>
      <c r="I190" s="1307">
        <v>70</v>
      </c>
      <c r="J190" s="1307">
        <v>70</v>
      </c>
      <c r="K190" s="1426"/>
      <c r="M190" s="1420"/>
      <c r="N190" s="1420"/>
      <c r="O190" s="1434" t="str">
        <f>IF(AND(Input_Product=EligOverlay!B190,Input_PropertyType=EligOverlay!C190),IF(Input_Purpose="Purchase",EligOverlay!H190,IF(Input_Purpose="Rate-Term",EligOverlay!I190,IF(Input_Purpose="Cash-Out",EligOverlay!J190,""))),"")</f>
        <v/>
      </c>
      <c r="P190" s="1435"/>
      <c r="Q190" s="1420"/>
      <c r="R190" s="1420"/>
      <c r="S190" s="1420"/>
      <c r="T190" s="1457" t="s">
        <v>132</v>
      </c>
    </row>
    <row r="191" spans="2:20" x14ac:dyDescent="0.2">
      <c r="B191" s="1458" t="str">
        <f>Input_Name_Product5</f>
        <v>Second NOO</v>
      </c>
      <c r="C191" s="1305" t="s">
        <v>133</v>
      </c>
      <c r="D191" s="1306"/>
      <c r="E191" s="1306"/>
      <c r="F191" s="1306"/>
      <c r="G191" s="1306"/>
      <c r="H191" s="1307">
        <v>70</v>
      </c>
      <c r="I191" s="1307">
        <v>70</v>
      </c>
      <c r="J191" s="1307">
        <v>70</v>
      </c>
      <c r="K191" s="1426"/>
      <c r="M191" s="1420"/>
      <c r="N191" s="1420"/>
      <c r="O191" s="1434" t="str">
        <f>IF(AND(Input_Product=EligOverlay!B191,Input_PropertyType=EligOverlay!C191),IF(Input_Purpose="Purchase",EligOverlay!H191,IF(Input_Purpose="Rate-Term",EligOverlay!I191,IF(Input_Purpose="Cash-Out",EligOverlay!J191,""))),"")</f>
        <v/>
      </c>
      <c r="P191" s="1435"/>
      <c r="Q191" s="1420"/>
      <c r="R191" s="1420"/>
      <c r="S191" s="1420"/>
      <c r="T191" s="1457" t="s">
        <v>133</v>
      </c>
    </row>
    <row r="192" spans="2:20" x14ac:dyDescent="0.2">
      <c r="B192" s="1458" t="str">
        <f>Input_Name_Product5</f>
        <v>Second NOO</v>
      </c>
      <c r="C192" s="1305" t="s">
        <v>134</v>
      </c>
      <c r="D192" s="1306"/>
      <c r="E192" s="1306"/>
      <c r="F192" s="1306"/>
      <c r="G192" s="1306"/>
      <c r="H192" s="1307">
        <v>70</v>
      </c>
      <c r="I192" s="1307">
        <v>70</v>
      </c>
      <c r="J192" s="1307">
        <v>70</v>
      </c>
      <c r="K192" s="1426"/>
      <c r="M192" s="1420"/>
      <c r="N192" s="1420"/>
      <c r="O192" s="1434" t="str">
        <f>IF(AND(Input_Product=EligOverlay!B192,Input_PropertyType=EligOverlay!C192),IF(Input_Purpose="Purchase",EligOverlay!H192,IF(Input_Purpose="Rate-Term",EligOverlay!I192,IF(Input_Purpose="Cash-Out",EligOverlay!J192,""))),"")</f>
        <v/>
      </c>
      <c r="P192" s="1435"/>
      <c r="Q192" s="1420"/>
      <c r="R192" s="1420"/>
      <c r="S192" s="1420"/>
      <c r="T192" s="1457" t="s">
        <v>134</v>
      </c>
    </row>
    <row r="193" spans="2:20" x14ac:dyDescent="0.2">
      <c r="B193" s="1441" t="str">
        <f t="shared" ref="B193:B219" si="8">Input_Name_Product2</f>
        <v>NonQM NOO</v>
      </c>
      <c r="C193" s="1305" t="s">
        <v>83</v>
      </c>
      <c r="D193" s="1306"/>
      <c r="E193" s="1306"/>
      <c r="F193" s="1306"/>
      <c r="G193" s="1306"/>
      <c r="H193" s="1307">
        <v>85</v>
      </c>
      <c r="I193" s="1307">
        <v>85</v>
      </c>
      <c r="J193" s="1307">
        <v>80</v>
      </c>
      <c r="K193" s="1426"/>
      <c r="M193" s="1420"/>
      <c r="N193" s="1420"/>
      <c r="O193" s="1420"/>
      <c r="P193" s="1435"/>
      <c r="Q193" s="1420"/>
      <c r="R193" s="1420"/>
      <c r="S193" s="1420"/>
      <c r="T193" s="1443"/>
    </row>
    <row r="194" spans="2:20" x14ac:dyDescent="0.2">
      <c r="B194" s="1441" t="str">
        <f t="shared" si="8"/>
        <v>NonQM NOO</v>
      </c>
      <c r="C194" s="1305" t="s">
        <v>1402</v>
      </c>
      <c r="D194" s="1306"/>
      <c r="E194" s="1306"/>
      <c r="F194" s="1306"/>
      <c r="G194" s="1306"/>
      <c r="H194" s="1421">
        <v>80</v>
      </c>
      <c r="I194" s="1421">
        <v>80</v>
      </c>
      <c r="J194" s="1421">
        <v>75</v>
      </c>
      <c r="K194" s="1426"/>
      <c r="M194" s="1420"/>
      <c r="N194" s="1420"/>
      <c r="O194" s="1434" t="str">
        <f>IF(AND(Input_Product=EligOverlay!B194,Input_PropertyType=EligOverlay!C194),IF(Input_Purpose="Purchase",EligOverlay!H194,IF(Input_Purpose="Rate-Term",EligOverlay!I194,IF(Input_Purpose="Cash-Out",EligOverlay!J194,""))),"")</f>
        <v/>
      </c>
      <c r="P194" s="1435"/>
      <c r="Q194" s="1420"/>
      <c r="R194" s="1420"/>
      <c r="S194" s="1420"/>
      <c r="T194" s="1457" t="s">
        <v>1402</v>
      </c>
    </row>
    <row r="195" spans="2:20" x14ac:dyDescent="0.2">
      <c r="B195" s="1441" t="str">
        <f t="shared" si="8"/>
        <v>NonQM NOO</v>
      </c>
      <c r="C195" s="1305" t="s">
        <v>2308</v>
      </c>
      <c r="D195" s="1306"/>
      <c r="E195" s="1306"/>
      <c r="F195" s="1306"/>
      <c r="G195" s="1306"/>
      <c r="H195" s="1421">
        <v>80</v>
      </c>
      <c r="I195" s="1421">
        <v>80</v>
      </c>
      <c r="J195" s="1421">
        <v>75</v>
      </c>
      <c r="K195" s="1426"/>
      <c r="M195" s="1420"/>
      <c r="N195" s="1420"/>
      <c r="O195" s="1434" t="str">
        <f>IF(AND(Input_Product=EligOverlay!B195,Input_PropertyType=EligOverlay!C195),IF(Input_Purpose="Purchase",EligOverlay!H195,IF(Input_Purpose="Rate-Term",EligOverlay!I195,IF(Input_Purpose="Cash-Out",EligOverlay!J195,""))),"")</f>
        <v/>
      </c>
      <c r="P195" s="1435"/>
      <c r="Q195" s="1420"/>
      <c r="R195" s="1420"/>
      <c r="S195" s="1420"/>
      <c r="T195" s="1457" t="s">
        <v>2308</v>
      </c>
    </row>
    <row r="196" spans="2:20" x14ac:dyDescent="0.2">
      <c r="B196" s="1441" t="str">
        <f t="shared" si="8"/>
        <v>NonQM NOO</v>
      </c>
      <c r="C196" s="1305" t="s">
        <v>154</v>
      </c>
      <c r="D196" s="1306"/>
      <c r="E196" s="1306"/>
      <c r="F196" s="1306"/>
      <c r="G196" s="1306"/>
      <c r="H196" s="1307">
        <v>85</v>
      </c>
      <c r="I196" s="1307">
        <v>85</v>
      </c>
      <c r="J196" s="1307">
        <v>80</v>
      </c>
      <c r="K196" s="1426"/>
      <c r="M196" s="1420"/>
      <c r="N196" s="1420"/>
      <c r="O196" s="1420"/>
      <c r="P196" s="1435"/>
      <c r="Q196" s="1420"/>
      <c r="R196" s="1420"/>
      <c r="S196" s="1420"/>
      <c r="T196" s="1457" t="s">
        <v>154</v>
      </c>
    </row>
    <row r="197" spans="2:20" x14ac:dyDescent="0.2">
      <c r="B197" s="1441" t="str">
        <f t="shared" si="8"/>
        <v>NonQM NOO</v>
      </c>
      <c r="C197" s="1305" t="s">
        <v>127</v>
      </c>
      <c r="D197" s="1306"/>
      <c r="E197" s="1306"/>
      <c r="F197" s="1306"/>
      <c r="G197" s="1306"/>
      <c r="H197" s="1307">
        <v>85</v>
      </c>
      <c r="I197" s="1307">
        <v>85</v>
      </c>
      <c r="J197" s="1307">
        <v>80</v>
      </c>
      <c r="K197" s="1426"/>
      <c r="M197" s="1420"/>
      <c r="N197" s="1420"/>
      <c r="O197" s="1420"/>
      <c r="P197" s="1435"/>
      <c r="Q197" s="1420"/>
      <c r="R197" s="1420"/>
      <c r="S197" s="1420"/>
      <c r="T197" s="1457" t="s">
        <v>127</v>
      </c>
    </row>
    <row r="198" spans="2:20" x14ac:dyDescent="0.2">
      <c r="B198" s="1441" t="str">
        <f t="shared" si="8"/>
        <v>NonQM NOO</v>
      </c>
      <c r="C198" s="1305" t="s">
        <v>222</v>
      </c>
      <c r="D198" s="1306"/>
      <c r="E198" s="1306"/>
      <c r="F198" s="1306"/>
      <c r="G198" s="1306"/>
      <c r="H198" s="1307">
        <v>85</v>
      </c>
      <c r="I198" s="1307">
        <v>85</v>
      </c>
      <c r="J198" s="1307">
        <v>80</v>
      </c>
      <c r="K198" s="1426"/>
      <c r="M198" s="1420"/>
      <c r="N198" s="1420"/>
      <c r="O198" s="1434" t="str">
        <f>IF(AND(Input_Product=EligOverlay!B198,Input_PropertyType=EligOverlay!C198),IF(Input_Purpose="Purchase",EligOverlay!H198,IF(Input_Purpose="Rate-Term",EligOverlay!I198,IF(Input_Purpose="Cash-Out",EligOverlay!J198,""))),"")</f>
        <v/>
      </c>
      <c r="P198" s="1435"/>
      <c r="Q198" s="1420"/>
      <c r="R198" s="1420"/>
      <c r="S198" s="1420"/>
      <c r="T198" s="1457" t="s">
        <v>222</v>
      </c>
    </row>
    <row r="199" spans="2:20" x14ac:dyDescent="0.2">
      <c r="B199" s="1441" t="str">
        <f t="shared" si="8"/>
        <v>NonQM NOO</v>
      </c>
      <c r="C199" s="1305" t="s">
        <v>132</v>
      </c>
      <c r="D199" s="1306"/>
      <c r="E199" s="1306"/>
      <c r="F199" s="1306"/>
      <c r="G199" s="1306"/>
      <c r="H199" s="1307">
        <v>80</v>
      </c>
      <c r="I199" s="1307">
        <v>80</v>
      </c>
      <c r="J199" s="1307">
        <v>75</v>
      </c>
      <c r="K199" s="1426"/>
      <c r="M199" s="1420"/>
      <c r="N199" s="1420"/>
      <c r="O199" s="1434" t="str">
        <f>IF(AND(Input_Product=EligOverlay!B199,Input_PropertyType=EligOverlay!C199),IF(Input_Purpose="Purchase",EligOverlay!H199,IF(Input_Purpose="Rate-Term",EligOverlay!I199,IF(Input_Purpose="Cash-Out",EligOverlay!J199,""))),"")</f>
        <v/>
      </c>
      <c r="P199" s="1435"/>
      <c r="Q199" s="1420"/>
      <c r="R199" s="1420"/>
      <c r="S199" s="1420"/>
      <c r="T199" s="1457" t="s">
        <v>132</v>
      </c>
    </row>
    <row r="200" spans="2:20" x14ac:dyDescent="0.2">
      <c r="B200" s="1441" t="str">
        <f t="shared" si="8"/>
        <v>NonQM NOO</v>
      </c>
      <c r="C200" s="1305" t="s">
        <v>133</v>
      </c>
      <c r="D200" s="1306"/>
      <c r="E200" s="1306"/>
      <c r="F200" s="1306"/>
      <c r="G200" s="1306"/>
      <c r="H200" s="1307">
        <v>80</v>
      </c>
      <c r="I200" s="1307">
        <v>80</v>
      </c>
      <c r="J200" s="1307">
        <v>75</v>
      </c>
      <c r="K200" s="1426"/>
      <c r="M200" s="1420"/>
      <c r="N200" s="1420"/>
      <c r="O200" s="1434" t="str">
        <f>IF(AND(Input_Product=EligOverlay!B200,Input_PropertyType=EligOverlay!C200),IF(Input_Purpose="Purchase",EligOverlay!H200,IF(Input_Purpose="Rate-Term",EligOverlay!I200,IF(Input_Purpose="Cash-Out",EligOverlay!J200,""))),"")</f>
        <v/>
      </c>
      <c r="P200" s="1435"/>
      <c r="Q200" s="1420"/>
      <c r="R200" s="1420"/>
      <c r="S200" s="1420"/>
      <c r="T200" s="1457" t="s">
        <v>133</v>
      </c>
    </row>
    <row r="201" spans="2:20" x14ac:dyDescent="0.2">
      <c r="B201" s="1441" t="str">
        <f t="shared" si="8"/>
        <v>NonQM NOO</v>
      </c>
      <c r="C201" s="1305" t="s">
        <v>134</v>
      </c>
      <c r="D201" s="1306"/>
      <c r="E201" s="1306"/>
      <c r="F201" s="1306"/>
      <c r="G201" s="1306"/>
      <c r="H201" s="1307">
        <v>80</v>
      </c>
      <c r="I201" s="1307">
        <v>80</v>
      </c>
      <c r="J201" s="1307">
        <v>75</v>
      </c>
      <c r="K201" s="1426"/>
      <c r="M201" s="1420"/>
      <c r="N201" s="1420"/>
      <c r="O201" s="1434" t="str">
        <f>IF(AND(Input_Product=EligOverlay!B201,Input_PropertyType=EligOverlay!C201),IF(Input_Purpose="Purchase",EligOverlay!H201,IF(Input_Purpose="Rate-Term",EligOverlay!I201,IF(Input_Purpose="Cash-Out",EligOverlay!J201,""))),"")</f>
        <v/>
      </c>
      <c r="P201" s="1435"/>
      <c r="Q201" s="1420"/>
      <c r="R201" s="1420"/>
      <c r="S201" s="1420"/>
      <c r="T201" s="1457" t="s">
        <v>134</v>
      </c>
    </row>
    <row r="202" spans="2:20" x14ac:dyDescent="0.2">
      <c r="B202" s="1441" t="str">
        <f t="shared" si="8"/>
        <v>NonQM NOO</v>
      </c>
      <c r="C202" s="1305" t="s">
        <v>130</v>
      </c>
      <c r="D202" s="1306"/>
      <c r="E202" s="1306"/>
      <c r="F202" s="1306"/>
      <c r="G202" s="1306"/>
      <c r="H202" s="1307">
        <v>85</v>
      </c>
      <c r="I202" s="1307">
        <v>85</v>
      </c>
      <c r="J202" s="1307">
        <v>80</v>
      </c>
      <c r="K202" s="1426"/>
      <c r="M202" s="1420"/>
      <c r="N202" s="1420"/>
      <c r="O202" s="1434" t="str">
        <f>IF(AND(Input_Product=EligOverlay!B202,Input_PropertyType=EligOverlay!C202),IF(Input_Purpose="Purchase",EligOverlay!H202,IF(Input_Purpose="Rate-Term",EligOverlay!I202,IF(Input_Purpose="Cash-Out",EligOverlay!J202,""))),"")</f>
        <v/>
      </c>
      <c r="P202" s="1435"/>
      <c r="Q202" s="1420"/>
      <c r="R202" s="1420"/>
      <c r="S202" s="1420"/>
      <c r="T202" s="1457" t="s">
        <v>130</v>
      </c>
    </row>
    <row r="203" spans="2:20" x14ac:dyDescent="0.2">
      <c r="B203" s="1441" t="str">
        <f t="shared" si="8"/>
        <v>NonQM NOO</v>
      </c>
      <c r="C203" s="1305" t="s">
        <v>131</v>
      </c>
      <c r="D203" s="1306"/>
      <c r="E203" s="1306"/>
      <c r="F203" s="1306"/>
      <c r="G203" s="1306"/>
      <c r="H203" s="1307">
        <v>80</v>
      </c>
      <c r="I203" s="1307">
        <v>80</v>
      </c>
      <c r="J203" s="1307">
        <v>75</v>
      </c>
      <c r="K203" s="1426"/>
      <c r="M203" s="1420"/>
      <c r="N203" s="1420"/>
      <c r="O203" s="1434" t="str">
        <f>IF(AND(Input_Product=EligOverlay!B203,Input_PropertyType=EligOverlay!C203),IF(Input_Purpose="Purchase",EligOverlay!H203,IF(Input_Purpose="Rate-Term",EligOverlay!I203,IF(Input_Purpose="Cash-Out",EligOverlay!J203,""))),"")</f>
        <v/>
      </c>
      <c r="P203" s="1435"/>
      <c r="Q203" s="1420"/>
      <c r="R203" s="1420"/>
      <c r="S203" s="1420"/>
      <c r="T203" s="1457" t="s">
        <v>131</v>
      </c>
    </row>
    <row r="204" spans="2:20" x14ac:dyDescent="0.2">
      <c r="B204" s="1441" t="str">
        <f t="shared" si="8"/>
        <v>NonQM NOO</v>
      </c>
      <c r="C204" s="1305" t="s">
        <v>1397</v>
      </c>
      <c r="D204" s="1306"/>
      <c r="E204" s="1306"/>
      <c r="F204" s="1306"/>
      <c r="G204" s="1306"/>
      <c r="H204" s="1307">
        <v>75</v>
      </c>
      <c r="I204" s="1307">
        <v>75</v>
      </c>
      <c r="J204" s="1307">
        <v>70</v>
      </c>
      <c r="K204" s="1867">
        <v>2000000</v>
      </c>
      <c r="M204" s="1433" t="str">
        <f>IF(AND(Input_Product=EligOverlay!B204,Input_PropertyType=EligOverlay!C204,Input_LoanAmt&gt;EligOverlay!K204),K204,"")</f>
        <v/>
      </c>
      <c r="N204" s="1420"/>
      <c r="O204" s="1434" t="str">
        <f>IF(AND(Input_Product=EligOverlay!B204,Input_PropertyType=EligOverlay!C204),IF(Input_Purpose="Purchase",EligOverlay!H204,IF(Input_Purpose="Rate-Term",EligOverlay!I204,IF(Input_Purpose="Cash-Out",EligOverlay!J204,""))),"")</f>
        <v/>
      </c>
      <c r="P204" s="1435"/>
      <c r="Q204" s="1420"/>
      <c r="R204" s="1420"/>
      <c r="S204" s="1420"/>
      <c r="T204" s="1457" t="s">
        <v>1397</v>
      </c>
    </row>
    <row r="205" spans="2:20" x14ac:dyDescent="0.2">
      <c r="B205" s="1441" t="str">
        <f t="shared" si="8"/>
        <v>NonQM NOO</v>
      </c>
      <c r="C205" s="1305" t="s">
        <v>152</v>
      </c>
      <c r="D205" s="1306"/>
      <c r="E205" s="1306"/>
      <c r="F205" s="1306"/>
      <c r="G205" s="1306"/>
      <c r="H205" s="1307">
        <v>85</v>
      </c>
      <c r="I205" s="1307">
        <v>85</v>
      </c>
      <c r="J205" s="1307">
        <v>80</v>
      </c>
      <c r="K205" s="1426"/>
      <c r="M205" s="1420"/>
      <c r="N205" s="1420"/>
      <c r="O205" s="1434" t="str">
        <f>IF(AND(Input_Product=EligOverlay!B205,Input_PropertyType=EligOverlay!C205),IF(Input_Purpose="Purchase",EligOverlay!H205,IF(Input_Purpose="Rate-Term",EligOverlay!I205,IF(Input_Purpose="Cash-Out",EligOverlay!J205,""))),"")</f>
        <v/>
      </c>
      <c r="P205" s="1435"/>
      <c r="Q205" s="1420"/>
      <c r="R205" s="1420"/>
      <c r="S205" s="1420"/>
      <c r="T205" s="1457" t="s">
        <v>152</v>
      </c>
    </row>
    <row r="206" spans="2:20" x14ac:dyDescent="0.2">
      <c r="B206" s="1441" t="str">
        <f t="shared" si="8"/>
        <v>NonQM NOO</v>
      </c>
      <c r="C206" s="1305" t="s">
        <v>153</v>
      </c>
      <c r="D206" s="1306"/>
      <c r="E206" s="1306"/>
      <c r="F206" s="1306"/>
      <c r="G206" s="1306"/>
      <c r="H206" s="1307">
        <v>85</v>
      </c>
      <c r="I206" s="1307">
        <v>85</v>
      </c>
      <c r="J206" s="1307">
        <v>80</v>
      </c>
      <c r="K206" s="1426"/>
      <c r="M206" s="1420"/>
      <c r="N206" s="1420"/>
      <c r="O206" s="1434" t="str">
        <f>IF(AND(Input_Product=EligOverlay!B206,Input_PropertyType=EligOverlay!C206),IF(Input_Purpose="Purchase",EligOverlay!H206,IF(Input_Purpose="Rate-Term",EligOverlay!I206,IF(Input_Purpose="Cash-Out",EligOverlay!J206,""))),"")</f>
        <v/>
      </c>
      <c r="P206" s="1435"/>
      <c r="Q206" s="1420"/>
      <c r="R206" s="1420"/>
      <c r="S206" s="1420"/>
      <c r="T206" s="1457" t="s">
        <v>153</v>
      </c>
    </row>
    <row r="207" spans="2:20" x14ac:dyDescent="0.2">
      <c r="B207" s="1441" t="str">
        <f t="shared" si="8"/>
        <v>NonQM NOO</v>
      </c>
      <c r="C207" s="1305" t="s">
        <v>19</v>
      </c>
      <c r="D207" s="1306"/>
      <c r="E207" s="1306"/>
      <c r="F207" s="1306"/>
      <c r="G207" s="1306"/>
      <c r="H207" s="1307">
        <v>80</v>
      </c>
      <c r="I207" s="1307">
        <v>80</v>
      </c>
      <c r="J207" s="1307">
        <v>75</v>
      </c>
      <c r="K207" s="1426"/>
      <c r="M207" s="1420"/>
      <c r="N207" s="1420"/>
      <c r="O207" s="1434" t="str">
        <f>IF(AND(Input_Product=EligOverlay!B207,Input_PropertyType=EligOverlay!C207),IF(Input_Purpose="Purchase",EligOverlay!H207,IF(Input_Purpose="Rate-Term",EligOverlay!I207,IF(Input_Purpose="Cash-Out",EligOverlay!J207,""))),"")</f>
        <v/>
      </c>
      <c r="P207" s="1435"/>
      <c r="Q207" s="1420"/>
      <c r="R207" s="1420"/>
      <c r="S207" s="1420"/>
      <c r="T207" s="1457" t="s">
        <v>19</v>
      </c>
    </row>
    <row r="208" spans="2:20" x14ac:dyDescent="0.2">
      <c r="B208" s="1441" t="str">
        <f t="shared" si="8"/>
        <v>NonQM NOO</v>
      </c>
      <c r="C208" s="1305" t="s">
        <v>129</v>
      </c>
      <c r="D208" s="1306"/>
      <c r="E208" s="1306"/>
      <c r="F208" s="1306"/>
      <c r="G208" s="1306"/>
      <c r="H208" s="1307">
        <v>0.01</v>
      </c>
      <c r="I208" s="1307">
        <v>0.01</v>
      </c>
      <c r="J208" s="1307">
        <v>0.01</v>
      </c>
      <c r="K208" s="1426"/>
      <c r="M208" s="1420"/>
      <c r="N208" s="1420"/>
      <c r="O208" s="1434" t="str">
        <f>IF(AND(Input_Product=EligOverlay!B208,Input_PropertyType=EligOverlay!C208),IF(Input_Purpose="Purchase",EligOverlay!H208,IF(Input_Purpose="Rate-Term",EligOverlay!I208,IF(Input_Purpose="Cash-Out",EligOverlay!J208,""))),"")</f>
        <v/>
      </c>
      <c r="P208" s="1435"/>
      <c r="Q208" s="1420"/>
      <c r="R208" s="1420"/>
      <c r="S208" s="1420"/>
      <c r="T208" s="1457" t="s">
        <v>129</v>
      </c>
    </row>
    <row r="209" spans="2:20" x14ac:dyDescent="0.2">
      <c r="B209" s="1441" t="str">
        <f t="shared" si="8"/>
        <v>NonQM NOO</v>
      </c>
      <c r="C209" s="1305" t="s">
        <v>232</v>
      </c>
      <c r="D209" s="1306"/>
      <c r="E209" s="1306"/>
      <c r="F209" s="1306"/>
      <c r="G209" s="1306"/>
      <c r="H209" s="1307">
        <v>0.01</v>
      </c>
      <c r="I209" s="1307">
        <v>0.01</v>
      </c>
      <c r="J209" s="1307">
        <v>0.01</v>
      </c>
      <c r="K209" s="1426"/>
      <c r="M209" s="1420"/>
      <c r="N209" s="1420"/>
      <c r="O209" s="1434" t="str">
        <f>IF(AND(Input_Product=EligOverlay!B209,Input_PropertyType=EligOverlay!C209),IF(Input_Purpose="Purchase",EligOverlay!H209,IF(Input_Purpose="Rate-Term",EligOverlay!I209,IF(Input_Purpose="Cash-Out",EligOverlay!J209,""))),"")</f>
        <v/>
      </c>
      <c r="P209" s="1435"/>
      <c r="Q209" s="1420"/>
      <c r="R209" s="1420"/>
      <c r="S209" s="1420"/>
      <c r="T209" s="1457" t="s">
        <v>232</v>
      </c>
    </row>
    <row r="210" spans="2:20" x14ac:dyDescent="0.2">
      <c r="B210" s="1441" t="str">
        <f t="shared" si="8"/>
        <v>NonQM NOO</v>
      </c>
      <c r="C210" s="1305" t="s">
        <v>233</v>
      </c>
      <c r="D210" s="1306"/>
      <c r="E210" s="1306"/>
      <c r="F210" s="1306"/>
      <c r="G210" s="1306"/>
      <c r="H210" s="1307">
        <v>0.01</v>
      </c>
      <c r="I210" s="1307">
        <v>0.01</v>
      </c>
      <c r="J210" s="1307">
        <v>0.01</v>
      </c>
      <c r="K210" s="1426"/>
      <c r="M210" s="1420"/>
      <c r="N210" s="1420"/>
      <c r="O210" s="1434" t="str">
        <f>IF(AND(Input_Product=EligOverlay!B210,Input_PropertyType=EligOverlay!C210),IF(Input_Purpose="Purchase",EligOverlay!H210,IF(Input_Purpose="Rate-Term",EligOverlay!I210,IF(Input_Purpose="Cash-Out",EligOverlay!J210,""))),"")</f>
        <v/>
      </c>
      <c r="P210" s="1435"/>
      <c r="Q210" s="1420"/>
      <c r="R210" s="1420"/>
      <c r="S210" s="1420"/>
      <c r="T210" s="1457" t="s">
        <v>233</v>
      </c>
    </row>
    <row r="211" spans="2:20" x14ac:dyDescent="0.2">
      <c r="B211" s="1441" t="str">
        <f t="shared" si="8"/>
        <v>NonQM NOO</v>
      </c>
      <c r="C211" s="1305" t="s">
        <v>234</v>
      </c>
      <c r="D211" s="1306"/>
      <c r="E211" s="1306"/>
      <c r="F211" s="1306"/>
      <c r="G211" s="1306"/>
      <c r="H211" s="1307">
        <v>0.01</v>
      </c>
      <c r="I211" s="1307">
        <v>0.01</v>
      </c>
      <c r="J211" s="1307">
        <v>0.01</v>
      </c>
      <c r="K211" s="1426"/>
      <c r="M211" s="1420"/>
      <c r="N211" s="1420"/>
      <c r="O211" s="1434" t="str">
        <f>IF(AND(Input_Product=EligOverlay!B211,Input_PropertyType=EligOverlay!C211),IF(Input_Purpose="Purchase",EligOverlay!H211,IF(Input_Purpose="Rate-Term",EligOverlay!I211,IF(Input_Purpose="Cash-Out",EligOverlay!J211,""))),"")</f>
        <v/>
      </c>
      <c r="P211" s="1435"/>
      <c r="Q211" s="1420"/>
      <c r="R211" s="1420"/>
      <c r="S211" s="1420"/>
      <c r="T211" s="1457" t="s">
        <v>234</v>
      </c>
    </row>
    <row r="212" spans="2:20" x14ac:dyDescent="0.2">
      <c r="B212" s="1441" t="str">
        <f t="shared" si="8"/>
        <v>NonQM NOO</v>
      </c>
      <c r="C212" s="1305" t="s">
        <v>235</v>
      </c>
      <c r="D212" s="1306"/>
      <c r="E212" s="1306"/>
      <c r="F212" s="1306"/>
      <c r="G212" s="1306"/>
      <c r="H212" s="1307">
        <v>0.01</v>
      </c>
      <c r="I212" s="1307">
        <v>0.01</v>
      </c>
      <c r="J212" s="1307">
        <v>0.01</v>
      </c>
      <c r="K212" s="1426"/>
      <c r="M212" s="1420"/>
      <c r="N212" s="1420"/>
      <c r="O212" s="1434" t="str">
        <f>IF(AND(Input_Product=EligOverlay!B212,Input_PropertyType=EligOverlay!C212),IF(Input_Purpose="Purchase",EligOverlay!H212,IF(Input_Purpose="Rate-Term",EligOverlay!I212,IF(Input_Purpose="Cash-Out",EligOverlay!J212,""))),"")</f>
        <v/>
      </c>
      <c r="P212" s="1435"/>
      <c r="Q212" s="1420"/>
      <c r="R212" s="1420"/>
      <c r="S212" s="1420"/>
      <c r="T212" s="1457" t="s">
        <v>235</v>
      </c>
    </row>
    <row r="213" spans="2:20" x14ac:dyDescent="0.2">
      <c r="B213" s="1441" t="str">
        <f t="shared" si="8"/>
        <v>NonQM NOO</v>
      </c>
      <c r="C213" s="1305" t="s">
        <v>239</v>
      </c>
      <c r="D213" s="1306"/>
      <c r="E213" s="1306"/>
      <c r="F213" s="1306"/>
      <c r="G213" s="1306"/>
      <c r="H213" s="1307">
        <v>0.01</v>
      </c>
      <c r="I213" s="1307">
        <v>0.01</v>
      </c>
      <c r="J213" s="1307">
        <v>0.01</v>
      </c>
      <c r="K213" s="1426"/>
      <c r="M213" s="1420"/>
      <c r="N213" s="1420"/>
      <c r="O213" s="1434" t="str">
        <f>IF(AND(Input_Product=EligOverlay!B213,Input_PropertyType=EligOverlay!C213),IF(Input_Purpose="Purchase",EligOverlay!H213,IF(Input_Purpose="Rate-Term",EligOverlay!I213,IF(Input_Purpose="Cash-Out",EligOverlay!J213,""))),"")</f>
        <v/>
      </c>
      <c r="P213" s="1435"/>
      <c r="Q213" s="1420"/>
      <c r="R213" s="1420"/>
      <c r="S213" s="1420"/>
      <c r="T213" s="1457" t="s">
        <v>239</v>
      </c>
    </row>
    <row r="214" spans="2:20" x14ac:dyDescent="0.2">
      <c r="B214" s="1441" t="str">
        <f t="shared" si="8"/>
        <v>NonQM NOO</v>
      </c>
      <c r="C214" s="1305" t="s">
        <v>240</v>
      </c>
      <c r="D214" s="1306"/>
      <c r="E214" s="1306"/>
      <c r="F214" s="1306"/>
      <c r="G214" s="1306"/>
      <c r="H214" s="1307">
        <v>0.01</v>
      </c>
      <c r="I214" s="1307">
        <v>0.01</v>
      </c>
      <c r="J214" s="1307">
        <v>0.01</v>
      </c>
      <c r="K214" s="1426"/>
      <c r="M214" s="1420"/>
      <c r="N214" s="1420"/>
      <c r="O214" s="1434" t="str">
        <f>IF(AND(Input_Product=EligOverlay!B214,Input_PropertyType=EligOverlay!C214),IF(Input_Purpose="Purchase",EligOverlay!H214,IF(Input_Purpose="Rate-Term",EligOverlay!I214,IF(Input_Purpose="Cash-Out",EligOverlay!J214,""))),"")</f>
        <v/>
      </c>
      <c r="P214" s="1435"/>
      <c r="Q214" s="1420"/>
      <c r="R214" s="1420"/>
      <c r="S214" s="1420"/>
      <c r="T214" s="1457" t="s">
        <v>240</v>
      </c>
    </row>
    <row r="215" spans="2:20" x14ac:dyDescent="0.2">
      <c r="B215" s="1441" t="str">
        <f t="shared" si="8"/>
        <v>NonQM NOO</v>
      </c>
      <c r="C215" s="1305" t="s">
        <v>241</v>
      </c>
      <c r="D215" s="1306"/>
      <c r="E215" s="1306"/>
      <c r="F215" s="1306"/>
      <c r="G215" s="1306"/>
      <c r="H215" s="1307">
        <v>0.01</v>
      </c>
      <c r="I215" s="1307">
        <v>0.01</v>
      </c>
      <c r="J215" s="1307">
        <v>0.01</v>
      </c>
      <c r="K215" s="1426"/>
      <c r="M215" s="1420"/>
      <c r="N215" s="1420"/>
      <c r="O215" s="1434" t="str">
        <f>IF(AND(Input_Product=EligOverlay!B215,Input_PropertyType=EligOverlay!C215),IF(Input_Purpose="Purchase",EligOverlay!H215,IF(Input_Purpose="Rate-Term",EligOverlay!I215,IF(Input_Purpose="Cash-Out",EligOverlay!J215,""))),"")</f>
        <v/>
      </c>
      <c r="P215" s="1435"/>
      <c r="Q215" s="1420"/>
      <c r="R215" s="1420"/>
      <c r="S215" s="1420"/>
      <c r="T215" s="1457" t="s">
        <v>241</v>
      </c>
    </row>
    <row r="216" spans="2:20" x14ac:dyDescent="0.2">
      <c r="B216" s="1441" t="str">
        <f t="shared" si="8"/>
        <v>NonQM NOO</v>
      </c>
      <c r="C216" s="1427" t="s">
        <v>242</v>
      </c>
      <c r="D216" s="1306"/>
      <c r="E216" s="1306"/>
      <c r="F216" s="1306"/>
      <c r="G216" s="1306"/>
      <c r="H216" s="1307">
        <v>0.01</v>
      </c>
      <c r="I216" s="1307">
        <v>0.01</v>
      </c>
      <c r="J216" s="1307">
        <v>0.01</v>
      </c>
      <c r="K216" s="1426"/>
      <c r="M216" s="1420"/>
      <c r="N216" s="1420"/>
      <c r="O216" s="1434" t="str">
        <f>IF(AND(Input_Product=EligOverlay!B216,Input_PropertyType=EligOverlay!C216),IF(Input_Purpose="Purchase",EligOverlay!H216,IF(Input_Purpose="Rate-Term",EligOverlay!I216,IF(Input_Purpose="Cash-Out",EligOverlay!J216,""))),"")</f>
        <v/>
      </c>
      <c r="P216" s="1435"/>
      <c r="Q216" s="1420"/>
      <c r="R216" s="1420"/>
      <c r="S216" s="1420"/>
      <c r="T216" s="1457" t="s">
        <v>242</v>
      </c>
    </row>
    <row r="217" spans="2:20" x14ac:dyDescent="0.2">
      <c r="B217" s="1441" t="str">
        <f t="shared" si="8"/>
        <v>NonQM NOO</v>
      </c>
      <c r="C217" s="1427" t="s">
        <v>243</v>
      </c>
      <c r="D217" s="1306"/>
      <c r="E217" s="1306"/>
      <c r="F217" s="1306"/>
      <c r="G217" s="1306"/>
      <c r="H217" s="1307">
        <v>0.01</v>
      </c>
      <c r="I217" s="1307">
        <v>0.01</v>
      </c>
      <c r="J217" s="1307">
        <v>0.01</v>
      </c>
      <c r="K217" s="1426"/>
      <c r="M217" s="1420"/>
      <c r="N217" s="1420"/>
      <c r="O217" s="1434" t="str">
        <f>IF(AND(Input_Product=EligOverlay!B217,Input_PropertyType=EligOverlay!C217),IF(Input_Purpose="Purchase",EligOverlay!H217,IF(Input_Purpose="Rate-Term",EligOverlay!I217,IF(Input_Purpose="Cash-Out",EligOverlay!J217,""))),"")</f>
        <v/>
      </c>
      <c r="P217" s="1435"/>
      <c r="Q217" s="1420"/>
      <c r="R217" s="1420"/>
      <c r="S217" s="1420"/>
      <c r="T217" s="1457" t="s">
        <v>243</v>
      </c>
    </row>
    <row r="218" spans="2:20" x14ac:dyDescent="0.2">
      <c r="B218" s="1441" t="str">
        <f t="shared" si="8"/>
        <v>NonQM NOO</v>
      </c>
      <c r="C218" s="1428" t="s">
        <v>244</v>
      </c>
      <c r="D218" s="1306"/>
      <c r="E218" s="1306"/>
      <c r="F218" s="1306"/>
      <c r="G218" s="1306"/>
      <c r="H218" s="1307">
        <v>0.01</v>
      </c>
      <c r="I218" s="1307">
        <v>0.01</v>
      </c>
      <c r="J218" s="1307">
        <v>0.01</v>
      </c>
      <c r="K218" s="1426"/>
      <c r="M218" s="1420"/>
      <c r="N218" s="1420"/>
      <c r="O218" s="1434" t="str">
        <f>IF(AND(Input_Product=EligOverlay!B218,Input_PropertyType=EligOverlay!C218),IF(Input_Purpose="Purchase",EligOverlay!H218,IF(Input_Purpose="Rate-Term",EligOverlay!I218,IF(Input_Purpose="Cash-Out",EligOverlay!J218,""))),"")</f>
        <v/>
      </c>
      <c r="P218" s="1435"/>
      <c r="Q218" s="1420"/>
      <c r="R218" s="1420"/>
      <c r="S218" s="1420"/>
      <c r="T218" s="1457" t="s">
        <v>244</v>
      </c>
    </row>
    <row r="219" spans="2:20" x14ac:dyDescent="0.2">
      <c r="B219" s="1441" t="str">
        <f t="shared" si="8"/>
        <v>NonQM NOO</v>
      </c>
      <c r="C219" s="1305" t="s">
        <v>245</v>
      </c>
      <c r="D219" s="1306"/>
      <c r="E219" s="1306"/>
      <c r="F219" s="1306"/>
      <c r="G219" s="1306"/>
      <c r="H219" s="1307">
        <v>0.01</v>
      </c>
      <c r="I219" s="1307">
        <v>0.01</v>
      </c>
      <c r="J219" s="1307">
        <v>0.01</v>
      </c>
      <c r="K219" s="1426"/>
      <c r="M219" s="1420"/>
      <c r="N219" s="1420"/>
      <c r="O219" s="1434" t="str">
        <f>IF(AND(Input_Product=EligOverlay!B219,Input_PropertyType=EligOverlay!C219),IF(Input_Purpose="Purchase",EligOverlay!H219,IF(Input_Purpose="Rate-Term",EligOverlay!I219,IF(Input_Purpose="Cash-Out",EligOverlay!J219,""))),"")</f>
        <v/>
      </c>
      <c r="P219" s="1435"/>
      <c r="Q219" s="1420"/>
      <c r="R219" s="1420"/>
      <c r="S219" s="1420"/>
      <c r="T219" s="1457" t="s">
        <v>245</v>
      </c>
    </row>
    <row r="226" spans="2:20" x14ac:dyDescent="0.2">
      <c r="B226" s="1322"/>
      <c r="C226" s="1323"/>
      <c r="D226" s="1323"/>
      <c r="E226" s="1323"/>
      <c r="F226" s="1323"/>
      <c r="G226" s="1323"/>
      <c r="H226" s="1323"/>
      <c r="I226" s="1323"/>
      <c r="J226" s="1323"/>
      <c r="K226" s="1323"/>
      <c r="L226" s="1324"/>
      <c r="M226" s="1325"/>
      <c r="N226" s="1326"/>
      <c r="O226" s="1327"/>
      <c r="P226" s="1328"/>
      <c r="Q226" s="1326"/>
      <c r="R226" s="1329"/>
      <c r="S226" s="1326"/>
      <c r="T226" s="1330"/>
    </row>
  </sheetData>
  <sheetProtection algorithmName="SHA-512" hashValue="Ht1L6q1eDCXSg/RHIZU/fHsriFh8EXyvyDg3EcuYr95OLuugUqEVgxPG4hklsI9Z1vZUCitO6yYdo4FAM0bxVg==" saltValue="59SwoDMXZ2CnWHeXd4clCQ==" spinCount="100000" sheet="1" objects="1" scenarios="1"/>
  <mergeCells count="3">
    <mergeCell ref="B14:K14"/>
    <mergeCell ref="B39:K39"/>
    <mergeCell ref="B4:T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4610B-8F92-47EB-9E55-013F934CD491}">
  <sheetPr codeName="Sheet10"/>
  <dimension ref="B1:K98"/>
  <sheetViews>
    <sheetView showGridLines="0" workbookViewId="0">
      <pane ySplit="4" topLeftCell="A5" activePane="bottomLeft" state="frozen"/>
      <selection activeCell="F5" sqref="F5"/>
      <selection pane="bottomLeft" activeCell="C18" sqref="C18"/>
    </sheetView>
  </sheetViews>
  <sheetFormatPr defaultColWidth="8.85546875" defaultRowHeight="11.25" x14ac:dyDescent="0.2"/>
  <cols>
    <col min="1" max="1" width="3.28515625" style="1" customWidth="1"/>
    <col min="2" max="2" width="18.28515625" style="1" customWidth="1"/>
    <col min="3" max="3" width="46.7109375" style="1" bestFit="1" customWidth="1"/>
    <col min="4" max="6" width="18.28515625" style="1" customWidth="1"/>
    <col min="7" max="7" width="8.85546875" style="1"/>
    <col min="8" max="8" width="9.7109375" style="1" customWidth="1"/>
    <col min="9" max="11" width="7.7109375" style="1" customWidth="1"/>
    <col min="12" max="16384" width="8.85546875" style="1"/>
  </cols>
  <sheetData>
    <row r="1" spans="2:11" ht="15" x14ac:dyDescent="0.25">
      <c r="B1" s="2245" t="s">
        <v>1802</v>
      </c>
      <c r="C1" s="2245"/>
      <c r="D1" s="2245"/>
      <c r="E1" s="2245"/>
      <c r="F1" s="2245"/>
      <c r="G1" s="2245"/>
      <c r="H1" s="2245"/>
      <c r="I1" s="2245"/>
      <c r="J1" s="2245"/>
      <c r="K1" s="2245"/>
    </row>
    <row r="2" spans="2:11" ht="36" x14ac:dyDescent="0.2">
      <c r="B2" s="1193" t="s">
        <v>1803</v>
      </c>
      <c r="C2" s="1193" t="s">
        <v>1804</v>
      </c>
      <c r="D2" s="1193" t="s">
        <v>1805</v>
      </c>
      <c r="E2" s="1193" t="s">
        <v>1806</v>
      </c>
      <c r="F2" s="1193" t="s">
        <v>1807</v>
      </c>
      <c r="G2" s="1194"/>
      <c r="H2" s="2246" t="s">
        <v>1808</v>
      </c>
      <c r="I2" s="2247"/>
      <c r="J2" s="2247"/>
      <c r="K2" s="2247"/>
    </row>
    <row r="3" spans="2:11" ht="4.9000000000000004" customHeight="1" x14ac:dyDescent="0.2"/>
    <row r="4" spans="2:11" ht="22.5" x14ac:dyDescent="0.2">
      <c r="B4" s="1135" t="s">
        <v>1718</v>
      </c>
      <c r="C4" s="1135" t="s">
        <v>1776</v>
      </c>
      <c r="D4" s="1135" t="s">
        <v>1777</v>
      </c>
      <c r="E4" s="1135" t="s">
        <v>70</v>
      </c>
      <c r="F4" s="1135" t="s">
        <v>1801</v>
      </c>
      <c r="G4" s="1136"/>
    </row>
    <row r="5" spans="2:11" x14ac:dyDescent="0.2">
      <c r="B5" s="1133" t="str" cm="1">
        <f t="array" ref="B5:B98">List_RequiredDocs_Disclosure</f>
        <v>1003 Loan Application (Signed and Dated by LO)</v>
      </c>
      <c r="C5" s="1133" t="str" cm="1">
        <f t="array" ref="C5:C98">List_RequiredDocs_Submission</f>
        <v>ID: Passport or  DL (Cannot be Expired)</v>
      </c>
      <c r="D5" s="1133" t="str" cm="1">
        <f t="array" ref="D5:D98">List_RequiredDocs_Recommended</f>
        <v>Preliminary Title Report / Title Commitment (24mo chain of title, ALTA supp for property address, plat map / survey)</v>
      </c>
      <c r="E5" s="1133" t="str" cm="1">
        <f t="array" ref="E5:E98">List_RequiredDocs_DocType</f>
        <v>Full documentation of non-employment income (SSI, pension, alimony, child support, trust income, etc.)</v>
      </c>
      <c r="F5" s="1133">
        <f>IF(OR(Lookup_ProductPrefix="PH",Lookup_ProductPrefix="IH"),IF(Input_State="NJ",1595,1195),IF(Lookup_LienPosition=2,IF(OR(Input_State="NJ",Input_State="TX"),1595,1195),IF(Input_State="NJ",2195,1795)))</f>
        <v>1195</v>
      </c>
    </row>
    <row r="6" spans="2:11" x14ac:dyDescent="0.2">
      <c r="B6" s="1133" t="str">
        <v>Broker Fee Sheet</v>
      </c>
      <c r="C6" s="1133" t="str">
        <v>Full Documentation of Non-Employment income (SSI, Pension, Alimony, Child Support, Trust Income, etc.)</v>
      </c>
      <c r="D6" s="1133" t="str">
        <v>Escrow Instructions (If business entity, provide formation articles/agreement, tax ID #, cert of good standing)</v>
      </c>
      <c r="E6" s="1133" t="str">
        <v>1007 [For unleased unit(s)]</v>
      </c>
      <c r="F6" s="1136" t="s">
        <v>76</v>
      </c>
    </row>
    <row r="7" spans="2:11" x14ac:dyDescent="0.2">
      <c r="B7" s="1133" t="str">
        <v>Brokers Advantage Submission Form and Checklist (Optional Cover Letter)</v>
      </c>
      <c r="C7" s="1133" t="str">
        <v>Title Commitment</v>
      </c>
      <c r="D7" s="1133" t="str">
        <v>Payoff Demand(s) w/in 30 days</v>
      </c>
      <c r="E7" s="1133" t="str">
        <v>Evidence PITIA (For subject property)</v>
      </c>
      <c r="F7" s="1136" t="s">
        <v>76</v>
      </c>
    </row>
    <row r="8" spans="2:11" x14ac:dyDescent="0.2">
      <c r="B8" s="1133" t="str">
        <v>Credit Report or Tri-Merge [TPO Connect] (Not Locked or Frozen)</v>
      </c>
      <c r="C8" s="1133" t="str">
        <v>Evidence PITIA (Subject Property)</v>
      </c>
      <c r="D8" s="1133" t="str">
        <v>CPL (With Brokers Advantage Listed as Mortgagee)</v>
      </c>
      <c r="E8" s="1133" t="str">
        <v>SS-89</v>
      </c>
      <c r="F8" s="1136" t="s">
        <v>76</v>
      </c>
    </row>
    <row r="9" spans="2:11" x14ac:dyDescent="0.2">
      <c r="B9" s="1133" t="str">
        <v>Purchase Contract (Cannot be Expired, All Pages, Amendments, Counteroffers, Signed by All)</v>
      </c>
      <c r="C9" s="1133" t="str">
        <v>SS-89</v>
      </c>
      <c r="D9" s="1133" t="str">
        <v>Letters of Explanation (Address Inquiries &lt; 90 days, Derog/Disputed Credit &lt; 2yrs, Name, SSN, Address Variations)</v>
      </c>
      <c r="E9" s="1133" t="str">
        <v/>
      </c>
      <c r="F9" s="1136" t="s">
        <v>76</v>
      </c>
    </row>
    <row r="10" spans="2:11" x14ac:dyDescent="0.2">
      <c r="B10" s="1133" t="str">
        <v/>
      </c>
      <c r="C10" s="1133" t="str">
        <v>Mortgage Statement Coupon</v>
      </c>
      <c r="D10" s="1133" t="str">
        <v>Letters of Explanation (Address Non-Arm's Length Relationships (Builder, Developer, Seller, LO, RE Agent, etc.))</v>
      </c>
      <c r="E10" s="1133" t="str">
        <v/>
      </c>
      <c r="F10" s="1136" t="s">
        <v>76</v>
      </c>
    </row>
    <row r="11" spans="2:11" x14ac:dyDescent="0.2">
      <c r="B11" s="1133" t="str">
        <v/>
      </c>
      <c r="C11" s="1133" t="str">
        <v/>
      </c>
      <c r="D11" s="1133" t="str">
        <v>Divorce Decree / Separation Agmt [if applicable] (All Pages, incl. Attachments. Signed by All Parties)</v>
      </c>
      <c r="E11" s="1133" t="str">
        <v/>
      </c>
      <c r="F11" s="1136" t="s">
        <v>76</v>
      </c>
    </row>
    <row r="12" spans="2:11" x14ac:dyDescent="0.2">
      <c r="B12" s="1133" t="str">
        <v/>
      </c>
      <c r="C12" s="1133" t="str">
        <v/>
      </c>
      <c r="D12" s="1133" t="str">
        <v>Lender Paid Comp Transactions (Anti-Steering Disclosure to be provided by Broker)</v>
      </c>
      <c r="E12" s="1133" t="str">
        <v/>
      </c>
      <c r="F12" s="1136" t="s">
        <v>76</v>
      </c>
    </row>
    <row r="13" spans="2:11" x14ac:dyDescent="0.2">
      <c r="B13" s="1133" t="str">
        <v/>
      </c>
      <c r="C13" s="1133" t="str">
        <v/>
      </c>
      <c r="D13" s="1133" t="str">
        <v>BK papers [if applicable] (All schedules and evidence discharged)</v>
      </c>
      <c r="E13" s="1133" t="str">
        <v/>
      </c>
      <c r="F13" s="1136" t="s">
        <v>76</v>
      </c>
    </row>
    <row r="14" spans="2:11" x14ac:dyDescent="0.2">
      <c r="B14" s="1133" t="str">
        <v/>
      </c>
      <c r="C14" s="1133" t="str">
        <v/>
      </c>
      <c r="D14" s="1133" t="str">
        <v>12mo Verification of Primary Housing Payment if not reported on credit (If Private Party, provide 12mo Cancelled Checks)</v>
      </c>
      <c r="E14" s="1133" t="str">
        <v/>
      </c>
      <c r="F14" s="1136" t="s">
        <v>76</v>
      </c>
    </row>
    <row r="15" spans="2:11" x14ac:dyDescent="0.2">
      <c r="B15" s="1133" t="str">
        <v/>
      </c>
      <c r="C15" s="1133" t="str">
        <v/>
      </c>
      <c r="D15" s="1133" t="str">
        <v>12mo Cancelled Checks (Include Copy of Note, if available)</v>
      </c>
      <c r="E15" s="1133" t="str">
        <v/>
      </c>
      <c r="F15" s="1136" t="s">
        <v>76</v>
      </c>
    </row>
    <row r="16" spans="2:11" x14ac:dyDescent="0.2">
      <c r="B16" s="1133" t="str">
        <v/>
      </c>
      <c r="C16" s="1133" t="str">
        <v/>
      </c>
      <c r="D16" s="1133" t="str">
        <v>2mo Consecutive Stmts w/in 90 Days (if Business Stmt, Provide Evidence of Ownership and Balance Sheet)</v>
      </c>
      <c r="E16" s="1133" t="str">
        <v/>
      </c>
      <c r="F16" s="1136" t="s">
        <v>76</v>
      </c>
    </row>
    <row r="17" spans="2:6" x14ac:dyDescent="0.2">
      <c r="B17" s="1133" t="str">
        <v/>
      </c>
      <c r="C17" s="1133" t="str">
        <v/>
      </c>
      <c r="D17" s="1133" t="str">
        <v>Balance Sheet (If using Business Assets for Funds for Closing/Reserves/Down Pmt)</v>
      </c>
      <c r="E17" s="1133" t="str">
        <v/>
      </c>
      <c r="F17" s="1136" t="s">
        <v>76</v>
      </c>
    </row>
    <row r="18" spans="2:6" x14ac:dyDescent="0.2">
      <c r="B18" s="1133" t="str">
        <v/>
      </c>
      <c r="C18" s="1133" t="str">
        <v/>
      </c>
      <c r="D18" s="1133" t="str">
        <v>Gift Letter [if applicable] (Evidence Donor Funds Transferred to Borrower or Settlement Agent)</v>
      </c>
      <c r="E18" s="1133" t="str">
        <v/>
      </c>
      <c r="F18" s="1136" t="s">
        <v>76</v>
      </c>
    </row>
    <row r="19" spans="2:6" x14ac:dyDescent="0.2">
      <c r="B19" s="1133" t="str">
        <v/>
      </c>
      <c r="C19" s="1133" t="str">
        <v/>
      </c>
      <c r="D19" s="1133" t="str">
        <v>Fee Sheet / Est. Closing Statement (Impounds Required: HPML Loans and Loans &gt;80 LTV - Unless Prohibited by State Law)</v>
      </c>
      <c r="E19" s="1133" t="str">
        <v/>
      </c>
      <c r="F19" s="1136" t="s">
        <v>76</v>
      </c>
    </row>
    <row r="20" spans="2:6" x14ac:dyDescent="0.2">
      <c r="B20" s="1133" t="str">
        <v/>
      </c>
      <c r="C20" s="1133" t="str">
        <v/>
      </c>
      <c r="D20" s="1133" t="str">
        <v>Hazard Insurance (Replacement Cost Estimator)</v>
      </c>
      <c r="E20" s="1133" t="str">
        <v/>
      </c>
      <c r="F20" s="1136" t="s">
        <v>76</v>
      </c>
    </row>
    <row r="21" spans="2:6" x14ac:dyDescent="0.2">
      <c r="B21" s="1133" t="str">
        <v/>
      </c>
      <c r="C21" s="1133" t="str">
        <v/>
      </c>
      <c r="D21" s="1133" t="str">
        <v>Balance Sheet (If using Business Assets for Funds for Closing/Reserves/Down Pmt)</v>
      </c>
      <c r="E21" s="1133" t="str">
        <v/>
      </c>
      <c r="F21" s="1136" t="s">
        <v>76</v>
      </c>
    </row>
    <row r="22" spans="2:6" x14ac:dyDescent="0.2">
      <c r="B22" s="1133" t="str">
        <v/>
      </c>
      <c r="C22" s="1133" t="str">
        <v/>
      </c>
      <c r="D22" s="1133" t="str">
        <v>1004D / Final Inspection [if applicable] (Condition rating C5/C6 and Quality rating Q6 unacceptable)</v>
      </c>
      <c r="E22" s="1133" t="str">
        <v/>
      </c>
      <c r="F22" s="1136" t="s">
        <v>76</v>
      </c>
    </row>
    <row r="23" spans="2:6" x14ac:dyDescent="0.2">
      <c r="B23" s="1133" t="str">
        <v/>
      </c>
      <c r="C23" s="1133" t="str">
        <v/>
      </c>
      <c r="D23" s="1133" t="str">
        <v>1004D / Final Inspection [if applicable] (Min 600 sf)</v>
      </c>
      <c r="E23" s="1133" t="str">
        <v/>
      </c>
      <c r="F23" s="1136" t="s">
        <v>76</v>
      </c>
    </row>
    <row r="24" spans="2:6" x14ac:dyDescent="0.2">
      <c r="B24" s="1133" t="str">
        <v/>
      </c>
      <c r="C24" s="1133" t="str">
        <v/>
      </c>
      <c r="D24" s="1133" t="str">
        <v>Master Liability Insurance (w/ Walls-In)</v>
      </c>
      <c r="E24" s="1133" t="str">
        <v/>
      </c>
      <c r="F24" s="1136" t="s">
        <v>76</v>
      </c>
    </row>
    <row r="25" spans="2:6" x14ac:dyDescent="0.2">
      <c r="B25" s="1133" t="str">
        <v/>
      </c>
      <c r="C25" s="1133" t="str">
        <v/>
      </c>
      <c r="D25" s="1133" t="str">
        <v>Fidelity Bond (Projects &gt; 20 units)</v>
      </c>
      <c r="E25" s="1133" t="str">
        <v/>
      </c>
      <c r="F25" s="1136" t="s">
        <v>76</v>
      </c>
    </row>
    <row r="26" spans="2:6" x14ac:dyDescent="0.2">
      <c r="B26" s="1133" t="str">
        <v/>
      </c>
      <c r="C26" s="1133" t="str">
        <v/>
      </c>
      <c r="D26" s="1133" t="str">
        <v>HO-6 (if Master Ins Does Not Have Walls-In (Bare Walls Not Acceptable))</v>
      </c>
      <c r="E26" s="1133" t="str">
        <v/>
      </c>
      <c r="F26" s="1136" t="s">
        <v>76</v>
      </c>
    </row>
    <row r="27" spans="2:6" x14ac:dyDescent="0.2">
      <c r="B27" s="1133" t="str">
        <v/>
      </c>
      <c r="C27" s="1133" t="str">
        <v/>
      </c>
      <c r="D27" s="1133" t="str">
        <v>1031 Exchange Documentation [if applicable] (Executed Agreement and Settlement Stmt from Accommodator)</v>
      </c>
      <c r="E27" s="1133" t="str">
        <v/>
      </c>
      <c r="F27" s="1136" t="s">
        <v>76</v>
      </c>
    </row>
    <row r="28" spans="2:6" x14ac:dyDescent="0.2">
      <c r="B28" s="1133" t="str">
        <v/>
      </c>
      <c r="C28" s="1133" t="str">
        <v/>
      </c>
      <c r="D28" s="1133" t="str">
        <v>Solar Agreement and Endorsement [if applicable]</v>
      </c>
      <c r="E28" s="1133" t="str">
        <v/>
      </c>
      <c r="F28" s="1136" t="s">
        <v>76</v>
      </c>
    </row>
    <row r="29" spans="2:6" x14ac:dyDescent="0.2">
      <c r="B29" s="1133" t="str">
        <v/>
      </c>
      <c r="C29" s="1133" t="str">
        <v/>
      </c>
      <c r="D29" s="1133" t="str">
        <v/>
      </c>
      <c r="E29" s="1133" t="str">
        <v/>
      </c>
      <c r="F29" s="1136" t="s">
        <v>76</v>
      </c>
    </row>
    <row r="30" spans="2:6" x14ac:dyDescent="0.2">
      <c r="B30" s="1133" t="str">
        <v/>
      </c>
      <c r="C30" s="1133" t="str">
        <v/>
      </c>
      <c r="D30" s="1133" t="str">
        <v/>
      </c>
      <c r="E30" s="1133" t="str">
        <v/>
      </c>
      <c r="F30" s="1136" t="s">
        <v>76</v>
      </c>
    </row>
    <row r="31" spans="2:6" x14ac:dyDescent="0.2">
      <c r="B31" s="1133" t="str">
        <v/>
      </c>
      <c r="C31" s="1133" t="str">
        <v/>
      </c>
      <c r="D31" s="1133" t="str">
        <v/>
      </c>
      <c r="E31" s="1133" t="str">
        <v/>
      </c>
      <c r="F31" s="1136" t="s">
        <v>76</v>
      </c>
    </row>
    <row r="32" spans="2:6" x14ac:dyDescent="0.2">
      <c r="B32" s="1133" t="str">
        <v/>
      </c>
      <c r="C32" s="1133" t="str">
        <v/>
      </c>
      <c r="D32" s="1133" t="str">
        <v/>
      </c>
      <c r="E32" s="1133" t="str">
        <v/>
      </c>
      <c r="F32" s="1136" t="s">
        <v>76</v>
      </c>
    </row>
    <row r="33" spans="2:6" x14ac:dyDescent="0.2">
      <c r="B33" s="1133" t="str">
        <v/>
      </c>
      <c r="C33" s="1133" t="str">
        <v/>
      </c>
      <c r="D33" s="1133" t="str">
        <v/>
      </c>
      <c r="E33" s="1133" t="str">
        <v/>
      </c>
      <c r="F33" s="1136" t="s">
        <v>76</v>
      </c>
    </row>
    <row r="34" spans="2:6" x14ac:dyDescent="0.2">
      <c r="B34" s="1133" t="str">
        <v/>
      </c>
      <c r="C34" s="1133" t="str">
        <v/>
      </c>
      <c r="D34" s="1133" t="str">
        <v/>
      </c>
      <c r="E34" s="1133" t="str">
        <v/>
      </c>
      <c r="F34" s="1136" t="s">
        <v>76</v>
      </c>
    </row>
    <row r="35" spans="2:6" x14ac:dyDescent="0.2">
      <c r="B35" s="1133" t="str">
        <v/>
      </c>
      <c r="C35" s="1133" t="str">
        <v/>
      </c>
      <c r="D35" s="1133" t="str">
        <v/>
      </c>
      <c r="E35" s="1133" t="str">
        <v/>
      </c>
      <c r="F35" s="1136" t="s">
        <v>76</v>
      </c>
    </row>
    <row r="36" spans="2:6" x14ac:dyDescent="0.2">
      <c r="B36" s="1133" t="str">
        <v/>
      </c>
      <c r="C36" s="1133" t="str">
        <v/>
      </c>
      <c r="D36" s="1133" t="str">
        <v/>
      </c>
      <c r="E36" s="1133" t="str">
        <v/>
      </c>
      <c r="F36" s="1136" t="s">
        <v>76</v>
      </c>
    </row>
    <row r="37" spans="2:6" x14ac:dyDescent="0.2">
      <c r="B37" s="1133" t="str">
        <v/>
      </c>
      <c r="C37" s="1133" t="str">
        <v/>
      </c>
      <c r="D37" s="1133" t="str">
        <v/>
      </c>
      <c r="E37" s="1133" t="str">
        <v/>
      </c>
      <c r="F37" s="1136" t="s">
        <v>76</v>
      </c>
    </row>
    <row r="38" spans="2:6" x14ac:dyDescent="0.2">
      <c r="B38" s="1133" t="str">
        <v/>
      </c>
      <c r="C38" s="1133" t="str">
        <v/>
      </c>
      <c r="D38" s="1133" t="str">
        <v/>
      </c>
      <c r="E38" s="1133" t="str">
        <v/>
      </c>
      <c r="F38" s="1136" t="s">
        <v>76</v>
      </c>
    </row>
    <row r="39" spans="2:6" x14ac:dyDescent="0.2">
      <c r="B39" s="1133" t="str">
        <v/>
      </c>
      <c r="C39" s="1133" t="str">
        <v/>
      </c>
      <c r="D39" s="1133" t="str">
        <v/>
      </c>
      <c r="E39" s="1133" t="str">
        <v/>
      </c>
      <c r="F39" s="1136" t="s">
        <v>76</v>
      </c>
    </row>
    <row r="40" spans="2:6" x14ac:dyDescent="0.2">
      <c r="B40" s="1133" t="str">
        <v/>
      </c>
      <c r="C40" s="1133" t="str">
        <v/>
      </c>
      <c r="D40" s="1133" t="str">
        <v/>
      </c>
      <c r="E40" s="1133" t="str">
        <v/>
      </c>
      <c r="F40" s="1136" t="s">
        <v>76</v>
      </c>
    </row>
    <row r="41" spans="2:6" x14ac:dyDescent="0.2">
      <c r="B41" s="1133" t="str">
        <v/>
      </c>
      <c r="C41" s="1133" t="str">
        <v/>
      </c>
      <c r="D41" s="1133" t="str">
        <v/>
      </c>
      <c r="E41" s="1133" t="str">
        <v/>
      </c>
      <c r="F41" s="1136" t="s">
        <v>76</v>
      </c>
    </row>
    <row r="42" spans="2:6" x14ac:dyDescent="0.2">
      <c r="B42" s="1133" t="str">
        <v/>
      </c>
      <c r="C42" s="1133" t="str">
        <v/>
      </c>
      <c r="D42" s="1133" t="str">
        <v/>
      </c>
      <c r="E42" s="1133" t="str">
        <v/>
      </c>
      <c r="F42" s="1136" t="s">
        <v>76</v>
      </c>
    </row>
    <row r="43" spans="2:6" x14ac:dyDescent="0.2">
      <c r="B43" s="1133" t="str">
        <v/>
      </c>
      <c r="C43" s="1133" t="str">
        <v/>
      </c>
      <c r="D43" s="1133" t="str">
        <v/>
      </c>
      <c r="E43" s="1133" t="str">
        <v/>
      </c>
      <c r="F43" s="1136" t="s">
        <v>76</v>
      </c>
    </row>
    <row r="44" spans="2:6" x14ac:dyDescent="0.2">
      <c r="B44" s="1133" t="str">
        <v/>
      </c>
      <c r="C44" s="1133" t="str">
        <v/>
      </c>
      <c r="D44" s="1133" t="str">
        <v/>
      </c>
      <c r="E44" s="1133" t="str">
        <v/>
      </c>
      <c r="F44" s="1136" t="s">
        <v>76</v>
      </c>
    </row>
    <row r="45" spans="2:6" x14ac:dyDescent="0.2">
      <c r="B45" s="1133" t="str">
        <v/>
      </c>
      <c r="C45" s="1133" t="str">
        <v/>
      </c>
      <c r="D45" s="1133" t="str">
        <v/>
      </c>
      <c r="E45" s="1133" t="str">
        <v/>
      </c>
      <c r="F45" s="1136" t="s">
        <v>76</v>
      </c>
    </row>
    <row r="46" spans="2:6" x14ac:dyDescent="0.2">
      <c r="B46" s="1133" t="str">
        <v/>
      </c>
      <c r="C46" s="1133" t="str">
        <v/>
      </c>
      <c r="D46" s="1133" t="str">
        <v/>
      </c>
      <c r="E46" s="1133" t="str">
        <v/>
      </c>
      <c r="F46" s="1136" t="s">
        <v>76</v>
      </c>
    </row>
    <row r="47" spans="2:6" x14ac:dyDescent="0.2">
      <c r="B47" s="1133" t="str">
        <v/>
      </c>
      <c r="C47" s="1133" t="str">
        <v/>
      </c>
      <c r="D47" s="1133" t="str">
        <v/>
      </c>
      <c r="E47" s="1133" t="str">
        <v/>
      </c>
      <c r="F47" s="1136" t="s">
        <v>76</v>
      </c>
    </row>
    <row r="48" spans="2:6" x14ac:dyDescent="0.2">
      <c r="B48" s="1133" t="str">
        <v/>
      </c>
      <c r="C48" s="1133" t="str">
        <v/>
      </c>
      <c r="D48" s="1133" t="str">
        <v/>
      </c>
      <c r="E48" s="1133" t="str">
        <v/>
      </c>
      <c r="F48" s="1136" t="s">
        <v>76</v>
      </c>
    </row>
    <row r="49" spans="2:6" x14ac:dyDescent="0.2">
      <c r="B49" s="1133" t="str">
        <v/>
      </c>
      <c r="C49" s="1133" t="str">
        <v/>
      </c>
      <c r="D49" s="1133" t="str">
        <v/>
      </c>
      <c r="E49" s="1133" t="str">
        <v/>
      </c>
      <c r="F49" s="1136" t="s">
        <v>76</v>
      </c>
    </row>
    <row r="50" spans="2:6" x14ac:dyDescent="0.2">
      <c r="B50" s="1133" t="str">
        <v/>
      </c>
      <c r="C50" s="1133" t="str">
        <v/>
      </c>
      <c r="D50" s="1133" t="str">
        <v/>
      </c>
      <c r="E50" s="1133" t="str">
        <v/>
      </c>
      <c r="F50" s="1136" t="s">
        <v>76</v>
      </c>
    </row>
    <row r="51" spans="2:6" x14ac:dyDescent="0.2">
      <c r="B51" s="1133" t="str">
        <v/>
      </c>
      <c r="C51" s="1133" t="str">
        <v/>
      </c>
      <c r="D51" s="1133" t="str">
        <v/>
      </c>
      <c r="E51" s="1133" t="str">
        <v/>
      </c>
      <c r="F51" s="1136" t="s">
        <v>76</v>
      </c>
    </row>
    <row r="52" spans="2:6" x14ac:dyDescent="0.2">
      <c r="B52" s="1133" t="str">
        <v/>
      </c>
      <c r="C52" s="1133" t="str">
        <v/>
      </c>
      <c r="D52" s="1133" t="str">
        <v/>
      </c>
      <c r="E52" s="1133" t="str">
        <v/>
      </c>
      <c r="F52" s="1136" t="s">
        <v>76</v>
      </c>
    </row>
    <row r="53" spans="2:6" x14ac:dyDescent="0.2">
      <c r="B53" s="1133" t="str">
        <v/>
      </c>
      <c r="C53" s="1133" t="str">
        <v/>
      </c>
      <c r="D53" s="1133" t="str">
        <v/>
      </c>
      <c r="E53" s="1133" t="str">
        <v/>
      </c>
      <c r="F53" s="1136" t="s">
        <v>76</v>
      </c>
    </row>
    <row r="54" spans="2:6" x14ac:dyDescent="0.2">
      <c r="B54" s="1133" t="str">
        <v/>
      </c>
      <c r="C54" s="1133" t="str">
        <v/>
      </c>
      <c r="D54" s="1133" t="str">
        <v/>
      </c>
      <c r="E54" s="1133" t="str">
        <v/>
      </c>
      <c r="F54" s="1136" t="s">
        <v>76</v>
      </c>
    </row>
    <row r="55" spans="2:6" x14ac:dyDescent="0.2">
      <c r="B55" s="1133" t="str">
        <v/>
      </c>
      <c r="C55" s="1133" t="str">
        <v/>
      </c>
      <c r="D55" s="1133" t="str">
        <v/>
      </c>
      <c r="E55" s="1133" t="str">
        <v/>
      </c>
      <c r="F55" s="1136" t="s">
        <v>76</v>
      </c>
    </row>
    <row r="56" spans="2:6" x14ac:dyDescent="0.2">
      <c r="B56" s="1133" t="str">
        <v/>
      </c>
      <c r="C56" s="1133" t="str">
        <v/>
      </c>
      <c r="D56" s="1133" t="str">
        <v/>
      </c>
      <c r="E56" s="1133" t="str">
        <v/>
      </c>
      <c r="F56" s="1136" t="s">
        <v>76</v>
      </c>
    </row>
    <row r="57" spans="2:6" x14ac:dyDescent="0.2">
      <c r="B57" s="1133" t="str">
        <v/>
      </c>
      <c r="C57" s="1133" t="str">
        <v/>
      </c>
      <c r="D57" s="1133" t="str">
        <v/>
      </c>
      <c r="E57" s="1133" t="str">
        <v/>
      </c>
      <c r="F57" s="1136" t="s">
        <v>76</v>
      </c>
    </row>
    <row r="58" spans="2:6" x14ac:dyDescent="0.2">
      <c r="B58" s="1133" t="str">
        <v/>
      </c>
      <c r="C58" s="1133" t="str">
        <v/>
      </c>
      <c r="D58" s="1133" t="str">
        <v/>
      </c>
      <c r="E58" s="1133" t="str">
        <v/>
      </c>
      <c r="F58" s="1136" t="s">
        <v>76</v>
      </c>
    </row>
    <row r="59" spans="2:6" x14ac:dyDescent="0.2">
      <c r="B59" s="1133" t="str">
        <v/>
      </c>
      <c r="C59" s="1133" t="str">
        <v/>
      </c>
      <c r="D59" s="1133" t="str">
        <v/>
      </c>
      <c r="E59" s="1133" t="str">
        <v/>
      </c>
      <c r="F59" s="1136" t="s">
        <v>76</v>
      </c>
    </row>
    <row r="60" spans="2:6" x14ac:dyDescent="0.2">
      <c r="B60" s="1133" t="str">
        <v/>
      </c>
      <c r="C60" s="1133" t="str">
        <v/>
      </c>
      <c r="D60" s="1133" t="str">
        <v/>
      </c>
      <c r="E60" s="1133" t="str">
        <v/>
      </c>
      <c r="F60" s="1136" t="s">
        <v>76</v>
      </c>
    </row>
    <row r="61" spans="2:6" x14ac:dyDescent="0.2">
      <c r="B61" s="1133" t="str">
        <v/>
      </c>
      <c r="C61" s="1133" t="str">
        <v/>
      </c>
      <c r="D61" s="1133" t="str">
        <v/>
      </c>
      <c r="E61" s="1133" t="str">
        <v/>
      </c>
      <c r="F61" s="1136" t="s">
        <v>76</v>
      </c>
    </row>
    <row r="62" spans="2:6" x14ac:dyDescent="0.2">
      <c r="B62" s="1133" t="str">
        <v/>
      </c>
      <c r="C62" s="1133" t="str">
        <v/>
      </c>
      <c r="D62" s="1133" t="str">
        <v/>
      </c>
      <c r="E62" s="1133" t="str">
        <v/>
      </c>
      <c r="F62" s="1136" t="s">
        <v>76</v>
      </c>
    </row>
    <row r="63" spans="2:6" x14ac:dyDescent="0.2">
      <c r="B63" s="1133" t="str">
        <v/>
      </c>
      <c r="C63" s="1133" t="str">
        <v/>
      </c>
      <c r="D63" s="1133" t="str">
        <v/>
      </c>
      <c r="E63" s="1133" t="str">
        <v/>
      </c>
      <c r="F63" s="1136" t="s">
        <v>76</v>
      </c>
    </row>
    <row r="64" spans="2:6" x14ac:dyDescent="0.2">
      <c r="B64" s="1133" t="str">
        <v/>
      </c>
      <c r="C64" s="1133" t="str">
        <v/>
      </c>
      <c r="D64" s="1133" t="str">
        <v/>
      </c>
      <c r="E64" s="1133" t="str">
        <v/>
      </c>
      <c r="F64" s="1136" t="s">
        <v>76</v>
      </c>
    </row>
    <row r="65" spans="2:6" x14ac:dyDescent="0.2">
      <c r="B65" s="1133" t="str">
        <v/>
      </c>
      <c r="C65" s="1133" t="str">
        <v/>
      </c>
      <c r="D65" s="1133" t="str">
        <v/>
      </c>
      <c r="E65" s="1133" t="str">
        <v/>
      </c>
      <c r="F65" s="1136" t="s">
        <v>76</v>
      </c>
    </row>
    <row r="66" spans="2:6" x14ac:dyDescent="0.2">
      <c r="B66" s="1133" t="str">
        <v/>
      </c>
      <c r="C66" s="1133" t="str">
        <v/>
      </c>
      <c r="D66" s="1133" t="str">
        <v/>
      </c>
      <c r="E66" s="1133" t="str">
        <v/>
      </c>
      <c r="F66" s="1136" t="s">
        <v>76</v>
      </c>
    </row>
    <row r="67" spans="2:6" x14ac:dyDescent="0.2">
      <c r="B67" s="1133" t="str">
        <v/>
      </c>
      <c r="C67" s="1133" t="str">
        <v/>
      </c>
      <c r="D67" s="1133" t="str">
        <v/>
      </c>
      <c r="E67" s="1133" t="str">
        <v/>
      </c>
      <c r="F67" s="1136" t="s">
        <v>76</v>
      </c>
    </row>
    <row r="68" spans="2:6" x14ac:dyDescent="0.2">
      <c r="B68" s="1133" t="str">
        <v/>
      </c>
      <c r="C68" s="1133" t="str">
        <v/>
      </c>
      <c r="D68" s="1133" t="str">
        <v/>
      </c>
      <c r="E68" s="1133" t="str">
        <v/>
      </c>
      <c r="F68" s="1136" t="s">
        <v>76</v>
      </c>
    </row>
    <row r="69" spans="2:6" x14ac:dyDescent="0.2">
      <c r="B69" s="1133" t="str">
        <v/>
      </c>
      <c r="C69" s="1133" t="str">
        <v/>
      </c>
      <c r="D69" s="1133" t="str">
        <v/>
      </c>
      <c r="E69" s="1133" t="str">
        <v/>
      </c>
      <c r="F69" s="1136" t="s">
        <v>76</v>
      </c>
    </row>
    <row r="70" spans="2:6" x14ac:dyDescent="0.2">
      <c r="B70" s="1133" t="str">
        <v/>
      </c>
      <c r="C70" s="1133" t="str">
        <v/>
      </c>
      <c r="D70" s="1133" t="str">
        <v/>
      </c>
      <c r="E70" s="1133" t="str">
        <v/>
      </c>
      <c r="F70" s="1136" t="s">
        <v>76</v>
      </c>
    </row>
    <row r="71" spans="2:6" x14ac:dyDescent="0.2">
      <c r="B71" s="1133" t="str">
        <v/>
      </c>
      <c r="C71" s="1133" t="str">
        <v/>
      </c>
      <c r="D71" s="1133" t="str">
        <v/>
      </c>
      <c r="E71" s="1133" t="str">
        <v/>
      </c>
      <c r="F71" s="1136" t="s">
        <v>76</v>
      </c>
    </row>
    <row r="72" spans="2:6" x14ac:dyDescent="0.2">
      <c r="B72" s="1133" t="str">
        <v/>
      </c>
      <c r="C72" s="1134" t="str">
        <v/>
      </c>
      <c r="D72" s="1133" t="str">
        <v/>
      </c>
      <c r="E72" s="1133" t="str">
        <v/>
      </c>
      <c r="F72" s="1136" t="s">
        <v>76</v>
      </c>
    </row>
    <row r="73" spans="2:6" x14ac:dyDescent="0.2">
      <c r="B73" s="1133" t="str">
        <v/>
      </c>
      <c r="C73" s="1134" t="str">
        <v/>
      </c>
      <c r="D73" s="1133" t="str">
        <v/>
      </c>
      <c r="E73" s="1133" t="str">
        <v/>
      </c>
      <c r="F73" s="1136" t="s">
        <v>76</v>
      </c>
    </row>
    <row r="74" spans="2:6" x14ac:dyDescent="0.2">
      <c r="B74" s="1133" t="str">
        <v/>
      </c>
      <c r="C74" s="1134" t="str">
        <v/>
      </c>
      <c r="D74" s="1133" t="str">
        <v/>
      </c>
      <c r="E74" s="1133" t="str">
        <v/>
      </c>
      <c r="F74" s="1136" t="s">
        <v>76</v>
      </c>
    </row>
    <row r="75" spans="2:6" x14ac:dyDescent="0.2">
      <c r="B75" s="1133" t="str">
        <v/>
      </c>
      <c r="C75" s="1134" t="str">
        <v/>
      </c>
      <c r="D75" s="1133" t="str">
        <v/>
      </c>
      <c r="E75" s="1133" t="str">
        <v/>
      </c>
      <c r="F75" s="1136" t="s">
        <v>76</v>
      </c>
    </row>
    <row r="76" spans="2:6" x14ac:dyDescent="0.2">
      <c r="B76" s="1133" t="str">
        <v/>
      </c>
      <c r="C76" s="1134" t="str">
        <v/>
      </c>
      <c r="D76" s="1133" t="str">
        <v/>
      </c>
      <c r="E76" s="1133" t="str">
        <v/>
      </c>
      <c r="F76" s="1136" t="s">
        <v>76</v>
      </c>
    </row>
    <row r="77" spans="2:6" x14ac:dyDescent="0.2">
      <c r="B77" s="1133" t="str">
        <v/>
      </c>
      <c r="C77" s="1134" t="str">
        <v/>
      </c>
      <c r="D77" s="1133" t="str">
        <v/>
      </c>
      <c r="E77" s="1133" t="str">
        <v/>
      </c>
      <c r="F77" s="1136" t="s">
        <v>76</v>
      </c>
    </row>
    <row r="78" spans="2:6" x14ac:dyDescent="0.2">
      <c r="B78" s="1133" t="str">
        <v/>
      </c>
      <c r="C78" s="1134" t="str">
        <v/>
      </c>
      <c r="D78" s="1133" t="str">
        <v/>
      </c>
      <c r="E78" s="1133" t="str">
        <v/>
      </c>
      <c r="F78" s="1136" t="s">
        <v>76</v>
      </c>
    </row>
    <row r="79" spans="2:6" x14ac:dyDescent="0.2">
      <c r="B79" s="1133" t="str">
        <v/>
      </c>
      <c r="C79" s="1134" t="str">
        <v/>
      </c>
      <c r="D79" s="1133" t="str">
        <v/>
      </c>
      <c r="E79" s="1133" t="str">
        <v/>
      </c>
      <c r="F79" s="1136" t="s">
        <v>76</v>
      </c>
    </row>
    <row r="80" spans="2:6" x14ac:dyDescent="0.2">
      <c r="B80" s="1133" t="str">
        <v/>
      </c>
      <c r="C80" s="1134" t="str">
        <v/>
      </c>
      <c r="D80" s="1133" t="str">
        <v/>
      </c>
      <c r="E80" s="1133" t="str">
        <v/>
      </c>
      <c r="F80" s="1136" t="s">
        <v>76</v>
      </c>
    </row>
    <row r="81" spans="2:6" x14ac:dyDescent="0.2">
      <c r="B81" s="1133" t="str">
        <v/>
      </c>
      <c r="C81" s="1134" t="str">
        <v/>
      </c>
      <c r="D81" s="1133" t="str">
        <v/>
      </c>
      <c r="E81" s="1133" t="str">
        <v/>
      </c>
      <c r="F81" s="1136" t="s">
        <v>76</v>
      </c>
    </row>
    <row r="82" spans="2:6" x14ac:dyDescent="0.2">
      <c r="B82" s="1133" t="str">
        <v/>
      </c>
      <c r="C82" s="1134" t="str">
        <v/>
      </c>
      <c r="D82" s="1133" t="str">
        <v/>
      </c>
      <c r="E82" s="1133" t="str">
        <v/>
      </c>
      <c r="F82" s="1136" t="s">
        <v>76</v>
      </c>
    </row>
    <row r="83" spans="2:6" x14ac:dyDescent="0.2">
      <c r="B83" s="1133" t="str">
        <v/>
      </c>
      <c r="C83" s="1134" t="str">
        <v/>
      </c>
      <c r="D83" s="1133" t="str">
        <v/>
      </c>
      <c r="E83" s="1133" t="str">
        <v/>
      </c>
      <c r="F83" s="1136" t="s">
        <v>76</v>
      </c>
    </row>
    <row r="84" spans="2:6" x14ac:dyDescent="0.2">
      <c r="B84" s="1133" t="str">
        <v/>
      </c>
      <c r="C84" s="1134" t="str">
        <v/>
      </c>
      <c r="D84" s="1133" t="str">
        <v/>
      </c>
      <c r="E84" s="1133" t="str">
        <v/>
      </c>
      <c r="F84" s="1136" t="s">
        <v>76</v>
      </c>
    </row>
    <row r="85" spans="2:6" x14ac:dyDescent="0.2">
      <c r="B85" s="1133" t="str">
        <v/>
      </c>
      <c r="C85" s="1134" t="str">
        <v/>
      </c>
      <c r="D85" s="1133" t="str">
        <v/>
      </c>
      <c r="E85" s="1133" t="str">
        <v/>
      </c>
      <c r="F85" s="1136" t="s">
        <v>76</v>
      </c>
    </row>
    <row r="86" spans="2:6" x14ac:dyDescent="0.2">
      <c r="B86" s="1133" t="str">
        <v/>
      </c>
      <c r="C86" s="1134" t="str">
        <v/>
      </c>
      <c r="D86" s="1133" t="str">
        <v/>
      </c>
      <c r="E86" s="1133" t="str">
        <v/>
      </c>
      <c r="F86" s="1136" t="s">
        <v>76</v>
      </c>
    </row>
    <row r="87" spans="2:6" x14ac:dyDescent="0.2">
      <c r="B87" s="1133" t="str">
        <v/>
      </c>
      <c r="C87" s="1134" t="str">
        <v/>
      </c>
      <c r="D87" s="1133" t="str">
        <v/>
      </c>
      <c r="E87" s="1133" t="str">
        <v/>
      </c>
      <c r="F87" s="1136" t="s">
        <v>76</v>
      </c>
    </row>
    <row r="88" spans="2:6" x14ac:dyDescent="0.2">
      <c r="B88" s="1133" t="str">
        <v/>
      </c>
      <c r="C88" s="1134" t="str">
        <v/>
      </c>
      <c r="D88" s="1133" t="str">
        <v/>
      </c>
      <c r="E88" s="1133" t="str">
        <v/>
      </c>
      <c r="F88" s="1136" t="s">
        <v>76</v>
      </c>
    </row>
    <row r="89" spans="2:6" x14ac:dyDescent="0.2">
      <c r="B89" s="1133" t="str">
        <v/>
      </c>
      <c r="C89" s="1134" t="str">
        <v/>
      </c>
      <c r="D89" s="1133" t="str">
        <v/>
      </c>
      <c r="E89" s="1133" t="str">
        <v/>
      </c>
      <c r="F89" s="1136" t="s">
        <v>76</v>
      </c>
    </row>
    <row r="90" spans="2:6" x14ac:dyDescent="0.2">
      <c r="B90" s="1133" t="str">
        <v/>
      </c>
      <c r="C90" s="1134" t="str">
        <v/>
      </c>
      <c r="D90" s="1133" t="str">
        <v/>
      </c>
      <c r="E90" s="1133" t="str">
        <v/>
      </c>
      <c r="F90" s="1136" t="s">
        <v>76</v>
      </c>
    </row>
    <row r="91" spans="2:6" x14ac:dyDescent="0.2">
      <c r="B91" s="1133" t="str">
        <v/>
      </c>
      <c r="C91" s="1134" t="str">
        <v/>
      </c>
      <c r="D91" s="1133" t="str">
        <v/>
      </c>
      <c r="E91" s="1133" t="str">
        <v/>
      </c>
      <c r="F91" s="1136" t="s">
        <v>76</v>
      </c>
    </row>
    <row r="92" spans="2:6" x14ac:dyDescent="0.2">
      <c r="B92" s="1133" t="str">
        <v/>
      </c>
      <c r="C92" s="1134" t="str">
        <v/>
      </c>
      <c r="D92" s="1133" t="str">
        <v/>
      </c>
      <c r="E92" s="1133" t="str">
        <v/>
      </c>
      <c r="F92" s="1136" t="s">
        <v>76</v>
      </c>
    </row>
    <row r="93" spans="2:6" x14ac:dyDescent="0.2">
      <c r="B93" s="1133" t="str">
        <v/>
      </c>
      <c r="C93" s="1134" t="str">
        <v/>
      </c>
      <c r="D93" s="1133" t="str">
        <v/>
      </c>
      <c r="E93" s="1133" t="str">
        <v/>
      </c>
      <c r="F93" s="1136" t="s">
        <v>76</v>
      </c>
    </row>
    <row r="94" spans="2:6" x14ac:dyDescent="0.2">
      <c r="B94" s="1133" t="str">
        <v/>
      </c>
      <c r="C94" s="1134" t="str">
        <v/>
      </c>
      <c r="D94" s="1133" t="str">
        <v/>
      </c>
      <c r="E94" s="1133" t="str">
        <v/>
      </c>
      <c r="F94" s="1136" t="s">
        <v>76</v>
      </c>
    </row>
    <row r="95" spans="2:6" x14ac:dyDescent="0.2">
      <c r="B95" s="1133" t="str">
        <v/>
      </c>
      <c r="C95" s="1134" t="str">
        <v/>
      </c>
      <c r="D95" s="1133" t="str">
        <v/>
      </c>
      <c r="E95" s="1133" t="str">
        <v/>
      </c>
      <c r="F95" s="1136" t="s">
        <v>76</v>
      </c>
    </row>
    <row r="96" spans="2:6" x14ac:dyDescent="0.2">
      <c r="B96" s="1133" t="str">
        <v/>
      </c>
      <c r="C96" s="1134" t="str">
        <v/>
      </c>
      <c r="D96" s="1133" t="str">
        <v/>
      </c>
      <c r="E96" s="1133" t="str">
        <v/>
      </c>
      <c r="F96" s="1136" t="s">
        <v>76</v>
      </c>
    </row>
    <row r="97" spans="2:6" x14ac:dyDescent="0.2">
      <c r="B97" s="1133" t="str">
        <v/>
      </c>
      <c r="C97" s="1134" t="str">
        <v/>
      </c>
      <c r="D97" s="1133" t="str">
        <v/>
      </c>
      <c r="E97" s="1133" t="str">
        <v/>
      </c>
      <c r="F97" s="1136" t="s">
        <v>76</v>
      </c>
    </row>
    <row r="98" spans="2:6" x14ac:dyDescent="0.2">
      <c r="B98" s="1" t="str">
        <v/>
      </c>
      <c r="C98" s="1" t="str">
        <v/>
      </c>
      <c r="D98" s="1" t="str">
        <v/>
      </c>
      <c r="E98" s="1" t="str">
        <v/>
      </c>
    </row>
  </sheetData>
  <sheetProtection algorithmName="SHA-512" hashValue="qtzPnrZfgH+1ENs7/q0BrJUyXod20o7/HqdQloRftvtPggKXnPL40qJxd/l+MyyGITdyyUkLlBVnyUlHGj3aGg==" saltValue="JqxMrWm9Ox6zEb0uoSX2ag==" spinCount="100000" sheet="1" objects="1" scenarios="1"/>
  <mergeCells count="2">
    <mergeCell ref="B1:K1"/>
    <mergeCell ref="H2:K2"/>
  </mergeCells>
  <conditionalFormatting sqref="B5:E97">
    <cfRule type="notContainsBlanks" dxfId="2" priority="3">
      <formula>LEN(TRIM(B5))&gt;0</formula>
    </cfRule>
  </conditionalFormatting>
  <conditionalFormatting sqref="F5">
    <cfRule type="notContainsBlanks" dxfId="1" priority="1">
      <formula>LEN(TRIM(F5))&gt;0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3E20-A6B6-420D-B6EF-230466F93C67}">
  <sheetPr codeName="Sheet11"/>
  <dimension ref="A1:AD449"/>
  <sheetViews>
    <sheetView showGridLines="0" topLeftCell="B1" zoomScale="97" workbookViewId="0">
      <selection activeCell="F5" sqref="F5"/>
    </sheetView>
  </sheetViews>
  <sheetFormatPr defaultColWidth="8.85546875" defaultRowHeight="11.25" x14ac:dyDescent="0.2"/>
  <cols>
    <col min="1" max="1" width="12.140625" style="1" bestFit="1" customWidth="1"/>
    <col min="2" max="2" width="8.28515625" style="10" bestFit="1" customWidth="1"/>
    <col min="3" max="4" width="8.28515625" style="10" customWidth="1"/>
    <col min="5" max="5" width="2.140625" style="10" customWidth="1"/>
    <col min="6" max="6" width="12.7109375" style="10" bestFit="1" customWidth="1"/>
    <col min="7" max="7" width="16.7109375" style="10" bestFit="1" customWidth="1"/>
    <col min="8" max="8" width="14.7109375" style="10" customWidth="1"/>
    <col min="9" max="9" width="9.42578125" style="10" customWidth="1"/>
    <col min="10" max="12" width="5.85546875" style="10" customWidth="1"/>
    <col min="13" max="14" width="10" style="10" customWidth="1"/>
    <col min="15" max="15" width="10.28515625" style="10" customWidth="1"/>
    <col min="16" max="16" width="6.85546875" style="10" customWidth="1"/>
    <col min="17" max="17" width="11.140625" style="10" customWidth="1"/>
    <col min="18" max="18" width="9" style="10" bestFit="1" customWidth="1"/>
    <col min="19" max="19" width="9" style="10" customWidth="1"/>
    <col min="20" max="20" width="7.140625" style="10" customWidth="1"/>
    <col min="21" max="21" width="8.140625" style="10" customWidth="1"/>
    <col min="22" max="22" width="7.140625" style="10" customWidth="1"/>
    <col min="23" max="23" width="15.42578125" style="10" bestFit="1" customWidth="1"/>
    <col min="24" max="24" width="2.140625" style="10" customWidth="1"/>
    <col min="25" max="26" width="5.42578125" style="1" customWidth="1"/>
    <col min="27" max="27" width="8.85546875" style="1"/>
    <col min="28" max="28" width="8.140625" style="1" customWidth="1"/>
    <col min="29" max="29" width="10.7109375" style="1" bestFit="1" customWidth="1"/>
    <col min="30" max="30" width="8.7109375" style="1" customWidth="1"/>
    <col min="31" max="16384" width="8.85546875" style="1"/>
  </cols>
  <sheetData>
    <row r="1" spans="1:30" ht="6" customHeight="1" x14ac:dyDescent="0.2">
      <c r="B1" s="1"/>
      <c r="C1" s="1"/>
      <c r="E1" s="1"/>
      <c r="S1" s="815"/>
    </row>
    <row r="2" spans="1:30" x14ac:dyDescent="0.2">
      <c r="M2" s="297" t="s">
        <v>1477</v>
      </c>
      <c r="N2" s="297" t="s">
        <v>1478</v>
      </c>
      <c r="O2" s="312"/>
      <c r="P2" s="313"/>
      <c r="S2" s="815"/>
    </row>
    <row r="3" spans="1:30" x14ac:dyDescent="0.2">
      <c r="B3" s="440" t="s">
        <v>1464</v>
      </c>
      <c r="C3" s="2251" t="s">
        <v>1457</v>
      </c>
      <c r="D3" s="2252"/>
      <c r="F3" s="294" t="s">
        <v>1497</v>
      </c>
      <c r="G3" s="294" t="s">
        <v>1497</v>
      </c>
      <c r="H3" s="294" t="s">
        <v>1465</v>
      </c>
      <c r="I3" s="294" t="s">
        <v>1465</v>
      </c>
      <c r="J3" s="2253" t="s">
        <v>1458</v>
      </c>
      <c r="K3" s="294" t="s">
        <v>1459</v>
      </c>
      <c r="L3" s="294" t="s">
        <v>1460</v>
      </c>
      <c r="M3" s="294" t="s">
        <v>1461</v>
      </c>
      <c r="N3" s="294" t="s">
        <v>1462</v>
      </c>
      <c r="O3" s="298" t="s">
        <v>39</v>
      </c>
      <c r="P3" s="298" t="s">
        <v>33</v>
      </c>
      <c r="Q3" s="298" t="s">
        <v>1494</v>
      </c>
      <c r="R3" s="298" t="s">
        <v>1495</v>
      </c>
      <c r="S3" s="298" t="s">
        <v>1494</v>
      </c>
      <c r="T3" s="298" t="s">
        <v>1520</v>
      </c>
      <c r="U3" s="298" t="s">
        <v>1520</v>
      </c>
      <c r="V3" s="298" t="s">
        <v>1520</v>
      </c>
      <c r="W3" s="298" t="s">
        <v>1496</v>
      </c>
      <c r="Y3" s="298" t="s">
        <v>1497</v>
      </c>
      <c r="Z3" s="298" t="s">
        <v>1497</v>
      </c>
      <c r="AA3" s="298" t="s">
        <v>1396</v>
      </c>
      <c r="AB3" s="298" t="s">
        <v>1396</v>
      </c>
      <c r="AC3" s="298" t="s">
        <v>1496</v>
      </c>
      <c r="AD3" s="298" t="s">
        <v>1496</v>
      </c>
    </row>
    <row r="4" spans="1:30" x14ac:dyDescent="0.2">
      <c r="A4" s="2248" t="str">
        <f>HC_State_APR_IndexType&amp;" "&amp;Lookup_TermMaturity&amp;" "&amp;Lookup_AmortType</f>
        <v>Treasury 360 FRM</v>
      </c>
      <c r="B4" s="441" cm="1">
        <f t="array" ref="B4">[1]!Input_Index_Treasury_Dt</f>
        <v>45824</v>
      </c>
      <c r="C4" s="443" cm="1">
        <f t="array" ref="C4">[1]!Input_Index_APOR_Dt</f>
        <v>45824</v>
      </c>
      <c r="D4" s="444"/>
      <c r="F4" s="296" t="s">
        <v>316</v>
      </c>
      <c r="G4" s="296" t="s">
        <v>1396</v>
      </c>
      <c r="H4" s="296" t="s">
        <v>1396</v>
      </c>
      <c r="I4" s="296" t="s">
        <v>261</v>
      </c>
      <c r="J4" s="2254"/>
      <c r="K4" s="296"/>
      <c r="L4" s="296"/>
      <c r="M4" s="296"/>
      <c r="N4" s="296"/>
      <c r="O4" s="299"/>
      <c r="P4" s="299"/>
      <c r="Q4" s="299" t="s">
        <v>1497</v>
      </c>
      <c r="R4" s="299"/>
      <c r="S4" s="299" t="s">
        <v>1695</v>
      </c>
      <c r="T4" s="298" t="s">
        <v>1440</v>
      </c>
      <c r="U4" s="298" t="s">
        <v>1519</v>
      </c>
      <c r="V4" s="298" t="s">
        <v>1497</v>
      </c>
      <c r="W4" s="299"/>
      <c r="Y4" s="299" t="s">
        <v>1487</v>
      </c>
      <c r="Z4" s="299" t="s">
        <v>1499</v>
      </c>
      <c r="AA4" s="299" t="s">
        <v>315</v>
      </c>
      <c r="AB4" s="299" t="s">
        <v>1498</v>
      </c>
      <c r="AC4" s="299" t="s">
        <v>1396</v>
      </c>
      <c r="AD4" s="299" t="s">
        <v>1498</v>
      </c>
    </row>
    <row r="5" spans="1:30" x14ac:dyDescent="0.2">
      <c r="A5" s="2249"/>
      <c r="B5" s="442">
        <f>INDEX(List_Term_All,MATCH(Lookup_TermMaturity,List_Term,0),2)</f>
        <v>4.96</v>
      </c>
      <c r="C5" s="442">
        <f>IF(Lookup_AmortType="FRM",INDEX(List_Term_All,MATCH(Lookup_TermInitial,List_Term,0),3),INDEX(List_Term_All,MATCH(Lookup_TermInitial,List_Term,0),4))</f>
        <v>6.89</v>
      </c>
      <c r="D5" s="445"/>
      <c r="F5" s="829" t="s">
        <v>1441</v>
      </c>
      <c r="G5" s="830" t="s">
        <v>1479</v>
      </c>
      <c r="J5" s="338" cm="1">
        <f t="array" ref="J5">[1]!LoanTest_HC_Fed_APR_1st_1_APORSpread</f>
        <v>6.5</v>
      </c>
      <c r="K5" s="333"/>
      <c r="L5" s="329"/>
      <c r="M5" s="341" cm="1">
        <f t="array" ref="M5">[1]!LoanTest_HC_Fed_APR_1st_1_LnAmt_Min</f>
        <v>50000</v>
      </c>
      <c r="N5" s="342" cm="1">
        <f t="array" ref="N5">[1]!LoanTest_HC_Fed_APR_1st_1_LnAmt_Max</f>
        <v>9999999</v>
      </c>
      <c r="O5" s="1"/>
      <c r="P5" s="1"/>
      <c r="Q5" s="314">
        <f>IF(AND(Lookup_LienPosition=1,Input_LoanAmt&gt;=HC_Fed_APR_1st_1_LnAmt_Min,Input_LoanAmt&lt;HC_Fed_APR_1st_1_LnAmt_Max,Lookup_APR_Federal&gt;(Input_APOR+HC_Fed_APR_1st_1_APORSpread)),1,0)</f>
        <v>0</v>
      </c>
      <c r="R5" s="315" t="str">
        <f>IF(Q5=1,G5,"")</f>
        <v/>
      </c>
      <c r="S5" s="950"/>
      <c r="T5" s="946">
        <f>Input_APOR+HC_Fed_APR_1st_1_APORSpread</f>
        <v>13.39</v>
      </c>
      <c r="U5" s="816"/>
      <c r="V5" s="847">
        <f>IF(AND(Lookup_LienPosition=2,Input_LoanAmt&gt;=HC_Fed_APR_2nd_LnAmt_Min,Input_LoanAmt&lt;HC_Fed_APR_2nd_LnAmt_Max),LoanTest!T7,IF(AND(Input_LoanAmt&gt;=HC_Fed_APR_1st_1_LnAmt_Min,Input_LoanAmt&lt;HC_Fed_APR_1st_1_LnAmt_Max),T5,IF(AND(Input_LoanAmt&gt;=HC_Fed_APR_1st_2_LnAmt_Min,Input_LoanAmt&lt;HC_Fed_APR_1st_2_LnAmt_Max),T6,0)))</f>
        <v>15.39</v>
      </c>
      <c r="W5" s="403" t="str">
        <f>IF(SUM(Test_HighCost_Federal)&gt;0,"High Cost (Federal)","Not High Cost (Federal)")</f>
        <v>Not High Cost (Federal)</v>
      </c>
      <c r="Y5" s="300" t="s">
        <v>317</v>
      </c>
      <c r="Z5" s="300" t="s">
        <v>317</v>
      </c>
      <c r="AA5" s="303" t="s">
        <v>1488</v>
      </c>
      <c r="AB5" s="303" t="s">
        <v>422</v>
      </c>
      <c r="AC5" s="308" t="str">
        <f>IF(AND(Test_QM_Msg2=Y5,Test_HPML_Msg2=Z5),AA5,"")</f>
        <v/>
      </c>
      <c r="AD5" s="308" t="str">
        <f>IF(AND(Test_QM_Msg2=Y5,Test_HPML_Msg2=Z5),AB5,"")</f>
        <v/>
      </c>
    </row>
    <row r="6" spans="1:30" x14ac:dyDescent="0.2">
      <c r="C6" s="455" t="s">
        <v>1492</v>
      </c>
      <c r="D6" s="456" t="s">
        <v>1493</v>
      </c>
      <c r="F6" s="831" t="s">
        <v>1442</v>
      </c>
      <c r="G6" s="832" t="s">
        <v>1479</v>
      </c>
      <c r="J6" s="339" cm="1">
        <f t="array" ref="J6">[1]!LoanTest_HC_Fed_APR_1st_2_APORSpread</f>
        <v>8.5</v>
      </c>
      <c r="K6" s="334"/>
      <c r="L6" s="330"/>
      <c r="M6" s="343" cm="1">
        <f t="array" ref="M6">[1]!LoanTest_HC_Fed_APR_1st_2_LnAmt_Min</f>
        <v>0</v>
      </c>
      <c r="N6" s="344" cm="1">
        <f t="array" ref="N6">[1]!LoanTest_HC_Fed_APR_1st_2_LnAmt_Max</f>
        <v>50000</v>
      </c>
      <c r="O6" s="1"/>
      <c r="P6" s="1"/>
      <c r="Q6" s="316">
        <f>IF(AND(Lookup_LienPosition=1,Input_LoanAmt&gt;=HC_Fed_APR_1st_2_LnAmt_Min,Input_LoanAmt&lt;HC_Fed_APR_1st_2_LnAmt_Max,Lookup_APR_Federal&gt;(Input_APOR+HC_Fed_APR_1st_2_APORSpread)),1,0)</f>
        <v>0</v>
      </c>
      <c r="R6" s="317" t="str">
        <f>IF(Q6=1,G6,"")</f>
        <v/>
      </c>
      <c r="S6" s="951"/>
      <c r="T6" s="947">
        <f>Input_APOR+HC_Fed_APR_1st_2_APORSpread</f>
        <v>15.39</v>
      </c>
      <c r="U6" s="266"/>
      <c r="W6" s="404" t="str">
        <f>IF(SUM(Test_HighCost_Federal)&gt;0,"Yes","No")</f>
        <v>No</v>
      </c>
      <c r="Y6" s="301" t="s">
        <v>317</v>
      </c>
      <c r="Z6" s="301" t="s">
        <v>318</v>
      </c>
      <c r="AA6" s="304" t="s">
        <v>1489</v>
      </c>
      <c r="AB6" s="304" t="s">
        <v>422</v>
      </c>
      <c r="AC6" s="309" t="str">
        <f>IF(AND(Test_QM_Msg2=Y6,Test_HPML_Msg2=Z6),AA6,"")</f>
        <v/>
      </c>
      <c r="AD6" s="309" t="str">
        <f>IF(AND(Test_QM_Msg2=Y6,Test_HPML_Msg2=Z6),AB6,"")</f>
        <v/>
      </c>
    </row>
    <row r="7" spans="1:30" x14ac:dyDescent="0.2">
      <c r="A7" s="446" t="s">
        <v>1394</v>
      </c>
      <c r="B7" s="449" t="e">
        <v>#N/A</v>
      </c>
      <c r="C7" s="454" cm="1">
        <f t="array" ref="C7">[1]!Input_Index_APOR_FRM40</f>
        <v>6.89</v>
      </c>
      <c r="D7" s="322" t="e">
        <v>#N/A</v>
      </c>
      <c r="F7" s="833" t="s">
        <v>1443</v>
      </c>
      <c r="G7" s="834" t="s">
        <v>1479</v>
      </c>
      <c r="J7" s="340" cm="1">
        <f t="array" ref="J7">[1]!LoanTest_HC_Fed_APR_2nd_APORSpread</f>
        <v>8.5</v>
      </c>
      <c r="K7" s="335"/>
      <c r="L7" s="331"/>
      <c r="M7" s="345" cm="1">
        <f t="array" ref="M7">[1]!LoanTest_HC_Fed_APR_2nd_LnAmt_Min</f>
        <v>0</v>
      </c>
      <c r="N7" s="346" cm="1">
        <f t="array" ref="N7">[1]!LoanTest_HC_Fed_APR_2nd_LnAmt_Max</f>
        <v>9999999</v>
      </c>
      <c r="O7" s="1"/>
      <c r="P7" s="1"/>
      <c r="Q7" s="318">
        <f>IF(AND(Lookup_LienPosition=2,Input_LoanAmt&gt;=HC_Fed_APR_2nd_LnAmt_Min,Input_LoanAmt&lt;HC_Fed_APR_2nd_LnAmt_Max,Lookup_APR_Federal&gt;(Input_APOR+HC_Fed_APR_2nd_APORSpread)),1,0)</f>
        <v>0</v>
      </c>
      <c r="R7" s="319" t="str">
        <f>IF(Q7=1,G7,"")</f>
        <v/>
      </c>
      <c r="S7" s="952"/>
      <c r="T7" s="948">
        <f>Input_APOR+HC_Fed_APR_2nd_APORSpread</f>
        <v>15.39</v>
      </c>
      <c r="V7" s="445"/>
      <c r="W7" s="938" t="str">
        <f>IF(SUM(Test_HighCost_Federal)&gt;0,"Fail","Pass")</f>
        <v>Pass</v>
      </c>
      <c r="Y7" s="301" t="s">
        <v>318</v>
      </c>
      <c r="Z7" s="301" t="s">
        <v>318</v>
      </c>
      <c r="AA7" s="304" t="s">
        <v>511</v>
      </c>
      <c r="AB7" s="304" t="s">
        <v>422</v>
      </c>
      <c r="AC7" s="309" t="str">
        <f>IF(AND(Test_QM_Msg2=Y7,Test_HPML_Msg2=Z7),AA7,"")</f>
        <v>NonQM</v>
      </c>
      <c r="AD7" s="309" t="str">
        <f>IF(AND(Test_QM_Msg2=Y7,Test_HPML_Msg2=Z7),AB7,"")</f>
        <v>AVM</v>
      </c>
    </row>
    <row r="8" spans="1:30" x14ac:dyDescent="0.2">
      <c r="A8" s="447" t="s">
        <v>1393</v>
      </c>
      <c r="B8" s="450" cm="1">
        <f t="array" ref="B8">[1]!Input_Index_Treasury30yr</f>
        <v>4.96</v>
      </c>
      <c r="C8" s="323" cm="1">
        <f t="array" ref="C8">[1]!Input_Index_APOR_FRM30</f>
        <v>6.89</v>
      </c>
      <c r="D8" s="324" t="e">
        <v>#N/A</v>
      </c>
      <c r="F8" s="829" t="s">
        <v>1444</v>
      </c>
      <c r="G8" s="830" t="s">
        <v>1480</v>
      </c>
      <c r="J8" s="336"/>
      <c r="K8" s="835" cm="1">
        <f t="array" ref="K8">[1]!LoanTest_HC_Fed_PtsFees_1_FeePct</f>
        <v>8</v>
      </c>
      <c r="L8" s="837" cm="1">
        <f t="array" ref="L8">[1]!LoanTest_HC_Fed_PtsFees_1_FeeAmt</f>
        <v>1348</v>
      </c>
      <c r="M8" s="836" cm="1">
        <f t="array" ref="M8">[1]!LoanTest_HC_Fed_PtsFees_1_LnAmt_Min</f>
        <v>0</v>
      </c>
      <c r="N8" s="342" cm="1">
        <f t="array" ref="N8">[1]!LoanTest_HC_Fed_PtsFees_1_LnAmt_Max</f>
        <v>26968</v>
      </c>
      <c r="O8" s="1"/>
      <c r="P8" s="1"/>
      <c r="Q8" s="314">
        <f>IF(AND(Input_LoanAmt&gt;=HC_Fed_PtsFees_1_LnAmt_Min,Input_LoanAmt&lt;HC_Fed_PtsFees_1_LnAmt_Max,(OR(Input_Calc_APRTotalFees&gt;HC_Fed_PtsFees_1_FeeAmt,(Input_Calc_APRTotalFees/Input_LoanAmt)&gt;HC_Fed_PtsFees_1_FeePct/100))),1,0)</f>
        <v>0</v>
      </c>
      <c r="R8" s="315"/>
      <c r="S8" s="950"/>
      <c r="U8" s="821">
        <f>IF(Input_Calc_APRTotalFees&gt;HC_Fed_PtsFees_1_FeeAmt,HC_Fed_PtsFees_1_FeeAmt,HC_Fed_PtsFees_1_FeePct)</f>
        <v>1348</v>
      </c>
      <c r="V8" s="396">
        <f>IF(Lookup_LienPosition=1,HC_Fed_PtsFees_1_FeePct&amp;" / "&amp;HC_Fed_PtsFees_1_FeeAmt,IF(Lookup_LienPosition=2,HC_Fed_PtsFees_2_FeePct,0))</f>
        <v>5</v>
      </c>
      <c r="W8" s="295"/>
      <c r="Y8" s="302" t="s">
        <v>318</v>
      </c>
      <c r="Z8" s="302" t="s">
        <v>317</v>
      </c>
      <c r="AA8" s="305" t="s">
        <v>1490</v>
      </c>
      <c r="AB8" s="305" t="s">
        <v>1491</v>
      </c>
      <c r="AC8" s="310" t="str">
        <f>IF(AND(Test_QM_Msg2=Y8,Test_HPML_Msg2=Z8),AA8,"")</f>
        <v/>
      </c>
      <c r="AD8" s="310" t="str">
        <f>IF(AND(Test_QM_Msg2=Y8,Test_HPML_Msg2=Z8),AB8,"")</f>
        <v/>
      </c>
    </row>
    <row r="9" spans="1:30" x14ac:dyDescent="0.2">
      <c r="A9" s="447" t="s">
        <v>1392</v>
      </c>
      <c r="B9" s="450" cm="1">
        <f t="array" ref="B9">[1]!Input_Index_Treasury20yr</f>
        <v>4.97</v>
      </c>
      <c r="C9" s="323" cm="1">
        <f t="array" ref="C9">[1]!Input_Index_APOR_FRM20</f>
        <v>6.4</v>
      </c>
      <c r="D9" s="324" t="e">
        <v>#N/A</v>
      </c>
      <c r="F9" s="833" t="s">
        <v>1445</v>
      </c>
      <c r="G9" s="834" t="s">
        <v>1480</v>
      </c>
      <c r="J9" s="332"/>
      <c r="K9" s="340" cm="1">
        <f t="array" ref="K9">[1]!LoanTest_HC_Fed_PtsFees_2_FeePct</f>
        <v>5</v>
      </c>
      <c r="L9" s="337"/>
      <c r="M9" s="345" cm="1">
        <f t="array" ref="M9">[1]!LoanTest_HC_Fed_PtsFees_2_LnAmt_Min</f>
        <v>26968</v>
      </c>
      <c r="N9" s="346" cm="1">
        <f t="array" ref="N9">[1]!LoanTest_HC_Fed_PtsFees_2_LnAmt_Max</f>
        <v>9999999</v>
      </c>
      <c r="O9" s="1"/>
      <c r="P9" s="1"/>
      <c r="Q9" s="318">
        <f>IF(AND(Input_LoanAmt&gt;=HC_Fed_PtsFees_2_LnAmt_Min,Input_LoanAmt&lt;HC_Fed_PtsFees_2_LnAmt_Max,(Input_Calc_APRTotalFees/Input_LoanAmt)&gt;(HC_Fed_PtsFees_2_FeePct/100)),1,0)</f>
        <v>0</v>
      </c>
      <c r="R9" s="319" t="str">
        <f>IF(Q9=1,G9,"")</f>
        <v/>
      </c>
      <c r="S9" s="952"/>
      <c r="U9" s="822">
        <f>HC_Fed_PtsFees_2_FeePct</f>
        <v>5</v>
      </c>
      <c r="Y9" s="10"/>
      <c r="Z9" s="10"/>
      <c r="AA9" s="10"/>
      <c r="AB9" s="10"/>
      <c r="AC9" s="311" t="str">
        <f>IF(OR(Test_HighCost_Federal_Msg2="Yes",Test_HighCost_State_Msg2="Yes"),"High Cost",AC5&amp;AC6&amp;AC7&amp;AC8)</f>
        <v>NonQM</v>
      </c>
      <c r="AD9" s="311" t="str">
        <f>IF(OR(Test_HighCost_Federal_Msg2="Yes",Test_HighCost_State_Msg2="Yes"),"",IF(AND(Lookup_LienPosition=2,Input_LoanAmt&lt;=Test_Results_AVMLoanAmountLimit_VPM,AD5&amp;AD6&amp;AD7&amp;AD8="AVM"),"AVM","Appraisal"))</f>
        <v>AVM</v>
      </c>
    </row>
    <row r="10" spans="1:30" x14ac:dyDescent="0.2">
      <c r="A10" s="447" t="s">
        <v>1391</v>
      </c>
      <c r="B10" s="451" t="e">
        <v>#N/A</v>
      </c>
      <c r="C10" s="323" cm="1">
        <f t="array" ref="C10">[1]!Input_Index_APOR_FRM15</f>
        <v>6.18</v>
      </c>
      <c r="D10" s="324" t="e">
        <v>#N/A</v>
      </c>
      <c r="E10" s="1"/>
      <c r="J10" s="293"/>
      <c r="K10" s="293"/>
      <c r="R10" s="10" t="str">
        <f>IF(Q10=1,G10,"")</f>
        <v/>
      </c>
    </row>
    <row r="11" spans="1:30" x14ac:dyDescent="0.2">
      <c r="A11" s="447" t="s">
        <v>1389</v>
      </c>
      <c r="B11" s="450" cm="1">
        <f t="array" ref="B11">[1]!Input_Index_Treasury10yr</f>
        <v>4.46</v>
      </c>
      <c r="C11" s="323" cm="1">
        <f t="array" ref="C11">[1]!Input_Index_APOR_FRM10</f>
        <v>6.23</v>
      </c>
      <c r="D11" s="325" cm="1">
        <f t="array" ref="D11">[1]!Input_Index_APOR_ARM10</f>
        <v>6.62</v>
      </c>
      <c r="E11" s="1"/>
      <c r="F11" s="823" t="s">
        <v>1484</v>
      </c>
      <c r="G11" s="824" t="s">
        <v>1481</v>
      </c>
      <c r="H11" s="397" t="str">
        <f>INDEX(List_State_All,MATCH(Input_State,List_State,0),17)</f>
        <v>Treasury</v>
      </c>
      <c r="I11" s="398">
        <f>IF(HC_State_APR_IndexType="Treasury",INDEX(List_Term_All,MATCH(Lookup_TermMaturity,List_Term,0),2),IF(Lookup_AmortType="FRM",INDEX(List_Term_All,MATCH(Lookup_TermMaturity,List_Term,0),3),INDEX(List_Term_All,MATCH(Lookup_TermInitial,List_Term,0),4)))</f>
        <v>4.96</v>
      </c>
      <c r="J11" s="385">
        <f>INDEX(List_State_All,MATCH(Input_State,List_State,0),18)</f>
        <v>8</v>
      </c>
      <c r="K11" s="349"/>
      <c r="L11" s="347"/>
      <c r="M11" s="356">
        <v>0</v>
      </c>
      <c r="N11" s="387">
        <f>IF(INDEX(List_State_All,MATCH(Input_State,List_State,0),21)="Agency",Lookup_Units_AgencyLoanAmount,INDEX(List_State_All,MATCH(Input_State,List_State,0),21))</f>
        <v>806500</v>
      </c>
      <c r="O11" s="388" t="str">
        <f>INDEX(List_State_All,MATCH(Input_State,List_State,0),22)</f>
        <v>Owner Occupied</v>
      </c>
      <c r="P11" s="389" t="str">
        <f>INDEX(List_State_All,MATCH(Input_State,List_State,0),23)</f>
        <v>Purchase, Rate-Term, Cash-Out</v>
      </c>
      <c r="Q11" s="351">
        <f>IF(AND(Lookup_LienPosition=1,Input_LoanAmt&gt;HC_State_APR_1st_LnAmt_Min,Input_LoanAmt&lt;HC_State_APR_1st_LnAmt_Max,(IFERROR(FIND(Input_Occupancy,HC_State_APR_1st_Occ),0))&gt;0,(IFERROR(FIND(Input_Purpose,HC_State_APR_1st_Purpose),0))&gt;0,Lookup_APR_State&gt;(HC_State_APR_Index+HC_State_APR_1st_IndexSpread)),1,0)</f>
        <v>0</v>
      </c>
      <c r="R11" s="315" t="str">
        <f>IF(Q11=1,G11,"")</f>
        <v/>
      </c>
      <c r="S11" s="950"/>
      <c r="T11" s="1"/>
      <c r="U11" s="818">
        <f>HC_State_APR_Index+HC_State_APR_1st_IndexSpread</f>
        <v>12.96</v>
      </c>
      <c r="V11" s="1408" t="str">
        <f>HC_State_APR_IndexType</f>
        <v>Treasury</v>
      </c>
      <c r="W11" s="1409" t="str">
        <f>IF(AND(Lookup_ProductClass="HELOC",HC_State_HighCost_HELOCExclude="Y"),"Exempt",IF(SUM(Test_HighCost_State)&gt;0,"High Cost (State)","Not High Cost (State)"))</f>
        <v>Not High Cost (State)</v>
      </c>
    </row>
    <row r="12" spans="1:30" x14ac:dyDescent="0.2">
      <c r="A12" s="447" t="s">
        <v>1511</v>
      </c>
      <c r="B12" s="452" t="e">
        <v>#N/A</v>
      </c>
      <c r="C12" s="326" t="e">
        <v>#N/A</v>
      </c>
      <c r="D12" s="325" cm="1">
        <f t="array" ref="D12">[1]!Input_Index_APOR_ARM07</f>
        <v>6.55</v>
      </c>
      <c r="E12" s="1"/>
      <c r="F12" s="825" t="s">
        <v>1485</v>
      </c>
      <c r="G12" s="826" t="s">
        <v>1481</v>
      </c>
      <c r="H12" s="399" t="str">
        <f>HC_State_APR_IndexType&amp;" "&amp;Lookup_TermMaturity&amp;" "&amp;Lookup_AmortType</f>
        <v>Treasury 360 FRM</v>
      </c>
      <c r="I12" s="400"/>
      <c r="J12" s="386">
        <f>INDEX(List_State_All,MATCH(Input_State,List_State,0),19)</f>
        <v>8</v>
      </c>
      <c r="K12" s="350"/>
      <c r="L12" s="348"/>
      <c r="M12" s="357">
        <v>0</v>
      </c>
      <c r="N12" s="390">
        <f>IF(INDEX(List_State_All,MATCH(Input_State,List_State,0),21)="Agency",Lookup_Units_AgencyLoanAmount,INDEX(List_State_All,MATCH(Input_State,List_State,0),21))</f>
        <v>806500</v>
      </c>
      <c r="O12" s="391" t="str">
        <f>INDEX(List_State_All,MATCH(Input_State,List_State,0),22)</f>
        <v>Owner Occupied</v>
      </c>
      <c r="P12" s="392" t="str">
        <f>INDEX(List_State_All,MATCH(Input_State,List_State,0),23)</f>
        <v>Purchase, Rate-Term, Cash-Out</v>
      </c>
      <c r="Q12" s="352">
        <f>IF(AND(Lookup_LienPosition=2,Input_LoanAmt&gt;HC_State_APR_2nd_LnAmt_Min,Input_LoanAmt&lt;HC_State_APR_2nd_LnAmt_Max,(IFERROR(FIND(Input_Occupancy,HC_State_APR_2nd_Occ),0))&gt;0,(IFERROR(FIND(Input_Purpose,HC_State_APR_2nd_Purpose),0))&gt;0,Lookup_APR_State&gt;(HC_State_APR_Index+HC_State_APR_2nd_IndexSpread)),1,0)</f>
        <v>0</v>
      </c>
      <c r="R12" s="317" t="str">
        <f>IF(Q12=1,G12,"")</f>
        <v/>
      </c>
      <c r="S12" s="951"/>
      <c r="T12" s="1"/>
      <c r="U12" s="819">
        <f>HC_State_APR_Index+HC_State_APR_2nd_IndexSpread</f>
        <v>12.96</v>
      </c>
      <c r="V12" s="1412">
        <f>IF(Lookup_LienPosition=1,LoanTest!U11,IF(Lookup_LienPosition=2,LoanTest!U12,0))</f>
        <v>12.96</v>
      </c>
      <c r="W12" s="404" t="str">
        <f>IF(AND(Lookup_ProductClass="HELOC",HC_State_HighCost_HELOCExclude="Y"),"No",IF(SUM(Test_HighCost_State)&gt;0,"Yes","No"))</f>
        <v>No</v>
      </c>
    </row>
    <row r="13" spans="1:30" x14ac:dyDescent="0.2">
      <c r="A13" s="447" t="s">
        <v>1512</v>
      </c>
      <c r="B13" s="452" t="e">
        <v>#N/A</v>
      </c>
      <c r="C13" s="326" t="e">
        <v>#N/A</v>
      </c>
      <c r="D13" s="325" cm="1">
        <f t="array" ref="D13">[1]!Input_Index_APOR_ARM05</f>
        <v>6.79</v>
      </c>
      <c r="E13" s="1"/>
      <c r="F13" s="827" t="s">
        <v>1456</v>
      </c>
      <c r="G13" s="828" t="s">
        <v>1482</v>
      </c>
      <c r="H13" s="401" t="str">
        <f>INDEX(List_State_All,MATCH(Input_State,List_State,0),1)</f>
        <v>CA</v>
      </c>
      <c r="I13" s="402">
        <f>INDEX(List_State_All,MATCH(Input_State,List_State,0),16)</f>
        <v>1</v>
      </c>
      <c r="J13" s="355"/>
      <c r="K13" s="396">
        <f>INDEX(List_State_All,MATCH(Input_State,List_State,0),20)</f>
        <v>6</v>
      </c>
      <c r="L13" s="353"/>
      <c r="M13" s="358">
        <v>0</v>
      </c>
      <c r="N13" s="393">
        <f>IF(INDEX(List_State_All,MATCH(Input_State,List_State,0),21)="Agency",Lookup_Units_AgencyLoanAmount,INDEX(List_State_All,MATCH(Input_State,List_State,0),21))</f>
        <v>806500</v>
      </c>
      <c r="O13" s="394" t="str">
        <f>INDEX(List_State_All,MATCH(Input_State,List_State,0),22)</f>
        <v>Owner Occupied</v>
      </c>
      <c r="P13" s="395" t="str">
        <f>INDEX(List_State_All,MATCH(Input_State,List_State,0),23)</f>
        <v>Purchase, Rate-Term, Cash-Out</v>
      </c>
      <c r="Q13" s="354">
        <f>IF(AND(Input_LoanAmt&gt;HC_State_PtsFees_LnAmt_Min,Input_LoanAmt&lt;HC_State_PtsFees_LnAmt_Max,(IFERROR(FIND(Input_Occupancy,HC_State_PtsFees_Occ),0))&gt;0,(IFERROR(FIND(Input_Purpose,HC_State_PtsFees_Purpose),0))&gt;0,(Input_Calc_APRTotalFees/Input_LoanAmt)&gt;HC_State_PtsFees_FeePct/100),1,0)</f>
        <v>0</v>
      </c>
      <c r="R13" s="319" t="str">
        <f>IF(Q13=1,G13,"")</f>
        <v/>
      </c>
      <c r="S13" s="952"/>
      <c r="T13" s="840"/>
      <c r="U13" s="820">
        <f>HC_State_PtsFees_FeePct</f>
        <v>6</v>
      </c>
      <c r="V13" s="1410">
        <f>U13</f>
        <v>6</v>
      </c>
      <c r="W13" s="1411" t="str">
        <f>IF(AND(Lookup_ProductClass="HELOC",HC_State_HighCost_HELOCExclude="Y"),"Exempt",IF(SUM(Test_HighCost_State)&gt;0,"Fail","Pass"))</f>
        <v>Pass</v>
      </c>
    </row>
    <row r="14" spans="1:30" x14ac:dyDescent="0.2">
      <c r="A14" s="447" t="s">
        <v>1861</v>
      </c>
      <c r="B14" s="452" t="e">
        <v>#N/A</v>
      </c>
      <c r="C14" s="326" t="e">
        <v>#N/A</v>
      </c>
      <c r="D14" s="325" cm="1">
        <f t="array" ref="D14">[1]!Input_Index_APOR_ARM03</f>
        <v>7.06</v>
      </c>
      <c r="E14" s="1"/>
      <c r="F14" s="1"/>
      <c r="G14" s="402" t="str">
        <f>INDEX(List_State_All,MATCH(Input_State,List_State,0),25)</f>
        <v>Y</v>
      </c>
      <c r="H14" s="402">
        <f>INDEX(List_State_All,MATCH(Input_State,List_State,0),24)</f>
        <v>0</v>
      </c>
      <c r="I14" s="439">
        <f>IF(HC_State_APR_IndexType="Treasury",INDEX(List_Term_All,MATCH(Lookup_TermAmort,List_Term,0),2),IF(Lookup_AmortType="FRM",INDEX(List_Term_All,MATCH(Lookup_TermAmort,List_Term,0),3),INDEX(List_Term_All,MATCH(Lookup_TermInitial,List_Term,0),4)))</f>
        <v>4.96</v>
      </c>
      <c r="J14" s="1"/>
      <c r="K14" s="1"/>
      <c r="L14" s="1"/>
      <c r="M14" s="1"/>
      <c r="N14" s="1"/>
      <c r="O14" s="1"/>
      <c r="P14" s="1"/>
      <c r="Q14" s="1"/>
      <c r="R14" s="1"/>
      <c r="S14" s="1"/>
      <c r="T14" s="1"/>
      <c r="U14" s="1"/>
      <c r="W14" s="1"/>
      <c r="X14" s="1"/>
    </row>
    <row r="15" spans="1:30" x14ac:dyDescent="0.2">
      <c r="A15" s="447" t="s">
        <v>1862</v>
      </c>
      <c r="B15" s="452" t="e">
        <v>#N/A</v>
      </c>
      <c r="C15" s="326" t="e">
        <v>#N/A</v>
      </c>
      <c r="D15" s="325" cm="1">
        <f t="array" ref="D15">[1]!Input_Index_APOR_ARM02</f>
        <v>7.15</v>
      </c>
      <c r="E15" s="1"/>
      <c r="F15" s="1"/>
      <c r="G15" s="1"/>
      <c r="H15" s="1"/>
      <c r="J15" s="1"/>
      <c r="K15" s="1"/>
      <c r="L15" s="1"/>
      <c r="M15" s="1"/>
      <c r="N15" s="1"/>
      <c r="O15" s="1"/>
      <c r="P15" s="1"/>
      <c r="Q15" s="1"/>
      <c r="R15" s="10" t="str">
        <f>IF(Q15=1,G13,"")</f>
        <v/>
      </c>
      <c r="S15" s="1"/>
      <c r="T15" s="1"/>
      <c r="U15" s="1"/>
    </row>
    <row r="16" spans="1:30" x14ac:dyDescent="0.2">
      <c r="A16" s="448" t="s">
        <v>1863</v>
      </c>
      <c r="B16" s="453" t="e">
        <v>#N/A</v>
      </c>
      <c r="C16" s="327" t="e">
        <v>#N/A</v>
      </c>
      <c r="D16" s="328" cm="1">
        <f t="array" ref="D16">[1]!Input_Index_APOR_ARM01</f>
        <v>7.25</v>
      </c>
      <c r="F16" s="377" t="s">
        <v>1446</v>
      </c>
      <c r="G16" s="378" t="s">
        <v>1446</v>
      </c>
      <c r="J16" s="841"/>
      <c r="K16" s="369" cm="1">
        <f t="array" ref="K16">[1]!LoanTest_QM_PtsFees_1_FeePct</f>
        <v>3</v>
      </c>
      <c r="L16" s="365"/>
      <c r="M16" s="370" cm="1">
        <f t="array" ref="M16">[1]!LoanTest_QM_PtsFees_1_LnAmt_Min</f>
        <v>134841</v>
      </c>
      <c r="N16" s="371" cm="1">
        <f t="array" ref="N16">[1]!LoanTest_QM_PtsFees_1_LnAmt_Max</f>
        <v>9999999</v>
      </c>
      <c r="O16" s="1"/>
      <c r="P16" s="1"/>
      <c r="Q16" s="314">
        <f>IF(AND(Input_LoanAmt&gt;=QM_PtsFees_1_LnAmt_Min,Input_LoanAmt&lt;QM_PtsFees_1_LnAmt_Max,(Input_Calc_APRTotalFees/Input_LoanAmt)&gt;QM_PtsFees_1_FeePct/100),1,0)</f>
        <v>0</v>
      </c>
      <c r="R16" s="315" t="str">
        <f t="shared" ref="R16:R26" si="0">IF(Q16=1,G16,"")</f>
        <v/>
      </c>
      <c r="S16" s="949">
        <f>IF(OR(Lookup_TermAmort&gt;360,Input_AmortType="Interest-Only",Lookup_AmortType_Detail="BLN",Input_DocType="09-DSCR",Input_ProductClass="HELOC"),1,0)</f>
        <v>1</v>
      </c>
      <c r="T16" s="1"/>
      <c r="U16" s="818">
        <f>QM_PtsFees_1_FeePct</f>
        <v>3</v>
      </c>
      <c r="V16" s="396">
        <f>IF(AND(Input_LoanAmt&gt;=QM_PtsFees_1_LnAmt_Min,Input_LoanAmt&lt;QM_PtsFees_1_LnAmt_Max),QM_PtsFees_1_FeePct,IF(AND(Input_LoanAmt&gt;=QM_PtsFees_2_LnAmt_Min,Input_LoanAmt&lt;QM_PtsFees_2_LnAmt_Max),((QM_PtsFees_2_FeeAmt/Input_LoanAmt)*100),IF(AND(Input_LoanAmt&gt;=QM_PtsFees_3_LnAmt_Min,Input_LoanAmt&lt;QM_PtsFees_3_LnAmt_Max),QM_PtsFees_3_FeePct,0)))</f>
        <v>3</v>
      </c>
      <c r="W16" s="817" t="str">
        <f>IF(SUM(Test_QM_Exemption)&gt;0,"Exempt",IF(SUM(Test_QM)&gt;0,"Non QM","QM"))</f>
        <v>Exempt</v>
      </c>
    </row>
    <row r="17" spans="1:23" x14ac:dyDescent="0.2">
      <c r="F17" s="379" t="s">
        <v>1447</v>
      </c>
      <c r="G17" s="380" t="s">
        <v>1447</v>
      </c>
      <c r="J17" s="842"/>
      <c r="K17" s="366"/>
      <c r="L17" s="839" cm="1">
        <f t="array" ref="L17">[1]!LoanTest_QM_PtsFees_2_FeeAmt</f>
        <v>4045</v>
      </c>
      <c r="M17" s="838" cm="1">
        <f t="array" ref="M17">[1]!LoanTest_QM_PtsFees_2_LnAmt_Min</f>
        <v>80905</v>
      </c>
      <c r="N17" s="373" cm="1">
        <f t="array" ref="N17">[1]!LoanTest_QM_PtsFees_2_LnAmt_Max</f>
        <v>134841</v>
      </c>
      <c r="O17" s="1"/>
      <c r="P17" s="1"/>
      <c r="Q17" s="316">
        <f>IF(AND(Input_LoanAmt&gt;=QM_PtsFees_2_LnAmt_Min,Input_LoanAmt&lt;QM_PtsFees_2_LnAmt_Max,Input_Calc_APRTotalFees&gt;QM_PtsFees_2_FeeAmt),1,0)</f>
        <v>0</v>
      </c>
      <c r="R17" s="317" t="str">
        <f t="shared" si="0"/>
        <v/>
      </c>
      <c r="S17" s="961">
        <v>0</v>
      </c>
      <c r="T17" s="1"/>
      <c r="U17" s="819">
        <f>(QM_PtsFees_2_FeeAmt/Input_LoanAmt)*100</f>
        <v>2.6966666666666668</v>
      </c>
      <c r="W17" s="404" t="str">
        <f>IF(SUM(Test_QM_Exemption)&gt;0,"No",IF(SUM(Test_QM)&gt;0,"No","Yes"))</f>
        <v>No</v>
      </c>
    </row>
    <row r="18" spans="1:23" x14ac:dyDescent="0.2">
      <c r="A18" s="2250" t="s">
        <v>1500</v>
      </c>
      <c r="B18" s="2250"/>
      <c r="C18" s="1"/>
      <c r="F18" s="381" t="s">
        <v>1448</v>
      </c>
      <c r="G18" s="382" t="s">
        <v>1448</v>
      </c>
      <c r="J18" s="843"/>
      <c r="K18" s="369" cm="1">
        <f t="array" ref="K18">[1]!LoanTest_QM_PtsFees_3_FeePct</f>
        <v>5</v>
      </c>
      <c r="L18" s="368"/>
      <c r="M18" s="374" cm="1">
        <f t="array" ref="M18">[1]!LoanTest_QM_PtsFees_3_LnAmt_Min</f>
        <v>26898</v>
      </c>
      <c r="N18" s="375" cm="1">
        <f t="array" ref="N18">[1]!LoanTest_QM_PtsFees_3_LnAmt_Max</f>
        <v>80905</v>
      </c>
      <c r="O18" s="1"/>
      <c r="P18" s="1"/>
      <c r="Q18" s="318">
        <f>IF(AND(Input_LoanAmt&gt;=QM_PtsFees_3_LnAmt_Min,Input_LoanAmt&lt;QM_PtsFees_3_LnAmt_Max,(Input_Calc_APRTotalFees/Input_LoanAmt)&gt;QM_PtsFees_3_FeePct/100),1,0)</f>
        <v>0</v>
      </c>
      <c r="R18" s="319" t="str">
        <f t="shared" si="0"/>
        <v/>
      </c>
      <c r="S18" s="961">
        <v>0</v>
      </c>
      <c r="T18" s="1"/>
      <c r="U18" s="820">
        <f>QM_PtsFees_3_FeePct</f>
        <v>5</v>
      </c>
      <c r="W18" s="938" t="str">
        <f>IF(SUM(Test_QM_Exemption)&gt;0,"Exempt",IF(SUM(Test_QM)&gt;0,"Non QM","QM"))</f>
        <v>Exempt</v>
      </c>
    </row>
    <row r="19" spans="1:23" x14ac:dyDescent="0.2">
      <c r="A19" s="895" t="s">
        <v>1524</v>
      </c>
      <c r="B19" s="896">
        <f>(IF(Input_Fees_Points&lt;=0,0,Input_Fees_Points)*Input_LoanAmt)+Input_Fees_UpfrontLender+Input_Fees_UpfrontBroker+Input_Fees_Upfront3rdParty+Input_Fees_UpfrontPrepaidInterest+Input_Fees_UpfrontOther+(Input_Fees_Monthly*Lookup_TermMaturity)</f>
        <v>4170</v>
      </c>
      <c r="C19" s="897">
        <f>IF(Input_Fees_Points&lt;=0,0,Input_Fees_Points)+SUM(C21:C27)</f>
        <v>2.7800000000000002E-2</v>
      </c>
      <c r="F19" s="377" t="s">
        <v>1449</v>
      </c>
      <c r="G19" s="378" t="s">
        <v>1449</v>
      </c>
      <c r="J19" s="844" cm="1">
        <f t="array" ref="J19">[1]!LoanTest_QM_APR_1st_1_APORSpread</f>
        <v>2.25</v>
      </c>
      <c r="K19" s="367"/>
      <c r="L19" s="359"/>
      <c r="M19" s="370" cm="1">
        <f t="array" ref="M19">[1]!LoanTest_QM_APR_1st_1_LnAmt_Min</f>
        <v>134841</v>
      </c>
      <c r="N19" s="371" cm="1">
        <f t="array" ref="N19">[1]!LoanTest_QM_APR_1st_1_LnAmt_Max</f>
        <v>9999999</v>
      </c>
      <c r="O19" s="1"/>
      <c r="P19" s="1"/>
      <c r="Q19" s="314">
        <f>IF(AND(Lookup_LienPosition=1,Input_LoanAmt&gt;=QM_APR_1st_1_LnAmt_Min,Input_LoanAmt&lt;QM_APR_1st_1_LnAmt_Max,Lookup_APR_Federal&gt;(Input_APOR+QM_APR_1st_1_APORSpread)),1,0)</f>
        <v>0</v>
      </c>
      <c r="R19" s="315" t="str">
        <f t="shared" si="0"/>
        <v/>
      </c>
      <c r="S19" s="961">
        <v>0</v>
      </c>
      <c r="T19" s="946">
        <f>Input_APOR+QM_APR_1st_1_APORSpread</f>
        <v>9.14</v>
      </c>
      <c r="U19" s="1"/>
      <c r="V19" s="396" cm="1">
        <f t="array" ref="V19">IF(AND(Input_LoanAmt&gt;=QM_APR_1st_1_LnAmt_Min,Input_LoanAmt&lt;QM_APR_1st_1_LnAmt_Max),Input_APOR+QM_APR_1st_1_APORSpread,IF(AND(Input_LoanAmt&gt;=QM_APR_1st_2_LnAmt_Min,Input_LoanAmt&lt;QM_APR_1st_2_LnAmt_Max),Input_APOR+QM_APR_1st_2_APORSpread,IF(AND(Input_LoanAmt&gt;=QM_APR_1st_3_LnAmt_Min,Input_LoanAmt&lt;QM_APR_1st_3_LnAmt_Max),Input_APOR+QM_APR_1st_3_APORSpread,IF(AND(Input_LoanAmt&gt;=QM_APR_1st_4_LnAmt_Min,Input_LoanAmt&lt;QM_APR_1st_4_LnAmt_Max),Input_APOR+QM_APR_1st_4_APORSpread,IF(AND(Input_LoanAmt&gt;=QM_APR_1st_5_LnAmt_Min,Input_LoanAmt&lt;QM_APR_1st_5_LnAmt_Max),Input_APOR+QM_APR_1st_5_APORSpread,0)))))</f>
        <v>9.14</v>
      </c>
    </row>
    <row r="20" spans="1:23" x14ac:dyDescent="0.2">
      <c r="A20" s="892" t="s">
        <v>1503</v>
      </c>
      <c r="B20" s="893">
        <f>Input_Fees_Points*Input_LoanAmt</f>
        <v>-2250</v>
      </c>
      <c r="C20" s="894">
        <f>Input_Fees_Points</f>
        <v>-1.4999999999999999E-2</v>
      </c>
      <c r="F20" s="379" t="s">
        <v>1452</v>
      </c>
      <c r="G20" s="380" t="s">
        <v>1452</v>
      </c>
      <c r="J20" s="845" cm="1">
        <f t="array" ref="J20">[1]!LoanTest_QM_APR_1st_2_APORSpread</f>
        <v>3.5</v>
      </c>
      <c r="K20" s="362"/>
      <c r="L20" s="361"/>
      <c r="M20" s="372" cm="1">
        <f t="array" ref="M20">[1]!LoanTest_QM_APR_1st_2_LnAmt_Min</f>
        <v>80905</v>
      </c>
      <c r="N20" s="373" cm="1">
        <f t="array" ref="N20">[1]!LoanTest_QM_APR_1st_2_LnAmt_Max</f>
        <v>134841</v>
      </c>
      <c r="O20" s="1"/>
      <c r="P20" s="1"/>
      <c r="Q20" s="316">
        <f>IF(AND(Lookup_LienPosition=1,Input_LoanAmt&gt;=QM_APR_1st_2_LnAmt_Min,Input_LoanAmt&lt;QM_APR_1st_2_LnAmt_Max,Lookup_APR_Federal&gt;(Input_APOR+QM_APR_1st_2_APORSpread)),1,0)</f>
        <v>0</v>
      </c>
      <c r="R20" s="317" t="str">
        <f t="shared" si="0"/>
        <v/>
      </c>
      <c r="S20" s="961">
        <v>0</v>
      </c>
      <c r="T20" s="947">
        <f>Input_APOR+QM_APR_1st_2_APORSpread</f>
        <v>10.39</v>
      </c>
      <c r="U20" s="1"/>
    </row>
    <row r="21" spans="1:23" x14ac:dyDescent="0.2">
      <c r="A21" s="459" t="s">
        <v>1504</v>
      </c>
      <c r="B21" s="887">
        <f>Input_Fees_UpfrontLender</f>
        <v>1195</v>
      </c>
      <c r="C21" s="890">
        <f>Input_Fees_UpfrontLender/Input_LoanAmt</f>
        <v>7.966666666666667E-3</v>
      </c>
      <c r="F21" s="379" t="s">
        <v>1453</v>
      </c>
      <c r="G21" s="380" t="s">
        <v>1453</v>
      </c>
      <c r="J21" s="845" cm="1">
        <f t="array" ref="J21">[1]!LoanTest_QM_APR_1st_3_APORSpread</f>
        <v>6.5</v>
      </c>
      <c r="K21" s="362"/>
      <c r="L21" s="361"/>
      <c r="M21" s="372" cm="1">
        <f t="array" ref="M21">[1]!LoanTest_QM_APR_1st_3_LnAmt_Min</f>
        <v>0</v>
      </c>
      <c r="N21" s="373" cm="1">
        <f t="array" ref="N21">[1]!LoanTest_QM_APR_1st_3_LnAmt_Max</f>
        <v>80905</v>
      </c>
      <c r="O21" s="1"/>
      <c r="P21" s="1"/>
      <c r="Q21" s="316">
        <f>IF(AND(Lookup_LienPosition=1,Input_LoanAmt&gt;=QM_APR_1st_3_LnAmt_Min,Input_LoanAmt&lt;QM_APR_1st_3_LnAmt_Max,Lookup_APR_Federal&gt;(Input_APOR+QM_APR_1st_3_APORSpread)),1,0)</f>
        <v>0</v>
      </c>
      <c r="R21" s="317" t="str">
        <f t="shared" si="0"/>
        <v/>
      </c>
      <c r="S21" s="961">
        <v>0</v>
      </c>
      <c r="T21" s="947">
        <f>Input_APOR+QM_APR_1st_3_APORSpread</f>
        <v>13.39</v>
      </c>
      <c r="U21" s="1"/>
    </row>
    <row r="22" spans="1:23" x14ac:dyDescent="0.2">
      <c r="A22" s="459" t="s">
        <v>1505</v>
      </c>
      <c r="B22" s="887">
        <f>Input_Fees_UpfrontBroker</f>
        <v>1000</v>
      </c>
      <c r="C22" s="890">
        <f>Input_Fees_UpfrontBroker/Input_LoanAmt</f>
        <v>6.6666666666666671E-3</v>
      </c>
      <c r="F22" s="379" t="s">
        <v>1450</v>
      </c>
      <c r="G22" s="380" t="s">
        <v>1450</v>
      </c>
      <c r="J22" s="845" cm="1">
        <f t="array" ref="J22">[1]!LoanTest_QM_APR_2nd_1_APORSpread</f>
        <v>3.5</v>
      </c>
      <c r="K22" s="362"/>
      <c r="L22" s="361"/>
      <c r="M22" s="372" cm="1">
        <f t="array" ref="M22">[1]!LoanTest_QM_APR_2nd_1_LnAmt_Min</f>
        <v>80905</v>
      </c>
      <c r="N22" s="373" cm="1">
        <f t="array" ref="N22">[1]!LoanTest_QM_APR_2nd_1_LnAmt_Max</f>
        <v>9999999</v>
      </c>
      <c r="O22" s="1"/>
      <c r="P22" s="1"/>
      <c r="Q22" s="316">
        <f>IF(AND(Lookup_LienPosition=2,Input_LoanAmt&gt;=QM_APR_2nd_1_LnAmt_Min,Input_LoanAmt&lt;QM_APR_2nd_1_LnAmt_Max,Lookup_APR_Federal&gt;(Input_APOR+QM_APR_2nd_1_APORSpread)),1,0)</f>
        <v>0</v>
      </c>
      <c r="R22" s="317" t="str">
        <f t="shared" si="0"/>
        <v/>
      </c>
      <c r="S22" s="961">
        <v>0</v>
      </c>
      <c r="T22" s="947">
        <f>Input_APOR+QM_APR_2nd_1_APORSpread</f>
        <v>10.39</v>
      </c>
      <c r="U22" s="1"/>
    </row>
    <row r="23" spans="1:23" x14ac:dyDescent="0.2">
      <c r="A23" s="459" t="s">
        <v>1507</v>
      </c>
      <c r="B23" s="887">
        <f>Input_Fees_Upfront3rdParty</f>
        <v>0</v>
      </c>
      <c r="C23" s="890">
        <f>Input_Fees_Upfront3rdParty/Input_LoanAmt</f>
        <v>0</v>
      </c>
      <c r="F23" s="381" t="s">
        <v>1451</v>
      </c>
      <c r="G23" s="382" t="s">
        <v>1451</v>
      </c>
      <c r="J23" s="846" cm="1">
        <f t="array" ref="J23">[1]!LoanTest_QM_APR_2nd_2_APORSpread</f>
        <v>6.5</v>
      </c>
      <c r="K23" s="363"/>
      <c r="L23" s="360"/>
      <c r="M23" s="374" cm="1">
        <f t="array" ref="M23">[1]!LoanTest_QM_APR_2nd_2_LnAmt_Min</f>
        <v>0</v>
      </c>
      <c r="N23" s="375" cm="1">
        <f t="array" ref="N23">[1]!LoanTest_QM_APR_2nd_2_LnAmt_Max</f>
        <v>80905</v>
      </c>
      <c r="O23" s="1"/>
      <c r="P23" s="1"/>
      <c r="Q23" s="318">
        <f>IF(AND(Lookup_LienPosition=2,Input_LoanAmt&gt;=QM_APR_2nd_2_LnAmt_Min,Input_LoanAmt&lt;QM_APR_2nd_2_LnAmt_Max,Lookup_APR_Federal&gt;(Input_APOR+QM_APR_2nd_2_APORSpread)),1,0)</f>
        <v>0</v>
      </c>
      <c r="R23" s="319" t="str">
        <f t="shared" si="0"/>
        <v/>
      </c>
      <c r="S23" s="961">
        <v>0</v>
      </c>
      <c r="T23" s="948">
        <f>Input_APOR+QM_APR_2nd_2_APORSpread</f>
        <v>13.39</v>
      </c>
      <c r="U23" s="1"/>
    </row>
    <row r="24" spans="1:23" x14ac:dyDescent="0.2">
      <c r="A24" s="459" t="s">
        <v>1506</v>
      </c>
      <c r="B24" s="887">
        <f>Input_Fees_UpfrontOther</f>
        <v>850</v>
      </c>
      <c r="C24" s="890">
        <f>Input_Fees_UpfrontOther/Input_LoanAmt</f>
        <v>5.6666666666666671E-3</v>
      </c>
      <c r="F24" s="379" t="s">
        <v>1515</v>
      </c>
      <c r="G24" s="380" t="s">
        <v>1515</v>
      </c>
      <c r="H24" s="1"/>
      <c r="I24" s="1"/>
      <c r="J24" s="1"/>
      <c r="K24" s="1"/>
      <c r="L24" s="1"/>
      <c r="M24" s="1"/>
      <c r="N24" s="1"/>
      <c r="O24" s="1"/>
      <c r="P24" s="1"/>
      <c r="Q24" s="316">
        <f>IF(INDEX(List_AmortType_All,MATCH(Input_AmortType,List_AmortType,0),2)="Y",1,0)</f>
        <v>0</v>
      </c>
      <c r="R24" s="317" t="str">
        <f t="shared" si="0"/>
        <v/>
      </c>
      <c r="S24" s="961">
        <v>0</v>
      </c>
      <c r="T24" s="1"/>
      <c r="U24" s="1"/>
    </row>
    <row r="25" spans="1:23" x14ac:dyDescent="0.2">
      <c r="A25" s="459" t="s">
        <v>1514</v>
      </c>
      <c r="B25" s="887" cm="1">
        <f t="array" ref="B25">Input_Fees_UpfrontPrepaidInterest</f>
        <v>1125</v>
      </c>
      <c r="C25" s="890" cm="1">
        <f t="array" ref="C25">Input_Fees_UpfrontPrepaidInterest/Input_LoanAmt</f>
        <v>7.4999999999999997E-3</v>
      </c>
      <c r="E25" s="1"/>
      <c r="F25" s="379" t="s">
        <v>1516</v>
      </c>
      <c r="G25" s="380" t="s">
        <v>1516</v>
      </c>
      <c r="H25" s="1"/>
      <c r="I25" s="1"/>
      <c r="J25" s="1"/>
      <c r="K25" s="1"/>
      <c r="L25" s="1"/>
      <c r="M25" s="1"/>
      <c r="N25" s="1"/>
      <c r="O25" s="1"/>
      <c r="P25" s="1"/>
      <c r="Q25" s="316">
        <f>IF(Lookup_AmortType_Detail="BLN",1,0)</f>
        <v>0</v>
      </c>
      <c r="R25" s="317" t="str">
        <f t="shared" si="0"/>
        <v/>
      </c>
      <c r="S25" s="961">
        <v>0</v>
      </c>
      <c r="T25" s="1"/>
      <c r="U25" s="1"/>
    </row>
    <row r="26" spans="1:23" x14ac:dyDescent="0.2">
      <c r="A26" s="431" t="s">
        <v>1439</v>
      </c>
      <c r="B26" s="888">
        <f>Input_Fees_Monthly</f>
        <v>0</v>
      </c>
      <c r="C26" s="891">
        <f>(Input_Fees_Monthly*Lookup_TermAmort)/Input_LoanAmt</f>
        <v>0</v>
      </c>
      <c r="E26" s="1"/>
      <c r="F26" s="379" t="s">
        <v>1521</v>
      </c>
      <c r="G26" s="380" t="s">
        <v>1521</v>
      </c>
      <c r="H26" s="1"/>
      <c r="I26" s="1"/>
      <c r="J26" s="1"/>
      <c r="K26" s="1"/>
      <c r="L26" s="1"/>
      <c r="M26" s="1"/>
      <c r="N26" s="1"/>
      <c r="O26" s="1"/>
      <c r="P26" s="1"/>
      <c r="Q26" s="316">
        <f>IF(INDEX(List_DocTypeAll,MATCH(Input_DocType,List_DocType,0),9)="09",1,0)</f>
        <v>1</v>
      </c>
      <c r="R26" s="317" t="str">
        <f t="shared" si="0"/>
        <v>QM_BusinessPurpose</v>
      </c>
      <c r="S26" s="961">
        <v>0</v>
      </c>
    </row>
    <row r="27" spans="1:23" x14ac:dyDescent="0.2">
      <c r="A27" s="457" t="s">
        <v>1513</v>
      </c>
      <c r="B27" s="889">
        <v>0</v>
      </c>
      <c r="C27" s="891"/>
      <c r="E27" s="1"/>
      <c r="F27" s="381" t="s">
        <v>1517</v>
      </c>
      <c r="G27" s="382" t="s">
        <v>1517</v>
      </c>
      <c r="H27" s="1"/>
      <c r="I27" s="1"/>
      <c r="J27" s="1"/>
      <c r="K27" s="1"/>
      <c r="L27" s="1"/>
      <c r="M27" s="1"/>
      <c r="N27" s="1"/>
      <c r="O27" s="1"/>
      <c r="P27" s="1"/>
      <c r="Q27" s="318">
        <f>IF(Lookup_TermAmort&gt;360,1,0)</f>
        <v>0</v>
      </c>
      <c r="R27" s="319" t="str">
        <f t="shared" ref="R27" si="1">IF(Q27=1,G27,"")</f>
        <v/>
      </c>
      <c r="S27" s="962">
        <v>0</v>
      </c>
      <c r="T27" s="1"/>
      <c r="U27" s="1"/>
      <c r="V27" s="1"/>
    </row>
    <row r="28" spans="1:23" x14ac:dyDescent="0.2">
      <c r="F28" s="288"/>
      <c r="G28" s="288"/>
      <c r="J28" s="293"/>
      <c r="K28" s="293"/>
      <c r="S28" s="1"/>
      <c r="T28" s="1"/>
      <c r="U28" s="1"/>
      <c r="V28" s="1"/>
    </row>
    <row r="29" spans="1:23" x14ac:dyDescent="0.2">
      <c r="A29" s="405" t="s">
        <v>1508</v>
      </c>
      <c r="B29" s="458">
        <f>Lookup_TermMaturity</f>
        <v>360</v>
      </c>
      <c r="F29" s="383" t="s">
        <v>1455</v>
      </c>
      <c r="G29" s="384" t="s">
        <v>1483</v>
      </c>
      <c r="J29" s="376" cm="1">
        <f t="array" ref="J29">[1]!LoanTest_HP_Fed_APR_1st_APORSpread</f>
        <v>1.5</v>
      </c>
      <c r="K29" s="364"/>
      <c r="L29" s="289"/>
      <c r="M29" s="289"/>
      <c r="N29" s="291"/>
      <c r="O29" s="1"/>
      <c r="P29" s="1"/>
      <c r="Q29" s="320">
        <f>IF(AND(Lookup_LienPosition=1,Lookup_APR_Federal&gt;(Input_APOR+HP_Fed_APR_1st_APORSpread)),1,0)</f>
        <v>0</v>
      </c>
      <c r="R29" s="315"/>
      <c r="S29" s="949">
        <f>IF(Input_ProductClass="HELOC",1,0)</f>
        <v>0</v>
      </c>
      <c r="T29" s="946">
        <f>Input_APOR+HP_Fed_APR_1st_APORSpread</f>
        <v>8.39</v>
      </c>
      <c r="U29" s="1"/>
      <c r="V29" s="396">
        <f>IF(Lookup_LienPosition=1,Input_APOR+HP_Fed_APR_1st_APORSpread,IF(Lookup_LienPosition=2,Input_APOR+HP_Fed_APR_2nd_APORSpread,0))</f>
        <v>10.39</v>
      </c>
      <c r="W29" s="817" t="str">
        <f>IF(SUM(Test_HPML_Exemption)&gt;0,"Exempt",IF(SUM(Test_HPML)&gt;0,"HPML","Non HPML"))</f>
        <v>Non HPML</v>
      </c>
    </row>
    <row r="30" spans="1:23" x14ac:dyDescent="0.2">
      <c r="A30" s="406" t="s">
        <v>1509</v>
      </c>
      <c r="B30" s="407">
        <f>Lookup_TermAmort</f>
        <v>360</v>
      </c>
      <c r="F30" s="383" t="s">
        <v>1454</v>
      </c>
      <c r="G30" s="384" t="s">
        <v>1483</v>
      </c>
      <c r="J30" s="376" cm="1">
        <f t="array" ref="J30">[1]!LoanTest_HP_Fed_APR_2nd_APORSpread</f>
        <v>3.5</v>
      </c>
      <c r="K30" s="335"/>
      <c r="L30" s="290"/>
      <c r="M30" s="290"/>
      <c r="N30" s="292"/>
      <c r="O30" s="1"/>
      <c r="P30" s="1"/>
      <c r="Q30" s="321">
        <f>IF(AND(Lookup_LienPosition=2,Lookup_APR_Federal&gt;(Input_APOR+HP_Fed_APR_2nd_APORSpread)),1,0)</f>
        <v>0</v>
      </c>
      <c r="R30" s="319"/>
      <c r="S30" s="962">
        <v>0</v>
      </c>
      <c r="T30" s="948">
        <f>Input_APOR+HP_Fed_APR_2nd_APORSpread</f>
        <v>10.39</v>
      </c>
      <c r="U30" s="1"/>
      <c r="V30" s="1"/>
      <c r="W30" s="404" t="str">
        <f>IF(SUM(Test_HPML_Exemption)&gt;0,"No",IF(SUM(Test_HPML)&gt;0,"Yes","No"))</f>
        <v>No</v>
      </c>
    </row>
    <row r="31" spans="1:23" x14ac:dyDescent="0.2">
      <c r="A31" s="405" t="s">
        <v>1501</v>
      </c>
      <c r="B31" s="421">
        <f>RATE(Lookup_TermAmort,(PMT(Input_NoteRate/1200,Lookup_TermAmort,Input_LoanAmt+Input_Calc_APRTotalFees)),Input_LoanAmt,0)*1200</f>
        <v>9.3095055330460568</v>
      </c>
      <c r="S31" s="815"/>
      <c r="W31" s="938" t="str">
        <f>IF(SUM(Test_HPML_Exemption)&gt;0,"Exempt",IF(SUM(Test_HPML)&gt;0,"Fail","Pass"))</f>
        <v>Pass</v>
      </c>
    </row>
    <row r="32" spans="1:23" x14ac:dyDescent="0.2">
      <c r="A32" s="406" t="s">
        <v>1502</v>
      </c>
      <c r="B32" s="422">
        <f>RATE(Lookup_TermAmort,(PMT(Input_NoteRate/1200,Lookup_TermAmort,Input_LoanAmt+Input_Calc_APRTotalFees)),Input_LoanAmt,0)*1200</f>
        <v>9.3095055330460568</v>
      </c>
      <c r="F32" s="434" t="s">
        <v>1510</v>
      </c>
      <c r="G32" s="433"/>
      <c r="J32" s="435"/>
      <c r="K32" s="436"/>
      <c r="L32" s="436"/>
      <c r="M32" s="437" cm="1">
        <f t="array" ref="M32">[1]!LoanTest_Test_Results_AVMLoanAmountLimit_VPM</f>
        <v>400000</v>
      </c>
      <c r="N32" s="438"/>
      <c r="Q32" s="815"/>
      <c r="R32" s="815"/>
      <c r="S32" s="1"/>
      <c r="T32" s="1"/>
      <c r="U32" s="1"/>
      <c r="V32" s="1"/>
      <c r="W32" s="815"/>
    </row>
    <row r="33" spans="2:23" x14ac:dyDescent="0.2">
      <c r="B33" s="1"/>
      <c r="C33" s="1"/>
      <c r="D33" s="1"/>
      <c r="Q33" s="1"/>
      <c r="R33" s="1"/>
      <c r="S33" s="1"/>
      <c r="T33" s="1"/>
      <c r="U33" s="1"/>
      <c r="V33" s="1"/>
      <c r="W33" s="815"/>
    </row>
    <row r="34" spans="2:23" x14ac:dyDescent="0.2">
      <c r="B34" s="1"/>
      <c r="C34" s="1"/>
      <c r="D34" s="1"/>
      <c r="Q34" s="1"/>
      <c r="R34" s="1"/>
      <c r="S34" s="1"/>
      <c r="T34" s="1"/>
      <c r="U34" s="1"/>
      <c r="V34" s="1"/>
      <c r="W34" s="815"/>
    </row>
    <row r="35" spans="2:23" x14ac:dyDescent="0.2">
      <c r="B35" s="1"/>
      <c r="C35" s="1"/>
      <c r="D35" s="1"/>
      <c r="Q35" s="1"/>
      <c r="R35" s="1"/>
      <c r="S35" s="1"/>
      <c r="T35" s="1"/>
      <c r="U35" s="1"/>
      <c r="V35" s="1"/>
      <c r="W35" s="815"/>
    </row>
    <row r="36" spans="2:23" x14ac:dyDescent="0.2">
      <c r="B36" s="1"/>
      <c r="C36" s="1"/>
      <c r="D36" s="1"/>
      <c r="Q36" s="1"/>
      <c r="R36" s="1"/>
      <c r="S36" s="1"/>
      <c r="T36" s="1"/>
      <c r="U36" s="1"/>
      <c r="V36" s="1"/>
      <c r="W36" s="815"/>
    </row>
    <row r="37" spans="2:23" x14ac:dyDescent="0.2">
      <c r="B37" s="1"/>
      <c r="C37" s="1"/>
      <c r="D37" s="1"/>
      <c r="Q37" s="1"/>
      <c r="R37" s="1"/>
      <c r="S37" s="1"/>
      <c r="T37" s="1"/>
      <c r="U37" s="1"/>
      <c r="V37" s="1"/>
      <c r="W37" s="815"/>
    </row>
    <row r="38" spans="2:23" x14ac:dyDescent="0.2">
      <c r="B38" s="1"/>
      <c r="C38" s="1"/>
      <c r="D38" s="1"/>
      <c r="Q38" s="1"/>
      <c r="R38" s="1"/>
      <c r="S38" s="1"/>
      <c r="T38" s="1"/>
      <c r="U38" s="1"/>
      <c r="V38" s="1"/>
      <c r="W38" s="815"/>
    </row>
    <row r="39" spans="2:23" x14ac:dyDescent="0.2">
      <c r="B39" s="1"/>
      <c r="C39" s="1"/>
      <c r="D39" s="1"/>
      <c r="Q39" s="1"/>
      <c r="R39" s="1"/>
      <c r="S39" s="1"/>
      <c r="T39" s="1"/>
      <c r="U39" s="1"/>
      <c r="V39" s="1"/>
      <c r="W39" s="815"/>
    </row>
    <row r="40" spans="2:23" x14ac:dyDescent="0.2">
      <c r="B40" s="1"/>
      <c r="C40" s="1"/>
      <c r="D40" s="1"/>
      <c r="Q40" s="1"/>
      <c r="R40" s="1"/>
      <c r="S40" s="1"/>
      <c r="T40" s="1"/>
      <c r="U40" s="1"/>
      <c r="V40" s="1"/>
      <c r="W40" s="815"/>
    </row>
    <row r="41" spans="2:23" x14ac:dyDescent="0.2">
      <c r="B41" s="1"/>
      <c r="C41" s="1"/>
      <c r="D41" s="1"/>
      <c r="Q41" s="1"/>
      <c r="R41" s="1"/>
      <c r="S41" s="1"/>
      <c r="T41" s="1"/>
      <c r="U41" s="1"/>
      <c r="V41" s="1"/>
      <c r="W41" s="815"/>
    </row>
    <row r="42" spans="2:23" x14ac:dyDescent="0.2">
      <c r="B42" s="1"/>
      <c r="C42" s="1"/>
      <c r="D42" s="1"/>
      <c r="Q42" s="1"/>
      <c r="R42" s="1"/>
      <c r="S42" s="1"/>
      <c r="T42" s="1"/>
      <c r="U42" s="1"/>
      <c r="V42" s="1"/>
      <c r="W42" s="815"/>
    </row>
    <row r="43" spans="2:23" x14ac:dyDescent="0.2">
      <c r="B43" s="1"/>
      <c r="C43" s="1"/>
      <c r="D43" s="1"/>
      <c r="Q43" s="1"/>
      <c r="R43" s="1"/>
      <c r="S43" s="1"/>
      <c r="T43" s="1"/>
      <c r="U43" s="1"/>
      <c r="V43" s="1"/>
      <c r="W43" s="815"/>
    </row>
    <row r="44" spans="2:23" x14ac:dyDescent="0.2">
      <c r="B44" s="1"/>
      <c r="C44" s="1"/>
      <c r="D44" s="1"/>
      <c r="Q44" s="1"/>
      <c r="R44" s="1"/>
      <c r="S44" s="1"/>
      <c r="T44" s="1"/>
      <c r="U44" s="1"/>
      <c r="V44" s="1"/>
      <c r="W44" s="815"/>
    </row>
    <row r="45" spans="2:23" x14ac:dyDescent="0.2">
      <c r="B45" s="1"/>
      <c r="C45" s="1"/>
      <c r="D45" s="1"/>
      <c r="Q45" s="1"/>
      <c r="R45" s="1"/>
      <c r="S45" s="1"/>
      <c r="T45" s="1"/>
      <c r="U45" s="1"/>
      <c r="V45" s="1"/>
      <c r="W45" s="815"/>
    </row>
    <row r="46" spans="2:23" x14ac:dyDescent="0.2">
      <c r="B46" s="1"/>
      <c r="C46" s="1"/>
      <c r="D46" s="1"/>
      <c r="Q46" s="1"/>
      <c r="R46" s="1"/>
      <c r="S46" s="1"/>
      <c r="T46" s="1"/>
      <c r="U46" s="1"/>
      <c r="V46" s="1"/>
      <c r="W46" s="815"/>
    </row>
    <row r="47" spans="2:23" x14ac:dyDescent="0.2">
      <c r="B47" s="1"/>
      <c r="C47" s="1"/>
      <c r="D47" s="1"/>
      <c r="Q47" s="1"/>
      <c r="R47" s="1"/>
      <c r="S47" s="1"/>
      <c r="T47" s="1"/>
      <c r="U47" s="1"/>
      <c r="V47" s="1"/>
      <c r="W47" s="815"/>
    </row>
    <row r="48" spans="2:23" x14ac:dyDescent="0.2">
      <c r="B48" s="1"/>
      <c r="C48" s="1"/>
      <c r="D48" s="1"/>
      <c r="Q48" s="1"/>
      <c r="R48" s="1"/>
      <c r="S48" s="1"/>
      <c r="T48" s="1"/>
      <c r="U48" s="1"/>
      <c r="V48" s="1"/>
      <c r="W48" s="815"/>
    </row>
    <row r="49" spans="2:24" x14ac:dyDescent="0.2">
      <c r="B49" s="1"/>
      <c r="C49" s="1"/>
      <c r="D49" s="1"/>
      <c r="S49" s="1"/>
      <c r="T49" s="1"/>
      <c r="U49" s="1"/>
      <c r="V49" s="1"/>
    </row>
    <row r="50" spans="2:24" x14ac:dyDescent="0.2">
      <c r="B50" s="1"/>
      <c r="C50" s="1"/>
      <c r="D50" s="1"/>
      <c r="S50" s="1"/>
      <c r="T50" s="1"/>
      <c r="U50" s="1"/>
      <c r="V50" s="1"/>
    </row>
    <row r="51" spans="2:24" x14ac:dyDescent="0.2">
      <c r="B51" s="1"/>
      <c r="C51" s="1"/>
      <c r="D51" s="1"/>
      <c r="S51" s="1"/>
      <c r="T51" s="1"/>
      <c r="U51" s="1"/>
      <c r="V51" s="1"/>
    </row>
    <row r="52" spans="2:24" x14ac:dyDescent="0.2">
      <c r="F52" s="5"/>
      <c r="G52" s="5"/>
      <c r="H52" s="5"/>
      <c r="I52" s="5"/>
      <c r="J52" s="5"/>
      <c r="K52" s="5"/>
      <c r="L52" s="5"/>
      <c r="M52" s="5"/>
      <c r="N52" s="5"/>
      <c r="O52" s="5"/>
      <c r="P52" s="5"/>
      <c r="Q52" s="5"/>
      <c r="R52" s="5"/>
      <c r="S52" s="1"/>
      <c r="T52" s="1"/>
      <c r="U52" s="1"/>
      <c r="V52" s="1"/>
      <c r="W52" s="5"/>
      <c r="X52" s="5"/>
    </row>
    <row r="53" spans="2:24" x14ac:dyDescent="0.2">
      <c r="F53" s="5"/>
      <c r="G53" s="5"/>
      <c r="H53" s="5"/>
      <c r="I53" s="5"/>
      <c r="J53" s="5"/>
      <c r="K53" s="5"/>
      <c r="L53" s="5"/>
      <c r="M53" s="5"/>
      <c r="N53" s="5"/>
      <c r="O53" s="5"/>
      <c r="P53" s="5"/>
      <c r="Q53" s="5"/>
      <c r="R53" s="5"/>
      <c r="S53" s="1"/>
      <c r="T53" s="1"/>
      <c r="U53" s="1"/>
      <c r="V53" s="1"/>
      <c r="W53" s="5"/>
      <c r="X53" s="5"/>
    </row>
    <row r="54" spans="2:24" x14ac:dyDescent="0.2">
      <c r="F54" s="5"/>
      <c r="G54" s="5"/>
      <c r="H54" s="5"/>
      <c r="I54" s="5"/>
      <c r="J54" s="5"/>
      <c r="K54" s="5"/>
      <c r="L54" s="5"/>
      <c r="M54" s="5"/>
      <c r="N54" s="5"/>
      <c r="O54" s="5"/>
      <c r="P54" s="5"/>
      <c r="Q54" s="5"/>
      <c r="R54" s="5"/>
      <c r="S54" s="1"/>
      <c r="T54" s="1"/>
      <c r="U54" s="1"/>
      <c r="V54" s="1"/>
      <c r="W54" s="5"/>
      <c r="X54" s="5"/>
    </row>
    <row r="55" spans="2:24" x14ac:dyDescent="0.2">
      <c r="F55" s="5"/>
      <c r="G55" s="5"/>
      <c r="H55" s="5"/>
      <c r="I55" s="5"/>
      <c r="J55" s="5"/>
      <c r="K55" s="5"/>
      <c r="L55" s="5"/>
      <c r="M55" s="5"/>
      <c r="N55" s="5"/>
      <c r="O55" s="5"/>
      <c r="P55" s="5"/>
      <c r="Q55" s="5"/>
      <c r="R55" s="5"/>
      <c r="S55" s="1"/>
      <c r="T55" s="1"/>
      <c r="U55" s="1"/>
      <c r="V55" s="1"/>
      <c r="W55" s="5"/>
      <c r="X55" s="5"/>
    </row>
    <row r="56" spans="2:24" x14ac:dyDescent="0.2">
      <c r="F56" s="5"/>
      <c r="G56" s="5"/>
      <c r="H56" s="5"/>
      <c r="I56" s="5"/>
      <c r="J56" s="5"/>
      <c r="K56" s="5"/>
      <c r="L56" s="5"/>
      <c r="M56" s="5"/>
      <c r="N56" s="5"/>
      <c r="O56" s="5"/>
      <c r="P56" s="5"/>
      <c r="Q56" s="5"/>
      <c r="R56" s="5"/>
      <c r="S56" s="5"/>
      <c r="T56" s="5"/>
      <c r="U56" s="5"/>
      <c r="V56" s="5"/>
      <c r="W56" s="5"/>
      <c r="X56" s="5"/>
    </row>
    <row r="57" spans="2:24" x14ac:dyDescent="0.2">
      <c r="F57" s="5"/>
      <c r="G57" s="5"/>
      <c r="H57" s="5"/>
      <c r="I57" s="5"/>
      <c r="J57" s="5"/>
      <c r="K57" s="5"/>
      <c r="L57" s="5"/>
      <c r="M57" s="5"/>
      <c r="N57" s="5"/>
      <c r="O57" s="5"/>
      <c r="P57" s="5"/>
      <c r="Q57" s="5"/>
      <c r="R57" s="5"/>
      <c r="S57" s="5"/>
      <c r="T57" s="5"/>
      <c r="U57" s="5"/>
      <c r="V57" s="5"/>
      <c r="W57" s="5"/>
      <c r="X57" s="5"/>
    </row>
    <row r="58" spans="2:24" x14ac:dyDescent="0.2">
      <c r="F58" s="5"/>
      <c r="G58" s="5"/>
      <c r="H58" s="5"/>
      <c r="I58" s="5"/>
      <c r="J58" s="5"/>
      <c r="K58" s="5"/>
      <c r="L58" s="5"/>
      <c r="M58" s="5"/>
      <c r="N58" s="5"/>
      <c r="O58" s="5"/>
      <c r="P58" s="5"/>
      <c r="Q58" s="5"/>
      <c r="R58" s="5"/>
      <c r="S58" s="5"/>
      <c r="T58" s="5"/>
      <c r="U58" s="5"/>
      <c r="V58" s="5"/>
      <c r="W58" s="5"/>
      <c r="X58" s="5"/>
    </row>
    <row r="59" spans="2:24" x14ac:dyDescent="0.2">
      <c r="F59" s="5"/>
      <c r="G59" s="5"/>
      <c r="H59" s="5"/>
      <c r="I59" s="5"/>
      <c r="J59" s="5"/>
      <c r="K59" s="5"/>
      <c r="L59" s="5"/>
      <c r="M59" s="5"/>
      <c r="N59" s="5"/>
      <c r="O59" s="5"/>
      <c r="P59" s="5"/>
      <c r="Q59" s="5"/>
      <c r="R59" s="5"/>
      <c r="S59" s="5"/>
      <c r="T59" s="5"/>
      <c r="U59" s="5"/>
      <c r="V59" s="5"/>
      <c r="W59" s="5"/>
      <c r="X59" s="5"/>
    </row>
    <row r="60" spans="2:24" x14ac:dyDescent="0.2">
      <c r="F60" s="5"/>
      <c r="G60" s="5"/>
      <c r="H60" s="5"/>
      <c r="I60" s="5"/>
      <c r="J60" s="5"/>
      <c r="K60" s="5"/>
      <c r="L60" s="5"/>
      <c r="M60" s="5"/>
      <c r="N60" s="5"/>
      <c r="O60" s="5"/>
      <c r="P60" s="5"/>
      <c r="Q60" s="5"/>
      <c r="R60" s="5"/>
      <c r="S60" s="5"/>
      <c r="T60" s="5"/>
      <c r="U60" s="5"/>
      <c r="V60" s="5"/>
      <c r="W60" s="5"/>
      <c r="X60" s="5"/>
    </row>
    <row r="61" spans="2:24" x14ac:dyDescent="0.2">
      <c r="F61" s="5"/>
      <c r="G61" s="5"/>
      <c r="H61" s="5"/>
      <c r="I61" s="5"/>
      <c r="J61" s="5"/>
      <c r="K61" s="5"/>
      <c r="L61" s="5"/>
      <c r="M61" s="5"/>
      <c r="N61" s="5"/>
      <c r="O61" s="5"/>
      <c r="P61" s="5"/>
      <c r="Q61" s="5"/>
      <c r="R61" s="5"/>
      <c r="S61" s="5"/>
      <c r="T61" s="5"/>
      <c r="U61" s="5"/>
      <c r="V61" s="5"/>
      <c r="W61" s="5"/>
      <c r="X61" s="5"/>
    </row>
    <row r="62" spans="2:24" x14ac:dyDescent="0.2">
      <c r="F62" s="5"/>
      <c r="G62" s="5"/>
      <c r="H62" s="5"/>
      <c r="I62" s="5"/>
      <c r="J62" s="5"/>
      <c r="K62" s="5"/>
      <c r="L62" s="5"/>
      <c r="M62" s="5"/>
      <c r="N62" s="5"/>
      <c r="O62" s="5"/>
      <c r="P62" s="5"/>
      <c r="Q62" s="5"/>
      <c r="R62" s="5"/>
      <c r="S62" s="5"/>
      <c r="T62" s="5"/>
      <c r="U62" s="5"/>
      <c r="V62" s="5"/>
      <c r="W62" s="5"/>
      <c r="X62" s="5"/>
    </row>
    <row r="63" spans="2:24" x14ac:dyDescent="0.2">
      <c r="F63" s="5"/>
      <c r="G63" s="5"/>
      <c r="H63" s="5"/>
      <c r="I63" s="5"/>
      <c r="J63" s="5"/>
      <c r="K63" s="5"/>
      <c r="L63" s="5"/>
      <c r="M63" s="5"/>
      <c r="N63" s="5"/>
      <c r="O63" s="5"/>
      <c r="P63" s="5"/>
      <c r="Q63" s="5"/>
      <c r="R63" s="5"/>
      <c r="S63" s="5"/>
      <c r="T63" s="5"/>
      <c r="U63" s="5"/>
      <c r="V63" s="5"/>
      <c r="W63" s="5"/>
      <c r="X63" s="5"/>
    </row>
    <row r="64" spans="2:24" x14ac:dyDescent="0.2">
      <c r="F64" s="5"/>
      <c r="G64" s="5"/>
      <c r="H64" s="5"/>
      <c r="I64" s="5"/>
      <c r="J64" s="5"/>
      <c r="K64" s="5"/>
      <c r="L64" s="5"/>
      <c r="M64" s="5"/>
      <c r="N64" s="5"/>
      <c r="O64" s="5"/>
      <c r="P64" s="5"/>
      <c r="Q64" s="5"/>
      <c r="R64" s="5"/>
      <c r="S64" s="5"/>
      <c r="T64" s="5"/>
      <c r="U64" s="5"/>
      <c r="V64" s="5"/>
      <c r="W64" s="5"/>
      <c r="X64" s="5"/>
    </row>
    <row r="65" spans="6:24" x14ac:dyDescent="0.2">
      <c r="F65" s="5"/>
      <c r="G65" s="5"/>
      <c r="H65" s="5"/>
      <c r="I65" s="5"/>
      <c r="J65" s="5"/>
      <c r="K65" s="5"/>
      <c r="L65" s="5"/>
      <c r="M65" s="5"/>
      <c r="N65" s="5"/>
      <c r="O65" s="5"/>
      <c r="P65" s="5"/>
      <c r="Q65" s="5"/>
      <c r="R65" s="5"/>
      <c r="S65" s="5"/>
      <c r="T65" s="5"/>
      <c r="U65" s="5"/>
      <c r="V65" s="5"/>
      <c r="W65" s="5"/>
      <c r="X65" s="5"/>
    </row>
    <row r="66" spans="6:24" x14ac:dyDescent="0.2">
      <c r="F66" s="5"/>
      <c r="G66" s="5"/>
      <c r="H66" s="5"/>
      <c r="I66" s="5"/>
      <c r="J66" s="5"/>
      <c r="K66" s="5"/>
      <c r="L66" s="5"/>
      <c r="M66" s="5"/>
      <c r="N66" s="5"/>
      <c r="O66" s="5"/>
      <c r="P66" s="5"/>
      <c r="Q66" s="5"/>
      <c r="R66" s="5"/>
      <c r="S66" s="5"/>
      <c r="T66" s="5"/>
      <c r="U66" s="5"/>
      <c r="V66" s="5"/>
      <c r="W66" s="5"/>
      <c r="X66" s="5"/>
    </row>
    <row r="67" spans="6:24" x14ac:dyDescent="0.2">
      <c r="F67" s="5"/>
      <c r="G67" s="5"/>
      <c r="H67" s="5"/>
      <c r="I67" s="5"/>
      <c r="J67" s="5"/>
      <c r="K67" s="5"/>
      <c r="L67" s="5"/>
      <c r="M67" s="5"/>
      <c r="N67" s="5"/>
      <c r="O67" s="5"/>
      <c r="P67" s="5"/>
      <c r="Q67" s="5"/>
      <c r="R67" s="5"/>
      <c r="S67" s="5"/>
      <c r="T67" s="5"/>
      <c r="U67" s="5"/>
      <c r="V67" s="5"/>
      <c r="W67" s="5"/>
      <c r="X67" s="5"/>
    </row>
    <row r="68" spans="6:24" x14ac:dyDescent="0.2">
      <c r="F68" s="5"/>
      <c r="G68" s="5"/>
      <c r="H68" s="5"/>
      <c r="I68" s="5"/>
      <c r="J68" s="5"/>
      <c r="K68" s="5"/>
      <c r="L68" s="5"/>
      <c r="M68" s="5"/>
      <c r="N68" s="5"/>
      <c r="O68" s="5"/>
      <c r="P68" s="5"/>
      <c r="Q68" s="5"/>
      <c r="R68" s="5"/>
      <c r="S68" s="5"/>
      <c r="T68" s="5"/>
      <c r="U68" s="5"/>
      <c r="V68" s="5"/>
      <c r="W68" s="5"/>
      <c r="X68" s="5"/>
    </row>
    <row r="69" spans="6:24" x14ac:dyDescent="0.2">
      <c r="F69" s="5"/>
      <c r="G69" s="5"/>
      <c r="H69" s="5"/>
      <c r="I69" s="5"/>
      <c r="J69" s="5"/>
      <c r="K69" s="5"/>
      <c r="L69" s="5"/>
      <c r="M69" s="5"/>
      <c r="N69" s="5"/>
      <c r="O69" s="5"/>
      <c r="P69" s="5"/>
      <c r="Q69" s="5"/>
      <c r="R69" s="5"/>
      <c r="S69" s="5"/>
      <c r="T69" s="5"/>
      <c r="U69" s="5"/>
      <c r="V69" s="5"/>
      <c r="W69" s="5"/>
      <c r="X69" s="5"/>
    </row>
    <row r="70" spans="6:24" x14ac:dyDescent="0.2">
      <c r="F70" s="5"/>
      <c r="G70" s="5"/>
      <c r="H70" s="5"/>
      <c r="I70" s="5"/>
      <c r="J70" s="5"/>
      <c r="K70" s="5"/>
      <c r="L70" s="5"/>
      <c r="M70" s="5"/>
      <c r="N70" s="5"/>
      <c r="O70" s="5"/>
      <c r="P70" s="5"/>
      <c r="Q70" s="5"/>
      <c r="R70" s="5"/>
      <c r="S70" s="5"/>
      <c r="T70" s="5"/>
      <c r="U70" s="5"/>
      <c r="V70" s="5"/>
      <c r="W70" s="5"/>
      <c r="X70" s="5"/>
    </row>
    <row r="71" spans="6:24" x14ac:dyDescent="0.2">
      <c r="F71" s="5"/>
      <c r="G71" s="5"/>
      <c r="H71" s="5"/>
      <c r="I71" s="5"/>
      <c r="J71" s="5"/>
      <c r="K71" s="5"/>
      <c r="L71" s="5"/>
      <c r="M71" s="5"/>
      <c r="N71" s="5"/>
      <c r="O71" s="5"/>
      <c r="P71" s="5"/>
      <c r="Q71" s="5"/>
      <c r="R71" s="5"/>
      <c r="S71" s="5"/>
      <c r="T71" s="5"/>
      <c r="U71" s="5"/>
      <c r="V71" s="5"/>
      <c r="W71" s="5"/>
      <c r="X71" s="5"/>
    </row>
    <row r="72" spans="6:24" x14ac:dyDescent="0.2">
      <c r="F72" s="5"/>
      <c r="G72" s="5"/>
      <c r="H72" s="5"/>
      <c r="I72" s="5"/>
      <c r="J72" s="5"/>
      <c r="K72" s="5"/>
      <c r="L72" s="5"/>
      <c r="M72" s="5"/>
      <c r="N72" s="5"/>
      <c r="O72" s="5"/>
      <c r="P72" s="5"/>
      <c r="Q72" s="5"/>
      <c r="R72" s="5"/>
      <c r="S72" s="5"/>
      <c r="T72" s="5"/>
      <c r="U72" s="5"/>
      <c r="V72" s="5"/>
      <c r="W72" s="5"/>
      <c r="X72" s="5"/>
    </row>
    <row r="73" spans="6:24" x14ac:dyDescent="0.2">
      <c r="F73" s="5"/>
      <c r="G73" s="5"/>
      <c r="H73" s="5"/>
      <c r="I73" s="5"/>
      <c r="J73" s="5"/>
      <c r="K73" s="5"/>
      <c r="L73" s="5"/>
      <c r="M73" s="5"/>
      <c r="N73" s="5"/>
      <c r="O73" s="5"/>
      <c r="P73" s="5"/>
      <c r="Q73" s="5"/>
      <c r="R73" s="5"/>
      <c r="S73" s="5"/>
      <c r="T73" s="5"/>
      <c r="U73" s="5"/>
      <c r="V73" s="5"/>
      <c r="W73" s="5"/>
      <c r="X73" s="5"/>
    </row>
    <row r="74" spans="6:24" x14ac:dyDescent="0.2">
      <c r="F74" s="5"/>
      <c r="G74" s="5"/>
      <c r="H74" s="5"/>
      <c r="I74" s="5"/>
      <c r="J74" s="5"/>
      <c r="K74" s="5"/>
      <c r="L74" s="5"/>
      <c r="M74" s="5"/>
      <c r="N74" s="5"/>
      <c r="O74" s="5"/>
      <c r="P74" s="5"/>
      <c r="Q74" s="5"/>
      <c r="R74" s="5"/>
      <c r="S74" s="5"/>
      <c r="T74" s="5"/>
      <c r="U74" s="5"/>
      <c r="V74" s="5"/>
      <c r="W74" s="5"/>
      <c r="X74" s="5"/>
    </row>
    <row r="75" spans="6:24" x14ac:dyDescent="0.2">
      <c r="F75" s="5"/>
      <c r="G75" s="5"/>
      <c r="H75" s="5"/>
      <c r="I75" s="5"/>
      <c r="J75" s="5"/>
      <c r="K75" s="5"/>
      <c r="L75" s="5"/>
      <c r="M75" s="5"/>
      <c r="N75" s="5"/>
      <c r="O75" s="5"/>
      <c r="P75" s="5"/>
      <c r="Q75" s="5"/>
      <c r="R75" s="5"/>
      <c r="S75" s="5"/>
      <c r="T75" s="5"/>
      <c r="U75" s="5"/>
      <c r="V75" s="5"/>
      <c r="W75" s="5"/>
      <c r="X75" s="5"/>
    </row>
    <row r="76" spans="6:24" x14ac:dyDescent="0.2">
      <c r="F76" s="5"/>
      <c r="G76" s="5"/>
      <c r="H76" s="5"/>
      <c r="I76" s="5"/>
      <c r="J76" s="5"/>
      <c r="K76" s="5"/>
      <c r="L76" s="5"/>
      <c r="M76" s="5"/>
      <c r="N76" s="5"/>
      <c r="O76" s="5"/>
      <c r="P76" s="5"/>
      <c r="Q76" s="5"/>
      <c r="R76" s="5"/>
      <c r="S76" s="5"/>
      <c r="T76" s="5"/>
      <c r="U76" s="5"/>
      <c r="V76" s="5"/>
      <c r="W76" s="5"/>
      <c r="X76" s="5"/>
    </row>
    <row r="77" spans="6:24" x14ac:dyDescent="0.2">
      <c r="F77" s="5"/>
      <c r="G77" s="5"/>
      <c r="H77" s="5"/>
      <c r="I77" s="5"/>
      <c r="J77" s="5"/>
      <c r="K77" s="5"/>
      <c r="L77" s="5"/>
      <c r="M77" s="5"/>
      <c r="N77" s="5"/>
      <c r="O77" s="5"/>
      <c r="P77" s="5"/>
      <c r="Q77" s="5"/>
      <c r="R77" s="5"/>
      <c r="S77" s="5"/>
      <c r="T77" s="5"/>
      <c r="U77" s="5"/>
      <c r="V77" s="5"/>
      <c r="W77" s="5"/>
      <c r="X77" s="5"/>
    </row>
    <row r="78" spans="6:24" x14ac:dyDescent="0.2">
      <c r="F78" s="5"/>
      <c r="G78" s="5"/>
      <c r="H78" s="5"/>
      <c r="I78" s="5"/>
      <c r="J78" s="5"/>
      <c r="K78" s="5"/>
      <c r="L78" s="5"/>
      <c r="M78" s="5"/>
      <c r="N78" s="5"/>
      <c r="O78" s="5"/>
      <c r="P78" s="5"/>
      <c r="Q78" s="5"/>
      <c r="R78" s="5"/>
      <c r="S78" s="5"/>
      <c r="T78" s="5"/>
      <c r="U78" s="5"/>
      <c r="V78" s="5"/>
      <c r="W78" s="5"/>
      <c r="X78" s="5"/>
    </row>
    <row r="79" spans="6:24" x14ac:dyDescent="0.2">
      <c r="F79" s="5"/>
      <c r="G79" s="5"/>
      <c r="H79" s="5"/>
      <c r="I79" s="5"/>
      <c r="J79" s="5"/>
      <c r="K79" s="5"/>
      <c r="L79" s="5"/>
      <c r="M79" s="5"/>
      <c r="N79" s="5"/>
      <c r="O79" s="5"/>
      <c r="P79" s="5"/>
      <c r="Q79" s="5"/>
      <c r="R79" s="5"/>
      <c r="S79" s="5"/>
      <c r="T79" s="5"/>
      <c r="U79" s="5"/>
      <c r="V79" s="5"/>
      <c r="W79" s="5"/>
      <c r="X79" s="5"/>
    </row>
    <row r="80" spans="6:24" x14ac:dyDescent="0.2">
      <c r="F80" s="5"/>
      <c r="G80" s="5"/>
      <c r="H80" s="5"/>
      <c r="I80" s="5"/>
      <c r="J80" s="5"/>
      <c r="K80" s="5"/>
      <c r="L80" s="5"/>
      <c r="M80" s="5"/>
      <c r="N80" s="5"/>
      <c r="O80" s="5"/>
      <c r="P80" s="5"/>
      <c r="Q80" s="5"/>
      <c r="R80" s="5"/>
      <c r="S80" s="5"/>
      <c r="T80" s="5"/>
      <c r="U80" s="5"/>
      <c r="V80" s="5"/>
      <c r="W80" s="5"/>
      <c r="X80" s="5"/>
    </row>
    <row r="81" spans="6:24" x14ac:dyDescent="0.2">
      <c r="F81" s="5"/>
      <c r="G81" s="5"/>
      <c r="H81" s="5"/>
      <c r="I81" s="5"/>
      <c r="J81" s="5"/>
      <c r="K81" s="5"/>
      <c r="L81" s="5"/>
      <c r="M81" s="5"/>
      <c r="N81" s="5"/>
      <c r="O81" s="5"/>
      <c r="P81" s="5"/>
      <c r="Q81" s="5"/>
      <c r="R81" s="5"/>
      <c r="S81" s="5"/>
      <c r="T81" s="5"/>
      <c r="U81" s="5"/>
      <c r="V81" s="5"/>
      <c r="W81" s="5"/>
      <c r="X81" s="5"/>
    </row>
    <row r="82" spans="6:24" x14ac:dyDescent="0.2">
      <c r="F82" s="5"/>
      <c r="G82" s="5"/>
      <c r="H82" s="5"/>
      <c r="I82" s="5"/>
      <c r="J82" s="5"/>
      <c r="K82" s="5"/>
      <c r="L82" s="5"/>
      <c r="M82" s="5"/>
      <c r="N82" s="5"/>
      <c r="O82" s="5"/>
      <c r="P82" s="5"/>
      <c r="Q82" s="5"/>
      <c r="R82" s="5"/>
      <c r="S82" s="5"/>
      <c r="T82" s="5"/>
      <c r="U82" s="5"/>
      <c r="V82" s="5"/>
      <c r="W82" s="5"/>
      <c r="X82" s="5"/>
    </row>
    <row r="83" spans="6:24" x14ac:dyDescent="0.2">
      <c r="F83" s="5"/>
      <c r="G83" s="5"/>
      <c r="H83" s="5"/>
      <c r="I83" s="5"/>
      <c r="J83" s="5"/>
      <c r="K83" s="5"/>
      <c r="L83" s="5"/>
      <c r="M83" s="5"/>
      <c r="N83" s="5"/>
      <c r="O83" s="5"/>
      <c r="P83" s="5"/>
      <c r="Q83" s="5"/>
      <c r="R83" s="5"/>
      <c r="S83" s="5"/>
      <c r="T83" s="5"/>
      <c r="U83" s="5"/>
      <c r="V83" s="5"/>
      <c r="W83" s="5"/>
      <c r="X83" s="5"/>
    </row>
    <row r="84" spans="6:24" x14ac:dyDescent="0.2">
      <c r="F84" s="5"/>
      <c r="G84" s="5"/>
      <c r="H84" s="5"/>
      <c r="I84" s="5"/>
      <c r="J84" s="5"/>
      <c r="K84" s="5"/>
      <c r="L84" s="5"/>
      <c r="M84" s="5"/>
      <c r="N84" s="5"/>
      <c r="O84" s="5"/>
      <c r="P84" s="5"/>
      <c r="Q84" s="5"/>
      <c r="R84" s="5"/>
      <c r="S84" s="5"/>
      <c r="T84" s="5"/>
      <c r="U84" s="5"/>
      <c r="V84" s="5"/>
      <c r="W84" s="5"/>
      <c r="X84" s="5"/>
    </row>
    <row r="85" spans="6:24" x14ac:dyDescent="0.2">
      <c r="F85" s="5"/>
      <c r="G85" s="5"/>
      <c r="H85" s="5"/>
      <c r="I85" s="5"/>
      <c r="J85" s="5"/>
      <c r="K85" s="5"/>
      <c r="L85" s="5"/>
      <c r="M85" s="5"/>
      <c r="N85" s="5"/>
      <c r="O85" s="5"/>
      <c r="P85" s="5"/>
      <c r="Q85" s="5"/>
      <c r="R85" s="5"/>
      <c r="S85" s="5"/>
      <c r="T85" s="5"/>
      <c r="U85" s="5"/>
      <c r="V85" s="5"/>
      <c r="W85" s="5"/>
      <c r="X85" s="5"/>
    </row>
    <row r="86" spans="6:24" x14ac:dyDescent="0.2">
      <c r="F86" s="5"/>
      <c r="G86" s="5"/>
      <c r="H86" s="5"/>
      <c r="I86" s="5"/>
      <c r="J86" s="5"/>
      <c r="K86" s="5"/>
      <c r="L86" s="5"/>
      <c r="M86" s="5"/>
      <c r="N86" s="5"/>
      <c r="O86" s="5"/>
      <c r="P86" s="5"/>
      <c r="Q86" s="5"/>
      <c r="R86" s="5"/>
      <c r="S86" s="5"/>
      <c r="T86" s="5"/>
      <c r="U86" s="5"/>
      <c r="V86" s="5"/>
      <c r="W86" s="5"/>
      <c r="X86" s="5"/>
    </row>
    <row r="87" spans="6:24" x14ac:dyDescent="0.2">
      <c r="F87" s="5"/>
      <c r="G87" s="5"/>
      <c r="H87" s="5"/>
      <c r="I87" s="5"/>
      <c r="J87" s="5"/>
      <c r="K87" s="5"/>
      <c r="L87" s="5"/>
      <c r="M87" s="5"/>
      <c r="N87" s="5"/>
      <c r="O87" s="5"/>
      <c r="P87" s="5"/>
      <c r="Q87" s="5"/>
      <c r="R87" s="5"/>
      <c r="S87" s="5"/>
      <c r="T87" s="5"/>
      <c r="U87" s="5"/>
      <c r="V87" s="5"/>
      <c r="W87" s="5"/>
      <c r="X87" s="5"/>
    </row>
    <row r="88" spans="6:24" x14ac:dyDescent="0.2">
      <c r="F88" s="5"/>
      <c r="G88" s="5"/>
      <c r="H88" s="5"/>
      <c r="I88" s="5"/>
      <c r="J88" s="5"/>
      <c r="K88" s="5"/>
      <c r="L88" s="5"/>
      <c r="M88" s="5"/>
      <c r="N88" s="5"/>
      <c r="O88" s="5"/>
      <c r="P88" s="5"/>
      <c r="Q88" s="5"/>
      <c r="R88" s="5"/>
      <c r="S88" s="5"/>
      <c r="T88" s="5"/>
      <c r="U88" s="5"/>
      <c r="V88" s="5"/>
      <c r="W88" s="5"/>
      <c r="X88" s="5"/>
    </row>
    <row r="89" spans="6:24" x14ac:dyDescent="0.2">
      <c r="F89" s="5"/>
      <c r="G89" s="5"/>
      <c r="H89" s="5"/>
      <c r="I89" s="5"/>
      <c r="J89" s="5"/>
      <c r="K89" s="5"/>
      <c r="L89" s="5"/>
      <c r="M89" s="5"/>
      <c r="N89" s="5"/>
      <c r="O89" s="5"/>
      <c r="P89" s="5"/>
      <c r="Q89" s="5"/>
      <c r="R89" s="5"/>
      <c r="S89" s="5"/>
      <c r="T89" s="5"/>
      <c r="U89" s="5"/>
      <c r="V89" s="5"/>
      <c r="W89" s="5"/>
      <c r="X89" s="5"/>
    </row>
    <row r="90" spans="6:24" x14ac:dyDescent="0.2">
      <c r="F90" s="5"/>
      <c r="G90" s="5"/>
      <c r="H90" s="5"/>
      <c r="I90" s="5"/>
      <c r="J90" s="5"/>
      <c r="K90" s="5"/>
      <c r="L90" s="5"/>
      <c r="M90" s="5"/>
      <c r="N90" s="5"/>
      <c r="O90" s="5"/>
      <c r="P90" s="5"/>
      <c r="Q90" s="5"/>
      <c r="R90" s="5"/>
      <c r="S90" s="5"/>
      <c r="T90" s="5"/>
      <c r="U90" s="5"/>
      <c r="V90" s="5"/>
      <c r="W90" s="5"/>
      <c r="X90" s="5"/>
    </row>
    <row r="91" spans="6:24" x14ac:dyDescent="0.2">
      <c r="F91" s="5"/>
      <c r="G91" s="5"/>
      <c r="H91" s="5"/>
      <c r="I91" s="5"/>
      <c r="J91" s="5"/>
      <c r="K91" s="5"/>
      <c r="L91" s="5"/>
      <c r="M91" s="5"/>
      <c r="N91" s="5"/>
      <c r="O91" s="5"/>
      <c r="P91" s="5"/>
      <c r="Q91" s="5"/>
      <c r="R91" s="5"/>
      <c r="S91" s="5"/>
      <c r="T91" s="5"/>
      <c r="U91" s="5"/>
      <c r="V91" s="5"/>
      <c r="W91" s="5"/>
      <c r="X91" s="5"/>
    </row>
    <row r="92" spans="6:24" x14ac:dyDescent="0.2">
      <c r="F92" s="5"/>
      <c r="G92" s="5"/>
      <c r="H92" s="5"/>
      <c r="I92" s="5"/>
      <c r="J92" s="5"/>
      <c r="K92" s="5"/>
      <c r="L92" s="5"/>
      <c r="M92" s="5"/>
      <c r="N92" s="5"/>
      <c r="O92" s="5"/>
      <c r="P92" s="5"/>
      <c r="Q92" s="5"/>
      <c r="R92" s="5"/>
      <c r="S92" s="5"/>
      <c r="T92" s="5"/>
      <c r="U92" s="5"/>
      <c r="V92" s="5"/>
      <c r="W92" s="5"/>
      <c r="X92" s="5"/>
    </row>
    <row r="93" spans="6:24" x14ac:dyDescent="0.2">
      <c r="F93" s="5"/>
      <c r="G93" s="5"/>
      <c r="H93" s="5"/>
      <c r="I93" s="5"/>
      <c r="J93" s="5"/>
      <c r="K93" s="5"/>
      <c r="L93" s="5"/>
      <c r="M93" s="5"/>
      <c r="N93" s="5"/>
      <c r="O93" s="5"/>
      <c r="P93" s="5"/>
      <c r="Q93" s="5"/>
      <c r="R93" s="5"/>
      <c r="S93" s="5"/>
      <c r="T93" s="5"/>
      <c r="U93" s="5"/>
      <c r="V93" s="5"/>
      <c r="W93" s="5"/>
      <c r="X93" s="5"/>
    </row>
    <row r="94" spans="6:24" x14ac:dyDescent="0.2">
      <c r="F94" s="5"/>
      <c r="G94" s="5"/>
      <c r="H94" s="5"/>
      <c r="I94" s="5"/>
      <c r="J94" s="5"/>
      <c r="K94" s="5"/>
      <c r="L94" s="5"/>
      <c r="M94" s="5"/>
      <c r="N94" s="5"/>
      <c r="O94" s="5"/>
      <c r="P94" s="5"/>
      <c r="Q94" s="5"/>
      <c r="R94" s="5"/>
      <c r="S94" s="5"/>
      <c r="T94" s="5"/>
      <c r="U94" s="5"/>
      <c r="V94" s="5"/>
      <c r="W94" s="5"/>
      <c r="X94" s="5"/>
    </row>
    <row r="95" spans="6:24" x14ac:dyDescent="0.2">
      <c r="F95" s="5"/>
      <c r="G95" s="5"/>
      <c r="H95" s="5"/>
      <c r="I95" s="5"/>
      <c r="J95" s="5"/>
      <c r="K95" s="5"/>
      <c r="L95" s="5"/>
      <c r="M95" s="5"/>
      <c r="N95" s="5"/>
      <c r="O95" s="5"/>
      <c r="P95" s="5"/>
      <c r="Q95" s="5"/>
      <c r="R95" s="5"/>
      <c r="S95" s="5"/>
      <c r="T95" s="5"/>
      <c r="U95" s="5"/>
      <c r="V95" s="5"/>
      <c r="W95" s="5"/>
      <c r="X95" s="5"/>
    </row>
    <row r="98" spans="6:24" x14ac:dyDescent="0.2">
      <c r="F98" s="5"/>
      <c r="G98" s="5"/>
      <c r="H98" s="5"/>
      <c r="I98" s="5"/>
      <c r="J98" s="5"/>
      <c r="K98" s="5"/>
      <c r="L98" s="5"/>
      <c r="M98" s="5"/>
      <c r="N98" s="5"/>
      <c r="O98" s="5"/>
      <c r="P98" s="5"/>
      <c r="Q98" s="5"/>
      <c r="R98" s="5"/>
      <c r="S98" s="5"/>
      <c r="T98" s="5"/>
      <c r="U98" s="5"/>
      <c r="V98" s="5"/>
      <c r="W98" s="5"/>
      <c r="X98" s="5"/>
    </row>
    <row r="99" spans="6:24" x14ac:dyDescent="0.2">
      <c r="F99" s="5"/>
      <c r="G99" s="5"/>
      <c r="H99" s="5"/>
      <c r="I99" s="5"/>
      <c r="J99" s="5"/>
      <c r="K99" s="5"/>
      <c r="L99" s="5"/>
      <c r="M99" s="5"/>
      <c r="N99" s="5"/>
      <c r="O99" s="5"/>
      <c r="P99" s="5"/>
      <c r="Q99" s="5"/>
      <c r="R99" s="5"/>
      <c r="S99" s="5"/>
      <c r="T99" s="5"/>
      <c r="U99" s="5"/>
      <c r="V99" s="5"/>
      <c r="W99" s="5"/>
      <c r="X99" s="5"/>
    </row>
    <row r="100" spans="6:24" x14ac:dyDescent="0.2">
      <c r="F100" s="5"/>
      <c r="G100" s="5"/>
      <c r="H100" s="5"/>
      <c r="I100" s="5"/>
      <c r="J100" s="5"/>
      <c r="K100" s="5"/>
      <c r="L100" s="5"/>
      <c r="M100" s="5"/>
      <c r="N100" s="5"/>
      <c r="O100" s="5"/>
      <c r="P100" s="5"/>
      <c r="Q100" s="5"/>
      <c r="R100" s="5"/>
      <c r="S100" s="5"/>
      <c r="T100" s="5"/>
      <c r="U100" s="5"/>
      <c r="V100" s="5"/>
      <c r="W100" s="5"/>
      <c r="X100" s="5"/>
    </row>
    <row r="101" spans="6:24" x14ac:dyDescent="0.2">
      <c r="F101" s="5"/>
      <c r="G101" s="5"/>
      <c r="H101" s="5"/>
      <c r="I101" s="5"/>
      <c r="J101" s="5"/>
      <c r="K101" s="5"/>
      <c r="L101" s="5"/>
      <c r="M101" s="5"/>
      <c r="N101" s="5"/>
      <c r="O101" s="5"/>
      <c r="P101" s="5"/>
      <c r="Q101" s="5"/>
      <c r="R101" s="5"/>
      <c r="S101" s="5"/>
      <c r="T101" s="5"/>
      <c r="U101" s="5"/>
      <c r="V101" s="5"/>
      <c r="W101" s="5"/>
      <c r="X101" s="5"/>
    </row>
    <row r="102" spans="6:24" x14ac:dyDescent="0.2">
      <c r="F102" s="5"/>
      <c r="G102" s="5"/>
      <c r="H102" s="5"/>
      <c r="I102" s="5"/>
      <c r="J102" s="5"/>
      <c r="K102" s="5"/>
      <c r="L102" s="5"/>
      <c r="M102" s="5"/>
      <c r="N102" s="5"/>
      <c r="O102" s="5"/>
      <c r="P102" s="5"/>
      <c r="Q102" s="5"/>
      <c r="R102" s="5"/>
      <c r="S102" s="5"/>
      <c r="T102" s="5"/>
      <c r="U102" s="5"/>
      <c r="V102" s="5"/>
      <c r="W102" s="5"/>
      <c r="X102" s="5"/>
    </row>
    <row r="103" spans="6:24" x14ac:dyDescent="0.2">
      <c r="F103" s="5"/>
      <c r="G103" s="5"/>
      <c r="H103" s="5"/>
      <c r="I103" s="5"/>
      <c r="J103" s="5"/>
      <c r="K103" s="5"/>
      <c r="L103" s="5"/>
      <c r="M103" s="5"/>
      <c r="N103" s="5"/>
      <c r="O103" s="5"/>
      <c r="P103" s="5"/>
      <c r="Q103" s="5"/>
      <c r="R103" s="5"/>
      <c r="S103" s="5"/>
      <c r="T103" s="5"/>
      <c r="U103" s="5"/>
      <c r="V103" s="5"/>
      <c r="W103" s="5"/>
      <c r="X103" s="5"/>
    </row>
    <row r="104" spans="6:24" x14ac:dyDescent="0.2">
      <c r="F104" s="5"/>
      <c r="G104" s="5"/>
      <c r="H104" s="5"/>
      <c r="I104" s="5"/>
      <c r="J104" s="5"/>
      <c r="K104" s="5"/>
      <c r="L104" s="5"/>
      <c r="M104" s="5"/>
      <c r="N104" s="5"/>
      <c r="O104" s="5"/>
      <c r="P104" s="5"/>
      <c r="Q104" s="5"/>
      <c r="R104" s="5"/>
      <c r="S104" s="5"/>
      <c r="T104" s="5"/>
      <c r="U104" s="5"/>
      <c r="V104" s="5"/>
      <c r="W104" s="5"/>
      <c r="X104" s="5"/>
    </row>
    <row r="105" spans="6:24" x14ac:dyDescent="0.2">
      <c r="F105" s="5"/>
      <c r="G105" s="5"/>
      <c r="H105" s="5"/>
      <c r="I105" s="5"/>
      <c r="J105" s="5"/>
      <c r="K105" s="5"/>
      <c r="L105" s="5"/>
      <c r="M105" s="5"/>
      <c r="N105" s="5"/>
      <c r="O105" s="5"/>
      <c r="P105" s="5"/>
      <c r="Q105" s="5"/>
      <c r="R105" s="5"/>
      <c r="S105" s="5"/>
      <c r="T105" s="5"/>
      <c r="U105" s="5"/>
      <c r="V105" s="5"/>
      <c r="W105" s="5"/>
      <c r="X105" s="5"/>
    </row>
    <row r="106" spans="6:24" x14ac:dyDescent="0.2">
      <c r="F106" s="5"/>
      <c r="G106" s="5"/>
      <c r="H106" s="5"/>
      <c r="I106" s="5"/>
      <c r="J106" s="5"/>
      <c r="K106" s="5"/>
      <c r="L106" s="5"/>
      <c r="M106" s="5"/>
      <c r="N106" s="5"/>
      <c r="O106" s="5"/>
      <c r="P106" s="5"/>
      <c r="Q106" s="5"/>
      <c r="R106" s="5"/>
      <c r="S106" s="5"/>
      <c r="T106" s="5"/>
      <c r="U106" s="5"/>
      <c r="V106" s="5"/>
      <c r="W106" s="5"/>
      <c r="X106" s="5"/>
    </row>
    <row r="107" spans="6:24" x14ac:dyDescent="0.2">
      <c r="F107" s="5"/>
      <c r="G107" s="5"/>
      <c r="H107" s="5"/>
      <c r="I107" s="5"/>
      <c r="J107" s="5"/>
      <c r="K107" s="5"/>
      <c r="L107" s="5"/>
      <c r="M107" s="5"/>
      <c r="N107" s="5"/>
      <c r="O107" s="5"/>
      <c r="P107" s="5"/>
      <c r="Q107" s="5"/>
      <c r="R107" s="5"/>
      <c r="S107" s="5"/>
      <c r="T107" s="5"/>
      <c r="U107" s="5"/>
      <c r="V107" s="5"/>
      <c r="W107" s="5"/>
      <c r="X107" s="5"/>
    </row>
    <row r="108" spans="6:24" x14ac:dyDescent="0.2">
      <c r="F108" s="5"/>
      <c r="G108" s="5"/>
      <c r="H108" s="5"/>
      <c r="I108" s="5"/>
      <c r="J108" s="5"/>
      <c r="K108" s="5"/>
      <c r="L108" s="5"/>
      <c r="M108" s="5"/>
      <c r="N108" s="5"/>
      <c r="O108" s="5"/>
      <c r="P108" s="5"/>
      <c r="Q108" s="5"/>
      <c r="R108" s="5"/>
      <c r="S108" s="5"/>
      <c r="T108" s="5"/>
      <c r="U108" s="5"/>
      <c r="V108" s="5"/>
      <c r="W108" s="5"/>
      <c r="X108" s="5"/>
    </row>
    <row r="109" spans="6:24" x14ac:dyDescent="0.2">
      <c r="F109" s="5"/>
      <c r="G109" s="5"/>
      <c r="H109" s="5"/>
      <c r="I109" s="5"/>
      <c r="J109" s="5"/>
      <c r="K109" s="5"/>
      <c r="L109" s="5"/>
      <c r="M109" s="5"/>
      <c r="N109" s="5"/>
      <c r="O109" s="5"/>
      <c r="P109" s="5"/>
      <c r="Q109" s="5"/>
      <c r="R109" s="5"/>
      <c r="S109" s="5"/>
      <c r="T109" s="5"/>
      <c r="U109" s="5"/>
      <c r="V109" s="5"/>
      <c r="W109" s="5"/>
      <c r="X109" s="5"/>
    </row>
    <row r="110" spans="6:24" x14ac:dyDescent="0.2">
      <c r="F110" s="5"/>
      <c r="G110" s="5"/>
      <c r="H110" s="5"/>
      <c r="I110" s="5"/>
      <c r="J110" s="5"/>
      <c r="K110" s="5"/>
      <c r="L110" s="5"/>
      <c r="M110" s="5"/>
      <c r="N110" s="5"/>
      <c r="O110" s="5"/>
      <c r="P110" s="5"/>
      <c r="Q110" s="5"/>
      <c r="R110" s="5"/>
      <c r="S110" s="5"/>
      <c r="T110" s="5"/>
      <c r="U110" s="5"/>
      <c r="V110" s="5"/>
      <c r="W110" s="5"/>
      <c r="X110" s="5"/>
    </row>
    <row r="111" spans="6:24" x14ac:dyDescent="0.2">
      <c r="F111" s="5"/>
      <c r="G111" s="5"/>
      <c r="H111" s="5"/>
      <c r="I111" s="5"/>
      <c r="J111" s="5"/>
      <c r="K111" s="5"/>
      <c r="L111" s="5"/>
      <c r="M111" s="5"/>
      <c r="N111" s="5"/>
      <c r="O111" s="5"/>
      <c r="P111" s="5"/>
      <c r="Q111" s="5"/>
      <c r="R111" s="5"/>
      <c r="S111" s="5"/>
      <c r="T111" s="5"/>
      <c r="U111" s="5"/>
      <c r="V111" s="5"/>
      <c r="W111" s="5"/>
      <c r="X111" s="5"/>
    </row>
    <row r="112" spans="6:24" x14ac:dyDescent="0.2">
      <c r="F112" s="5"/>
      <c r="G112" s="5"/>
      <c r="H112" s="5"/>
      <c r="I112" s="5"/>
      <c r="J112" s="5"/>
      <c r="K112" s="5"/>
      <c r="L112" s="5"/>
      <c r="M112" s="5"/>
      <c r="N112" s="5"/>
      <c r="O112" s="5"/>
      <c r="P112" s="5"/>
      <c r="Q112" s="5"/>
      <c r="R112" s="5"/>
      <c r="S112" s="5"/>
      <c r="T112" s="5"/>
      <c r="U112" s="5"/>
      <c r="V112" s="5"/>
      <c r="W112" s="5"/>
      <c r="X112" s="5"/>
    </row>
    <row r="113" spans="6:24" x14ac:dyDescent="0.2">
      <c r="F113" s="5"/>
      <c r="G113" s="5"/>
      <c r="H113" s="5"/>
      <c r="I113" s="5"/>
      <c r="J113" s="5"/>
      <c r="K113" s="5"/>
      <c r="L113" s="5"/>
      <c r="M113" s="5"/>
      <c r="N113" s="5"/>
      <c r="O113" s="5"/>
      <c r="P113" s="5"/>
      <c r="Q113" s="5"/>
      <c r="R113" s="5"/>
      <c r="S113" s="5"/>
      <c r="T113" s="5"/>
      <c r="U113" s="5"/>
      <c r="V113" s="5"/>
      <c r="W113" s="5"/>
      <c r="X113" s="5"/>
    </row>
    <row r="114" spans="6:24" x14ac:dyDescent="0.2">
      <c r="F114" s="5"/>
      <c r="G114" s="5"/>
      <c r="H114" s="5"/>
      <c r="I114" s="5"/>
      <c r="J114" s="5"/>
      <c r="K114" s="5"/>
      <c r="L114" s="5"/>
      <c r="M114" s="5"/>
      <c r="N114" s="5"/>
      <c r="O114" s="5"/>
      <c r="P114" s="5"/>
      <c r="Q114" s="5"/>
      <c r="R114" s="5"/>
      <c r="S114" s="5"/>
      <c r="T114" s="5"/>
      <c r="U114" s="5"/>
      <c r="V114" s="5"/>
      <c r="W114" s="5"/>
      <c r="X114" s="5"/>
    </row>
    <row r="115" spans="6:24" x14ac:dyDescent="0.2">
      <c r="F115" s="5"/>
      <c r="G115" s="5"/>
      <c r="H115" s="5"/>
      <c r="I115" s="5"/>
      <c r="J115" s="5"/>
      <c r="K115" s="5"/>
      <c r="L115" s="5"/>
      <c r="M115" s="5"/>
      <c r="N115" s="5"/>
      <c r="O115" s="5"/>
      <c r="P115" s="5"/>
      <c r="Q115" s="5"/>
      <c r="R115" s="5"/>
      <c r="S115" s="5"/>
      <c r="T115" s="5"/>
      <c r="U115" s="5"/>
      <c r="V115" s="5"/>
      <c r="W115" s="5"/>
      <c r="X115" s="5"/>
    </row>
    <row r="116" spans="6:24" x14ac:dyDescent="0.2">
      <c r="F116" s="5"/>
      <c r="G116" s="5"/>
      <c r="H116" s="5"/>
      <c r="I116" s="5"/>
      <c r="J116" s="5"/>
      <c r="K116" s="5"/>
      <c r="L116" s="5"/>
      <c r="M116" s="5"/>
      <c r="N116" s="5"/>
      <c r="O116" s="5"/>
      <c r="P116" s="5"/>
      <c r="Q116" s="5"/>
      <c r="R116" s="5"/>
      <c r="S116" s="5"/>
      <c r="T116" s="5"/>
      <c r="U116" s="5"/>
      <c r="V116" s="5"/>
      <c r="W116" s="5"/>
      <c r="X116" s="5"/>
    </row>
    <row r="117" spans="6:24" x14ac:dyDescent="0.2">
      <c r="F117" s="5"/>
      <c r="G117" s="5"/>
      <c r="H117" s="5"/>
      <c r="I117" s="5"/>
      <c r="J117" s="5"/>
      <c r="K117" s="5"/>
      <c r="L117" s="5"/>
      <c r="M117" s="5"/>
      <c r="N117" s="5"/>
      <c r="O117" s="5"/>
      <c r="P117" s="5"/>
      <c r="Q117" s="5"/>
      <c r="R117" s="5"/>
      <c r="S117" s="5"/>
      <c r="T117" s="5"/>
      <c r="U117" s="5"/>
      <c r="V117" s="5"/>
      <c r="W117" s="5"/>
      <c r="X117" s="5"/>
    </row>
    <row r="118" spans="6:24" x14ac:dyDescent="0.2">
      <c r="F118" s="5"/>
      <c r="G118" s="5"/>
      <c r="H118" s="5"/>
      <c r="I118" s="5"/>
      <c r="J118" s="5"/>
      <c r="K118" s="5"/>
      <c r="L118" s="5"/>
      <c r="M118" s="5"/>
      <c r="N118" s="5"/>
      <c r="O118" s="5"/>
      <c r="P118" s="5"/>
      <c r="Q118" s="5"/>
      <c r="R118" s="5"/>
      <c r="S118" s="5"/>
      <c r="T118" s="5"/>
      <c r="U118" s="5"/>
      <c r="V118" s="5"/>
      <c r="W118" s="5"/>
      <c r="X118" s="5"/>
    </row>
    <row r="119" spans="6:24" x14ac:dyDescent="0.2">
      <c r="F119" s="5"/>
      <c r="G119" s="5"/>
      <c r="H119" s="5"/>
      <c r="I119" s="5"/>
      <c r="J119" s="5"/>
      <c r="K119" s="5"/>
      <c r="L119" s="5"/>
      <c r="M119" s="5"/>
      <c r="N119" s="5"/>
      <c r="O119" s="5"/>
      <c r="P119" s="5"/>
      <c r="Q119" s="5"/>
      <c r="R119" s="5"/>
      <c r="S119" s="5"/>
      <c r="T119" s="5"/>
      <c r="U119" s="5"/>
      <c r="V119" s="5"/>
      <c r="W119" s="5"/>
      <c r="X119" s="5"/>
    </row>
    <row r="120" spans="6:24" x14ac:dyDescent="0.2">
      <c r="F120" s="5"/>
      <c r="G120" s="5"/>
      <c r="H120" s="5"/>
      <c r="I120" s="5"/>
      <c r="J120" s="5"/>
      <c r="K120" s="5"/>
      <c r="L120" s="5"/>
      <c r="M120" s="5"/>
      <c r="N120" s="5"/>
      <c r="O120" s="5"/>
      <c r="P120" s="5"/>
      <c r="Q120" s="5"/>
      <c r="R120" s="5"/>
      <c r="S120" s="5"/>
      <c r="T120" s="5"/>
      <c r="U120" s="5"/>
      <c r="V120" s="5"/>
      <c r="W120" s="5"/>
      <c r="X120" s="5"/>
    </row>
    <row r="121" spans="6:24" x14ac:dyDescent="0.2">
      <c r="F121" s="5"/>
      <c r="G121" s="5"/>
      <c r="H121" s="5"/>
      <c r="I121" s="5"/>
      <c r="J121" s="5"/>
      <c r="K121" s="5"/>
      <c r="L121" s="5"/>
      <c r="M121" s="5"/>
      <c r="N121" s="5"/>
      <c r="O121" s="5"/>
      <c r="P121" s="5"/>
      <c r="Q121" s="5"/>
      <c r="R121" s="5"/>
      <c r="S121" s="5"/>
      <c r="T121" s="5"/>
      <c r="U121" s="5"/>
      <c r="V121" s="5"/>
      <c r="W121" s="5"/>
      <c r="X121" s="5"/>
    </row>
    <row r="122" spans="6:24" x14ac:dyDescent="0.2">
      <c r="F122" s="5"/>
      <c r="G122" s="5"/>
      <c r="H122" s="5"/>
      <c r="I122" s="5"/>
      <c r="J122" s="5"/>
      <c r="K122" s="5"/>
      <c r="L122" s="5"/>
      <c r="M122" s="5"/>
      <c r="N122" s="5"/>
      <c r="O122" s="5"/>
      <c r="P122" s="5"/>
      <c r="Q122" s="5"/>
      <c r="R122" s="5"/>
      <c r="S122" s="5"/>
      <c r="T122" s="5"/>
      <c r="U122" s="5"/>
      <c r="V122" s="5"/>
      <c r="W122" s="5"/>
      <c r="X122" s="5"/>
    </row>
    <row r="123" spans="6:24" x14ac:dyDescent="0.2">
      <c r="F123" s="5"/>
      <c r="G123" s="5"/>
      <c r="H123" s="5"/>
      <c r="I123" s="5"/>
      <c r="J123" s="5"/>
      <c r="K123" s="5"/>
      <c r="L123" s="5"/>
      <c r="M123" s="5"/>
      <c r="N123" s="5"/>
      <c r="O123" s="5"/>
      <c r="P123" s="5"/>
      <c r="Q123" s="5"/>
      <c r="R123" s="5"/>
      <c r="S123" s="5"/>
      <c r="T123" s="5"/>
      <c r="U123" s="5"/>
      <c r="V123" s="5"/>
      <c r="W123" s="5"/>
      <c r="X123" s="5"/>
    </row>
    <row r="124" spans="6:24" x14ac:dyDescent="0.2">
      <c r="F124" s="5"/>
      <c r="G124" s="5"/>
      <c r="H124" s="5"/>
      <c r="I124" s="5"/>
      <c r="J124" s="5"/>
      <c r="K124" s="5"/>
      <c r="L124" s="5"/>
      <c r="M124" s="5"/>
      <c r="N124" s="5"/>
      <c r="O124" s="5"/>
      <c r="P124" s="5"/>
      <c r="Q124" s="5"/>
      <c r="R124" s="5"/>
      <c r="S124" s="5"/>
      <c r="T124" s="5"/>
      <c r="U124" s="5"/>
      <c r="V124" s="5"/>
      <c r="W124" s="5"/>
      <c r="X124" s="5"/>
    </row>
    <row r="125" spans="6:24" x14ac:dyDescent="0.2">
      <c r="F125" s="5"/>
      <c r="G125" s="5"/>
      <c r="H125" s="5"/>
      <c r="I125" s="5"/>
      <c r="J125" s="5"/>
      <c r="K125" s="5"/>
      <c r="L125" s="5"/>
      <c r="M125" s="5"/>
      <c r="N125" s="5"/>
      <c r="O125" s="5"/>
      <c r="P125" s="5"/>
      <c r="Q125" s="5"/>
      <c r="R125" s="5"/>
      <c r="S125" s="5"/>
      <c r="T125" s="5"/>
      <c r="U125" s="5"/>
      <c r="V125" s="5"/>
      <c r="W125" s="5"/>
      <c r="X125" s="5"/>
    </row>
    <row r="126" spans="6:24" x14ac:dyDescent="0.2">
      <c r="F126" s="5"/>
      <c r="G126" s="5"/>
      <c r="H126" s="5"/>
      <c r="I126" s="5"/>
      <c r="J126" s="5"/>
      <c r="K126" s="5"/>
      <c r="L126" s="5"/>
      <c r="M126" s="5"/>
      <c r="N126" s="5"/>
      <c r="O126" s="5"/>
      <c r="P126" s="5"/>
      <c r="Q126" s="5"/>
      <c r="R126" s="5"/>
      <c r="S126" s="5"/>
      <c r="T126" s="5"/>
      <c r="U126" s="5"/>
      <c r="V126" s="5"/>
      <c r="W126" s="5"/>
      <c r="X126" s="5"/>
    </row>
    <row r="127" spans="6:24" x14ac:dyDescent="0.2">
      <c r="F127" s="5"/>
      <c r="G127" s="5"/>
      <c r="H127" s="5"/>
      <c r="I127" s="5"/>
      <c r="J127" s="5"/>
      <c r="K127" s="5"/>
      <c r="L127" s="5"/>
      <c r="M127" s="5"/>
      <c r="N127" s="5"/>
      <c r="O127" s="5"/>
      <c r="P127" s="5"/>
      <c r="Q127" s="5"/>
      <c r="R127" s="5"/>
      <c r="S127" s="5"/>
      <c r="T127" s="5"/>
      <c r="U127" s="5"/>
      <c r="V127" s="5"/>
      <c r="W127" s="5"/>
      <c r="X127" s="5"/>
    </row>
    <row r="128" spans="6:24" x14ac:dyDescent="0.2">
      <c r="F128" s="5"/>
      <c r="G128" s="5"/>
      <c r="H128" s="5"/>
      <c r="I128" s="5"/>
      <c r="J128" s="5"/>
      <c r="K128" s="5"/>
      <c r="L128" s="5"/>
      <c r="M128" s="5"/>
      <c r="N128" s="5"/>
      <c r="O128" s="5"/>
      <c r="P128" s="5"/>
      <c r="Q128" s="5"/>
      <c r="R128" s="5"/>
      <c r="S128" s="5"/>
      <c r="T128" s="5"/>
      <c r="U128" s="5"/>
      <c r="V128" s="5"/>
      <c r="W128" s="5"/>
      <c r="X128" s="5"/>
    </row>
    <row r="129" spans="6:24" x14ac:dyDescent="0.2">
      <c r="F129" s="5"/>
      <c r="G129" s="5"/>
      <c r="H129" s="5"/>
      <c r="I129" s="5"/>
      <c r="J129" s="5"/>
      <c r="K129" s="5"/>
      <c r="L129" s="5"/>
      <c r="M129" s="5"/>
      <c r="N129" s="5"/>
      <c r="O129" s="5"/>
      <c r="P129" s="5"/>
      <c r="Q129" s="5"/>
      <c r="R129" s="5"/>
      <c r="S129" s="5"/>
      <c r="T129" s="5"/>
      <c r="U129" s="5"/>
      <c r="V129" s="5"/>
      <c r="W129" s="5"/>
      <c r="X129" s="5"/>
    </row>
    <row r="130" spans="6:24" x14ac:dyDescent="0.2">
      <c r="F130" s="5"/>
      <c r="G130" s="5"/>
      <c r="H130" s="5"/>
      <c r="I130" s="5"/>
      <c r="J130" s="5"/>
      <c r="K130" s="5"/>
      <c r="L130" s="5"/>
      <c r="M130" s="5"/>
      <c r="N130" s="5"/>
      <c r="O130" s="5"/>
      <c r="P130" s="5"/>
      <c r="Q130" s="5"/>
      <c r="R130" s="5"/>
      <c r="S130" s="5"/>
      <c r="T130" s="5"/>
      <c r="U130" s="5"/>
      <c r="V130" s="5"/>
      <c r="W130" s="5"/>
      <c r="X130" s="5"/>
    </row>
    <row r="131" spans="6:24" x14ac:dyDescent="0.2">
      <c r="F131" s="5"/>
      <c r="G131" s="5"/>
      <c r="H131" s="5"/>
      <c r="I131" s="5"/>
      <c r="J131" s="5"/>
      <c r="K131" s="5"/>
      <c r="L131" s="5"/>
      <c r="M131" s="5"/>
      <c r="N131" s="5"/>
      <c r="O131" s="5"/>
      <c r="P131" s="5"/>
      <c r="Q131" s="5"/>
      <c r="R131" s="5"/>
      <c r="S131" s="5"/>
      <c r="T131" s="5"/>
      <c r="U131" s="5"/>
      <c r="V131" s="5"/>
      <c r="W131" s="5"/>
      <c r="X131" s="5"/>
    </row>
    <row r="132" spans="6:24" x14ac:dyDescent="0.2">
      <c r="F132" s="5"/>
      <c r="G132" s="5"/>
      <c r="H132" s="5"/>
      <c r="I132" s="5"/>
      <c r="J132" s="5"/>
      <c r="K132" s="5"/>
      <c r="L132" s="5"/>
      <c r="M132" s="5"/>
      <c r="N132" s="5"/>
      <c r="O132" s="5"/>
      <c r="P132" s="5"/>
      <c r="Q132" s="5"/>
      <c r="R132" s="5"/>
      <c r="S132" s="5"/>
      <c r="T132" s="5"/>
      <c r="U132" s="5"/>
      <c r="V132" s="5"/>
      <c r="W132" s="5"/>
      <c r="X132" s="5"/>
    </row>
    <row r="133" spans="6:24" x14ac:dyDescent="0.2">
      <c r="F133" s="5"/>
      <c r="G133" s="5"/>
      <c r="H133" s="5"/>
      <c r="I133" s="5"/>
      <c r="J133" s="5"/>
      <c r="K133" s="5"/>
      <c r="L133" s="5"/>
      <c r="M133" s="5"/>
      <c r="N133" s="5"/>
      <c r="O133" s="5"/>
      <c r="P133" s="5"/>
      <c r="Q133" s="5"/>
      <c r="R133" s="5"/>
      <c r="S133" s="5"/>
      <c r="T133" s="5"/>
      <c r="U133" s="5"/>
      <c r="V133" s="5"/>
      <c r="W133" s="5"/>
      <c r="X133" s="5"/>
    </row>
    <row r="134" spans="6:24" x14ac:dyDescent="0.2">
      <c r="F134" s="5"/>
      <c r="G134" s="5"/>
      <c r="H134" s="5"/>
      <c r="I134" s="5"/>
      <c r="J134" s="5"/>
      <c r="K134" s="5"/>
      <c r="L134" s="5"/>
      <c r="M134" s="5"/>
      <c r="N134" s="5"/>
      <c r="O134" s="5"/>
      <c r="P134" s="5"/>
      <c r="Q134" s="5"/>
      <c r="R134" s="5"/>
      <c r="S134" s="5"/>
      <c r="T134" s="5"/>
      <c r="U134" s="5"/>
      <c r="V134" s="5"/>
      <c r="W134" s="5"/>
      <c r="X134" s="5"/>
    </row>
    <row r="135" spans="6:24" x14ac:dyDescent="0.2">
      <c r="F135" s="5"/>
      <c r="G135" s="5"/>
      <c r="H135" s="5"/>
      <c r="I135" s="5"/>
      <c r="J135" s="5"/>
      <c r="K135" s="5"/>
      <c r="L135" s="5"/>
      <c r="M135" s="5"/>
      <c r="N135" s="5"/>
      <c r="O135" s="5"/>
      <c r="P135" s="5"/>
      <c r="Q135" s="5"/>
      <c r="R135" s="5"/>
      <c r="S135" s="5"/>
      <c r="T135" s="5"/>
      <c r="U135" s="5"/>
      <c r="V135" s="5"/>
      <c r="W135" s="5"/>
      <c r="X135" s="5"/>
    </row>
    <row r="136" spans="6:24" x14ac:dyDescent="0.2">
      <c r="F136" s="5"/>
      <c r="G136" s="5"/>
      <c r="H136" s="5"/>
      <c r="I136" s="5"/>
      <c r="J136" s="5"/>
      <c r="K136" s="5"/>
      <c r="L136" s="5"/>
      <c r="M136" s="5"/>
      <c r="N136" s="5"/>
      <c r="O136" s="5"/>
      <c r="P136" s="5"/>
      <c r="Q136" s="5"/>
      <c r="R136" s="5"/>
      <c r="S136" s="5"/>
      <c r="T136" s="5"/>
      <c r="U136" s="5"/>
      <c r="V136" s="5"/>
      <c r="W136" s="5"/>
      <c r="X136" s="5"/>
    </row>
    <row r="137" spans="6:24" x14ac:dyDescent="0.2">
      <c r="F137" s="5"/>
      <c r="G137" s="5"/>
      <c r="H137" s="5"/>
      <c r="I137" s="5"/>
      <c r="J137" s="5"/>
      <c r="K137" s="5"/>
      <c r="L137" s="5"/>
      <c r="M137" s="5"/>
      <c r="N137" s="5"/>
      <c r="O137" s="5"/>
      <c r="P137" s="5"/>
      <c r="Q137" s="5"/>
      <c r="R137" s="5"/>
      <c r="S137" s="5"/>
      <c r="T137" s="5"/>
      <c r="U137" s="5"/>
      <c r="V137" s="5"/>
      <c r="W137" s="5"/>
      <c r="X137" s="5"/>
    </row>
    <row r="138" spans="6:24" x14ac:dyDescent="0.2">
      <c r="F138" s="5"/>
      <c r="G138" s="5"/>
      <c r="H138" s="5"/>
      <c r="I138" s="5"/>
      <c r="J138" s="5"/>
      <c r="K138" s="5"/>
      <c r="L138" s="5"/>
      <c r="M138" s="5"/>
      <c r="N138" s="5"/>
      <c r="O138" s="5"/>
      <c r="P138" s="5"/>
      <c r="Q138" s="5"/>
      <c r="R138" s="5"/>
      <c r="S138" s="5"/>
      <c r="T138" s="5"/>
      <c r="U138" s="5"/>
      <c r="V138" s="5"/>
      <c r="W138" s="5"/>
      <c r="X138" s="5"/>
    </row>
    <row r="139" spans="6:24" x14ac:dyDescent="0.2">
      <c r="F139" s="5"/>
      <c r="G139" s="5"/>
      <c r="H139" s="5"/>
      <c r="I139" s="5"/>
      <c r="J139" s="5"/>
      <c r="K139" s="5"/>
      <c r="L139" s="5"/>
      <c r="M139" s="5"/>
      <c r="N139" s="5"/>
      <c r="O139" s="5"/>
      <c r="P139" s="5"/>
      <c r="Q139" s="5"/>
      <c r="R139" s="5"/>
      <c r="S139" s="5"/>
      <c r="T139" s="5"/>
      <c r="U139" s="5"/>
      <c r="V139" s="5"/>
      <c r="W139" s="5"/>
      <c r="X139" s="5"/>
    </row>
    <row r="140" spans="6:24" x14ac:dyDescent="0.2">
      <c r="F140" s="5"/>
      <c r="G140" s="5"/>
      <c r="H140" s="5"/>
      <c r="I140" s="5"/>
      <c r="J140" s="5"/>
      <c r="K140" s="5"/>
      <c r="L140" s="5"/>
      <c r="M140" s="5"/>
      <c r="N140" s="5"/>
      <c r="O140" s="5"/>
      <c r="P140" s="5"/>
      <c r="Q140" s="5"/>
      <c r="R140" s="5"/>
      <c r="S140" s="5"/>
      <c r="T140" s="5"/>
      <c r="U140" s="5"/>
      <c r="V140" s="5"/>
      <c r="W140" s="5"/>
      <c r="X140" s="5"/>
    </row>
    <row r="141" spans="6:24" x14ac:dyDescent="0.2">
      <c r="F141" s="5"/>
      <c r="G141" s="5"/>
      <c r="H141" s="5"/>
      <c r="I141" s="5"/>
      <c r="J141" s="5"/>
      <c r="K141" s="5"/>
      <c r="L141" s="5"/>
      <c r="M141" s="5"/>
      <c r="N141" s="5"/>
      <c r="O141" s="5"/>
      <c r="P141" s="5"/>
      <c r="Q141" s="5"/>
      <c r="R141" s="5"/>
      <c r="S141" s="5"/>
      <c r="T141" s="5"/>
      <c r="U141" s="5"/>
      <c r="V141" s="5"/>
      <c r="W141" s="5"/>
      <c r="X141" s="5"/>
    </row>
    <row r="142" spans="6:24" x14ac:dyDescent="0.2">
      <c r="F142" s="5"/>
      <c r="G142" s="5"/>
      <c r="H142" s="5"/>
      <c r="I142" s="5"/>
      <c r="J142" s="5"/>
      <c r="K142" s="5"/>
      <c r="L142" s="5"/>
      <c r="M142" s="5"/>
      <c r="N142" s="5"/>
      <c r="O142" s="5"/>
      <c r="P142" s="5"/>
      <c r="Q142" s="5"/>
      <c r="R142" s="5"/>
      <c r="S142" s="5"/>
      <c r="T142" s="5"/>
      <c r="U142" s="5"/>
      <c r="V142" s="5"/>
      <c r="W142" s="5"/>
      <c r="X142" s="5"/>
    </row>
    <row r="143" spans="6:24" x14ac:dyDescent="0.2">
      <c r="F143" s="5"/>
      <c r="G143" s="5"/>
      <c r="H143" s="5"/>
      <c r="I143" s="5"/>
      <c r="J143" s="5"/>
      <c r="K143" s="5"/>
      <c r="L143" s="5"/>
      <c r="M143" s="5"/>
      <c r="N143" s="5"/>
      <c r="O143" s="5"/>
      <c r="P143" s="5"/>
      <c r="Q143" s="5"/>
      <c r="R143" s="5"/>
      <c r="S143" s="5"/>
      <c r="T143" s="5"/>
      <c r="U143" s="5"/>
      <c r="V143" s="5"/>
      <c r="W143" s="5"/>
      <c r="X143" s="5"/>
    </row>
    <row r="144" spans="6:24" x14ac:dyDescent="0.2">
      <c r="F144" s="5"/>
      <c r="G144" s="5"/>
      <c r="H144" s="5"/>
      <c r="I144" s="5"/>
      <c r="J144" s="5"/>
      <c r="K144" s="5"/>
      <c r="L144" s="5"/>
      <c r="M144" s="5"/>
      <c r="N144" s="5"/>
      <c r="O144" s="5"/>
      <c r="P144" s="5"/>
      <c r="Q144" s="5"/>
      <c r="R144" s="5"/>
      <c r="S144" s="5"/>
      <c r="T144" s="5"/>
      <c r="U144" s="5"/>
      <c r="V144" s="5"/>
      <c r="W144" s="5"/>
      <c r="X144" s="5"/>
    </row>
    <row r="145" spans="6:24" x14ac:dyDescent="0.2">
      <c r="F145" s="5"/>
      <c r="G145" s="5"/>
      <c r="H145" s="5"/>
      <c r="I145" s="5"/>
      <c r="J145" s="5"/>
      <c r="K145" s="5"/>
      <c r="L145" s="5"/>
      <c r="M145" s="5"/>
      <c r="N145" s="5"/>
      <c r="O145" s="5"/>
      <c r="P145" s="5"/>
      <c r="Q145" s="5"/>
      <c r="R145" s="5"/>
      <c r="S145" s="5"/>
      <c r="T145" s="5"/>
      <c r="U145" s="5"/>
      <c r="V145" s="5"/>
      <c r="W145" s="5"/>
      <c r="X145" s="5"/>
    </row>
    <row r="146" spans="6:24" x14ac:dyDescent="0.2">
      <c r="F146" s="5"/>
      <c r="G146" s="5"/>
      <c r="H146" s="5"/>
      <c r="I146" s="5"/>
      <c r="J146" s="5"/>
      <c r="K146" s="5"/>
      <c r="L146" s="5"/>
      <c r="M146" s="5"/>
      <c r="N146" s="5"/>
      <c r="O146" s="5"/>
      <c r="P146" s="5"/>
      <c r="Q146" s="5"/>
      <c r="R146" s="5"/>
      <c r="S146" s="5"/>
      <c r="T146" s="5"/>
      <c r="U146" s="5"/>
      <c r="V146" s="5"/>
      <c r="W146" s="5"/>
      <c r="X146" s="5"/>
    </row>
    <row r="147" spans="6:24" x14ac:dyDescent="0.2">
      <c r="F147" s="5"/>
      <c r="G147" s="5"/>
      <c r="H147" s="5"/>
      <c r="I147" s="5"/>
      <c r="J147" s="5"/>
      <c r="K147" s="5"/>
      <c r="L147" s="5"/>
      <c r="M147" s="5"/>
      <c r="N147" s="5"/>
      <c r="O147" s="5"/>
      <c r="P147" s="5"/>
      <c r="Q147" s="5"/>
      <c r="R147" s="5"/>
      <c r="S147" s="5"/>
      <c r="T147" s="5"/>
      <c r="U147" s="5"/>
      <c r="V147" s="5"/>
      <c r="W147" s="5"/>
      <c r="X147" s="5"/>
    </row>
    <row r="148" spans="6:24" x14ac:dyDescent="0.2">
      <c r="F148" s="5"/>
      <c r="G148" s="5"/>
      <c r="H148" s="5"/>
      <c r="I148" s="5"/>
      <c r="J148" s="5"/>
      <c r="K148" s="5"/>
      <c r="L148" s="5"/>
      <c r="M148" s="5"/>
      <c r="N148" s="5"/>
      <c r="O148" s="5"/>
      <c r="P148" s="5"/>
      <c r="Q148" s="5"/>
      <c r="R148" s="5"/>
      <c r="S148" s="5"/>
      <c r="T148" s="5"/>
      <c r="U148" s="5"/>
      <c r="V148" s="5"/>
      <c r="W148" s="5"/>
      <c r="X148" s="5"/>
    </row>
    <row r="149" spans="6:24" x14ac:dyDescent="0.2">
      <c r="F149" s="5"/>
      <c r="G149" s="5"/>
      <c r="H149" s="5"/>
      <c r="I149" s="5"/>
      <c r="J149" s="5"/>
      <c r="K149" s="5"/>
      <c r="L149" s="5"/>
      <c r="M149" s="5"/>
      <c r="N149" s="5"/>
      <c r="O149" s="5"/>
      <c r="P149" s="5"/>
      <c r="Q149" s="5"/>
      <c r="R149" s="5"/>
      <c r="S149" s="5"/>
      <c r="T149" s="5"/>
      <c r="U149" s="5"/>
      <c r="V149" s="5"/>
      <c r="W149" s="5"/>
      <c r="X149" s="5"/>
    </row>
    <row r="150" spans="6:24" x14ac:dyDescent="0.2">
      <c r="F150" s="5"/>
      <c r="G150" s="5"/>
      <c r="H150" s="5"/>
      <c r="I150" s="5"/>
      <c r="J150" s="5"/>
      <c r="K150" s="5"/>
      <c r="L150" s="5"/>
      <c r="M150" s="5"/>
      <c r="N150" s="5"/>
      <c r="O150" s="5"/>
      <c r="P150" s="5"/>
      <c r="Q150" s="5"/>
      <c r="R150" s="5"/>
      <c r="S150" s="5"/>
      <c r="T150" s="5"/>
      <c r="U150" s="5"/>
      <c r="V150" s="5"/>
      <c r="W150" s="5"/>
      <c r="X150" s="5"/>
    </row>
    <row r="151" spans="6:24" x14ac:dyDescent="0.2">
      <c r="F151" s="5"/>
      <c r="G151" s="5"/>
      <c r="H151" s="5"/>
      <c r="I151" s="5"/>
      <c r="J151" s="5"/>
      <c r="K151" s="5"/>
      <c r="L151" s="5"/>
      <c r="M151" s="5"/>
      <c r="N151" s="5"/>
      <c r="O151" s="5"/>
      <c r="P151" s="5"/>
      <c r="Q151" s="5"/>
      <c r="R151" s="5"/>
      <c r="S151" s="5"/>
      <c r="T151" s="5"/>
      <c r="U151" s="5"/>
      <c r="V151" s="5"/>
      <c r="W151" s="5"/>
      <c r="X151" s="5"/>
    </row>
    <row r="152" spans="6:24" x14ac:dyDescent="0.2">
      <c r="F152" s="5"/>
      <c r="G152" s="5"/>
      <c r="H152" s="5"/>
      <c r="I152" s="5"/>
      <c r="J152" s="5"/>
      <c r="K152" s="5"/>
      <c r="L152" s="5"/>
      <c r="M152" s="5"/>
      <c r="N152" s="5"/>
      <c r="O152" s="5"/>
      <c r="P152" s="5"/>
      <c r="Q152" s="5"/>
      <c r="R152" s="5"/>
      <c r="S152" s="5"/>
      <c r="T152" s="5"/>
      <c r="U152" s="5"/>
      <c r="V152" s="5"/>
      <c r="W152" s="5"/>
      <c r="X152" s="5"/>
    </row>
    <row r="153" spans="6:24" x14ac:dyDescent="0.2">
      <c r="F153" s="5"/>
      <c r="G153" s="5"/>
      <c r="H153" s="5"/>
      <c r="I153" s="5"/>
      <c r="J153" s="5"/>
      <c r="K153" s="5"/>
      <c r="L153" s="5"/>
      <c r="M153" s="5"/>
      <c r="N153" s="5"/>
      <c r="O153" s="5"/>
      <c r="P153" s="5"/>
      <c r="Q153" s="5"/>
      <c r="R153" s="5"/>
      <c r="S153" s="5"/>
      <c r="T153" s="5"/>
      <c r="U153" s="5"/>
      <c r="V153" s="5"/>
      <c r="W153" s="5"/>
      <c r="X153" s="5"/>
    </row>
    <row r="154" spans="6:24" x14ac:dyDescent="0.2">
      <c r="F154" s="5"/>
      <c r="G154" s="5"/>
      <c r="H154" s="5"/>
      <c r="I154" s="5"/>
      <c r="J154" s="5"/>
      <c r="K154" s="5"/>
      <c r="L154" s="5"/>
      <c r="M154" s="5"/>
      <c r="N154" s="5"/>
      <c r="O154" s="5"/>
      <c r="P154" s="5"/>
      <c r="Q154" s="5"/>
      <c r="R154" s="5"/>
      <c r="S154" s="5"/>
      <c r="T154" s="5"/>
      <c r="U154" s="5"/>
      <c r="V154" s="5"/>
      <c r="W154" s="5"/>
      <c r="X154" s="5"/>
    </row>
    <row r="155" spans="6:24" x14ac:dyDescent="0.2">
      <c r="F155" s="5"/>
      <c r="G155" s="5"/>
      <c r="H155" s="5"/>
      <c r="I155" s="5"/>
      <c r="J155" s="5"/>
      <c r="K155" s="5"/>
      <c r="L155" s="5"/>
      <c r="M155" s="5"/>
      <c r="N155" s="5"/>
      <c r="O155" s="5"/>
      <c r="P155" s="5"/>
      <c r="Q155" s="5"/>
      <c r="R155" s="5"/>
      <c r="S155" s="5"/>
      <c r="T155" s="5"/>
      <c r="U155" s="5"/>
      <c r="V155" s="5"/>
      <c r="W155" s="5"/>
      <c r="X155" s="5"/>
    </row>
    <row r="156" spans="6:24" x14ac:dyDescent="0.2">
      <c r="F156" s="5"/>
      <c r="G156" s="5"/>
      <c r="H156" s="5"/>
      <c r="I156" s="5"/>
      <c r="J156" s="5"/>
      <c r="K156" s="5"/>
      <c r="L156" s="5"/>
      <c r="M156" s="5"/>
      <c r="N156" s="5"/>
      <c r="O156" s="5"/>
      <c r="P156" s="5"/>
      <c r="Q156" s="5"/>
      <c r="R156" s="5"/>
      <c r="S156" s="5"/>
      <c r="T156" s="5"/>
      <c r="U156" s="5"/>
      <c r="V156" s="5"/>
      <c r="W156" s="5"/>
      <c r="X156" s="5"/>
    </row>
    <row r="157" spans="6:24" x14ac:dyDescent="0.2">
      <c r="F157" s="5"/>
      <c r="G157" s="5"/>
      <c r="H157" s="5"/>
      <c r="I157" s="5"/>
      <c r="J157" s="5"/>
      <c r="K157" s="5"/>
      <c r="L157" s="5"/>
      <c r="M157" s="5"/>
      <c r="N157" s="5"/>
      <c r="O157" s="5"/>
      <c r="P157" s="5"/>
      <c r="Q157" s="5"/>
      <c r="R157" s="5"/>
      <c r="S157" s="5"/>
      <c r="T157" s="5"/>
      <c r="U157" s="5"/>
      <c r="V157" s="5"/>
      <c r="W157" s="5"/>
      <c r="X157" s="5"/>
    </row>
    <row r="158" spans="6:24" x14ac:dyDescent="0.2">
      <c r="F158" s="5"/>
      <c r="G158" s="5"/>
      <c r="H158" s="5"/>
      <c r="I158" s="5"/>
      <c r="J158" s="5"/>
      <c r="K158" s="5"/>
      <c r="L158" s="5"/>
      <c r="M158" s="5"/>
      <c r="N158" s="5"/>
      <c r="O158" s="5"/>
      <c r="P158" s="5"/>
      <c r="Q158" s="5"/>
      <c r="R158" s="5"/>
      <c r="S158" s="5"/>
      <c r="T158" s="5"/>
      <c r="U158" s="5"/>
      <c r="V158" s="5"/>
      <c r="W158" s="5"/>
      <c r="X158" s="5"/>
    </row>
    <row r="159" spans="6:24" x14ac:dyDescent="0.2">
      <c r="F159" s="5"/>
      <c r="G159" s="5"/>
      <c r="H159" s="5"/>
      <c r="I159" s="5"/>
      <c r="J159" s="5"/>
      <c r="K159" s="5"/>
      <c r="L159" s="5"/>
      <c r="M159" s="5"/>
      <c r="N159" s="5"/>
      <c r="O159" s="5"/>
      <c r="P159" s="5"/>
      <c r="Q159" s="5"/>
      <c r="R159" s="5"/>
      <c r="S159" s="5"/>
      <c r="T159" s="5"/>
      <c r="U159" s="5"/>
      <c r="V159" s="5"/>
      <c r="W159" s="5"/>
      <c r="X159" s="5"/>
    </row>
    <row r="160" spans="6:24" x14ac:dyDescent="0.2">
      <c r="F160" s="5"/>
      <c r="G160" s="5"/>
      <c r="H160" s="5"/>
      <c r="I160" s="5"/>
      <c r="J160" s="5"/>
      <c r="K160" s="5"/>
      <c r="L160" s="5"/>
      <c r="M160" s="5"/>
      <c r="N160" s="5"/>
      <c r="O160" s="5"/>
      <c r="P160" s="5"/>
      <c r="Q160" s="5"/>
      <c r="R160" s="5"/>
      <c r="S160" s="5"/>
      <c r="T160" s="5"/>
      <c r="U160" s="5"/>
      <c r="V160" s="5"/>
      <c r="W160" s="5"/>
      <c r="X160" s="5"/>
    </row>
    <row r="161" spans="6:24" x14ac:dyDescent="0.2">
      <c r="F161" s="5"/>
      <c r="G161" s="5"/>
      <c r="H161" s="5"/>
      <c r="I161" s="5"/>
      <c r="J161" s="5"/>
      <c r="K161" s="5"/>
      <c r="L161" s="5"/>
      <c r="M161" s="5"/>
      <c r="N161" s="5"/>
      <c r="O161" s="5"/>
      <c r="P161" s="5"/>
      <c r="Q161" s="5"/>
      <c r="R161" s="5"/>
      <c r="S161" s="5"/>
      <c r="T161" s="5"/>
      <c r="U161" s="5"/>
      <c r="V161" s="5"/>
      <c r="W161" s="5"/>
      <c r="X161" s="5"/>
    </row>
    <row r="162" spans="6:24" x14ac:dyDescent="0.2">
      <c r="F162" s="5"/>
      <c r="G162" s="5"/>
      <c r="H162" s="5"/>
      <c r="I162" s="5"/>
      <c r="J162" s="5"/>
      <c r="K162" s="5"/>
      <c r="L162" s="5"/>
      <c r="M162" s="5"/>
      <c r="N162" s="5"/>
      <c r="O162" s="5"/>
      <c r="P162" s="5"/>
      <c r="Q162" s="5"/>
      <c r="R162" s="5"/>
      <c r="S162" s="5"/>
      <c r="T162" s="5"/>
      <c r="U162" s="5"/>
      <c r="V162" s="5"/>
      <c r="W162" s="5"/>
      <c r="X162" s="5"/>
    </row>
    <row r="163" spans="6:24" x14ac:dyDescent="0.2">
      <c r="F163" s="5"/>
      <c r="G163" s="5"/>
      <c r="H163" s="5"/>
      <c r="I163" s="5"/>
      <c r="J163" s="5"/>
      <c r="K163" s="5"/>
      <c r="L163" s="5"/>
      <c r="M163" s="5"/>
      <c r="N163" s="5"/>
      <c r="O163" s="5"/>
      <c r="P163" s="5"/>
      <c r="Q163" s="5"/>
      <c r="R163" s="5"/>
      <c r="S163" s="5"/>
      <c r="T163" s="5"/>
      <c r="U163" s="5"/>
      <c r="V163" s="5"/>
      <c r="W163" s="5"/>
      <c r="X163" s="5"/>
    </row>
    <row r="164" spans="6:24" x14ac:dyDescent="0.2">
      <c r="F164" s="5"/>
      <c r="G164" s="5"/>
      <c r="H164" s="5"/>
      <c r="I164" s="5"/>
      <c r="J164" s="5"/>
      <c r="K164" s="5"/>
      <c r="L164" s="5"/>
      <c r="M164" s="5"/>
      <c r="N164" s="5"/>
      <c r="O164" s="5"/>
      <c r="P164" s="5"/>
      <c r="Q164" s="5"/>
      <c r="R164" s="5"/>
      <c r="S164" s="5"/>
      <c r="T164" s="5"/>
      <c r="U164" s="5"/>
      <c r="V164" s="5"/>
      <c r="W164" s="5"/>
      <c r="X164" s="5"/>
    </row>
    <row r="165" spans="6:24" x14ac:dyDescent="0.2">
      <c r="F165" s="5"/>
      <c r="G165" s="5"/>
      <c r="H165" s="5"/>
      <c r="I165" s="5"/>
      <c r="J165" s="5"/>
      <c r="K165" s="5"/>
      <c r="L165" s="5"/>
      <c r="M165" s="5"/>
      <c r="N165" s="5"/>
      <c r="O165" s="5"/>
      <c r="P165" s="5"/>
      <c r="Q165" s="5"/>
      <c r="R165" s="5"/>
      <c r="S165" s="5"/>
      <c r="T165" s="5"/>
      <c r="U165" s="5"/>
      <c r="V165" s="5"/>
      <c r="W165" s="5"/>
      <c r="X165" s="5"/>
    </row>
    <row r="166" spans="6:24" x14ac:dyDescent="0.2">
      <c r="F166" s="5"/>
      <c r="G166" s="5"/>
      <c r="H166" s="5"/>
      <c r="I166" s="5"/>
      <c r="J166" s="5"/>
      <c r="K166" s="5"/>
      <c r="L166" s="5"/>
      <c r="M166" s="5"/>
      <c r="N166" s="5"/>
      <c r="O166" s="5"/>
      <c r="P166" s="5"/>
      <c r="Q166" s="5"/>
      <c r="R166" s="5"/>
      <c r="S166" s="5"/>
      <c r="T166" s="5"/>
      <c r="U166" s="5"/>
      <c r="V166" s="5"/>
      <c r="W166" s="5"/>
      <c r="X166" s="5"/>
    </row>
    <row r="308" spans="6:24" x14ac:dyDescent="0.2">
      <c r="F308" s="5"/>
      <c r="G308" s="5"/>
      <c r="H308" s="5"/>
      <c r="I308" s="5"/>
      <c r="J308" s="5"/>
      <c r="K308" s="5"/>
      <c r="L308" s="5"/>
      <c r="M308" s="5"/>
      <c r="N308" s="5"/>
      <c r="O308" s="5"/>
      <c r="P308" s="5"/>
      <c r="Q308" s="5"/>
      <c r="R308" s="5"/>
      <c r="S308" s="5"/>
      <c r="T308" s="5"/>
      <c r="U308" s="5"/>
      <c r="V308" s="5"/>
      <c r="W308" s="5"/>
      <c r="X308" s="5"/>
    </row>
    <row r="309" spans="6:24" x14ac:dyDescent="0.2">
      <c r="F309" s="5"/>
      <c r="G309" s="5"/>
      <c r="H309" s="5"/>
      <c r="I309" s="5"/>
      <c r="J309" s="5"/>
      <c r="K309" s="5"/>
      <c r="L309" s="5"/>
      <c r="M309" s="5"/>
      <c r="N309" s="5"/>
      <c r="O309" s="5"/>
      <c r="P309" s="5"/>
      <c r="Q309" s="5"/>
      <c r="R309" s="5"/>
      <c r="S309" s="5"/>
      <c r="T309" s="5"/>
      <c r="U309" s="5"/>
      <c r="V309" s="5"/>
      <c r="W309" s="5"/>
      <c r="X309" s="5"/>
    </row>
    <row r="310" spans="6:24" x14ac:dyDescent="0.2">
      <c r="F310" s="5"/>
      <c r="G310" s="5"/>
      <c r="H310" s="5"/>
      <c r="I310" s="5"/>
      <c r="J310" s="5"/>
      <c r="K310" s="5"/>
      <c r="L310" s="5"/>
      <c r="M310" s="5"/>
      <c r="N310" s="5"/>
      <c r="O310" s="5"/>
      <c r="P310" s="5"/>
      <c r="Q310" s="5"/>
      <c r="R310" s="5"/>
      <c r="S310" s="5"/>
      <c r="T310" s="5"/>
      <c r="U310" s="5"/>
      <c r="V310" s="5"/>
      <c r="W310" s="5"/>
      <c r="X310" s="5"/>
    </row>
    <row r="311" spans="6:24" x14ac:dyDescent="0.2">
      <c r="F311" s="5"/>
      <c r="G311" s="5"/>
      <c r="H311" s="5"/>
      <c r="I311" s="5"/>
      <c r="J311" s="5"/>
      <c r="K311" s="5"/>
      <c r="L311" s="5"/>
      <c r="M311" s="5"/>
      <c r="N311" s="5"/>
      <c r="O311" s="5"/>
      <c r="P311" s="5"/>
      <c r="Q311" s="5"/>
      <c r="R311" s="5"/>
      <c r="S311" s="5"/>
      <c r="T311" s="5"/>
      <c r="U311" s="5"/>
      <c r="V311" s="5"/>
      <c r="W311" s="5"/>
      <c r="X311" s="5"/>
    </row>
    <row r="312" spans="6:24" x14ac:dyDescent="0.2">
      <c r="F312" s="5"/>
      <c r="G312" s="5"/>
      <c r="H312" s="5"/>
      <c r="I312" s="5"/>
      <c r="J312" s="5"/>
      <c r="K312" s="5"/>
      <c r="L312" s="5"/>
      <c r="M312" s="5"/>
      <c r="N312" s="5"/>
      <c r="O312" s="5"/>
      <c r="P312" s="5"/>
      <c r="Q312" s="5"/>
      <c r="R312" s="5"/>
      <c r="S312" s="5"/>
      <c r="T312" s="5"/>
      <c r="U312" s="5"/>
      <c r="V312" s="5"/>
      <c r="W312" s="5"/>
      <c r="X312" s="5"/>
    </row>
    <row r="313" spans="6:24" x14ac:dyDescent="0.2">
      <c r="F313" s="5"/>
      <c r="G313" s="5"/>
      <c r="H313" s="5"/>
      <c r="I313" s="5"/>
      <c r="J313" s="5"/>
      <c r="K313" s="5"/>
      <c r="L313" s="5"/>
      <c r="M313" s="5"/>
      <c r="N313" s="5"/>
      <c r="O313" s="5"/>
      <c r="P313" s="5"/>
      <c r="Q313" s="5"/>
      <c r="R313" s="5"/>
      <c r="S313" s="5"/>
      <c r="T313" s="5"/>
      <c r="U313" s="5"/>
      <c r="V313" s="5"/>
      <c r="W313" s="5"/>
      <c r="X313" s="5"/>
    </row>
    <row r="314" spans="6:24" x14ac:dyDescent="0.2">
      <c r="F314" s="5"/>
      <c r="G314" s="5"/>
      <c r="H314" s="5"/>
      <c r="I314" s="5"/>
      <c r="J314" s="5"/>
      <c r="K314" s="5"/>
      <c r="L314" s="5"/>
      <c r="M314" s="5"/>
      <c r="N314" s="5"/>
      <c r="O314" s="5"/>
      <c r="P314" s="5"/>
      <c r="Q314" s="5"/>
      <c r="R314" s="5"/>
      <c r="S314" s="5"/>
      <c r="T314" s="5"/>
      <c r="U314" s="5"/>
      <c r="V314" s="5"/>
      <c r="W314" s="5"/>
      <c r="X314" s="5"/>
    </row>
    <row r="315" spans="6:24" x14ac:dyDescent="0.2">
      <c r="F315" s="5"/>
      <c r="G315" s="5"/>
      <c r="H315" s="5"/>
      <c r="I315" s="5"/>
      <c r="J315" s="5"/>
      <c r="K315" s="5"/>
      <c r="L315" s="5"/>
      <c r="M315" s="5"/>
      <c r="N315" s="5"/>
      <c r="O315" s="5"/>
      <c r="P315" s="5"/>
      <c r="Q315" s="5"/>
      <c r="R315" s="5"/>
      <c r="S315" s="5"/>
      <c r="T315" s="5"/>
      <c r="U315" s="5"/>
      <c r="V315" s="5"/>
      <c r="W315" s="5"/>
      <c r="X315" s="5"/>
    </row>
    <row r="316" spans="6:24" x14ac:dyDescent="0.2">
      <c r="F316" s="5"/>
      <c r="G316" s="5"/>
      <c r="H316" s="5"/>
      <c r="I316" s="5"/>
      <c r="J316" s="5"/>
      <c r="K316" s="5"/>
      <c r="L316" s="5"/>
      <c r="M316" s="5"/>
      <c r="N316" s="5"/>
      <c r="O316" s="5"/>
      <c r="P316" s="5"/>
      <c r="Q316" s="5"/>
      <c r="R316" s="5"/>
      <c r="S316" s="5"/>
      <c r="T316" s="5"/>
      <c r="U316" s="5"/>
      <c r="V316" s="5"/>
      <c r="W316" s="5"/>
      <c r="X316" s="5"/>
    </row>
    <row r="317" spans="6:24" x14ac:dyDescent="0.2">
      <c r="F317" s="5"/>
      <c r="G317" s="5"/>
      <c r="H317" s="5"/>
      <c r="I317" s="5"/>
      <c r="J317" s="5"/>
      <c r="K317" s="5"/>
      <c r="L317" s="5"/>
      <c r="M317" s="5"/>
      <c r="N317" s="5"/>
      <c r="O317" s="5"/>
      <c r="P317" s="5"/>
      <c r="Q317" s="5"/>
      <c r="R317" s="5"/>
      <c r="S317" s="5"/>
      <c r="T317" s="5"/>
      <c r="U317" s="5"/>
      <c r="V317" s="5"/>
      <c r="W317" s="5"/>
      <c r="X317" s="5"/>
    </row>
    <row r="318" spans="6:24" x14ac:dyDescent="0.2">
      <c r="F318" s="5"/>
      <c r="G318" s="5"/>
      <c r="H318" s="5"/>
      <c r="I318" s="5"/>
      <c r="J318" s="5"/>
      <c r="K318" s="5"/>
      <c r="L318" s="5"/>
      <c r="M318" s="5"/>
      <c r="N318" s="5"/>
      <c r="O318" s="5"/>
      <c r="P318" s="5"/>
      <c r="Q318" s="5"/>
      <c r="R318" s="5"/>
      <c r="S318" s="5"/>
      <c r="T318" s="5"/>
      <c r="U318" s="5"/>
      <c r="V318" s="5"/>
      <c r="W318" s="5"/>
      <c r="X318" s="5"/>
    </row>
    <row r="319" spans="6:24" x14ac:dyDescent="0.2">
      <c r="F319" s="5"/>
      <c r="G319" s="5"/>
      <c r="H319" s="5"/>
      <c r="I319" s="5"/>
      <c r="J319" s="5"/>
      <c r="K319" s="5"/>
      <c r="L319" s="5"/>
      <c r="M319" s="5"/>
      <c r="N319" s="5"/>
      <c r="O319" s="5"/>
      <c r="P319" s="5"/>
      <c r="Q319" s="5"/>
      <c r="R319" s="5"/>
      <c r="S319" s="5"/>
      <c r="T319" s="5"/>
      <c r="U319" s="5"/>
      <c r="V319" s="5"/>
      <c r="W319" s="5"/>
      <c r="X319" s="5"/>
    </row>
    <row r="320" spans="6:24" x14ac:dyDescent="0.2">
      <c r="F320" s="5"/>
      <c r="G320" s="5"/>
      <c r="H320" s="5"/>
      <c r="I320" s="5"/>
      <c r="J320" s="5"/>
      <c r="K320" s="5"/>
      <c r="L320" s="5"/>
      <c r="M320" s="5"/>
      <c r="N320" s="5"/>
      <c r="O320" s="5"/>
      <c r="P320" s="5"/>
      <c r="Q320" s="5"/>
      <c r="R320" s="5"/>
      <c r="S320" s="5"/>
      <c r="T320" s="5"/>
      <c r="U320" s="5"/>
      <c r="V320" s="5"/>
      <c r="W320" s="5"/>
      <c r="X320" s="5"/>
    </row>
    <row r="321" spans="6:24" x14ac:dyDescent="0.2">
      <c r="F321" s="5"/>
      <c r="G321" s="5"/>
      <c r="H321" s="5"/>
      <c r="I321" s="5"/>
      <c r="J321" s="5"/>
      <c r="K321" s="5"/>
      <c r="L321" s="5"/>
      <c r="M321" s="5"/>
      <c r="N321" s="5"/>
      <c r="O321" s="5"/>
      <c r="P321" s="5"/>
      <c r="Q321" s="5"/>
      <c r="R321" s="5"/>
      <c r="S321" s="5"/>
      <c r="T321" s="5"/>
      <c r="U321" s="5"/>
      <c r="V321" s="5"/>
      <c r="W321" s="5"/>
      <c r="X321" s="5"/>
    </row>
    <row r="322" spans="6:24" x14ac:dyDescent="0.2">
      <c r="F322" s="5"/>
      <c r="G322" s="5"/>
      <c r="H322" s="5"/>
      <c r="I322" s="5"/>
      <c r="J322" s="5"/>
      <c r="K322" s="5"/>
      <c r="L322" s="5"/>
      <c r="M322" s="5"/>
      <c r="N322" s="5"/>
      <c r="O322" s="5"/>
      <c r="P322" s="5"/>
      <c r="Q322" s="5"/>
      <c r="R322" s="5"/>
      <c r="S322" s="5"/>
      <c r="T322" s="5"/>
      <c r="U322" s="5"/>
      <c r="V322" s="5"/>
      <c r="W322" s="5"/>
      <c r="X322" s="5"/>
    </row>
    <row r="323" spans="6:24" x14ac:dyDescent="0.2">
      <c r="F323" s="5"/>
      <c r="G323" s="5"/>
      <c r="H323" s="5"/>
      <c r="I323" s="5"/>
      <c r="J323" s="5"/>
      <c r="K323" s="5"/>
      <c r="L323" s="5"/>
      <c r="M323" s="5"/>
      <c r="N323" s="5"/>
      <c r="O323" s="5"/>
      <c r="P323" s="5"/>
      <c r="Q323" s="5"/>
      <c r="R323" s="5"/>
      <c r="S323" s="5"/>
      <c r="T323" s="5"/>
      <c r="U323" s="5"/>
      <c r="V323" s="5"/>
      <c r="W323" s="5"/>
      <c r="X323" s="5"/>
    </row>
    <row r="324" spans="6:24" x14ac:dyDescent="0.2">
      <c r="F324" s="5"/>
      <c r="G324" s="5"/>
      <c r="H324" s="5"/>
      <c r="I324" s="5"/>
      <c r="J324" s="5"/>
      <c r="K324" s="5"/>
      <c r="L324" s="5"/>
      <c r="M324" s="5"/>
      <c r="N324" s="5"/>
      <c r="O324" s="5"/>
      <c r="P324" s="5"/>
      <c r="Q324" s="5"/>
      <c r="R324" s="5"/>
      <c r="S324" s="5"/>
      <c r="T324" s="5"/>
      <c r="U324" s="5"/>
      <c r="V324" s="5"/>
      <c r="W324" s="5"/>
      <c r="X324" s="5"/>
    </row>
    <row r="325" spans="6:24" x14ac:dyDescent="0.2">
      <c r="F325" s="5"/>
      <c r="G325" s="5"/>
      <c r="H325" s="5"/>
      <c r="I325" s="5"/>
      <c r="J325" s="5"/>
      <c r="K325" s="5"/>
      <c r="L325" s="5"/>
      <c r="M325" s="5"/>
      <c r="N325" s="5"/>
      <c r="O325" s="5"/>
      <c r="P325" s="5"/>
      <c r="Q325" s="5"/>
      <c r="R325" s="5"/>
      <c r="S325" s="5"/>
      <c r="T325" s="5"/>
      <c r="U325" s="5"/>
      <c r="V325" s="5"/>
      <c r="W325" s="5"/>
      <c r="X325" s="5"/>
    </row>
    <row r="326" spans="6:24" x14ac:dyDescent="0.2">
      <c r="F326" s="5"/>
      <c r="G326" s="5"/>
      <c r="H326" s="5"/>
      <c r="I326" s="5"/>
      <c r="J326" s="5"/>
      <c r="K326" s="5"/>
      <c r="L326" s="5"/>
      <c r="M326" s="5"/>
      <c r="N326" s="5"/>
      <c r="O326" s="5"/>
      <c r="P326" s="5"/>
      <c r="Q326" s="5"/>
      <c r="R326" s="5"/>
      <c r="S326" s="5"/>
      <c r="T326" s="5"/>
      <c r="U326" s="5"/>
      <c r="V326" s="5"/>
      <c r="W326" s="5"/>
      <c r="X326" s="5"/>
    </row>
    <row r="327" spans="6:24" x14ac:dyDescent="0.2">
      <c r="F327" s="5"/>
      <c r="G327" s="5"/>
      <c r="H327" s="5"/>
      <c r="I327" s="5"/>
      <c r="J327" s="5"/>
      <c r="K327" s="5"/>
      <c r="L327" s="5"/>
      <c r="M327" s="5"/>
      <c r="N327" s="5"/>
      <c r="O327" s="5"/>
      <c r="P327" s="5"/>
      <c r="Q327" s="5"/>
      <c r="R327" s="5"/>
      <c r="S327" s="5"/>
      <c r="T327" s="5"/>
      <c r="U327" s="5"/>
      <c r="V327" s="5"/>
      <c r="W327" s="5"/>
      <c r="X327" s="5"/>
    </row>
    <row r="328" spans="6:24" x14ac:dyDescent="0.2">
      <c r="F328" s="5"/>
      <c r="G328" s="5"/>
      <c r="H328" s="5"/>
      <c r="I328" s="5"/>
      <c r="J328" s="5"/>
      <c r="K328" s="5"/>
      <c r="L328" s="5"/>
      <c r="M328" s="5"/>
      <c r="N328" s="5"/>
      <c r="O328" s="5"/>
      <c r="P328" s="5"/>
      <c r="Q328" s="5"/>
      <c r="R328" s="5"/>
      <c r="S328" s="5"/>
      <c r="T328" s="5"/>
      <c r="U328" s="5"/>
      <c r="V328" s="5"/>
      <c r="W328" s="5"/>
      <c r="X328" s="5"/>
    </row>
    <row r="329" spans="6:24" x14ac:dyDescent="0.2">
      <c r="F329" s="5"/>
      <c r="G329" s="5"/>
      <c r="H329" s="5"/>
      <c r="I329" s="5"/>
      <c r="J329" s="5"/>
      <c r="K329" s="5"/>
      <c r="L329" s="5"/>
      <c r="M329" s="5"/>
      <c r="N329" s="5"/>
      <c r="O329" s="5"/>
      <c r="P329" s="5"/>
      <c r="Q329" s="5"/>
      <c r="R329" s="5"/>
      <c r="S329" s="5"/>
      <c r="T329" s="5"/>
      <c r="U329" s="5"/>
      <c r="V329" s="5"/>
      <c r="W329" s="5"/>
      <c r="X329" s="5"/>
    </row>
    <row r="330" spans="6:24" x14ac:dyDescent="0.2">
      <c r="F330" s="5"/>
      <c r="G330" s="5"/>
      <c r="H330" s="5"/>
      <c r="I330" s="5"/>
      <c r="J330" s="5"/>
      <c r="K330" s="5"/>
      <c r="L330" s="5"/>
      <c r="M330" s="5"/>
      <c r="N330" s="5"/>
      <c r="O330" s="5"/>
      <c r="P330" s="5"/>
      <c r="Q330" s="5"/>
      <c r="R330" s="5"/>
      <c r="S330" s="5"/>
      <c r="T330" s="5"/>
      <c r="U330" s="5"/>
      <c r="V330" s="5"/>
      <c r="W330" s="5"/>
      <c r="X330" s="5"/>
    </row>
    <row r="331" spans="6:24" x14ac:dyDescent="0.2">
      <c r="F331" s="5"/>
      <c r="G331" s="5"/>
      <c r="H331" s="5"/>
      <c r="I331" s="5"/>
      <c r="J331" s="5"/>
      <c r="K331" s="5"/>
      <c r="L331" s="5"/>
      <c r="M331" s="5"/>
      <c r="N331" s="5"/>
      <c r="O331" s="5"/>
      <c r="P331" s="5"/>
      <c r="Q331" s="5"/>
      <c r="R331" s="5"/>
      <c r="S331" s="5"/>
      <c r="T331" s="5"/>
      <c r="U331" s="5"/>
      <c r="V331" s="5"/>
      <c r="W331" s="5"/>
      <c r="X331" s="5"/>
    </row>
    <row r="332" spans="6:24" x14ac:dyDescent="0.2">
      <c r="F332" s="5"/>
      <c r="G332" s="5"/>
      <c r="H332" s="5"/>
      <c r="I332" s="5"/>
      <c r="J332" s="5"/>
      <c r="K332" s="5"/>
      <c r="L332" s="5"/>
      <c r="M332" s="5"/>
      <c r="N332" s="5"/>
      <c r="O332" s="5"/>
      <c r="P332" s="5"/>
      <c r="Q332" s="5"/>
      <c r="R332" s="5"/>
      <c r="S332" s="5"/>
      <c r="T332" s="5"/>
      <c r="U332" s="5"/>
      <c r="V332" s="5"/>
      <c r="W332" s="5"/>
      <c r="X332" s="5"/>
    </row>
    <row r="333" spans="6:24" x14ac:dyDescent="0.2">
      <c r="F333" s="5"/>
      <c r="G333" s="5"/>
      <c r="H333" s="5"/>
      <c r="I333" s="5"/>
      <c r="J333" s="5"/>
      <c r="K333" s="5"/>
      <c r="L333" s="5"/>
      <c r="M333" s="5"/>
      <c r="N333" s="5"/>
      <c r="O333" s="5"/>
      <c r="P333" s="5"/>
      <c r="Q333" s="5"/>
      <c r="R333" s="5"/>
      <c r="S333" s="5"/>
      <c r="T333" s="5"/>
      <c r="U333" s="5"/>
      <c r="V333" s="5"/>
      <c r="W333" s="5"/>
      <c r="X333" s="5"/>
    </row>
    <row r="334" spans="6:24" x14ac:dyDescent="0.2">
      <c r="F334" s="5"/>
      <c r="G334" s="5"/>
      <c r="H334" s="5"/>
      <c r="I334" s="5"/>
      <c r="J334" s="5"/>
      <c r="K334" s="5"/>
      <c r="L334" s="5"/>
      <c r="M334" s="5"/>
      <c r="N334" s="5"/>
      <c r="O334" s="5"/>
      <c r="P334" s="5"/>
      <c r="Q334" s="5"/>
      <c r="R334" s="5"/>
      <c r="S334" s="5"/>
      <c r="T334" s="5"/>
      <c r="U334" s="5"/>
      <c r="V334" s="5"/>
      <c r="W334" s="5"/>
      <c r="X334" s="5"/>
    </row>
    <row r="335" spans="6:24" x14ac:dyDescent="0.2">
      <c r="F335" s="5"/>
      <c r="G335" s="5"/>
      <c r="H335" s="5"/>
      <c r="I335" s="5"/>
      <c r="J335" s="5"/>
      <c r="K335" s="5"/>
      <c r="L335" s="5"/>
      <c r="M335" s="5"/>
      <c r="N335" s="5"/>
      <c r="O335" s="5"/>
      <c r="P335" s="5"/>
      <c r="Q335" s="5"/>
      <c r="R335" s="5"/>
      <c r="S335" s="5"/>
      <c r="T335" s="5"/>
      <c r="U335" s="5"/>
      <c r="V335" s="5"/>
      <c r="W335" s="5"/>
      <c r="X335" s="5"/>
    </row>
    <row r="336" spans="6:24" x14ac:dyDescent="0.2">
      <c r="F336" s="5"/>
      <c r="G336" s="5"/>
      <c r="H336" s="5"/>
      <c r="I336" s="5"/>
      <c r="J336" s="5"/>
      <c r="K336" s="5"/>
      <c r="L336" s="5"/>
      <c r="M336" s="5"/>
      <c r="N336" s="5"/>
      <c r="O336" s="5"/>
      <c r="P336" s="5"/>
      <c r="Q336" s="5"/>
      <c r="R336" s="5"/>
      <c r="S336" s="5"/>
      <c r="T336" s="5"/>
      <c r="U336" s="5"/>
      <c r="V336" s="5"/>
      <c r="W336" s="5"/>
      <c r="X336" s="5"/>
    </row>
    <row r="337" spans="6:24" x14ac:dyDescent="0.2">
      <c r="F337" s="5"/>
      <c r="G337" s="5"/>
      <c r="H337" s="5"/>
      <c r="I337" s="5"/>
      <c r="J337" s="5"/>
      <c r="K337" s="5"/>
      <c r="L337" s="5"/>
      <c r="M337" s="5"/>
      <c r="N337" s="5"/>
      <c r="O337" s="5"/>
      <c r="P337" s="5"/>
      <c r="Q337" s="5"/>
      <c r="R337" s="5"/>
      <c r="S337" s="5"/>
      <c r="T337" s="5"/>
      <c r="U337" s="5"/>
      <c r="V337" s="5"/>
      <c r="W337" s="5"/>
      <c r="X337" s="5"/>
    </row>
    <row r="338" spans="6:24" x14ac:dyDescent="0.2">
      <c r="F338" s="5"/>
      <c r="G338" s="5"/>
      <c r="H338" s="5"/>
      <c r="I338" s="5"/>
      <c r="J338" s="5"/>
      <c r="K338" s="5"/>
      <c r="L338" s="5"/>
      <c r="M338" s="5"/>
      <c r="N338" s="5"/>
      <c r="O338" s="5"/>
      <c r="P338" s="5"/>
      <c r="Q338" s="5"/>
      <c r="R338" s="5"/>
      <c r="S338" s="5"/>
      <c r="T338" s="5"/>
      <c r="U338" s="5"/>
      <c r="V338" s="5"/>
      <c r="W338" s="5"/>
      <c r="X338" s="5"/>
    </row>
    <row r="339" spans="6:24" x14ac:dyDescent="0.2">
      <c r="F339" s="5"/>
      <c r="G339" s="5"/>
      <c r="H339" s="5"/>
      <c r="I339" s="5"/>
      <c r="J339" s="5"/>
      <c r="K339" s="5"/>
      <c r="L339" s="5"/>
      <c r="M339" s="5"/>
      <c r="N339" s="5"/>
      <c r="O339" s="5"/>
      <c r="P339" s="5"/>
      <c r="Q339" s="5"/>
      <c r="R339" s="5"/>
      <c r="S339" s="5"/>
      <c r="T339" s="5"/>
      <c r="U339" s="5"/>
      <c r="V339" s="5"/>
      <c r="W339" s="5"/>
      <c r="X339" s="5"/>
    </row>
    <row r="340" spans="6:24" x14ac:dyDescent="0.2">
      <c r="F340" s="5"/>
      <c r="G340" s="5"/>
      <c r="H340" s="5"/>
      <c r="I340" s="5"/>
      <c r="J340" s="5"/>
      <c r="K340" s="5"/>
      <c r="L340" s="5"/>
      <c r="M340" s="5"/>
      <c r="N340" s="5"/>
      <c r="O340" s="5"/>
      <c r="P340" s="5"/>
      <c r="Q340" s="5"/>
      <c r="R340" s="5"/>
      <c r="S340" s="5"/>
      <c r="T340" s="5"/>
      <c r="U340" s="5"/>
      <c r="V340" s="5"/>
      <c r="W340" s="5"/>
      <c r="X340" s="5"/>
    </row>
    <row r="341" spans="6:24" x14ac:dyDescent="0.2">
      <c r="F341" s="5"/>
      <c r="G341" s="5"/>
      <c r="H341" s="5"/>
      <c r="I341" s="5"/>
      <c r="J341" s="5"/>
      <c r="K341" s="5"/>
      <c r="L341" s="5"/>
      <c r="M341" s="5"/>
      <c r="N341" s="5"/>
      <c r="O341" s="5"/>
      <c r="P341" s="5"/>
      <c r="Q341" s="5"/>
      <c r="R341" s="5"/>
      <c r="S341" s="5"/>
      <c r="T341" s="5"/>
      <c r="U341" s="5"/>
      <c r="V341" s="5"/>
      <c r="W341" s="5"/>
      <c r="X341" s="5"/>
    </row>
    <row r="342" spans="6:24" x14ac:dyDescent="0.2">
      <c r="F342" s="5"/>
      <c r="G342" s="5"/>
      <c r="H342" s="5"/>
      <c r="I342" s="5"/>
      <c r="J342" s="5"/>
      <c r="K342" s="5"/>
      <c r="L342" s="5"/>
      <c r="M342" s="5"/>
      <c r="N342" s="5"/>
      <c r="O342" s="5"/>
      <c r="P342" s="5"/>
      <c r="Q342" s="5"/>
      <c r="R342" s="5"/>
      <c r="S342" s="5"/>
      <c r="T342" s="5"/>
      <c r="U342" s="5"/>
      <c r="V342" s="5"/>
      <c r="W342" s="5"/>
      <c r="X342" s="5"/>
    </row>
    <row r="343" spans="6:24" x14ac:dyDescent="0.2">
      <c r="F343" s="5"/>
      <c r="G343" s="5"/>
      <c r="H343" s="5"/>
      <c r="I343" s="5"/>
      <c r="J343" s="5"/>
      <c r="K343" s="5"/>
      <c r="L343" s="5"/>
      <c r="M343" s="5"/>
      <c r="N343" s="5"/>
      <c r="O343" s="5"/>
      <c r="P343" s="5"/>
      <c r="Q343" s="5"/>
      <c r="R343" s="5"/>
      <c r="S343" s="5"/>
      <c r="T343" s="5"/>
      <c r="U343" s="5"/>
      <c r="V343" s="5"/>
      <c r="W343" s="5"/>
      <c r="X343" s="5"/>
    </row>
    <row r="344" spans="6:24" x14ac:dyDescent="0.2">
      <c r="F344" s="5"/>
      <c r="G344" s="5"/>
      <c r="H344" s="5"/>
      <c r="I344" s="5"/>
      <c r="J344" s="5"/>
      <c r="K344" s="5"/>
      <c r="L344" s="5"/>
      <c r="M344" s="5"/>
      <c r="N344" s="5"/>
      <c r="O344" s="5"/>
      <c r="P344" s="5"/>
      <c r="Q344" s="5"/>
      <c r="R344" s="5"/>
      <c r="S344" s="5"/>
      <c r="T344" s="5"/>
      <c r="U344" s="5"/>
      <c r="V344" s="5"/>
      <c r="W344" s="5"/>
      <c r="X344" s="5"/>
    </row>
    <row r="345" spans="6:24" x14ac:dyDescent="0.2">
      <c r="F345" s="5"/>
      <c r="G345" s="5"/>
      <c r="H345" s="5"/>
      <c r="I345" s="5"/>
      <c r="J345" s="5"/>
      <c r="K345" s="5"/>
      <c r="L345" s="5"/>
      <c r="M345" s="5"/>
      <c r="N345" s="5"/>
      <c r="O345" s="5"/>
      <c r="P345" s="5"/>
      <c r="Q345" s="5"/>
      <c r="R345" s="5"/>
      <c r="S345" s="5"/>
      <c r="T345" s="5"/>
      <c r="U345" s="5"/>
      <c r="V345" s="5"/>
      <c r="W345" s="5"/>
      <c r="X345" s="5"/>
    </row>
    <row r="346" spans="6:24" x14ac:dyDescent="0.2">
      <c r="F346" s="5"/>
      <c r="G346" s="5"/>
      <c r="H346" s="5"/>
      <c r="I346" s="5"/>
      <c r="J346" s="5"/>
      <c r="K346" s="5"/>
      <c r="L346" s="5"/>
      <c r="M346" s="5"/>
      <c r="N346" s="5"/>
      <c r="O346" s="5"/>
      <c r="P346" s="5"/>
      <c r="Q346" s="5"/>
      <c r="R346" s="5"/>
      <c r="S346" s="5"/>
      <c r="T346" s="5"/>
      <c r="U346" s="5"/>
      <c r="V346" s="5"/>
      <c r="W346" s="5"/>
      <c r="X346" s="5"/>
    </row>
    <row r="347" spans="6:24" x14ac:dyDescent="0.2">
      <c r="F347" s="5"/>
      <c r="G347" s="5"/>
      <c r="H347" s="5"/>
      <c r="I347" s="5"/>
      <c r="J347" s="5"/>
      <c r="K347" s="5"/>
      <c r="L347" s="5"/>
      <c r="M347" s="5"/>
      <c r="N347" s="5"/>
      <c r="O347" s="5"/>
      <c r="P347" s="5"/>
      <c r="Q347" s="5"/>
      <c r="R347" s="5"/>
      <c r="S347" s="5"/>
      <c r="T347" s="5"/>
      <c r="U347" s="5"/>
      <c r="V347" s="5"/>
      <c r="W347" s="5"/>
      <c r="X347" s="5"/>
    </row>
    <row r="348" spans="6:24" x14ac:dyDescent="0.2">
      <c r="F348" s="5"/>
      <c r="G348" s="5"/>
      <c r="H348" s="5"/>
      <c r="I348" s="5"/>
      <c r="J348" s="5"/>
      <c r="K348" s="5"/>
      <c r="L348" s="5"/>
      <c r="M348" s="5"/>
      <c r="N348" s="5"/>
      <c r="O348" s="5"/>
      <c r="P348" s="5"/>
      <c r="Q348" s="5"/>
      <c r="R348" s="5"/>
      <c r="S348" s="5"/>
      <c r="T348" s="5"/>
      <c r="U348" s="5"/>
      <c r="V348" s="5"/>
      <c r="W348" s="5"/>
      <c r="X348" s="5"/>
    </row>
    <row r="349" spans="6:24" x14ac:dyDescent="0.2">
      <c r="F349" s="5"/>
      <c r="G349" s="5"/>
      <c r="H349" s="5"/>
      <c r="I349" s="5"/>
      <c r="J349" s="5"/>
      <c r="K349" s="5"/>
      <c r="L349" s="5"/>
      <c r="M349" s="5"/>
      <c r="N349" s="5"/>
      <c r="O349" s="5"/>
      <c r="P349" s="5"/>
      <c r="Q349" s="5"/>
      <c r="R349" s="5"/>
      <c r="S349" s="5"/>
      <c r="T349" s="5"/>
      <c r="U349" s="5"/>
      <c r="V349" s="5"/>
      <c r="W349" s="5"/>
      <c r="X349" s="5"/>
    </row>
    <row r="350" spans="6:24" x14ac:dyDescent="0.2">
      <c r="F350" s="5"/>
      <c r="G350" s="5"/>
      <c r="H350" s="5"/>
      <c r="I350" s="5"/>
      <c r="J350" s="5"/>
      <c r="K350" s="5"/>
      <c r="L350" s="5"/>
      <c r="M350" s="5"/>
      <c r="N350" s="5"/>
      <c r="O350" s="5"/>
      <c r="P350" s="5"/>
      <c r="Q350" s="5"/>
      <c r="R350" s="5"/>
      <c r="S350" s="5"/>
      <c r="T350" s="5"/>
      <c r="U350" s="5"/>
      <c r="V350" s="5"/>
      <c r="W350" s="5"/>
      <c r="X350" s="5"/>
    </row>
    <row r="351" spans="6:24" x14ac:dyDescent="0.2">
      <c r="F351" s="5"/>
      <c r="G351" s="5"/>
      <c r="H351" s="5"/>
      <c r="I351" s="5"/>
      <c r="J351" s="5"/>
      <c r="K351" s="5"/>
      <c r="L351" s="5"/>
      <c r="M351" s="5"/>
      <c r="N351" s="5"/>
      <c r="O351" s="5"/>
      <c r="P351" s="5"/>
      <c r="Q351" s="5"/>
      <c r="R351" s="5"/>
      <c r="S351" s="5"/>
      <c r="T351" s="5"/>
      <c r="U351" s="5"/>
      <c r="V351" s="5"/>
      <c r="W351" s="5"/>
      <c r="X351" s="5"/>
    </row>
    <row r="352" spans="6:24" x14ac:dyDescent="0.2">
      <c r="F352" s="5"/>
      <c r="G352" s="5"/>
      <c r="H352" s="5"/>
      <c r="I352" s="5"/>
      <c r="J352" s="5"/>
      <c r="K352" s="5"/>
      <c r="L352" s="5"/>
      <c r="M352" s="5"/>
      <c r="N352" s="5"/>
      <c r="O352" s="5"/>
      <c r="P352" s="5"/>
      <c r="Q352" s="5"/>
      <c r="R352" s="5"/>
      <c r="S352" s="5"/>
      <c r="T352" s="5"/>
      <c r="U352" s="5"/>
      <c r="V352" s="5"/>
      <c r="W352" s="5"/>
      <c r="X352" s="5"/>
    </row>
    <row r="353" spans="6:24" x14ac:dyDescent="0.2">
      <c r="F353" s="5"/>
      <c r="G353" s="5"/>
      <c r="H353" s="5"/>
      <c r="I353" s="5"/>
      <c r="J353" s="5"/>
      <c r="K353" s="5"/>
      <c r="L353" s="5"/>
      <c r="M353" s="5"/>
      <c r="N353" s="5"/>
      <c r="O353" s="5"/>
      <c r="P353" s="5"/>
      <c r="Q353" s="5"/>
      <c r="R353" s="5"/>
      <c r="S353" s="5"/>
      <c r="T353" s="5"/>
      <c r="U353" s="5"/>
      <c r="V353" s="5"/>
      <c r="W353" s="5"/>
      <c r="X353" s="5"/>
    </row>
    <row r="354" spans="6:24" x14ac:dyDescent="0.2">
      <c r="F354" s="5"/>
      <c r="G354" s="5"/>
      <c r="H354" s="5"/>
      <c r="I354" s="5"/>
      <c r="J354" s="5"/>
      <c r="K354" s="5"/>
      <c r="L354" s="5"/>
      <c r="M354" s="5"/>
      <c r="N354" s="5"/>
      <c r="O354" s="5"/>
      <c r="P354" s="5"/>
      <c r="Q354" s="5"/>
      <c r="R354" s="5"/>
      <c r="S354" s="5"/>
      <c r="T354" s="5"/>
      <c r="U354" s="5"/>
      <c r="V354" s="5"/>
      <c r="W354" s="5"/>
      <c r="X354" s="5"/>
    </row>
    <row r="355" spans="6:24" x14ac:dyDescent="0.2">
      <c r="F355" s="5"/>
      <c r="G355" s="5"/>
      <c r="H355" s="5"/>
      <c r="I355" s="5"/>
      <c r="J355" s="5"/>
      <c r="K355" s="5"/>
      <c r="L355" s="5"/>
      <c r="M355" s="5"/>
      <c r="N355" s="5"/>
      <c r="O355" s="5"/>
      <c r="P355" s="5"/>
      <c r="Q355" s="5"/>
      <c r="R355" s="5"/>
      <c r="S355" s="5"/>
      <c r="T355" s="5"/>
      <c r="U355" s="5"/>
      <c r="V355" s="5"/>
      <c r="W355" s="5"/>
      <c r="X355" s="5"/>
    </row>
    <row r="356" spans="6:24" x14ac:dyDescent="0.2">
      <c r="F356" s="5"/>
      <c r="G356" s="5"/>
      <c r="H356" s="5"/>
      <c r="I356" s="5"/>
      <c r="J356" s="5"/>
      <c r="K356" s="5"/>
      <c r="L356" s="5"/>
      <c r="M356" s="5"/>
      <c r="N356" s="5"/>
      <c r="O356" s="5"/>
      <c r="P356" s="5"/>
      <c r="Q356" s="5"/>
      <c r="R356" s="5"/>
      <c r="S356" s="5"/>
      <c r="T356" s="5"/>
      <c r="U356" s="5"/>
      <c r="V356" s="5"/>
      <c r="W356" s="5"/>
      <c r="X356" s="5"/>
    </row>
    <row r="357" spans="6:24" x14ac:dyDescent="0.2">
      <c r="F357" s="5"/>
      <c r="G357" s="5"/>
      <c r="H357" s="5"/>
      <c r="I357" s="5"/>
      <c r="J357" s="5"/>
      <c r="K357" s="5"/>
      <c r="L357" s="5"/>
      <c r="M357" s="5"/>
      <c r="N357" s="5"/>
      <c r="O357" s="5"/>
      <c r="P357" s="5"/>
      <c r="Q357" s="5"/>
      <c r="R357" s="5"/>
      <c r="S357" s="5"/>
      <c r="T357" s="5"/>
      <c r="U357" s="5"/>
      <c r="V357" s="5"/>
      <c r="W357" s="5"/>
      <c r="X357" s="5"/>
    </row>
    <row r="358" spans="6:24" x14ac:dyDescent="0.2">
      <c r="F358" s="5"/>
      <c r="G358" s="5"/>
      <c r="H358" s="5"/>
      <c r="I358" s="5"/>
      <c r="J358" s="5"/>
      <c r="K358" s="5"/>
      <c r="L358" s="5"/>
      <c r="M358" s="5"/>
      <c r="N358" s="5"/>
      <c r="O358" s="5"/>
      <c r="P358" s="5"/>
      <c r="Q358" s="5"/>
      <c r="R358" s="5"/>
      <c r="S358" s="5"/>
      <c r="T358" s="5"/>
      <c r="U358" s="5"/>
      <c r="V358" s="5"/>
      <c r="W358" s="5"/>
      <c r="X358" s="5"/>
    </row>
    <row r="359" spans="6:24" x14ac:dyDescent="0.2">
      <c r="F359" s="5"/>
      <c r="G359" s="5"/>
      <c r="H359" s="5"/>
      <c r="I359" s="5"/>
      <c r="J359" s="5"/>
      <c r="K359" s="5"/>
      <c r="L359" s="5"/>
      <c r="M359" s="5"/>
      <c r="N359" s="5"/>
      <c r="O359" s="5"/>
      <c r="P359" s="5"/>
      <c r="Q359" s="5"/>
      <c r="R359" s="5"/>
      <c r="S359" s="5"/>
      <c r="T359" s="5"/>
      <c r="U359" s="5"/>
      <c r="V359" s="5"/>
      <c r="W359" s="5"/>
      <c r="X359" s="5"/>
    </row>
    <row r="360" spans="6:24" x14ac:dyDescent="0.2">
      <c r="F360" s="5"/>
      <c r="G360" s="5"/>
      <c r="H360" s="5"/>
      <c r="I360" s="5"/>
      <c r="J360" s="5"/>
      <c r="K360" s="5"/>
      <c r="L360" s="5"/>
      <c r="M360" s="5"/>
      <c r="N360" s="5"/>
      <c r="O360" s="5"/>
      <c r="P360" s="5"/>
      <c r="Q360" s="5"/>
      <c r="R360" s="5"/>
      <c r="S360" s="5"/>
      <c r="T360" s="5"/>
      <c r="U360" s="5"/>
      <c r="V360" s="5"/>
      <c r="W360" s="5"/>
      <c r="X360" s="5"/>
    </row>
    <row r="361" spans="6:24" x14ac:dyDescent="0.2">
      <c r="F361" s="5"/>
      <c r="G361" s="5"/>
      <c r="H361" s="5"/>
      <c r="I361" s="5"/>
      <c r="J361" s="5"/>
      <c r="K361" s="5"/>
      <c r="L361" s="5"/>
      <c r="M361" s="5"/>
      <c r="N361" s="5"/>
      <c r="O361" s="5"/>
      <c r="P361" s="5"/>
      <c r="Q361" s="5"/>
      <c r="R361" s="5"/>
      <c r="S361" s="5"/>
      <c r="T361" s="5"/>
      <c r="U361" s="5"/>
      <c r="V361" s="5"/>
      <c r="W361" s="5"/>
      <c r="X361" s="5"/>
    </row>
    <row r="362" spans="6:24" x14ac:dyDescent="0.2">
      <c r="F362" s="5"/>
      <c r="G362" s="5"/>
      <c r="H362" s="5"/>
      <c r="I362" s="5"/>
      <c r="J362" s="5"/>
      <c r="K362" s="5"/>
      <c r="L362" s="5"/>
      <c r="M362" s="5"/>
      <c r="N362" s="5"/>
      <c r="O362" s="5"/>
      <c r="P362" s="5"/>
      <c r="Q362" s="5"/>
      <c r="R362" s="5"/>
      <c r="S362" s="5"/>
      <c r="T362" s="5"/>
      <c r="U362" s="5"/>
      <c r="V362" s="5"/>
      <c r="W362" s="5"/>
      <c r="X362" s="5"/>
    </row>
    <row r="363" spans="6:24" x14ac:dyDescent="0.2">
      <c r="F363" s="5"/>
      <c r="G363" s="5"/>
      <c r="H363" s="5"/>
      <c r="I363" s="5"/>
      <c r="J363" s="5"/>
      <c r="K363" s="5"/>
      <c r="L363" s="5"/>
      <c r="M363" s="5"/>
      <c r="N363" s="5"/>
      <c r="O363" s="5"/>
      <c r="P363" s="5"/>
      <c r="Q363" s="5"/>
      <c r="R363" s="5"/>
      <c r="S363" s="5"/>
      <c r="T363" s="5"/>
      <c r="U363" s="5"/>
      <c r="V363" s="5"/>
      <c r="W363" s="5"/>
      <c r="X363" s="5"/>
    </row>
    <row r="364" spans="6:24" x14ac:dyDescent="0.2">
      <c r="F364" s="5"/>
      <c r="G364" s="5"/>
      <c r="H364" s="5"/>
      <c r="I364" s="5"/>
      <c r="J364" s="5"/>
      <c r="K364" s="5"/>
      <c r="L364" s="5"/>
      <c r="M364" s="5"/>
      <c r="N364" s="5"/>
      <c r="O364" s="5"/>
      <c r="P364" s="5"/>
      <c r="Q364" s="5"/>
      <c r="R364" s="5"/>
      <c r="S364" s="5"/>
      <c r="T364" s="5"/>
      <c r="U364" s="5"/>
      <c r="V364" s="5"/>
      <c r="W364" s="5"/>
      <c r="X364" s="5"/>
    </row>
    <row r="365" spans="6:24" x14ac:dyDescent="0.2">
      <c r="F365" s="5"/>
      <c r="G365" s="5"/>
      <c r="H365" s="5"/>
      <c r="I365" s="5"/>
      <c r="J365" s="5"/>
      <c r="K365" s="5"/>
      <c r="L365" s="5"/>
      <c r="M365" s="5"/>
      <c r="N365" s="5"/>
      <c r="O365" s="5"/>
      <c r="P365" s="5"/>
      <c r="Q365" s="5"/>
      <c r="R365" s="5"/>
      <c r="S365" s="5"/>
      <c r="T365" s="5"/>
      <c r="U365" s="5"/>
      <c r="V365" s="5"/>
      <c r="W365" s="5"/>
      <c r="X365" s="5"/>
    </row>
    <row r="366" spans="6:24" x14ac:dyDescent="0.2">
      <c r="F366" s="5"/>
      <c r="G366" s="5"/>
      <c r="H366" s="5"/>
      <c r="I366" s="5"/>
      <c r="J366" s="5"/>
      <c r="K366" s="5"/>
      <c r="L366" s="5"/>
      <c r="M366" s="5"/>
      <c r="N366" s="5"/>
      <c r="O366" s="5"/>
      <c r="P366" s="5"/>
      <c r="Q366" s="5"/>
      <c r="R366" s="5"/>
      <c r="S366" s="5"/>
      <c r="T366" s="5"/>
      <c r="U366" s="5"/>
      <c r="V366" s="5"/>
      <c r="W366" s="5"/>
      <c r="X366" s="5"/>
    </row>
    <row r="367" spans="6:24" x14ac:dyDescent="0.2">
      <c r="F367" s="5"/>
      <c r="G367" s="5"/>
      <c r="H367" s="5"/>
      <c r="I367" s="5"/>
      <c r="J367" s="5"/>
      <c r="K367" s="5"/>
      <c r="L367" s="5"/>
      <c r="M367" s="5"/>
      <c r="N367" s="5"/>
      <c r="O367" s="5"/>
      <c r="P367" s="5"/>
      <c r="Q367" s="5"/>
      <c r="R367" s="5"/>
      <c r="S367" s="5"/>
      <c r="T367" s="5"/>
      <c r="U367" s="5"/>
      <c r="V367" s="5"/>
      <c r="W367" s="5"/>
      <c r="X367" s="5"/>
    </row>
    <row r="368" spans="6:24" x14ac:dyDescent="0.2">
      <c r="F368" s="5"/>
      <c r="G368" s="5"/>
      <c r="H368" s="5"/>
      <c r="I368" s="5"/>
      <c r="J368" s="5"/>
      <c r="K368" s="5"/>
      <c r="L368" s="5"/>
      <c r="M368" s="5"/>
      <c r="N368" s="5"/>
      <c r="O368" s="5"/>
      <c r="P368" s="5"/>
      <c r="Q368" s="5"/>
      <c r="R368" s="5"/>
      <c r="S368" s="5"/>
      <c r="T368" s="5"/>
      <c r="U368" s="5"/>
      <c r="V368" s="5"/>
      <c r="W368" s="5"/>
      <c r="X368" s="5"/>
    </row>
    <row r="369" spans="6:24" x14ac:dyDescent="0.2">
      <c r="F369" s="5"/>
      <c r="G369" s="5"/>
      <c r="H369" s="5"/>
      <c r="I369" s="5"/>
      <c r="J369" s="5"/>
      <c r="K369" s="5"/>
      <c r="L369" s="5"/>
      <c r="M369" s="5"/>
      <c r="N369" s="5"/>
      <c r="O369" s="5"/>
      <c r="P369" s="5"/>
      <c r="Q369" s="5"/>
      <c r="R369" s="5"/>
      <c r="S369" s="5"/>
      <c r="T369" s="5"/>
      <c r="U369" s="5"/>
      <c r="V369" s="5"/>
      <c r="W369" s="5"/>
      <c r="X369" s="5"/>
    </row>
    <row r="370" spans="6:24" x14ac:dyDescent="0.2">
      <c r="F370" s="5"/>
      <c r="G370" s="5"/>
      <c r="H370" s="5"/>
      <c r="I370" s="5"/>
      <c r="J370" s="5"/>
      <c r="K370" s="5"/>
      <c r="L370" s="5"/>
      <c r="M370" s="5"/>
      <c r="N370" s="5"/>
      <c r="O370" s="5"/>
      <c r="P370" s="5"/>
      <c r="Q370" s="5"/>
      <c r="R370" s="5"/>
      <c r="S370" s="5"/>
      <c r="T370" s="5"/>
      <c r="U370" s="5"/>
      <c r="V370" s="5"/>
      <c r="W370" s="5"/>
      <c r="X370" s="5"/>
    </row>
    <row r="371" spans="6:24" x14ac:dyDescent="0.2">
      <c r="F371" s="5"/>
      <c r="G371" s="5"/>
      <c r="H371" s="5"/>
      <c r="I371" s="5"/>
      <c r="J371" s="5"/>
      <c r="K371" s="5"/>
      <c r="L371" s="5"/>
      <c r="M371" s="5"/>
      <c r="N371" s="5"/>
      <c r="O371" s="5"/>
      <c r="P371" s="5"/>
      <c r="Q371" s="5"/>
      <c r="R371" s="5"/>
      <c r="S371" s="5"/>
      <c r="T371" s="5"/>
      <c r="U371" s="5"/>
      <c r="V371" s="5"/>
      <c r="W371" s="5"/>
      <c r="X371" s="5"/>
    </row>
    <row r="372" spans="6:24" x14ac:dyDescent="0.2">
      <c r="F372" s="5"/>
      <c r="G372" s="5"/>
      <c r="H372" s="5"/>
      <c r="I372" s="5"/>
      <c r="J372" s="5"/>
      <c r="K372" s="5"/>
      <c r="L372" s="5"/>
      <c r="M372" s="5"/>
      <c r="N372" s="5"/>
      <c r="O372" s="5"/>
      <c r="P372" s="5"/>
      <c r="Q372" s="5"/>
      <c r="R372" s="5"/>
      <c r="S372" s="5"/>
      <c r="T372" s="5"/>
      <c r="U372" s="5"/>
      <c r="V372" s="5"/>
      <c r="W372" s="5"/>
      <c r="X372" s="5"/>
    </row>
    <row r="373" spans="6:24" x14ac:dyDescent="0.2">
      <c r="F373" s="5"/>
      <c r="G373" s="5"/>
      <c r="H373" s="5"/>
      <c r="I373" s="5"/>
      <c r="J373" s="5"/>
      <c r="K373" s="5"/>
      <c r="L373" s="5"/>
      <c r="M373" s="5"/>
      <c r="N373" s="5"/>
      <c r="O373" s="5"/>
      <c r="P373" s="5"/>
      <c r="Q373" s="5"/>
      <c r="R373" s="5"/>
      <c r="S373" s="5"/>
      <c r="T373" s="5"/>
      <c r="U373" s="5"/>
      <c r="V373" s="5"/>
      <c r="W373" s="5"/>
      <c r="X373" s="5"/>
    </row>
    <row r="374" spans="6:24" x14ac:dyDescent="0.2">
      <c r="F374" s="5"/>
      <c r="G374" s="5"/>
      <c r="H374" s="5"/>
      <c r="I374" s="5"/>
      <c r="J374" s="5"/>
      <c r="K374" s="5"/>
      <c r="L374" s="5"/>
      <c r="M374" s="5"/>
      <c r="N374" s="5"/>
      <c r="O374" s="5"/>
      <c r="P374" s="5"/>
      <c r="Q374" s="5"/>
      <c r="R374" s="5"/>
      <c r="S374" s="5"/>
      <c r="T374" s="5"/>
      <c r="U374" s="5"/>
      <c r="V374" s="5"/>
      <c r="W374" s="5"/>
      <c r="X374" s="5"/>
    </row>
    <row r="375" spans="6:24" x14ac:dyDescent="0.2">
      <c r="F375" s="5"/>
      <c r="G375" s="5"/>
      <c r="H375" s="5"/>
      <c r="I375" s="5"/>
      <c r="J375" s="5"/>
      <c r="K375" s="5"/>
      <c r="L375" s="5"/>
      <c r="M375" s="5"/>
      <c r="N375" s="5"/>
      <c r="O375" s="5"/>
      <c r="P375" s="5"/>
      <c r="Q375" s="5"/>
      <c r="R375" s="5"/>
      <c r="S375" s="5"/>
      <c r="T375" s="5"/>
      <c r="U375" s="5"/>
      <c r="V375" s="5"/>
      <c r="W375" s="5"/>
      <c r="X375" s="5"/>
    </row>
    <row r="376" spans="6:24" x14ac:dyDescent="0.2">
      <c r="F376" s="5"/>
      <c r="G376" s="5"/>
      <c r="H376" s="5"/>
      <c r="I376" s="5"/>
      <c r="J376" s="5"/>
      <c r="K376" s="5"/>
      <c r="L376" s="5"/>
      <c r="M376" s="5"/>
      <c r="N376" s="5"/>
      <c r="O376" s="5"/>
      <c r="P376" s="5"/>
      <c r="Q376" s="5"/>
      <c r="R376" s="5"/>
      <c r="S376" s="5"/>
      <c r="T376" s="5"/>
      <c r="U376" s="5"/>
      <c r="V376" s="5"/>
      <c r="W376" s="5"/>
      <c r="X376" s="5"/>
    </row>
    <row r="377" spans="6:24" x14ac:dyDescent="0.2">
      <c r="F377" s="5"/>
      <c r="G377" s="5"/>
      <c r="H377" s="5"/>
      <c r="I377" s="5"/>
      <c r="J377" s="5"/>
      <c r="K377" s="5"/>
      <c r="L377" s="5"/>
      <c r="M377" s="5"/>
      <c r="N377" s="5"/>
      <c r="O377" s="5"/>
      <c r="P377" s="5"/>
      <c r="Q377" s="5"/>
      <c r="R377" s="5"/>
      <c r="S377" s="5"/>
      <c r="T377" s="5"/>
      <c r="U377" s="5"/>
      <c r="V377" s="5"/>
      <c r="W377" s="5"/>
      <c r="X377" s="5"/>
    </row>
    <row r="378" spans="6:24" x14ac:dyDescent="0.2">
      <c r="F378" s="5"/>
      <c r="G378" s="5"/>
      <c r="H378" s="5"/>
      <c r="I378" s="5"/>
      <c r="J378" s="5"/>
      <c r="K378" s="5"/>
      <c r="L378" s="5"/>
      <c r="M378" s="5"/>
      <c r="N378" s="5"/>
      <c r="O378" s="5"/>
      <c r="P378" s="5"/>
      <c r="Q378" s="5"/>
      <c r="R378" s="5"/>
      <c r="S378" s="5"/>
      <c r="T378" s="5"/>
      <c r="U378" s="5"/>
      <c r="V378" s="5"/>
      <c r="W378" s="5"/>
      <c r="X378" s="5"/>
    </row>
    <row r="379" spans="6:24" x14ac:dyDescent="0.2">
      <c r="F379" s="5"/>
      <c r="G379" s="5"/>
      <c r="H379" s="5"/>
      <c r="I379" s="5"/>
      <c r="J379" s="5"/>
      <c r="K379" s="5"/>
      <c r="L379" s="5"/>
      <c r="M379" s="5"/>
      <c r="N379" s="5"/>
      <c r="O379" s="5"/>
      <c r="P379" s="5"/>
      <c r="Q379" s="5"/>
      <c r="R379" s="5"/>
      <c r="S379" s="5"/>
      <c r="T379" s="5"/>
      <c r="U379" s="5"/>
      <c r="V379" s="5"/>
      <c r="W379" s="5"/>
      <c r="X379" s="5"/>
    </row>
    <row r="382" spans="6:24" x14ac:dyDescent="0.2">
      <c r="F382" s="5"/>
      <c r="G382" s="5"/>
      <c r="H382" s="5"/>
      <c r="I382" s="5"/>
      <c r="J382" s="5"/>
      <c r="K382" s="5"/>
      <c r="L382" s="5"/>
      <c r="M382" s="5"/>
      <c r="N382" s="5"/>
      <c r="O382" s="5"/>
      <c r="P382" s="5"/>
      <c r="Q382" s="5"/>
      <c r="R382" s="5"/>
      <c r="S382" s="5"/>
      <c r="T382" s="5"/>
      <c r="U382" s="5"/>
      <c r="V382" s="5"/>
      <c r="W382" s="5"/>
      <c r="X382" s="5"/>
    </row>
    <row r="383" spans="6:24" x14ac:dyDescent="0.2">
      <c r="F383" s="5"/>
      <c r="G383" s="5"/>
      <c r="H383" s="5"/>
      <c r="I383" s="5"/>
      <c r="J383" s="5"/>
      <c r="K383" s="5"/>
      <c r="L383" s="5"/>
      <c r="M383" s="5"/>
      <c r="N383" s="5"/>
      <c r="O383" s="5"/>
      <c r="P383" s="5"/>
      <c r="Q383" s="5"/>
      <c r="R383" s="5"/>
      <c r="S383" s="5"/>
      <c r="T383" s="5"/>
      <c r="U383" s="5"/>
      <c r="V383" s="5"/>
      <c r="W383" s="5"/>
      <c r="X383" s="5"/>
    </row>
    <row r="384" spans="6:24" x14ac:dyDescent="0.2">
      <c r="F384" s="5"/>
      <c r="G384" s="5"/>
      <c r="H384" s="5"/>
      <c r="I384" s="5"/>
      <c r="J384" s="5"/>
      <c r="K384" s="5"/>
      <c r="L384" s="5"/>
      <c r="M384" s="5"/>
      <c r="N384" s="5"/>
      <c r="O384" s="5"/>
      <c r="P384" s="5"/>
      <c r="Q384" s="5"/>
      <c r="R384" s="5"/>
      <c r="S384" s="5"/>
      <c r="T384" s="5"/>
      <c r="U384" s="5"/>
      <c r="V384" s="5"/>
      <c r="W384" s="5"/>
      <c r="X384" s="5"/>
    </row>
    <row r="385" spans="6:24" x14ac:dyDescent="0.2">
      <c r="F385" s="5"/>
      <c r="G385" s="5"/>
      <c r="H385" s="5"/>
      <c r="I385" s="5"/>
      <c r="J385" s="5"/>
      <c r="K385" s="5"/>
      <c r="L385" s="5"/>
      <c r="M385" s="5"/>
      <c r="N385" s="5"/>
      <c r="O385" s="5"/>
      <c r="P385" s="5"/>
      <c r="Q385" s="5"/>
      <c r="R385" s="5"/>
      <c r="S385" s="5"/>
      <c r="T385" s="5"/>
      <c r="U385" s="5"/>
      <c r="V385" s="5"/>
      <c r="W385" s="5"/>
      <c r="X385" s="5"/>
    </row>
    <row r="386" spans="6:24" x14ac:dyDescent="0.2">
      <c r="F386" s="5"/>
      <c r="G386" s="5"/>
      <c r="H386" s="5"/>
      <c r="I386" s="5"/>
      <c r="J386" s="5"/>
      <c r="K386" s="5"/>
      <c r="L386" s="5"/>
      <c r="M386" s="5"/>
      <c r="N386" s="5"/>
      <c r="O386" s="5"/>
      <c r="P386" s="5"/>
      <c r="Q386" s="5"/>
      <c r="R386" s="5"/>
      <c r="S386" s="5"/>
      <c r="T386" s="5"/>
      <c r="U386" s="5"/>
      <c r="V386" s="5"/>
      <c r="W386" s="5"/>
      <c r="X386" s="5"/>
    </row>
    <row r="387" spans="6:24" x14ac:dyDescent="0.2">
      <c r="F387" s="5"/>
      <c r="G387" s="5"/>
      <c r="H387" s="5"/>
      <c r="I387" s="5"/>
      <c r="J387" s="5"/>
      <c r="K387" s="5"/>
      <c r="L387" s="5"/>
      <c r="M387" s="5"/>
      <c r="N387" s="5"/>
      <c r="O387" s="5"/>
      <c r="P387" s="5"/>
      <c r="Q387" s="5"/>
      <c r="R387" s="5"/>
      <c r="S387" s="5"/>
      <c r="T387" s="5"/>
      <c r="U387" s="5"/>
      <c r="V387" s="5"/>
      <c r="W387" s="5"/>
      <c r="X387" s="5"/>
    </row>
    <row r="388" spans="6:24" x14ac:dyDescent="0.2">
      <c r="F388" s="5"/>
      <c r="G388" s="5"/>
      <c r="H388" s="5"/>
      <c r="I388" s="5"/>
      <c r="J388" s="5"/>
      <c r="K388" s="5"/>
      <c r="L388" s="5"/>
      <c r="M388" s="5"/>
      <c r="N388" s="5"/>
      <c r="O388" s="5"/>
      <c r="P388" s="5"/>
      <c r="Q388" s="5"/>
      <c r="R388" s="5"/>
      <c r="S388" s="5"/>
      <c r="T388" s="5"/>
      <c r="U388" s="5"/>
      <c r="V388" s="5"/>
      <c r="W388" s="5"/>
      <c r="X388" s="5"/>
    </row>
    <row r="389" spans="6:24" x14ac:dyDescent="0.2">
      <c r="F389" s="5"/>
      <c r="G389" s="5"/>
      <c r="H389" s="5"/>
      <c r="I389" s="5"/>
      <c r="J389" s="5"/>
      <c r="K389" s="5"/>
      <c r="L389" s="5"/>
      <c r="M389" s="5"/>
      <c r="N389" s="5"/>
      <c r="O389" s="5"/>
      <c r="P389" s="5"/>
      <c r="Q389" s="5"/>
      <c r="R389" s="5"/>
      <c r="S389" s="5"/>
      <c r="T389" s="5"/>
      <c r="U389" s="5"/>
      <c r="V389" s="5"/>
      <c r="W389" s="5"/>
      <c r="X389" s="5"/>
    </row>
    <row r="390" spans="6:24" x14ac:dyDescent="0.2">
      <c r="F390" s="5"/>
      <c r="G390" s="5"/>
      <c r="H390" s="5"/>
      <c r="I390" s="5"/>
      <c r="J390" s="5"/>
      <c r="K390" s="5"/>
      <c r="L390" s="5"/>
      <c r="M390" s="5"/>
      <c r="N390" s="5"/>
      <c r="O390" s="5"/>
      <c r="P390" s="5"/>
      <c r="Q390" s="5"/>
      <c r="R390" s="5"/>
      <c r="S390" s="5"/>
      <c r="T390" s="5"/>
      <c r="U390" s="5"/>
      <c r="V390" s="5"/>
      <c r="W390" s="5"/>
      <c r="X390" s="5"/>
    </row>
    <row r="391" spans="6:24" x14ac:dyDescent="0.2">
      <c r="F391" s="5"/>
      <c r="G391" s="5"/>
      <c r="H391" s="5"/>
      <c r="I391" s="5"/>
      <c r="J391" s="5"/>
      <c r="K391" s="5"/>
      <c r="L391" s="5"/>
      <c r="M391" s="5"/>
      <c r="N391" s="5"/>
      <c r="O391" s="5"/>
      <c r="P391" s="5"/>
      <c r="Q391" s="5"/>
      <c r="R391" s="5"/>
      <c r="S391" s="5"/>
      <c r="T391" s="5"/>
      <c r="U391" s="5"/>
      <c r="V391" s="5"/>
      <c r="W391" s="5"/>
      <c r="X391" s="5"/>
    </row>
    <row r="392" spans="6:24" x14ac:dyDescent="0.2">
      <c r="F392" s="5"/>
      <c r="G392" s="5"/>
      <c r="H392" s="5"/>
      <c r="I392" s="5"/>
      <c r="J392" s="5"/>
      <c r="K392" s="5"/>
      <c r="L392" s="5"/>
      <c r="M392" s="5"/>
      <c r="N392" s="5"/>
      <c r="O392" s="5"/>
      <c r="P392" s="5"/>
      <c r="Q392" s="5"/>
      <c r="R392" s="5"/>
      <c r="S392" s="5"/>
      <c r="T392" s="5"/>
      <c r="U392" s="5"/>
      <c r="V392" s="5"/>
      <c r="W392" s="5"/>
      <c r="X392" s="5"/>
    </row>
    <row r="393" spans="6:24" x14ac:dyDescent="0.2">
      <c r="F393" s="5"/>
      <c r="G393" s="5"/>
      <c r="H393" s="5"/>
      <c r="I393" s="5"/>
      <c r="J393" s="5"/>
      <c r="K393" s="5"/>
      <c r="L393" s="5"/>
      <c r="M393" s="5"/>
      <c r="N393" s="5"/>
      <c r="O393" s="5"/>
      <c r="P393" s="5"/>
      <c r="Q393" s="5"/>
      <c r="R393" s="5"/>
      <c r="S393" s="5"/>
      <c r="T393" s="5"/>
      <c r="U393" s="5"/>
      <c r="V393" s="5"/>
      <c r="W393" s="5"/>
      <c r="X393" s="5"/>
    </row>
    <row r="394" spans="6:24" x14ac:dyDescent="0.2">
      <c r="F394" s="5"/>
      <c r="G394" s="5"/>
      <c r="H394" s="5"/>
      <c r="I394" s="5"/>
      <c r="J394" s="5"/>
      <c r="K394" s="5"/>
      <c r="L394" s="5"/>
      <c r="M394" s="5"/>
      <c r="N394" s="5"/>
      <c r="O394" s="5"/>
      <c r="P394" s="5"/>
      <c r="Q394" s="5"/>
      <c r="R394" s="5"/>
      <c r="S394" s="5"/>
      <c r="T394" s="5"/>
      <c r="U394" s="5"/>
      <c r="V394" s="5"/>
      <c r="W394" s="5"/>
      <c r="X394" s="5"/>
    </row>
    <row r="395" spans="6:24" x14ac:dyDescent="0.2">
      <c r="F395" s="5"/>
      <c r="G395" s="5"/>
      <c r="H395" s="5"/>
      <c r="I395" s="5"/>
      <c r="J395" s="5"/>
      <c r="K395" s="5"/>
      <c r="L395" s="5"/>
      <c r="M395" s="5"/>
      <c r="N395" s="5"/>
      <c r="O395" s="5"/>
      <c r="P395" s="5"/>
      <c r="Q395" s="5"/>
      <c r="R395" s="5"/>
      <c r="S395" s="5"/>
      <c r="T395" s="5"/>
      <c r="U395" s="5"/>
      <c r="V395" s="5"/>
      <c r="W395" s="5"/>
      <c r="X395" s="5"/>
    </row>
    <row r="396" spans="6:24" x14ac:dyDescent="0.2">
      <c r="F396" s="5"/>
      <c r="G396" s="5"/>
      <c r="H396" s="5"/>
      <c r="I396" s="5"/>
      <c r="J396" s="5"/>
      <c r="K396" s="5"/>
      <c r="L396" s="5"/>
      <c r="M396" s="5"/>
      <c r="N396" s="5"/>
      <c r="O396" s="5"/>
      <c r="P396" s="5"/>
      <c r="Q396" s="5"/>
      <c r="R396" s="5"/>
      <c r="S396" s="5"/>
      <c r="T396" s="5"/>
      <c r="U396" s="5"/>
      <c r="V396" s="5"/>
      <c r="W396" s="5"/>
      <c r="X396" s="5"/>
    </row>
    <row r="397" spans="6:24" x14ac:dyDescent="0.2">
      <c r="F397" s="5"/>
      <c r="G397" s="5"/>
      <c r="H397" s="5"/>
      <c r="I397" s="5"/>
      <c r="J397" s="5"/>
      <c r="K397" s="5"/>
      <c r="L397" s="5"/>
      <c r="M397" s="5"/>
      <c r="N397" s="5"/>
      <c r="O397" s="5"/>
      <c r="P397" s="5"/>
      <c r="Q397" s="5"/>
      <c r="R397" s="5"/>
      <c r="S397" s="5"/>
      <c r="T397" s="5"/>
      <c r="U397" s="5"/>
      <c r="V397" s="5"/>
      <c r="W397" s="5"/>
      <c r="X397" s="5"/>
    </row>
    <row r="398" spans="6:24" x14ac:dyDescent="0.2">
      <c r="F398" s="5"/>
      <c r="G398" s="5"/>
      <c r="H398" s="5"/>
      <c r="I398" s="5"/>
      <c r="J398" s="5"/>
      <c r="K398" s="5"/>
      <c r="L398" s="5"/>
      <c r="M398" s="5"/>
      <c r="N398" s="5"/>
      <c r="O398" s="5"/>
      <c r="P398" s="5"/>
      <c r="Q398" s="5"/>
      <c r="R398" s="5"/>
      <c r="S398" s="5"/>
      <c r="T398" s="5"/>
      <c r="U398" s="5"/>
      <c r="V398" s="5"/>
      <c r="W398" s="5"/>
      <c r="X398" s="5"/>
    </row>
    <row r="399" spans="6:24" x14ac:dyDescent="0.2">
      <c r="F399" s="5"/>
      <c r="G399" s="5"/>
      <c r="H399" s="5"/>
      <c r="I399" s="5"/>
      <c r="J399" s="5"/>
      <c r="K399" s="5"/>
      <c r="L399" s="5"/>
      <c r="M399" s="5"/>
      <c r="N399" s="5"/>
      <c r="O399" s="5"/>
      <c r="P399" s="5"/>
      <c r="Q399" s="5"/>
      <c r="R399" s="5"/>
      <c r="S399" s="5"/>
      <c r="T399" s="5"/>
      <c r="U399" s="5"/>
      <c r="V399" s="5"/>
      <c r="W399" s="5"/>
      <c r="X399" s="5"/>
    </row>
    <row r="400" spans="6:24" x14ac:dyDescent="0.2">
      <c r="F400" s="5"/>
      <c r="G400" s="5"/>
      <c r="H400" s="5"/>
      <c r="I400" s="5"/>
      <c r="J400" s="5"/>
      <c r="K400" s="5"/>
      <c r="L400" s="5"/>
      <c r="M400" s="5"/>
      <c r="N400" s="5"/>
      <c r="O400" s="5"/>
      <c r="P400" s="5"/>
      <c r="Q400" s="5"/>
      <c r="R400" s="5"/>
      <c r="S400" s="5"/>
      <c r="T400" s="5"/>
      <c r="U400" s="5"/>
      <c r="V400" s="5"/>
      <c r="W400" s="5"/>
      <c r="X400" s="5"/>
    </row>
    <row r="401" spans="6:24" x14ac:dyDescent="0.2">
      <c r="F401" s="5"/>
      <c r="G401" s="5"/>
      <c r="H401" s="5"/>
      <c r="I401" s="5"/>
      <c r="J401" s="5"/>
      <c r="K401" s="5"/>
      <c r="L401" s="5"/>
      <c r="M401" s="5"/>
      <c r="N401" s="5"/>
      <c r="O401" s="5"/>
      <c r="P401" s="5"/>
      <c r="Q401" s="5"/>
      <c r="R401" s="5"/>
      <c r="S401" s="5"/>
      <c r="T401" s="5"/>
      <c r="U401" s="5"/>
      <c r="V401" s="5"/>
      <c r="W401" s="5"/>
      <c r="X401" s="5"/>
    </row>
    <row r="402" spans="6:24" x14ac:dyDescent="0.2">
      <c r="F402" s="5"/>
      <c r="G402" s="5"/>
      <c r="H402" s="5"/>
      <c r="I402" s="5"/>
      <c r="J402" s="5"/>
      <c r="K402" s="5"/>
      <c r="L402" s="5"/>
      <c r="M402" s="5"/>
      <c r="N402" s="5"/>
      <c r="O402" s="5"/>
      <c r="P402" s="5"/>
      <c r="Q402" s="5"/>
      <c r="R402" s="5"/>
      <c r="S402" s="5"/>
      <c r="T402" s="5"/>
      <c r="U402" s="5"/>
      <c r="V402" s="5"/>
      <c r="W402" s="5"/>
      <c r="X402" s="5"/>
    </row>
    <row r="404" spans="6:24" x14ac:dyDescent="0.2">
      <c r="F404" s="5"/>
      <c r="G404" s="5"/>
      <c r="H404" s="5"/>
      <c r="I404" s="5"/>
      <c r="J404" s="5"/>
      <c r="K404" s="5"/>
      <c r="L404" s="5"/>
      <c r="M404" s="5"/>
      <c r="N404" s="5"/>
      <c r="O404" s="5"/>
      <c r="P404" s="5"/>
      <c r="Q404" s="5"/>
      <c r="R404" s="5"/>
      <c r="S404" s="5"/>
      <c r="T404" s="5"/>
      <c r="U404" s="5"/>
      <c r="V404" s="5"/>
      <c r="W404" s="5"/>
      <c r="X404" s="5"/>
    </row>
    <row r="405" spans="6:24" x14ac:dyDescent="0.2">
      <c r="F405" s="5"/>
      <c r="G405" s="5"/>
      <c r="H405" s="5"/>
      <c r="I405" s="5"/>
      <c r="J405" s="5"/>
      <c r="K405" s="5"/>
      <c r="L405" s="5"/>
      <c r="M405" s="5"/>
      <c r="N405" s="5"/>
      <c r="O405" s="5"/>
      <c r="P405" s="5"/>
      <c r="Q405" s="5"/>
      <c r="R405" s="5"/>
      <c r="S405" s="5"/>
      <c r="T405" s="5"/>
      <c r="U405" s="5"/>
      <c r="V405" s="5"/>
      <c r="W405" s="5"/>
      <c r="X405" s="5"/>
    </row>
    <row r="406" spans="6:24" x14ac:dyDescent="0.2">
      <c r="F406" s="5"/>
      <c r="G406" s="5"/>
      <c r="H406" s="5"/>
      <c r="I406" s="5"/>
      <c r="J406" s="5"/>
      <c r="K406" s="5"/>
      <c r="L406" s="5"/>
      <c r="M406" s="5"/>
      <c r="N406" s="5"/>
      <c r="O406" s="5"/>
      <c r="P406" s="5"/>
      <c r="Q406" s="5"/>
      <c r="R406" s="5"/>
      <c r="S406" s="5"/>
      <c r="T406" s="5"/>
      <c r="U406" s="5"/>
      <c r="V406" s="5"/>
      <c r="W406" s="5"/>
      <c r="X406" s="5"/>
    </row>
    <row r="407" spans="6:24" x14ac:dyDescent="0.2">
      <c r="F407" s="5"/>
      <c r="G407" s="5"/>
      <c r="H407" s="5"/>
      <c r="I407" s="5"/>
      <c r="J407" s="5"/>
      <c r="K407" s="5"/>
      <c r="L407" s="5"/>
      <c r="M407" s="5"/>
      <c r="N407" s="5"/>
      <c r="O407" s="5"/>
      <c r="P407" s="5"/>
      <c r="Q407" s="5"/>
      <c r="R407" s="5"/>
      <c r="S407" s="5"/>
      <c r="T407" s="5"/>
      <c r="U407" s="5"/>
      <c r="V407" s="5"/>
      <c r="W407" s="5"/>
      <c r="X407" s="5"/>
    </row>
    <row r="408" spans="6:24" x14ac:dyDescent="0.2">
      <c r="F408" s="5"/>
      <c r="G408" s="5"/>
      <c r="H408" s="5"/>
      <c r="I408" s="5"/>
      <c r="J408" s="5"/>
      <c r="K408" s="5"/>
      <c r="L408" s="5"/>
      <c r="M408" s="5"/>
      <c r="N408" s="5"/>
      <c r="O408" s="5"/>
      <c r="P408" s="5"/>
      <c r="Q408" s="5"/>
      <c r="R408" s="5"/>
      <c r="S408" s="5"/>
      <c r="T408" s="5"/>
      <c r="U408" s="5"/>
      <c r="V408" s="5"/>
      <c r="W408" s="5"/>
      <c r="X408" s="5"/>
    </row>
    <row r="409" spans="6:24" x14ac:dyDescent="0.2">
      <c r="F409" s="5"/>
      <c r="G409" s="5"/>
      <c r="H409" s="5"/>
      <c r="I409" s="5"/>
      <c r="J409" s="5"/>
      <c r="K409" s="5"/>
      <c r="L409" s="5"/>
      <c r="M409" s="5"/>
      <c r="N409" s="5"/>
      <c r="O409" s="5"/>
      <c r="P409" s="5"/>
      <c r="Q409" s="5"/>
      <c r="R409" s="5"/>
      <c r="S409" s="5"/>
      <c r="T409" s="5"/>
      <c r="U409" s="5"/>
      <c r="V409" s="5"/>
      <c r="W409" s="5"/>
      <c r="X409" s="5"/>
    </row>
    <row r="410" spans="6:24" x14ac:dyDescent="0.2">
      <c r="F410" s="5"/>
      <c r="G410" s="5"/>
      <c r="H410" s="5"/>
      <c r="I410" s="5"/>
      <c r="J410" s="5"/>
      <c r="K410" s="5"/>
      <c r="L410" s="5"/>
      <c r="M410" s="5"/>
      <c r="N410" s="5"/>
      <c r="O410" s="5"/>
      <c r="P410" s="5"/>
      <c r="Q410" s="5"/>
      <c r="R410" s="5"/>
      <c r="S410" s="5"/>
      <c r="T410" s="5"/>
      <c r="U410" s="5"/>
      <c r="V410" s="5"/>
      <c r="W410" s="5"/>
      <c r="X410" s="5"/>
    </row>
    <row r="411" spans="6:24" x14ac:dyDescent="0.2">
      <c r="F411" s="5"/>
      <c r="G411" s="5"/>
      <c r="H411" s="5"/>
      <c r="I411" s="5"/>
      <c r="J411" s="5"/>
      <c r="K411" s="5"/>
      <c r="L411" s="5"/>
      <c r="M411" s="5"/>
      <c r="N411" s="5"/>
      <c r="O411" s="5"/>
      <c r="P411" s="5"/>
      <c r="Q411" s="5"/>
      <c r="R411" s="5"/>
      <c r="S411" s="5"/>
      <c r="T411" s="5"/>
      <c r="U411" s="5"/>
      <c r="V411" s="5"/>
      <c r="W411" s="5"/>
      <c r="X411" s="5"/>
    </row>
    <row r="412" spans="6:24" x14ac:dyDescent="0.2">
      <c r="F412" s="5"/>
      <c r="G412" s="5"/>
      <c r="H412" s="5"/>
      <c r="I412" s="5"/>
      <c r="J412" s="5"/>
      <c r="K412" s="5"/>
      <c r="L412" s="5"/>
      <c r="M412" s="5"/>
      <c r="N412" s="5"/>
      <c r="O412" s="5"/>
      <c r="P412" s="5"/>
      <c r="Q412" s="5"/>
      <c r="R412" s="5"/>
      <c r="S412" s="5"/>
      <c r="T412" s="5"/>
      <c r="U412" s="5"/>
      <c r="V412" s="5"/>
      <c r="W412" s="5"/>
      <c r="X412" s="5"/>
    </row>
    <row r="413" spans="6:24" x14ac:dyDescent="0.2">
      <c r="F413" s="5"/>
      <c r="G413" s="5"/>
      <c r="H413" s="5"/>
      <c r="I413" s="5"/>
      <c r="J413" s="5"/>
      <c r="K413" s="5"/>
      <c r="L413" s="5"/>
      <c r="M413" s="5"/>
      <c r="N413" s="5"/>
      <c r="O413" s="5"/>
      <c r="P413" s="5"/>
      <c r="Q413" s="5"/>
      <c r="R413" s="5"/>
      <c r="S413" s="5"/>
      <c r="T413" s="5"/>
      <c r="U413" s="5"/>
      <c r="V413" s="5"/>
      <c r="W413" s="5"/>
      <c r="X413" s="5"/>
    </row>
    <row r="414" spans="6:24" x14ac:dyDescent="0.2">
      <c r="F414" s="5"/>
      <c r="G414" s="5"/>
      <c r="H414" s="5"/>
      <c r="I414" s="5"/>
      <c r="J414" s="5"/>
      <c r="K414" s="5"/>
      <c r="L414" s="5"/>
      <c r="M414" s="5"/>
      <c r="N414" s="5"/>
      <c r="O414" s="5"/>
      <c r="P414" s="5"/>
      <c r="Q414" s="5"/>
      <c r="R414" s="5"/>
      <c r="S414" s="5"/>
      <c r="T414" s="5"/>
      <c r="U414" s="5"/>
      <c r="V414" s="5"/>
      <c r="W414" s="5"/>
      <c r="X414" s="5"/>
    </row>
    <row r="415" spans="6:24" x14ac:dyDescent="0.2">
      <c r="F415" s="5"/>
      <c r="G415" s="5"/>
      <c r="H415" s="5"/>
      <c r="I415" s="5"/>
      <c r="J415" s="5"/>
      <c r="K415" s="5"/>
      <c r="L415" s="5"/>
      <c r="M415" s="5"/>
      <c r="N415" s="5"/>
      <c r="O415" s="5"/>
      <c r="P415" s="5"/>
      <c r="Q415" s="5"/>
      <c r="R415" s="5"/>
      <c r="S415" s="5"/>
      <c r="T415" s="5"/>
      <c r="U415" s="5"/>
      <c r="V415" s="5"/>
      <c r="W415" s="5"/>
      <c r="X415" s="5"/>
    </row>
    <row r="416" spans="6:24" x14ac:dyDescent="0.2">
      <c r="F416" s="5"/>
      <c r="G416" s="5"/>
      <c r="H416" s="5"/>
      <c r="I416" s="5"/>
      <c r="J416" s="5"/>
      <c r="K416" s="5"/>
      <c r="L416" s="5"/>
      <c r="M416" s="5"/>
      <c r="N416" s="5"/>
      <c r="O416" s="5"/>
      <c r="P416" s="5"/>
      <c r="Q416" s="5"/>
      <c r="R416" s="5"/>
      <c r="S416" s="5"/>
      <c r="T416" s="5"/>
      <c r="U416" s="5"/>
      <c r="V416" s="5"/>
      <c r="W416" s="5"/>
      <c r="X416" s="5"/>
    </row>
    <row r="417" spans="6:24" x14ac:dyDescent="0.2">
      <c r="F417" s="5"/>
      <c r="G417" s="5"/>
      <c r="H417" s="5"/>
      <c r="I417" s="5"/>
      <c r="J417" s="5"/>
      <c r="K417" s="5"/>
      <c r="L417" s="5"/>
      <c r="M417" s="5"/>
      <c r="N417" s="5"/>
      <c r="O417" s="5"/>
      <c r="P417" s="5"/>
      <c r="Q417" s="5"/>
      <c r="R417" s="5"/>
      <c r="S417" s="5"/>
      <c r="T417" s="5"/>
      <c r="U417" s="5"/>
      <c r="V417" s="5"/>
      <c r="W417" s="5"/>
      <c r="X417" s="5"/>
    </row>
    <row r="418" spans="6:24" x14ac:dyDescent="0.2">
      <c r="F418" s="5"/>
      <c r="G418" s="5"/>
      <c r="H418" s="5"/>
      <c r="I418" s="5"/>
      <c r="J418" s="5"/>
      <c r="K418" s="5"/>
      <c r="L418" s="5"/>
      <c r="M418" s="5"/>
      <c r="N418" s="5"/>
      <c r="O418" s="5"/>
      <c r="P418" s="5"/>
      <c r="Q418" s="5"/>
      <c r="R418" s="5"/>
      <c r="S418" s="5"/>
      <c r="T418" s="5"/>
      <c r="U418" s="5"/>
      <c r="V418" s="5"/>
      <c r="W418" s="5"/>
      <c r="X418" s="5"/>
    </row>
    <row r="419" spans="6:24" x14ac:dyDescent="0.2">
      <c r="F419" s="5"/>
      <c r="G419" s="5"/>
      <c r="H419" s="5"/>
      <c r="I419" s="5"/>
      <c r="J419" s="5"/>
      <c r="K419" s="5"/>
      <c r="L419" s="5"/>
      <c r="M419" s="5"/>
      <c r="N419" s="5"/>
      <c r="O419" s="5"/>
      <c r="P419" s="5"/>
      <c r="Q419" s="5"/>
      <c r="R419" s="5"/>
      <c r="S419" s="5"/>
      <c r="T419" s="5"/>
      <c r="U419" s="5"/>
      <c r="V419" s="5"/>
      <c r="W419" s="5"/>
      <c r="X419" s="5"/>
    </row>
    <row r="420" spans="6:24" x14ac:dyDescent="0.2">
      <c r="F420" s="5"/>
      <c r="G420" s="5"/>
      <c r="H420" s="5"/>
      <c r="I420" s="5"/>
      <c r="J420" s="5"/>
      <c r="K420" s="5"/>
      <c r="L420" s="5"/>
      <c r="M420" s="5"/>
      <c r="N420" s="5"/>
      <c r="O420" s="5"/>
      <c r="P420" s="5"/>
      <c r="Q420" s="5"/>
      <c r="R420" s="5"/>
      <c r="S420" s="5"/>
      <c r="T420" s="5"/>
      <c r="U420" s="5"/>
      <c r="V420" s="5"/>
      <c r="W420" s="5"/>
      <c r="X420" s="5"/>
    </row>
    <row r="421" spans="6:24" x14ac:dyDescent="0.2">
      <c r="F421" s="5"/>
      <c r="G421" s="5"/>
      <c r="H421" s="5"/>
      <c r="I421" s="5"/>
      <c r="J421" s="5"/>
      <c r="K421" s="5"/>
      <c r="L421" s="5"/>
      <c r="M421" s="5"/>
      <c r="N421" s="5"/>
      <c r="O421" s="5"/>
      <c r="P421" s="5"/>
      <c r="Q421" s="5"/>
      <c r="R421" s="5"/>
      <c r="S421" s="5"/>
      <c r="T421" s="5"/>
      <c r="U421" s="5"/>
      <c r="V421" s="5"/>
      <c r="W421" s="5"/>
      <c r="X421" s="5"/>
    </row>
    <row r="422" spans="6:24" x14ac:dyDescent="0.2">
      <c r="F422" s="5"/>
      <c r="G422" s="5"/>
      <c r="H422" s="5"/>
      <c r="I422" s="5"/>
      <c r="J422" s="5"/>
      <c r="K422" s="5"/>
      <c r="L422" s="5"/>
      <c r="M422" s="5"/>
      <c r="N422" s="5"/>
      <c r="O422" s="5"/>
      <c r="P422" s="5"/>
      <c r="Q422" s="5"/>
      <c r="R422" s="5"/>
      <c r="S422" s="5"/>
      <c r="T422" s="5"/>
      <c r="U422" s="5"/>
      <c r="V422" s="5"/>
      <c r="W422" s="5"/>
      <c r="X422" s="5"/>
    </row>
    <row r="423" spans="6:24" x14ac:dyDescent="0.2">
      <c r="F423" s="5"/>
      <c r="G423" s="5"/>
      <c r="H423" s="5"/>
      <c r="I423" s="5"/>
      <c r="J423" s="5"/>
      <c r="K423" s="5"/>
      <c r="L423" s="5"/>
      <c r="M423" s="5"/>
      <c r="N423" s="5"/>
      <c r="O423" s="5"/>
      <c r="P423" s="5"/>
      <c r="Q423" s="5"/>
      <c r="R423" s="5"/>
      <c r="S423" s="5"/>
      <c r="T423" s="5"/>
      <c r="U423" s="5"/>
      <c r="V423" s="5"/>
      <c r="W423" s="5"/>
      <c r="X423" s="5"/>
    </row>
    <row r="424" spans="6:24" x14ac:dyDescent="0.2">
      <c r="F424" s="5"/>
      <c r="G424" s="5"/>
      <c r="H424" s="5"/>
      <c r="I424" s="5"/>
      <c r="J424" s="5"/>
      <c r="K424" s="5"/>
      <c r="L424" s="5"/>
      <c r="M424" s="5"/>
      <c r="N424" s="5"/>
      <c r="O424" s="5"/>
      <c r="P424" s="5"/>
      <c r="Q424" s="5"/>
      <c r="R424" s="5"/>
      <c r="S424" s="5"/>
      <c r="T424" s="5"/>
      <c r="U424" s="5"/>
      <c r="V424" s="5"/>
      <c r="W424" s="5"/>
      <c r="X424" s="5"/>
    </row>
    <row r="425" spans="6:24" x14ac:dyDescent="0.2">
      <c r="F425" s="5"/>
      <c r="G425" s="5"/>
      <c r="H425" s="5"/>
      <c r="I425" s="5"/>
      <c r="J425" s="5"/>
      <c r="K425" s="5"/>
      <c r="L425" s="5"/>
      <c r="M425" s="5"/>
      <c r="N425" s="5"/>
      <c r="O425" s="5"/>
      <c r="P425" s="5"/>
      <c r="Q425" s="5"/>
      <c r="R425" s="5"/>
      <c r="S425" s="5"/>
      <c r="T425" s="5"/>
      <c r="U425" s="5"/>
      <c r="V425" s="5"/>
      <c r="W425" s="5"/>
      <c r="X425" s="5"/>
    </row>
    <row r="426" spans="6:24" x14ac:dyDescent="0.2">
      <c r="F426" s="5"/>
      <c r="G426" s="5"/>
      <c r="H426" s="5"/>
      <c r="I426" s="5"/>
      <c r="J426" s="5"/>
      <c r="K426" s="5"/>
      <c r="L426" s="5"/>
      <c r="M426" s="5"/>
      <c r="N426" s="5"/>
      <c r="O426" s="5"/>
      <c r="P426" s="5"/>
      <c r="Q426" s="5"/>
      <c r="R426" s="5"/>
      <c r="S426" s="5"/>
      <c r="T426" s="5"/>
      <c r="U426" s="5"/>
      <c r="V426" s="5"/>
      <c r="W426" s="5"/>
      <c r="X426" s="5"/>
    </row>
    <row r="427" spans="6:24" x14ac:dyDescent="0.2">
      <c r="F427" s="5"/>
      <c r="G427" s="5"/>
      <c r="H427" s="5"/>
      <c r="I427" s="5"/>
      <c r="J427" s="5"/>
      <c r="K427" s="5"/>
      <c r="L427" s="5"/>
      <c r="M427" s="5"/>
      <c r="N427" s="5"/>
      <c r="O427" s="5"/>
      <c r="P427" s="5"/>
      <c r="Q427" s="5"/>
      <c r="R427" s="5"/>
      <c r="S427" s="5"/>
      <c r="T427" s="5"/>
      <c r="U427" s="5"/>
      <c r="V427" s="5"/>
      <c r="W427" s="5"/>
      <c r="X427" s="5"/>
    </row>
    <row r="428" spans="6:24" x14ac:dyDescent="0.2">
      <c r="F428" s="5"/>
      <c r="G428" s="5"/>
      <c r="H428" s="5"/>
      <c r="I428" s="5"/>
      <c r="J428" s="5"/>
      <c r="K428" s="5"/>
      <c r="L428" s="5"/>
      <c r="M428" s="5"/>
      <c r="N428" s="5"/>
      <c r="O428" s="5"/>
      <c r="P428" s="5"/>
      <c r="Q428" s="5"/>
      <c r="R428" s="5"/>
      <c r="S428" s="5"/>
      <c r="T428" s="5"/>
      <c r="U428" s="5"/>
      <c r="V428" s="5"/>
      <c r="W428" s="5"/>
      <c r="X428" s="5"/>
    </row>
    <row r="429" spans="6:24" x14ac:dyDescent="0.2">
      <c r="F429" s="5"/>
      <c r="G429" s="5"/>
      <c r="H429" s="5"/>
      <c r="I429" s="5"/>
      <c r="J429" s="5"/>
      <c r="K429" s="5"/>
      <c r="L429" s="5"/>
      <c r="M429" s="5"/>
      <c r="N429" s="5"/>
      <c r="O429" s="5"/>
      <c r="P429" s="5"/>
      <c r="Q429" s="5"/>
      <c r="R429" s="5"/>
      <c r="S429" s="5"/>
      <c r="T429" s="5"/>
      <c r="U429" s="5"/>
      <c r="V429" s="5"/>
      <c r="W429" s="5"/>
      <c r="X429" s="5"/>
    </row>
    <row r="430" spans="6:24" x14ac:dyDescent="0.2">
      <c r="F430" s="5"/>
      <c r="G430" s="5"/>
      <c r="H430" s="5"/>
      <c r="I430" s="5"/>
      <c r="J430" s="5"/>
      <c r="K430" s="5"/>
      <c r="L430" s="5"/>
      <c r="M430" s="5"/>
      <c r="N430" s="5"/>
      <c r="O430" s="5"/>
      <c r="P430" s="5"/>
      <c r="Q430" s="5"/>
      <c r="R430" s="5"/>
      <c r="S430" s="5"/>
      <c r="T430" s="5"/>
      <c r="U430" s="5"/>
      <c r="V430" s="5"/>
      <c r="W430" s="5"/>
      <c r="X430" s="5"/>
    </row>
    <row r="431" spans="6:24" x14ac:dyDescent="0.2">
      <c r="F431" s="5"/>
      <c r="G431" s="5"/>
      <c r="H431" s="5"/>
      <c r="I431" s="5"/>
      <c r="J431" s="5"/>
      <c r="K431" s="5"/>
      <c r="L431" s="5"/>
      <c r="M431" s="5"/>
      <c r="N431" s="5"/>
      <c r="O431" s="5"/>
      <c r="P431" s="5"/>
      <c r="Q431" s="5"/>
      <c r="R431" s="5"/>
      <c r="S431" s="5"/>
      <c r="T431" s="5"/>
      <c r="U431" s="5"/>
      <c r="V431" s="5"/>
      <c r="W431" s="5"/>
      <c r="X431" s="5"/>
    </row>
    <row r="432" spans="6:24" x14ac:dyDescent="0.2">
      <c r="F432" s="5"/>
      <c r="G432" s="5"/>
      <c r="H432" s="5"/>
      <c r="I432" s="5"/>
      <c r="J432" s="5"/>
      <c r="K432" s="5"/>
      <c r="L432" s="5"/>
      <c r="M432" s="5"/>
      <c r="N432" s="5"/>
      <c r="O432" s="5"/>
      <c r="P432" s="5"/>
      <c r="Q432" s="5"/>
      <c r="R432" s="5"/>
      <c r="S432" s="5"/>
      <c r="T432" s="5"/>
      <c r="U432" s="5"/>
      <c r="V432" s="5"/>
      <c r="W432" s="5"/>
      <c r="X432" s="5"/>
    </row>
    <row r="433" spans="6:24" x14ac:dyDescent="0.2">
      <c r="F433" s="5"/>
      <c r="G433" s="5"/>
      <c r="H433" s="5"/>
      <c r="I433" s="5"/>
      <c r="J433" s="5"/>
      <c r="K433" s="5"/>
      <c r="L433" s="5"/>
      <c r="M433" s="5"/>
      <c r="N433" s="5"/>
      <c r="O433" s="5"/>
      <c r="P433" s="5"/>
      <c r="Q433" s="5"/>
      <c r="R433" s="5"/>
      <c r="S433" s="5"/>
      <c r="T433" s="5"/>
      <c r="U433" s="5"/>
      <c r="V433" s="5"/>
      <c r="W433" s="5"/>
      <c r="X433" s="5"/>
    </row>
    <row r="434" spans="6:24" x14ac:dyDescent="0.2">
      <c r="F434" s="5"/>
      <c r="G434" s="5"/>
      <c r="H434" s="5"/>
      <c r="I434" s="5"/>
      <c r="J434" s="5"/>
      <c r="K434" s="5"/>
      <c r="L434" s="5"/>
      <c r="M434" s="5"/>
      <c r="N434" s="5"/>
      <c r="O434" s="5"/>
      <c r="P434" s="5"/>
      <c r="Q434" s="5"/>
      <c r="R434" s="5"/>
      <c r="S434" s="5"/>
      <c r="T434" s="5"/>
      <c r="U434" s="5"/>
      <c r="V434" s="5"/>
      <c r="W434" s="5"/>
      <c r="X434" s="5"/>
    </row>
    <row r="435" spans="6:24" x14ac:dyDescent="0.2">
      <c r="F435" s="5"/>
      <c r="G435" s="5"/>
      <c r="H435" s="5"/>
      <c r="I435" s="5"/>
      <c r="J435" s="5"/>
      <c r="K435" s="5"/>
      <c r="L435" s="5"/>
      <c r="M435" s="5"/>
      <c r="N435" s="5"/>
      <c r="O435" s="5"/>
      <c r="P435" s="5"/>
      <c r="Q435" s="5"/>
      <c r="R435" s="5"/>
      <c r="S435" s="5"/>
      <c r="T435" s="5"/>
      <c r="U435" s="5"/>
      <c r="V435" s="5"/>
      <c r="W435" s="5"/>
      <c r="X435" s="5"/>
    </row>
    <row r="436" spans="6:24" x14ac:dyDescent="0.2">
      <c r="F436" s="5"/>
      <c r="G436" s="5"/>
      <c r="H436" s="5"/>
      <c r="I436" s="5"/>
      <c r="J436" s="5"/>
      <c r="K436" s="5"/>
      <c r="L436" s="5"/>
      <c r="M436" s="5"/>
      <c r="N436" s="5"/>
      <c r="O436" s="5"/>
      <c r="P436" s="5"/>
      <c r="Q436" s="5"/>
      <c r="R436" s="5"/>
      <c r="S436" s="5"/>
      <c r="T436" s="5"/>
      <c r="U436" s="5"/>
      <c r="V436" s="5"/>
      <c r="W436" s="5"/>
      <c r="X436" s="5"/>
    </row>
    <row r="437" spans="6:24" x14ac:dyDescent="0.2">
      <c r="F437" s="5"/>
      <c r="G437" s="5"/>
      <c r="H437" s="5"/>
      <c r="I437" s="5"/>
      <c r="J437" s="5"/>
      <c r="K437" s="5"/>
      <c r="L437" s="5"/>
      <c r="M437" s="5"/>
      <c r="N437" s="5"/>
      <c r="O437" s="5"/>
      <c r="P437" s="5"/>
      <c r="Q437" s="5"/>
      <c r="R437" s="5"/>
      <c r="S437" s="5"/>
      <c r="T437" s="5"/>
      <c r="U437" s="5"/>
      <c r="V437" s="5"/>
      <c r="W437" s="5"/>
      <c r="X437" s="5"/>
    </row>
    <row r="438" spans="6:24" x14ac:dyDescent="0.2">
      <c r="F438" s="5"/>
      <c r="G438" s="5"/>
      <c r="H438" s="5"/>
      <c r="I438" s="5"/>
      <c r="J438" s="5"/>
      <c r="K438" s="5"/>
      <c r="L438" s="5"/>
      <c r="M438" s="5"/>
      <c r="N438" s="5"/>
      <c r="O438" s="5"/>
      <c r="P438" s="5"/>
      <c r="Q438" s="5"/>
      <c r="R438" s="5"/>
      <c r="S438" s="5"/>
      <c r="T438" s="5"/>
      <c r="U438" s="5"/>
      <c r="V438" s="5"/>
      <c r="W438" s="5"/>
      <c r="X438" s="5"/>
    </row>
    <row r="439" spans="6:24" x14ac:dyDescent="0.2">
      <c r="F439" s="5"/>
      <c r="G439" s="5"/>
      <c r="H439" s="5"/>
      <c r="I439" s="5"/>
      <c r="J439" s="5"/>
      <c r="K439" s="5"/>
      <c r="L439" s="5"/>
      <c r="M439" s="5"/>
      <c r="N439" s="5"/>
      <c r="O439" s="5"/>
      <c r="P439" s="5"/>
      <c r="Q439" s="5"/>
      <c r="R439" s="5"/>
      <c r="S439" s="5"/>
      <c r="T439" s="5"/>
      <c r="U439" s="5"/>
      <c r="V439" s="5"/>
      <c r="W439" s="5"/>
      <c r="X439" s="5"/>
    </row>
    <row r="440" spans="6:24" x14ac:dyDescent="0.2">
      <c r="F440" s="5"/>
      <c r="G440" s="5"/>
      <c r="H440" s="5"/>
      <c r="I440" s="5"/>
      <c r="J440" s="5"/>
      <c r="K440" s="5"/>
      <c r="L440" s="5"/>
      <c r="M440" s="5"/>
      <c r="N440" s="5"/>
      <c r="O440" s="5"/>
      <c r="P440" s="5"/>
      <c r="Q440" s="5"/>
      <c r="R440" s="5"/>
      <c r="S440" s="5"/>
      <c r="T440" s="5"/>
      <c r="U440" s="5"/>
      <c r="V440" s="5"/>
      <c r="W440" s="5"/>
      <c r="X440" s="5"/>
    </row>
    <row r="441" spans="6:24" x14ac:dyDescent="0.2">
      <c r="F441" s="5"/>
      <c r="G441" s="5"/>
      <c r="H441" s="5"/>
      <c r="I441" s="5"/>
      <c r="J441" s="5"/>
      <c r="K441" s="5"/>
      <c r="L441" s="5"/>
      <c r="M441" s="5"/>
      <c r="N441" s="5"/>
      <c r="O441" s="5"/>
      <c r="P441" s="5"/>
      <c r="Q441" s="5"/>
      <c r="R441" s="5"/>
      <c r="S441" s="5"/>
      <c r="T441" s="5"/>
      <c r="U441" s="5"/>
      <c r="V441" s="5"/>
      <c r="W441" s="5"/>
      <c r="X441" s="5"/>
    </row>
    <row r="442" spans="6:24" x14ac:dyDescent="0.2">
      <c r="F442" s="5"/>
      <c r="G442" s="5"/>
      <c r="H442" s="5"/>
      <c r="I442" s="5"/>
      <c r="J442" s="5"/>
      <c r="K442" s="5"/>
      <c r="L442" s="5"/>
      <c r="M442" s="5"/>
      <c r="N442" s="5"/>
      <c r="O442" s="5"/>
      <c r="P442" s="5"/>
      <c r="Q442" s="5"/>
      <c r="R442" s="5"/>
      <c r="S442" s="5"/>
      <c r="T442" s="5"/>
      <c r="U442" s="5"/>
      <c r="V442" s="5"/>
      <c r="W442" s="5"/>
      <c r="X442" s="5"/>
    </row>
    <row r="443" spans="6:24" x14ac:dyDescent="0.2">
      <c r="F443" s="5"/>
      <c r="G443" s="5"/>
      <c r="H443" s="5"/>
      <c r="I443" s="5"/>
      <c r="J443" s="5"/>
      <c r="K443" s="5"/>
      <c r="L443" s="5"/>
      <c r="M443" s="5"/>
      <c r="N443" s="5"/>
      <c r="O443" s="5"/>
      <c r="P443" s="5"/>
      <c r="Q443" s="5"/>
      <c r="R443" s="5"/>
      <c r="S443" s="5"/>
      <c r="T443" s="5"/>
      <c r="U443" s="5"/>
      <c r="V443" s="5"/>
      <c r="W443" s="5"/>
      <c r="X443" s="5"/>
    </row>
    <row r="444" spans="6:24" x14ac:dyDescent="0.2">
      <c r="F444" s="5"/>
      <c r="G444" s="5"/>
      <c r="H444" s="5"/>
      <c r="I444" s="5"/>
      <c r="J444" s="5"/>
      <c r="K444" s="5"/>
      <c r="L444" s="5"/>
      <c r="M444" s="5"/>
      <c r="N444" s="5"/>
      <c r="O444" s="5"/>
      <c r="P444" s="5"/>
      <c r="Q444" s="5"/>
      <c r="R444" s="5"/>
      <c r="S444" s="5"/>
      <c r="T444" s="5"/>
      <c r="U444" s="5"/>
      <c r="V444" s="5"/>
      <c r="W444" s="5"/>
      <c r="X444" s="5"/>
    </row>
    <row r="445" spans="6:24" x14ac:dyDescent="0.2">
      <c r="F445" s="5"/>
      <c r="G445" s="5"/>
      <c r="H445" s="5"/>
      <c r="I445" s="5"/>
      <c r="J445" s="5"/>
      <c r="K445" s="5"/>
      <c r="L445" s="5"/>
      <c r="M445" s="5"/>
      <c r="N445" s="5"/>
      <c r="O445" s="5"/>
      <c r="P445" s="5"/>
      <c r="Q445" s="5"/>
      <c r="R445" s="5"/>
      <c r="S445" s="5"/>
      <c r="T445" s="5"/>
      <c r="U445" s="5"/>
      <c r="V445" s="5"/>
      <c r="W445" s="5"/>
      <c r="X445" s="5"/>
    </row>
    <row r="446" spans="6:24" x14ac:dyDescent="0.2">
      <c r="F446" s="5"/>
      <c r="G446" s="5"/>
      <c r="H446" s="5"/>
      <c r="I446" s="5"/>
      <c r="J446" s="5"/>
      <c r="K446" s="5"/>
      <c r="L446" s="5"/>
      <c r="M446" s="5"/>
      <c r="N446" s="5"/>
      <c r="O446" s="5"/>
      <c r="P446" s="5"/>
      <c r="Q446" s="5"/>
      <c r="R446" s="5"/>
      <c r="S446" s="5"/>
      <c r="T446" s="5"/>
      <c r="U446" s="5"/>
      <c r="V446" s="5"/>
      <c r="W446" s="5"/>
      <c r="X446" s="5"/>
    </row>
    <row r="447" spans="6:24" x14ac:dyDescent="0.2">
      <c r="F447" s="5"/>
      <c r="G447" s="5"/>
      <c r="H447" s="5"/>
      <c r="I447" s="5"/>
      <c r="J447" s="5"/>
      <c r="K447" s="5"/>
      <c r="L447" s="5"/>
      <c r="M447" s="5"/>
      <c r="N447" s="5"/>
      <c r="O447" s="5"/>
      <c r="P447" s="5"/>
      <c r="Q447" s="5"/>
      <c r="R447" s="5"/>
      <c r="S447" s="5"/>
      <c r="T447" s="5"/>
      <c r="U447" s="5"/>
      <c r="V447" s="5"/>
      <c r="W447" s="5"/>
      <c r="X447" s="5"/>
    </row>
    <row r="448" spans="6:24" x14ac:dyDescent="0.2">
      <c r="F448" s="5"/>
      <c r="G448" s="5"/>
      <c r="H448" s="5"/>
      <c r="I448" s="5"/>
      <c r="J448" s="5"/>
      <c r="K448" s="5"/>
      <c r="L448" s="5"/>
      <c r="M448" s="5"/>
      <c r="N448" s="5"/>
      <c r="O448" s="5"/>
      <c r="P448" s="5"/>
      <c r="Q448" s="5"/>
      <c r="R448" s="5"/>
      <c r="S448" s="5"/>
      <c r="T448" s="5"/>
      <c r="U448" s="5"/>
      <c r="V448" s="5"/>
      <c r="W448" s="5"/>
      <c r="X448" s="5"/>
    </row>
    <row r="449" spans="6:24" x14ac:dyDescent="0.2">
      <c r="F449" s="5"/>
      <c r="G449" s="5"/>
      <c r="H449" s="5"/>
      <c r="I449" s="5"/>
      <c r="J449" s="5"/>
      <c r="K449" s="5"/>
      <c r="L449" s="5"/>
      <c r="M449" s="5"/>
      <c r="N449" s="5"/>
      <c r="O449" s="5"/>
      <c r="P449" s="5"/>
      <c r="Q449" s="5"/>
      <c r="R449" s="5"/>
      <c r="S449" s="5"/>
      <c r="T449" s="5"/>
      <c r="U449" s="5"/>
      <c r="V449" s="5"/>
      <c r="W449" s="5"/>
      <c r="X449" s="5"/>
    </row>
  </sheetData>
  <sheetProtection algorithmName="SHA-512" hashValue="4+hQfPbzz/FIQZudVvpeAGf+zACmWTWmBAlvf3CLZcsD1p0H3xvB0+Gk9h4Q4HhEW7xDIGf1/XhEuOLrvOc6/g==" saltValue="z4Pv8RcZMNqMr01liaLQ1A==" spinCount="100000" sheet="1" objects="1" scenarios="1"/>
  <mergeCells count="4">
    <mergeCell ref="A4:A5"/>
    <mergeCell ref="A18:B18"/>
    <mergeCell ref="C3:D3"/>
    <mergeCell ref="J3:J4"/>
  </mergeCells>
  <conditionalFormatting sqref="B57:C72 D60:E75">
    <cfRule type="cellIs" dxfId="0" priority="22" operator="between">
      <formula>101</formula>
      <formula>101.5</formula>
    </cfRule>
  </conditionalFormatting>
  <pageMargins left="0.7" right="0.7" top="0.75" bottom="0.75" header="0.3" footer="0.3"/>
  <pageSetup orientation="portrait" horizontalDpi="200" verticalDpi="200" r:id="rId1"/>
  <ignoredErrors>
    <ignoredError sqref="W1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2345-D02A-4977-BDD5-5D32C0B76A60}">
  <sheetPr codeName="Sheet5"/>
  <dimension ref="A1:K14"/>
  <sheetViews>
    <sheetView showGridLines="0" workbookViewId="0">
      <pane ySplit="3" topLeftCell="A4" activePane="bottomLeft" state="frozen"/>
      <selection activeCell="F5" sqref="F5"/>
      <selection pane="bottomLeft" activeCell="C8" sqref="C8:C14"/>
    </sheetView>
  </sheetViews>
  <sheetFormatPr defaultColWidth="9.140625" defaultRowHeight="11.25" customHeight="1" x14ac:dyDescent="0.2"/>
  <cols>
    <col min="1" max="1" width="3.140625" style="1" customWidth="1"/>
    <col min="2" max="2" width="13.28515625" style="1" bestFit="1" customWidth="1"/>
    <col min="3" max="3" width="13.28515625" style="1" customWidth="1"/>
    <col min="4" max="4" width="8.42578125" style="1" customWidth="1"/>
    <col min="5" max="5" width="9.28515625" style="1" bestFit="1" customWidth="1"/>
    <col min="6" max="7" width="1.7109375" style="1" customWidth="1"/>
    <col min="8" max="9" width="9.140625" style="1"/>
    <col min="10" max="10" width="4.28515625" style="1" customWidth="1"/>
    <col min="11" max="16384" width="9.140625" style="1"/>
  </cols>
  <sheetData>
    <row r="1" spans="1:11" ht="11.25" customHeight="1" x14ac:dyDescent="0.2">
      <c r="B1" s="1572" t="s">
        <v>1988</v>
      </c>
      <c r="C1" s="40" t="s">
        <v>2018</v>
      </c>
    </row>
    <row r="2" spans="1:11" x14ac:dyDescent="0.2">
      <c r="H2" s="2255" t="s">
        <v>2017</v>
      </c>
      <c r="I2" s="2255"/>
    </row>
    <row r="3" spans="1:11" ht="11.25" customHeight="1" x14ac:dyDescent="0.2">
      <c r="C3" s="1559" t="s">
        <v>159</v>
      </c>
      <c r="D3" s="1560" t="s">
        <v>198</v>
      </c>
      <c r="E3" s="1561" t="s">
        <v>2010</v>
      </c>
      <c r="H3" s="1573" t="s">
        <v>198</v>
      </c>
      <c r="I3" s="1574" t="s">
        <v>2010</v>
      </c>
      <c r="K3" s="1598" t="s">
        <v>2019</v>
      </c>
    </row>
    <row r="4" spans="1:11" ht="11.25" customHeight="1" x14ac:dyDescent="0.2">
      <c r="A4" s="1583" t="s">
        <v>481</v>
      </c>
      <c r="B4" s="1583" t="s">
        <v>479</v>
      </c>
      <c r="C4" s="1563" t="str" cm="1">
        <f t="array" ref="C4">INDEX([1]!Range_Incentive_Name,1,IF(Input_Ratesheet_Source="Corr1",1,IF(Input_Ratesheet_Source="Corr2",2,IF(Input_Ratesheet_Source="Corr3",3,IF(Input_Ratesheet_Source="CorrND",4,IF(Input_Ratesheet_Source="Whol",5,IF(Input_Ratesheet_Source="Retl",6,0)))))))</f>
        <v>NonQM OO</v>
      </c>
      <c r="D4" s="1564" t="e" cm="1">
        <f t="array" ref="D4">INDEX([1]!Range_Incentive_Spread,1,IF(Input_Ratesheet_Source="Corr1",1,IF(Input_Ratesheet_Source="Corr2",2,IF(Input_Ratesheet_Source="Corr3",3,IF(Input_Ratesheet_Source="CorrND",4,IF(Input_Ratesheet_Source="Whol",5,IF(Input_Ratesheet_Source="Retl",6,0)))))))+Input_PL_Incentive_Add_PN</f>
        <v>#N/A</v>
      </c>
      <c r="E4" s="1565" cm="1">
        <f t="array" ref="E4">INDEX([1]!Range_Incentive_MaxPriceAdj,1,IF(Input_Ratesheet_Source="Corr1",1,IF(Input_Ratesheet_Source="Corr2",2,IF(Input_Ratesheet_Source="Corr3",3,IF(Input_Ratesheet_Source="CorrND",4,IF(Input_Ratesheet_Source="Whol",5,IF(Input_Ratesheet_Source="Retl",6,0)))))))+Input_PL_IncentiveMaxAdj_Add_PN</f>
        <v>0</v>
      </c>
      <c r="H4" s="1575" t="e">
        <v>#N/A</v>
      </c>
      <c r="I4" s="1576">
        <v>0</v>
      </c>
      <c r="K4" s="1562" t="s">
        <v>1991</v>
      </c>
    </row>
    <row r="5" spans="1:11" ht="11.25" customHeight="1" x14ac:dyDescent="0.2">
      <c r="A5" s="1584" t="s">
        <v>377</v>
      </c>
      <c r="B5" s="1584" t="s">
        <v>480</v>
      </c>
      <c r="C5" s="1566" t="str" cm="1">
        <f t="array" ref="C5">INDEX([1]!Range_Incentive_Name,2,IF(Input_Ratesheet_Source="Corr1",1,IF(Input_Ratesheet_Source="Corr2",2,IF(Input_Ratesheet_Source="Corr3",3,IF(Input_Ratesheet_Source="CorrND",4,IF(Input_Ratesheet_Source="Whol",5,IF(Input_Ratesheet_Source="Retl",6,0)))))))</f>
        <v>NonQM NOO</v>
      </c>
      <c r="D5" s="1567" t="e" cm="1">
        <f t="array" ref="D5">INDEX([1]!Range_Incentive_Spread,2,IF(Input_Ratesheet_Source="Corr1",1,IF(Input_Ratesheet_Source="Corr2",2,IF(Input_Ratesheet_Source="Corr3",3,IF(Input_Ratesheet_Source="CorrND",4,IF(Input_Ratesheet_Source="Whol",5,IF(Input_Ratesheet_Source="Retl",6,0)))))))+Input_PL_Incentive_Add_IN</f>
        <v>#N/A</v>
      </c>
      <c r="E5" s="1568" cm="1">
        <f t="array" ref="E5">INDEX([1]!Range_Incentive_MaxPriceAdj,2,IF(Input_Ratesheet_Source="Corr1",1,IF(Input_Ratesheet_Source="Corr2",2,IF(Input_Ratesheet_Source="Corr3",3,IF(Input_Ratesheet_Source="CorrND",4,IF(Input_Ratesheet_Source="Whol",5,IF(Input_Ratesheet_Source="Retl",6,0)))))))+Input_PL_IncentiveMaxAdj_Add_IN</f>
        <v>0</v>
      </c>
      <c r="H5" s="1577" t="e">
        <v>#N/A</v>
      </c>
      <c r="I5" s="1578">
        <v>0</v>
      </c>
      <c r="K5" s="1593" t="s">
        <v>1986</v>
      </c>
    </row>
    <row r="6" spans="1:11" ht="11.25" customHeight="1" x14ac:dyDescent="0.2">
      <c r="A6" s="1585" t="s">
        <v>398</v>
      </c>
      <c r="B6" s="1585" t="s">
        <v>1066</v>
      </c>
      <c r="C6" s="1563" t="str" cm="1">
        <f t="array" ref="C6">INDEX([1]!Range_Incentive_Name,3,IF(Input_Ratesheet_Source="Corr1",1,IF(Input_Ratesheet_Source="Corr2",2,IF(Input_Ratesheet_Source="Corr3",3,IF(Input_Ratesheet_Source="CorrND",4,IF(Input_Ratesheet_Source="Whol",5,IF(Input_Ratesheet_Source="Retl",6,0)))))))</f>
        <v>Second OO</v>
      </c>
      <c r="D6" s="1564" cm="1">
        <f t="array" ref="D6">INDEX([1]!Range_Incentive_Spread,3,IF(Input_Ratesheet_Source="Corr1",1,IF(Input_Ratesheet_Source="Corr2",2,IF(Input_Ratesheet_Source="Corr3",3,IF(Input_Ratesheet_Source="CorrND",4,IF(Input_Ratesheet_Source="Whol",5,IF(Input_Ratesheet_Source="Retl",6,0)))))))+Input_PL_Incentive_Add_PR</f>
        <v>-2</v>
      </c>
      <c r="E6" s="1565" cm="1">
        <f t="array" ref="E6">INDEX([1]!Range_Incentive_MaxPriceAdj,3,IF(Input_Ratesheet_Source="Corr1",1,IF(Input_Ratesheet_Source="Corr2",2,IF(Input_Ratesheet_Source="Corr3",3,IF(Input_Ratesheet_Source="CorrND",4,IF(Input_Ratesheet_Source="Whol",5,IF(Input_Ratesheet_Source="Retl",6,0)))))))+Input_PL_IncentiveMaxAdj_Add_PR</f>
        <v>-1.5</v>
      </c>
      <c r="H6" s="1579">
        <v>-2</v>
      </c>
      <c r="I6" s="1580">
        <v>-1.5</v>
      </c>
      <c r="K6" s="1594" t="s">
        <v>1987</v>
      </c>
    </row>
    <row r="7" spans="1:11" ht="11.25" customHeight="1" x14ac:dyDescent="0.2">
      <c r="A7" s="1586" t="s">
        <v>482</v>
      </c>
      <c r="B7" s="1586" t="s">
        <v>1067</v>
      </c>
      <c r="C7" s="1569" t="str" cm="1">
        <f t="array" ref="C7">INDEX([1]!Range_Incentive_Name,4,IF(Input_Ratesheet_Source="Corr1",1,IF(Input_Ratesheet_Source="Corr2",2,IF(Input_Ratesheet_Source="Corr3",3,IF(Input_Ratesheet_Source="CorrND",4,IF(Input_Ratesheet_Source="Whol",5,IF(Input_Ratesheet_Source="Retl",6,0)))))))</f>
        <v>Second NOO</v>
      </c>
      <c r="D7" s="1570" cm="1">
        <f t="array" ref="D7">INDEX([1]!Range_Incentive_Spread,4,IF(Input_Ratesheet_Source="Corr1",1,IF(Input_Ratesheet_Source="Corr2",2,IF(Input_Ratesheet_Source="Corr3",3,IF(Input_Ratesheet_Source="CorrND",4,IF(Input_Ratesheet_Source="Whol",5,IF(Input_Ratesheet_Source="Retl",6,0)))))))+Input_PL_Incentive_Add_IR</f>
        <v>-2</v>
      </c>
      <c r="E7" s="1571" cm="1">
        <f t="array" ref="E7">INDEX([1]!Range_Incentive_MaxPriceAdj,4,IF(Input_Ratesheet_Source="Corr1",1,IF(Input_Ratesheet_Source="Corr2",2,IF(Input_Ratesheet_Source="Corr3",3,IF(Input_Ratesheet_Source="CorrND",4,IF(Input_Ratesheet_Source="Whol",5,IF(Input_Ratesheet_Source="Retl",6,0)))))))+Input_PL_IncentiveMaxAdj_Add_IR</f>
        <v>-1</v>
      </c>
      <c r="H7" s="1581">
        <v>-2</v>
      </c>
      <c r="I7" s="1582">
        <v>-1</v>
      </c>
      <c r="K7" s="1594" t="s">
        <v>1988</v>
      </c>
    </row>
    <row r="8" spans="1:11" ht="11.25" customHeight="1" x14ac:dyDescent="0.2">
      <c r="B8" s="1587" t="s">
        <v>511</v>
      </c>
      <c r="C8" s="2018" t="s">
        <v>76</v>
      </c>
      <c r="D8" s="1" t="s">
        <v>76</v>
      </c>
      <c r="K8" s="1595" t="s">
        <v>1989</v>
      </c>
    </row>
    <row r="9" spans="1:11" ht="11.25" customHeight="1" x14ac:dyDescent="0.2">
      <c r="B9" s="1588" t="s">
        <v>1065</v>
      </c>
      <c r="C9" s="2019" t="s">
        <v>2519</v>
      </c>
      <c r="D9" s="1" t="s">
        <v>76</v>
      </c>
      <c r="K9" s="1596" t="s">
        <v>1990</v>
      </c>
    </row>
    <row r="10" spans="1:11" ht="11.25" customHeight="1" x14ac:dyDescent="0.2">
      <c r="B10" s="1589" t="s">
        <v>194</v>
      </c>
      <c r="C10" s="2020" t="s">
        <v>2520</v>
      </c>
      <c r="D10" s="1" t="s">
        <v>76</v>
      </c>
      <c r="K10" s="1597" t="s">
        <v>1992</v>
      </c>
    </row>
    <row r="11" spans="1:11" ht="11.25" customHeight="1" x14ac:dyDescent="0.2">
      <c r="B11" s="1590" t="s">
        <v>450</v>
      </c>
      <c r="C11" s="2021" t="s">
        <v>2521</v>
      </c>
      <c r="D11" s="1" t="s">
        <v>76</v>
      </c>
    </row>
    <row r="12" spans="1:11" ht="11.25" customHeight="1" x14ac:dyDescent="0.2">
      <c r="B12" s="1589" t="s">
        <v>195</v>
      </c>
      <c r="C12" s="2022" t="s">
        <v>2522</v>
      </c>
      <c r="D12" s="1" t="s">
        <v>76</v>
      </c>
    </row>
    <row r="13" spans="1:11" ht="11.25" customHeight="1" x14ac:dyDescent="0.2">
      <c r="B13" s="1591" t="s">
        <v>196</v>
      </c>
      <c r="C13" s="2020" t="s">
        <v>2523</v>
      </c>
      <c r="D13" s="1" t="s">
        <v>76</v>
      </c>
    </row>
    <row r="14" spans="1:11" ht="11.25" customHeight="1" x14ac:dyDescent="0.2">
      <c r="B14" s="1592" t="s">
        <v>197</v>
      </c>
      <c r="C14" s="2023" t="s">
        <v>2524</v>
      </c>
      <c r="D14" s="1" t="s">
        <v>76</v>
      </c>
    </row>
  </sheetData>
  <sheetProtection algorithmName="SHA-512" hashValue="JG/w08Qz4dh5rxDolZLh1bU1srnMlvhoEhRSB7hD1aOVT66zzsw7FuBto2AeTcZbpZMEOLrgxqEZdjZO4ivFng==" saltValue="QQjbEg2SWI+B6wr6uGQSuQ==" spinCount="100000" sheet="1" objects="1" scenarios="1"/>
  <mergeCells count="1">
    <mergeCell ref="H2:I2"/>
  </mergeCells>
  <dataValidations count="1">
    <dataValidation type="list" allowBlank="1" showInputMessage="1" showErrorMessage="1" sqref="B1" xr:uid="{2B27B380-301D-4940-AD82-C135F4502650}">
      <formula1>List_Name_Channel</formula1>
    </dataValidation>
  </dataValidations>
  <pageMargins left="0.7" right="0.7" top="0.75" bottom="0.75" header="0.3" footer="0.3"/>
  <pageSetup orientation="portrait" r:id="rId1"/>
  <ignoredErrors>
    <ignoredError sqref="E8 G7 E9:F9 G4 G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622</vt:i4>
      </vt:variant>
    </vt:vector>
  </HeadingPairs>
  <TitlesOfParts>
    <vt:vector size="629" baseType="lpstr">
      <vt:lpstr>Price</vt:lpstr>
      <vt:lpstr>Structure</vt:lpstr>
      <vt:lpstr>Elig</vt:lpstr>
      <vt:lpstr>EligOverlay</vt:lpstr>
      <vt:lpstr>Output</vt:lpstr>
      <vt:lpstr>LoanTest</vt:lpstr>
      <vt:lpstr>Input</vt:lpstr>
      <vt:lpstr>AAA_Change_vs_Price_Multiplier</vt:lpstr>
      <vt:lpstr>Elig_All</vt:lpstr>
      <vt:lpstr>Elig_All_TestMatch</vt:lpstr>
      <vt:lpstr>Elig_AmortTerm</vt:lpstr>
      <vt:lpstr>Elig_AmortType</vt:lpstr>
      <vt:lpstr>Elig_BankStmt</vt:lpstr>
      <vt:lpstr>Elig_BaseLimit_CashoutAmt_Max</vt:lpstr>
      <vt:lpstr>Elig_BaseLimit_CredScore_Min</vt:lpstr>
      <vt:lpstr>Elig_BaseLimit_DSCR_Min</vt:lpstr>
      <vt:lpstr>Elig_BaseLimit_DTI_Max</vt:lpstr>
      <vt:lpstr>Elig_BaseLimit_LoanAmt_Max</vt:lpstr>
      <vt:lpstr>Elig_BaseLimit_LTV_Max</vt:lpstr>
      <vt:lpstr>Elig_BaseLimit_Reserves_Min</vt:lpstr>
      <vt:lpstr>Elig_CashoutAmt_Max</vt:lpstr>
      <vt:lpstr>Elig_CashoutAmt_Min</vt:lpstr>
      <vt:lpstr>Elig_Citizenship</vt:lpstr>
      <vt:lpstr>Elig_CreditHistory</vt:lpstr>
      <vt:lpstr>Elig_CreditScore_Max</vt:lpstr>
      <vt:lpstr>Elig_CreditScore_Min</vt:lpstr>
      <vt:lpstr>Elig_DocType</vt:lpstr>
      <vt:lpstr>Elig_DSCR_Max</vt:lpstr>
      <vt:lpstr>Elig_DSCR_Min</vt:lpstr>
      <vt:lpstr>Elig_DTI_Max</vt:lpstr>
      <vt:lpstr>Elig_DTI_Min</vt:lpstr>
      <vt:lpstr>Elig_FinalLimit_CashoutAmt_Max</vt:lpstr>
      <vt:lpstr>Elig_FinalLimit_CredScore_Min</vt:lpstr>
      <vt:lpstr>Elig_FinalLimit_DSCR_Min</vt:lpstr>
      <vt:lpstr>Elig_FinalLimit_DTI_Max</vt:lpstr>
      <vt:lpstr>Elig_FinalLimit_LoanAmt_Max</vt:lpstr>
      <vt:lpstr>Elig_FinalLimit_LTV_Max</vt:lpstr>
      <vt:lpstr>Elig_FinalLimit_Reserves_Min</vt:lpstr>
      <vt:lpstr>Elig_FindMatrixMatch_All</vt:lpstr>
      <vt:lpstr>Elig_FindMatrixMatch_LTVMax</vt:lpstr>
      <vt:lpstr>Elig_FindMatrixMatch_Program</vt:lpstr>
      <vt:lpstr>Elig_FirstTimeHomeBuyer</vt:lpstr>
      <vt:lpstr>Elig_HousingHistory</vt:lpstr>
      <vt:lpstr>Elig_ID</vt:lpstr>
      <vt:lpstr>Elig_LoanAmt_Max</vt:lpstr>
      <vt:lpstr>Elig_LoanAmt_Min</vt:lpstr>
      <vt:lpstr>Elig_LTV_Max</vt:lpstr>
      <vt:lpstr>Elig_LTV_Min</vt:lpstr>
      <vt:lpstr>Elig_MatchAll_Ct</vt:lpstr>
      <vt:lpstr>Elig_MatchAll_Row</vt:lpstr>
      <vt:lpstr>Elig_MatchCount</vt:lpstr>
      <vt:lpstr>Elig_MatchCountLTV</vt:lpstr>
      <vt:lpstr>Elig_MatchCountMult</vt:lpstr>
      <vt:lpstr>Elig_MatchCountMultResults</vt:lpstr>
      <vt:lpstr>Elig_MatchFindLTV_Ct</vt:lpstr>
      <vt:lpstr>Elig_MatchFindLTV_Row</vt:lpstr>
      <vt:lpstr>Elig_MatchFindProgram_Ct</vt:lpstr>
      <vt:lpstr>Elig_MatchFindProgram_Row</vt:lpstr>
      <vt:lpstr>Elig_MatrixLimit_LTV_Max</vt:lpstr>
      <vt:lpstr>Elig_Msg</vt:lpstr>
      <vt:lpstr>Elig_Occupancy</vt:lpstr>
      <vt:lpstr>Elig_OverlayBaseReductionRange_LTV</vt:lpstr>
      <vt:lpstr>Elig_OverlayLimit_CashoutAmt_Max</vt:lpstr>
      <vt:lpstr>Elig_OverlayLimit_CredScore_Min</vt:lpstr>
      <vt:lpstr>Elig_OverlayLimit_DSCR_Min</vt:lpstr>
      <vt:lpstr>Elig_OverlayLimit_DTI_Max</vt:lpstr>
      <vt:lpstr>Elig_OverlayLimit_LoanAmt_Max</vt:lpstr>
      <vt:lpstr>Elig_OverlayLimit_LTV_Max</vt:lpstr>
      <vt:lpstr>Elig_OverlayLimit_Reserves_Min</vt:lpstr>
      <vt:lpstr>Elig_OverlayLTVMatrix_Reduction</vt:lpstr>
      <vt:lpstr>Elig_OverlayLTVMatrix_ReductionReason</vt:lpstr>
      <vt:lpstr>Elig_OverlayMessage_All</vt:lpstr>
      <vt:lpstr>Elig_OverlayMessage_CashoutAmt_Max</vt:lpstr>
      <vt:lpstr>Elig_OverlayMessage_CredScore_Min</vt:lpstr>
      <vt:lpstr>Elig_OverlayMessage_DSCR_Min</vt:lpstr>
      <vt:lpstr>Elig_OverlayMessage_DTI_Max</vt:lpstr>
      <vt:lpstr>Elig_OverlayMessage_LoanAmt_Max</vt:lpstr>
      <vt:lpstr>Elig_OverlayMessage_LTV_Max</vt:lpstr>
      <vt:lpstr>Elig_OverlayMessage_Reserves_Min</vt:lpstr>
      <vt:lpstr>Elig_OverlayMsg_CashoutAmt</vt:lpstr>
      <vt:lpstr>Elig_OverlayMsg_CredScore</vt:lpstr>
      <vt:lpstr>Elig_OverlayMsg_DSCR</vt:lpstr>
      <vt:lpstr>Elig_OverlayMsg_DTI</vt:lpstr>
      <vt:lpstr>Elig_OverlayMsg_LoanAmt</vt:lpstr>
      <vt:lpstr>Elig_OverlayMsg_LTV</vt:lpstr>
      <vt:lpstr>Elig_OverlayMsg_Reserves</vt:lpstr>
      <vt:lpstr>Elig_OverlayRange_CashoutAmt</vt:lpstr>
      <vt:lpstr>Elig_OverlayRange_CredScore</vt:lpstr>
      <vt:lpstr>Elig_OverlayRange_DSCR</vt:lpstr>
      <vt:lpstr>Elig_OverlayRange_DTI</vt:lpstr>
      <vt:lpstr>Elig_OverlayRange_LoanAmt</vt:lpstr>
      <vt:lpstr>Elig_OverlayRange_LTV</vt:lpstr>
      <vt:lpstr>Elig_OverlayRange_Reason</vt:lpstr>
      <vt:lpstr>Elig_OverlayRange_Reserves</vt:lpstr>
      <vt:lpstr>Elig_OverlayReason_CashoutAmt_Max</vt:lpstr>
      <vt:lpstr>Elig_OverlayReason_CredScore_Min</vt:lpstr>
      <vt:lpstr>Elig_OverlayReason_DSCR_Min</vt:lpstr>
      <vt:lpstr>Elig_OverlayReason_DTI_Max</vt:lpstr>
      <vt:lpstr>Elig_OverlayReason_LoanAmt_Max</vt:lpstr>
      <vt:lpstr>Elig_OverlayReason_LTV_Max</vt:lpstr>
      <vt:lpstr>Elig_OverlayReason_Reserves_Min</vt:lpstr>
      <vt:lpstr>Elig_PrepayPenalty</vt:lpstr>
      <vt:lpstr>Elig_Product</vt:lpstr>
      <vt:lpstr>Elig_PropType</vt:lpstr>
      <vt:lpstr>Elig_Purpose</vt:lpstr>
      <vt:lpstr>Elig_Reserves_Max</vt:lpstr>
      <vt:lpstr>Elig_Reserves_Min</vt:lpstr>
      <vt:lpstr>Elig_Servicing</vt:lpstr>
      <vt:lpstr>Elig_State</vt:lpstr>
      <vt:lpstr>Elig_Total_LTV_OverlayReduction</vt:lpstr>
      <vt:lpstr>Eligible_AmortType</vt:lpstr>
      <vt:lpstr>Eligible_State</vt:lpstr>
      <vt:lpstr>Error_AmortTerm</vt:lpstr>
      <vt:lpstr>Error_BankStmt</vt:lpstr>
      <vt:lpstr>Error_CashoutAmt</vt:lpstr>
      <vt:lpstr>Error_Citizenship</vt:lpstr>
      <vt:lpstr>Error_DocType</vt:lpstr>
      <vt:lpstr>Error_DSCR</vt:lpstr>
      <vt:lpstr>Error_DTI</vt:lpstr>
      <vt:lpstr>Error_Employment</vt:lpstr>
      <vt:lpstr>Error_NoteRate</vt:lpstr>
      <vt:lpstr>Error_PrepayPenalty</vt:lpstr>
      <vt:lpstr>Error_ReservesMonths</vt:lpstr>
      <vt:lpstr>Find_MarginGross01</vt:lpstr>
      <vt:lpstr>Find_MarginGross02</vt:lpstr>
      <vt:lpstr>Find_NoteRate_Max</vt:lpstr>
      <vt:lpstr>Find_NoteRate_Min</vt:lpstr>
      <vt:lpstr>Find_NoteRate01</vt:lpstr>
      <vt:lpstr>Find_NoteRate02</vt:lpstr>
      <vt:lpstr>Find_NoteRatePrice01</vt:lpstr>
      <vt:lpstr>Find_NoteRatePrice02</vt:lpstr>
      <vt:lpstr>Find_PriceGross01</vt:lpstr>
      <vt:lpstr>Find_PriceGross02</vt:lpstr>
      <vt:lpstr>Find_RatePriceGross01</vt:lpstr>
      <vt:lpstr>Find_RatePriceGross02</vt:lpstr>
      <vt:lpstr>Format_Fld</vt:lpstr>
      <vt:lpstr>HC_Fed_APR_1st_1_APORSpread</vt:lpstr>
      <vt:lpstr>HC_Fed_APR_1st_1_LnAmt_Max</vt:lpstr>
      <vt:lpstr>HC_Fed_APR_1st_1_LnAmt_Min</vt:lpstr>
      <vt:lpstr>HC_Fed_APR_1st_2_APORSpread</vt:lpstr>
      <vt:lpstr>HC_Fed_APR_1st_2_LnAmt_Max</vt:lpstr>
      <vt:lpstr>HC_Fed_APR_1st_2_LnAmt_Min</vt:lpstr>
      <vt:lpstr>HC_Fed_APR_2nd_APORSpread</vt:lpstr>
      <vt:lpstr>HC_Fed_APR_2nd_LnAmt_Max</vt:lpstr>
      <vt:lpstr>HC_Fed_APR_2nd_LnAmt_Min</vt:lpstr>
      <vt:lpstr>HC_Fed_APR_Threshold</vt:lpstr>
      <vt:lpstr>HC_Fed_PtsFees_1_FeeAmt</vt:lpstr>
      <vt:lpstr>HC_Fed_PtsFees_1_FeePct</vt:lpstr>
      <vt:lpstr>HC_Fed_PtsFees_1_LnAmt_Max</vt:lpstr>
      <vt:lpstr>HC_Fed_PtsFees_1_LnAmt_Min</vt:lpstr>
      <vt:lpstr>HC_Fed_PtsFees_2_FeePct</vt:lpstr>
      <vt:lpstr>HC_Fed_PtsFees_2_LnAmt_Max</vt:lpstr>
      <vt:lpstr>HC_Fed_PtsFees_2_LnAmt_Min</vt:lpstr>
      <vt:lpstr>HC_Fed_PtsFees_Threshold</vt:lpstr>
      <vt:lpstr>HC_State_APR_1st_IndexSpread</vt:lpstr>
      <vt:lpstr>HC_State_APR_1st_LnAmt_Max</vt:lpstr>
      <vt:lpstr>HC_State_APR_1st_LnAmt_Min</vt:lpstr>
      <vt:lpstr>HC_State_APR_1st_Occ</vt:lpstr>
      <vt:lpstr>HC_State_APR_1st_Purpose</vt:lpstr>
      <vt:lpstr>HC_State_APR_2nd_IndexSpread</vt:lpstr>
      <vt:lpstr>HC_State_APR_2nd_LnAmt_Max</vt:lpstr>
      <vt:lpstr>HC_State_APR_2nd_LnAmt_Min</vt:lpstr>
      <vt:lpstr>HC_State_APR_2nd_Occ</vt:lpstr>
      <vt:lpstr>HC_State_APR_2nd_Purpose</vt:lpstr>
      <vt:lpstr>HC_State_APR_Index</vt:lpstr>
      <vt:lpstr>HC_State_APR_IndexType</vt:lpstr>
      <vt:lpstr>HC_State_APR_Threshold</vt:lpstr>
      <vt:lpstr>HC_State_APR_ThresholdIndex</vt:lpstr>
      <vt:lpstr>HC_State_HighCost_HELOCExclude</vt:lpstr>
      <vt:lpstr>HC_State_PtsFees_FeePct</vt:lpstr>
      <vt:lpstr>HC_State_PtsFees_LnAmt_Max</vt:lpstr>
      <vt:lpstr>HC_State_PtsFees_LnAmt_Min</vt:lpstr>
      <vt:lpstr>HC_State_PtsFees_Occ</vt:lpstr>
      <vt:lpstr>HC_State_PtsFees_Purpose</vt:lpstr>
      <vt:lpstr>HC_State_PtsFees_Threshold</vt:lpstr>
      <vt:lpstr>HP_Fed_APR_1st_APORSpread</vt:lpstr>
      <vt:lpstr>HP_Fed_APR_2nd_APORSpread</vt:lpstr>
      <vt:lpstr>HP_Fed_APR_Threshold</vt:lpstr>
      <vt:lpstr>Input_ActionRequest</vt:lpstr>
      <vt:lpstr>Input_AmortTerm</vt:lpstr>
      <vt:lpstr>Input_AmortType</vt:lpstr>
      <vt:lpstr>Input_APOR</vt:lpstr>
      <vt:lpstr>Input_APOR_Dt</vt:lpstr>
      <vt:lpstr>Input_BankStmt</vt:lpstr>
      <vt:lpstr>Input_BorrowerName</vt:lpstr>
      <vt:lpstr>Input_Calc_APRTotalFees</vt:lpstr>
      <vt:lpstr>Input_Calc_APRTotalFeesPct</vt:lpstr>
      <vt:lpstr>Input_CashoutAmt</vt:lpstr>
      <vt:lpstr>Input_Citizenship</vt:lpstr>
      <vt:lpstr>Input_CompensationType</vt:lpstr>
      <vt:lpstr>Input_CreditHistory</vt:lpstr>
      <vt:lpstr>Input_CreditScore</vt:lpstr>
      <vt:lpstr>Input_Date</vt:lpstr>
      <vt:lpstr>Input_Disclaimer_01</vt:lpstr>
      <vt:lpstr>Input_Disclaimer_Pricer_01</vt:lpstr>
      <vt:lpstr>Input_Disclaimer_Pricer_02</vt:lpstr>
      <vt:lpstr>Input_DocType</vt:lpstr>
      <vt:lpstr>Input_DocTypeCode</vt:lpstr>
      <vt:lpstr>Input_DSCR</vt:lpstr>
      <vt:lpstr>Input_DTI</vt:lpstr>
      <vt:lpstr>Input_Employment</vt:lpstr>
      <vt:lpstr>Input_Fees_Monthly</vt:lpstr>
      <vt:lpstr>Input_Fees_Points</vt:lpstr>
      <vt:lpstr>Input_Fees_Upfront3rdParty</vt:lpstr>
      <vt:lpstr>Input_Fees_UpfrontBroker</vt:lpstr>
      <vt:lpstr>Input_Fees_UpfrontLender</vt:lpstr>
      <vt:lpstr>Input_Fees_UpfrontOther</vt:lpstr>
      <vt:lpstr>Input_Fees_UpfrontPrepaidInterest</vt:lpstr>
      <vt:lpstr>Input_Fees_UpfrontPrepaidInterestDays</vt:lpstr>
      <vt:lpstr>Input_FirstTimeHomeBuyer</vt:lpstr>
      <vt:lpstr>Input_Header01</vt:lpstr>
      <vt:lpstr>Input_Header02</vt:lpstr>
      <vt:lpstr>Input_Header03</vt:lpstr>
      <vt:lpstr>Input_Header04</vt:lpstr>
      <vt:lpstr>Input_Header05</vt:lpstr>
      <vt:lpstr>Input_Header06</vt:lpstr>
      <vt:lpstr>Input_Header07</vt:lpstr>
      <vt:lpstr>Input_HousingHistory</vt:lpstr>
      <vt:lpstr>Input_LoanAmt</vt:lpstr>
      <vt:lpstr>Input_LoanAmt_NewLien</vt:lpstr>
      <vt:lpstr>Input_LoanAmt_OtherLien</vt:lpstr>
      <vt:lpstr>Input_LockTerm</vt:lpstr>
      <vt:lpstr>Input_LockType</vt:lpstr>
      <vt:lpstr>Input_LTV</vt:lpstr>
      <vt:lpstr>Input_LTV_OtherLien</vt:lpstr>
      <vt:lpstr>Input_Name_Calculator</vt:lpstr>
      <vt:lpstr>Input_Name_ClassA</vt:lpstr>
      <vt:lpstr>Input_Name_ClassC</vt:lpstr>
      <vt:lpstr>Input_Name_Pricer</vt:lpstr>
      <vt:lpstr>Input_Name_Product1</vt:lpstr>
      <vt:lpstr>Input_Name_Product2</vt:lpstr>
      <vt:lpstr>Input_Name_Product4</vt:lpstr>
      <vt:lpstr>Input_Name_Product5</vt:lpstr>
      <vt:lpstr>Input_NoteRate</vt:lpstr>
      <vt:lpstr>Input_NoteRate_Calc</vt:lpstr>
      <vt:lpstr>Input_NoteRate_NewLien</vt:lpstr>
      <vt:lpstr>Input_NoteRate_OtherLien</vt:lpstr>
      <vt:lpstr>Input_Occupancy</vt:lpstr>
      <vt:lpstr>Input_Payment</vt:lpstr>
      <vt:lpstr>Input_PL_Incentive_Add_IN</vt:lpstr>
      <vt:lpstr>Input_PL_Incentive_Add_IR</vt:lpstr>
      <vt:lpstr>Input_PL_Incentive_Add_PN</vt:lpstr>
      <vt:lpstr>Input_PL_Incentive_Add_PR</vt:lpstr>
      <vt:lpstr>Input_PL_Incentive_IN</vt:lpstr>
      <vt:lpstr>Input_PL_Incentive_IR</vt:lpstr>
      <vt:lpstr>Input_PL_Incentive_PN</vt:lpstr>
      <vt:lpstr>Input_PL_Incentive_PR</vt:lpstr>
      <vt:lpstr>Input_PL_IncentiveMaxAdj_Add_IN</vt:lpstr>
      <vt:lpstr>Input_PL_IncentiveMaxAdj_Add_IR</vt:lpstr>
      <vt:lpstr>Input_PL_IncentiveMaxAdj_Add_PN</vt:lpstr>
      <vt:lpstr>Input_PL_IncentiveMaxAdj_Add_PR</vt:lpstr>
      <vt:lpstr>Input_PL_IncentiveMaxAdj_IN</vt:lpstr>
      <vt:lpstr>Input_PL_IncentiveMaxAdj_IR</vt:lpstr>
      <vt:lpstr>Input_PL_IncentiveMaxAdj_LenderPaidComp</vt:lpstr>
      <vt:lpstr>Input_PL_IncentiveMaxAdj_PN</vt:lpstr>
      <vt:lpstr>Input_PL_IncentiveMaxAdj_PR</vt:lpstr>
      <vt:lpstr>Input_PL_MaxPriceBase_IN_01PP</vt:lpstr>
      <vt:lpstr>Input_PL_MaxPriceBase_IN_02PP</vt:lpstr>
      <vt:lpstr>Input_PL_MaxPriceBase_IN_03PP</vt:lpstr>
      <vt:lpstr>Input_PL_MaxPriceBase_IN_04PP</vt:lpstr>
      <vt:lpstr>Input_PL_MaxPriceBase_IN_05PP</vt:lpstr>
      <vt:lpstr>Input_PL_MaxPriceBase_IN_NoPP</vt:lpstr>
      <vt:lpstr>Input_PL_MaxPriceBase_IR_01PP</vt:lpstr>
      <vt:lpstr>Input_PL_MaxPriceBase_IR_02PP</vt:lpstr>
      <vt:lpstr>Input_PL_MaxPriceBase_IR_03PP</vt:lpstr>
      <vt:lpstr>Input_PL_MaxPriceBase_IR_04PP</vt:lpstr>
      <vt:lpstr>Input_PL_MaxPriceBase_IR_05PP</vt:lpstr>
      <vt:lpstr>Input_PL_MaxPriceBase_IR_NoPP</vt:lpstr>
      <vt:lpstr>Input_PL_MaxPriceBase_PN_NoPP</vt:lpstr>
      <vt:lpstr>Input_PL_MaxPriceBase_PR_NoPP</vt:lpstr>
      <vt:lpstr>Input_PL_MaxPriceFinal_IN_01PP</vt:lpstr>
      <vt:lpstr>Input_PL_MaxPriceFinal_IN_02PP</vt:lpstr>
      <vt:lpstr>Input_PL_MaxPriceFinal_IN_03PP</vt:lpstr>
      <vt:lpstr>Input_PL_MaxPriceFinal_IN_04PP</vt:lpstr>
      <vt:lpstr>Input_PL_MaxPriceFinal_IN_05PP</vt:lpstr>
      <vt:lpstr>Input_PL_MaxPriceFinal_IN_NoPP</vt:lpstr>
      <vt:lpstr>Input_PL_MaxPriceFinal_IR_01PP</vt:lpstr>
      <vt:lpstr>Input_PL_MaxPriceFinal_IR_02PP</vt:lpstr>
      <vt:lpstr>Input_PL_MaxPriceFinal_IR_03PP</vt:lpstr>
      <vt:lpstr>Input_PL_MaxPriceFinal_IR_04PP</vt:lpstr>
      <vt:lpstr>Input_PL_MaxPriceFinal_IR_05PP</vt:lpstr>
      <vt:lpstr>Input_PL_MaxPriceFinal_IR_NoPP</vt:lpstr>
      <vt:lpstr>Input_PL_MaxPriceFinal_PN_NoPP</vt:lpstr>
      <vt:lpstr>Input_PL_MaxPriceFinal_PR_NoPP</vt:lpstr>
      <vt:lpstr>Input_PrepayEnforce_Type</vt:lpstr>
      <vt:lpstr>Input_PrepayPenalty</vt:lpstr>
      <vt:lpstr>Input_Price_CompensationType</vt:lpstr>
      <vt:lpstr>Input_Price_Target</vt:lpstr>
      <vt:lpstr>Input_PriceNegotiated</vt:lpstr>
      <vt:lpstr>Input_PriceNegotiatedDesc</vt:lpstr>
      <vt:lpstr>Input_Pricing_Type</vt:lpstr>
      <vt:lpstr>Input_Pricing_TypeMult</vt:lpstr>
      <vt:lpstr>Input_Product</vt:lpstr>
      <vt:lpstr>Input_ProductClass</vt:lpstr>
      <vt:lpstr>Input_ProductType</vt:lpstr>
      <vt:lpstr>Input_PropertyAddress</vt:lpstr>
      <vt:lpstr>Input_PropertyCity</vt:lpstr>
      <vt:lpstr>Input_PropertyState</vt:lpstr>
      <vt:lpstr>Input_PropertyType</vt:lpstr>
      <vt:lpstr>Input_PropertyZip</vt:lpstr>
      <vt:lpstr>Input_Purpose</vt:lpstr>
      <vt:lpstr>Input_Ratesheet_Source</vt:lpstr>
      <vt:lpstr>Input_RateSheet_Type</vt:lpstr>
      <vt:lpstr>Input_ReservesMonths</vt:lpstr>
      <vt:lpstr>Input_SellerLoanID</vt:lpstr>
      <vt:lpstr>Input_SellerName</vt:lpstr>
      <vt:lpstr>Input_Servicing</vt:lpstr>
      <vt:lpstr>Input_State</vt:lpstr>
      <vt:lpstr>Input_ValuationType</vt:lpstr>
      <vt:lpstr>Input_Version</vt:lpstr>
      <vt:lpstr>List_ActionRequest</vt:lpstr>
      <vt:lpstr>List_ActionRequest_All</vt:lpstr>
      <vt:lpstr>List_AmortTerm</vt:lpstr>
      <vt:lpstr>List_AmortTerm_Dropdown</vt:lpstr>
      <vt:lpstr>List_AmortTermAll</vt:lpstr>
      <vt:lpstr>List_AmortType</vt:lpstr>
      <vt:lpstr>List_AmortType_All</vt:lpstr>
      <vt:lpstr>List_AVMVendor</vt:lpstr>
      <vt:lpstr>List_AVMVendor_All</vt:lpstr>
      <vt:lpstr>List_AVMVendor_FSDAdj1</vt:lpstr>
      <vt:lpstr>List_AVMVendor_FSDAdj2</vt:lpstr>
      <vt:lpstr>List_AVMVendor_FSDAdj3</vt:lpstr>
      <vt:lpstr>List_BankStmt</vt:lpstr>
      <vt:lpstr>List_BankStmtAll</vt:lpstr>
      <vt:lpstr>List_Citizenship</vt:lpstr>
      <vt:lpstr>List_CompensationType</vt:lpstr>
      <vt:lpstr>List_CreditHistory</vt:lpstr>
      <vt:lpstr>List_CreditHistory_All</vt:lpstr>
      <vt:lpstr>List_CreditScore</vt:lpstr>
      <vt:lpstr>List_CreditScore_All</vt:lpstr>
      <vt:lpstr>List_DocType</vt:lpstr>
      <vt:lpstr>List_DocTypeAll</vt:lpstr>
      <vt:lpstr>List_DSCR</vt:lpstr>
      <vt:lpstr>List_DSCR_All</vt:lpstr>
      <vt:lpstr>List_DTI</vt:lpstr>
      <vt:lpstr>List_DTI_All</vt:lpstr>
      <vt:lpstr>List_Employment</vt:lpstr>
      <vt:lpstr>List_EmploymentAll</vt:lpstr>
      <vt:lpstr>List_FirstTimeHomebuyer</vt:lpstr>
      <vt:lpstr>List_FirstTimeHomebuyerAll</vt:lpstr>
      <vt:lpstr>List_HousingHistory</vt:lpstr>
      <vt:lpstr>List_HousingHistory_All</vt:lpstr>
      <vt:lpstr>List_LoanAmt</vt:lpstr>
      <vt:lpstr>List_LoanAmt_All</vt:lpstr>
      <vt:lpstr>List_LockTerm</vt:lpstr>
      <vt:lpstr>List_LockType</vt:lpstr>
      <vt:lpstr>List_LTV</vt:lpstr>
      <vt:lpstr>List_LTV_All</vt:lpstr>
      <vt:lpstr>List_MaxPricing</vt:lpstr>
      <vt:lpstr>List_MaxPricingAll</vt:lpstr>
      <vt:lpstr>List_Name_Channel</vt:lpstr>
      <vt:lpstr>List_Occupancy</vt:lpstr>
      <vt:lpstr>List_OccupancyAll</vt:lpstr>
      <vt:lpstr>List_Payment</vt:lpstr>
      <vt:lpstr>List_PrepayPenalty</vt:lpstr>
      <vt:lpstr>List_PrepayPenalty_Find</vt:lpstr>
      <vt:lpstr>List_Product</vt:lpstr>
      <vt:lpstr>List_ProductAll</vt:lpstr>
      <vt:lpstr>List_ProductClass</vt:lpstr>
      <vt:lpstr>List_ProductCode</vt:lpstr>
      <vt:lpstr>List_ProductCodeAll</vt:lpstr>
      <vt:lpstr>List_ProductFind</vt:lpstr>
      <vt:lpstr>List_ProductFindAll</vt:lpstr>
      <vt:lpstr>List_PropertyType</vt:lpstr>
      <vt:lpstr>List_PropertyType_Dropdown</vt:lpstr>
      <vt:lpstr>List_PropertyType_Find</vt:lpstr>
      <vt:lpstr>List_PropertyTypeAll</vt:lpstr>
      <vt:lpstr>List_Purpose</vt:lpstr>
      <vt:lpstr>List_Purpose_All</vt:lpstr>
      <vt:lpstr>List_RequiredDocs_Disclosure</vt:lpstr>
      <vt:lpstr>List_RequiredDocs_DocType</vt:lpstr>
      <vt:lpstr>List_RequiredDocs_Recommended</vt:lpstr>
      <vt:lpstr>List_RequiredDocs_Submission</vt:lpstr>
      <vt:lpstr>List_Reserves</vt:lpstr>
      <vt:lpstr>List_Reserves_All</vt:lpstr>
      <vt:lpstr>List_Servicing</vt:lpstr>
      <vt:lpstr>List_State</vt:lpstr>
      <vt:lpstr>List_State_All</vt:lpstr>
      <vt:lpstr>List_Term</vt:lpstr>
      <vt:lpstr>List_Term_All</vt:lpstr>
      <vt:lpstr>List_Units_AgencyLoanAmount</vt:lpstr>
      <vt:lpstr>List_Units_AgencyLoanAmount_All</vt:lpstr>
      <vt:lpstr>List_ValuationType</vt:lpstr>
      <vt:lpstr>Lookup_AmortType</vt:lpstr>
      <vt:lpstr>Lookup_AmortType_Detail</vt:lpstr>
      <vt:lpstr>Lookup_APR_Federal</vt:lpstr>
      <vt:lpstr>Lookup_APR_State</vt:lpstr>
      <vt:lpstr>Lookup_BankStmtMos</vt:lpstr>
      <vt:lpstr>Lookup_CreditHistory_Lates</vt:lpstr>
      <vt:lpstr>Lookup_DocLevel</vt:lpstr>
      <vt:lpstr>Lookup_LienPosition</vt:lpstr>
      <vt:lpstr>Lookup_LLPA</vt:lpstr>
      <vt:lpstr>Lookup_LLPAAll</vt:lpstr>
      <vt:lpstr>Lookup_NoteRate</vt:lpstr>
      <vt:lpstr>Lookup_NoteRateAll</vt:lpstr>
      <vt:lpstr>Lookup_NoteRateStack</vt:lpstr>
      <vt:lpstr>Lookup_NoteRateText</vt:lpstr>
      <vt:lpstr>Lookup_Price_Code_Lookup_01</vt:lpstr>
      <vt:lpstr>Lookup_Price_Code_Lookup_02</vt:lpstr>
      <vt:lpstr>Lookup_Price_Code_Output_01</vt:lpstr>
      <vt:lpstr>Lookup_Price_Code_Output_02</vt:lpstr>
      <vt:lpstr>Lookup_Price_Margin_Output_01</vt:lpstr>
      <vt:lpstr>Lookup_Price_Margin_Output_02</vt:lpstr>
      <vt:lpstr>Lookup_Price_Output_All</vt:lpstr>
      <vt:lpstr>Lookup_Price_Output_Code</vt:lpstr>
      <vt:lpstr>Lookup_Price_Output_Rate</vt:lpstr>
      <vt:lpstr>Lookup_Price_PriceGross_Output_01</vt:lpstr>
      <vt:lpstr>Lookup_Price_PriceGross_Output_02</vt:lpstr>
      <vt:lpstr>Lookup_Price_Rate_Output_01</vt:lpstr>
      <vt:lpstr>Lookup_Price_Rate_Output_02</vt:lpstr>
      <vt:lpstr>Lookup_PriceText</vt:lpstr>
      <vt:lpstr>Lookup_PriceText_List</vt:lpstr>
      <vt:lpstr>Lookup_ProductClass</vt:lpstr>
      <vt:lpstr>Lookup_ProductPrefix</vt:lpstr>
      <vt:lpstr>Lookup_Property</vt:lpstr>
      <vt:lpstr>Lookup_Property_Units</vt:lpstr>
      <vt:lpstr>Lookup_TermAmort</vt:lpstr>
      <vt:lpstr>Lookup_TermInitial</vt:lpstr>
      <vt:lpstr>Lookup_TermMaturity</vt:lpstr>
      <vt:lpstr>Lookup_Units_AgencyLoanAmount</vt:lpstr>
      <vt:lpstr>Output_Display_ProductRatePriceMatrix</vt:lpstr>
      <vt:lpstr>Output_Display_Required_UWFee</vt:lpstr>
      <vt:lpstr>Output_Display_RequiredDocs_Disclosure</vt:lpstr>
      <vt:lpstr>Output_Display_RequiredDocs_DocType</vt:lpstr>
      <vt:lpstr>Output_Display_RequiredDocs_Recommended</vt:lpstr>
      <vt:lpstr>Output_Display_RequiredDocs_Submission</vt:lpstr>
      <vt:lpstr>Output_Format</vt:lpstr>
      <vt:lpstr>Output_LLPA_AmortTerm</vt:lpstr>
      <vt:lpstr>Output_LLPA_AmortType</vt:lpstr>
      <vt:lpstr>Output_LLPA_BankStmt</vt:lpstr>
      <vt:lpstr>Output_LLPA_CashoutAmt</vt:lpstr>
      <vt:lpstr>Output_LLPA_Citizenship</vt:lpstr>
      <vt:lpstr>Output_LLPA_CreditHistory</vt:lpstr>
      <vt:lpstr>Output_LLPA_DocType</vt:lpstr>
      <vt:lpstr>Output_LLPA_DSCR</vt:lpstr>
      <vt:lpstr>Output_LLPA_DTI</vt:lpstr>
      <vt:lpstr>Output_LLPA_Employment</vt:lpstr>
      <vt:lpstr>Output_LLPA_FirstTimeHomeBuyer</vt:lpstr>
      <vt:lpstr>Output_LLPA_HousingHistory</vt:lpstr>
      <vt:lpstr>Output_LLPA_LoanAmt</vt:lpstr>
      <vt:lpstr>Output_LLPA_LockTerm</vt:lpstr>
      <vt:lpstr>Output_LLPA_LockType</vt:lpstr>
      <vt:lpstr>Output_LLPA_Occupancy</vt:lpstr>
      <vt:lpstr>Output_LLPA_Payment</vt:lpstr>
      <vt:lpstr>Output_LLPA_PrepayPenalty</vt:lpstr>
      <vt:lpstr>Output_LLPA_PropertyType</vt:lpstr>
      <vt:lpstr>Output_LLPA_Purpose</vt:lpstr>
      <vt:lpstr>Output_LLPA_ReservesMonths</vt:lpstr>
      <vt:lpstr>Output_LLPA_Servicing</vt:lpstr>
      <vt:lpstr>Output_LLPA_State</vt:lpstr>
      <vt:lpstr>Output_LLPA_Total</vt:lpstr>
      <vt:lpstr>Output_LLPA_ValuationType</vt:lpstr>
      <vt:lpstr>Output_MarginNoteRate</vt:lpstr>
      <vt:lpstr>Output_Msg_Elig</vt:lpstr>
      <vt:lpstr>Output_Msg_Eligibility</vt:lpstr>
      <vt:lpstr>Output_Msg_LLPA_AmortTerm</vt:lpstr>
      <vt:lpstr>Output_Msg_LLPA_AmortType</vt:lpstr>
      <vt:lpstr>Output_Msg_LLPA_BankStmt</vt:lpstr>
      <vt:lpstr>Output_Msg_LLPA_CashoutAmt</vt:lpstr>
      <vt:lpstr>Output_Msg_LLPA_Citizenship</vt:lpstr>
      <vt:lpstr>Output_Msg_LLPA_CompensationType</vt:lpstr>
      <vt:lpstr>Output_Msg_LLPA_CreditHistory</vt:lpstr>
      <vt:lpstr>Output_Msg_LLPA_CreditScore</vt:lpstr>
      <vt:lpstr>Output_Msg_LLPA_DocType</vt:lpstr>
      <vt:lpstr>Output_Msg_LLPA_DSCR</vt:lpstr>
      <vt:lpstr>Output_Msg_LLPA_DTI</vt:lpstr>
      <vt:lpstr>Output_Msg_LLPA_Employment</vt:lpstr>
      <vt:lpstr>Output_Msg_LLPA_FirstTimeHomeBuyer</vt:lpstr>
      <vt:lpstr>Output_Msg_LLPA_HousingHistory</vt:lpstr>
      <vt:lpstr>Output_Msg_LLPA_LoanAmt</vt:lpstr>
      <vt:lpstr>Output_Msg_LLPA_LockTerm</vt:lpstr>
      <vt:lpstr>Output_Msg_LLPA_LockType</vt:lpstr>
      <vt:lpstr>Output_Msg_LLPA_LTV</vt:lpstr>
      <vt:lpstr>Output_Msg_LLPA_Occupancy</vt:lpstr>
      <vt:lpstr>Output_Msg_LLPA_Payment</vt:lpstr>
      <vt:lpstr>Output_Msg_LLPA_PrepayPenalty</vt:lpstr>
      <vt:lpstr>Output_Msg_LLPA_PropertyType</vt:lpstr>
      <vt:lpstr>Output_Msg_LLPA_Purpose</vt:lpstr>
      <vt:lpstr>Output_Msg_LLPA_ReservesMonths</vt:lpstr>
      <vt:lpstr>Output_Msg_LLPA_Servicing</vt:lpstr>
      <vt:lpstr>Output_Msg_LLPA_State</vt:lpstr>
      <vt:lpstr>Output_Msg_LLPA_Total</vt:lpstr>
      <vt:lpstr>Output_Msg_LLPA_ValuationType</vt:lpstr>
      <vt:lpstr>Output_Msg_PriceFinal</vt:lpstr>
      <vt:lpstr>Output_Msg_PriceMax</vt:lpstr>
      <vt:lpstr>Output_Msg_PriceNegotiated</vt:lpstr>
      <vt:lpstr>Output_Msg_PriceNet</vt:lpstr>
      <vt:lpstr>Output_Msg_PriceNoteRate</vt:lpstr>
      <vt:lpstr>Output_Msg2_ProductCode</vt:lpstr>
      <vt:lpstr>Output_NoteRate_WeightedAverage</vt:lpstr>
      <vt:lpstr>Output_PriceFinal</vt:lpstr>
      <vt:lpstr>Output_PriceMax</vt:lpstr>
      <vt:lpstr>Output_PriceMaxPriceCalc</vt:lpstr>
      <vt:lpstr>Output_PriceNegotiated</vt:lpstr>
      <vt:lpstr>Output_PriceNet</vt:lpstr>
      <vt:lpstr>Output_PriceNoteRate</vt:lpstr>
      <vt:lpstr>Output_ProductCode</vt:lpstr>
      <vt:lpstr>Output_Rate_Target</vt:lpstr>
      <vt:lpstr>Price!Print_Area</vt:lpstr>
      <vt:lpstr>QM_APR_1st_1_APORSpread</vt:lpstr>
      <vt:lpstr>QM_APR_1st_1_LnAmt_Max</vt:lpstr>
      <vt:lpstr>QM_APR_1st_1_LnAmt_Min</vt:lpstr>
      <vt:lpstr>QM_APR_1st_2_APORSpread</vt:lpstr>
      <vt:lpstr>QM_APR_1st_2_LnAmt_Max</vt:lpstr>
      <vt:lpstr>QM_APR_1st_2_LnAmt_Min</vt:lpstr>
      <vt:lpstr>QM_APR_1st_3_APORSpread</vt:lpstr>
      <vt:lpstr>QM_APR_1st_3_LnAmt_Max</vt:lpstr>
      <vt:lpstr>QM_APR_1st_3_LnAmt_Min</vt:lpstr>
      <vt:lpstr>QM_APR_2nd_1_APORSpread</vt:lpstr>
      <vt:lpstr>QM_APR_2nd_1_LnAmt_Max</vt:lpstr>
      <vt:lpstr>QM_APR_2nd_1_LnAmt_Min</vt:lpstr>
      <vt:lpstr>QM_APR_2nd_2_APORSpread</vt:lpstr>
      <vt:lpstr>QM_APR_2nd_2_LnAmt_Max</vt:lpstr>
      <vt:lpstr>QM_APR_2nd_2_LnAmt_Min</vt:lpstr>
      <vt:lpstr>QM_APR_Threshold</vt:lpstr>
      <vt:lpstr>QM_PtsFees_1_FeePct</vt:lpstr>
      <vt:lpstr>QM_PtsFees_1_LnAmt_Max</vt:lpstr>
      <vt:lpstr>QM_PtsFees_1_LnAmt_Min</vt:lpstr>
      <vt:lpstr>QM_PtsFees_2_FeeAmt</vt:lpstr>
      <vt:lpstr>QM_PtsFees_2_LnAmt_Max</vt:lpstr>
      <vt:lpstr>QM_PtsFees_2_LnAmt_Min</vt:lpstr>
      <vt:lpstr>QM_PtsFees_3_FeePct</vt:lpstr>
      <vt:lpstr>QM_PtsFees_3_LnAmt_Max</vt:lpstr>
      <vt:lpstr>QM_PtsFees_3_LnAmt_Min</vt:lpstr>
      <vt:lpstr>QM_PtsFees_Threshold</vt:lpstr>
      <vt:lpstr>Result_AmortTerm</vt:lpstr>
      <vt:lpstr>Result_AmortType</vt:lpstr>
      <vt:lpstr>Result_BankStmt</vt:lpstr>
      <vt:lpstr>Result_CashoutAmt</vt:lpstr>
      <vt:lpstr>Result_Citizenship</vt:lpstr>
      <vt:lpstr>Result_CreditHistory</vt:lpstr>
      <vt:lpstr>Result_DocType</vt:lpstr>
      <vt:lpstr>Result_DSCR</vt:lpstr>
      <vt:lpstr>Result_DTI</vt:lpstr>
      <vt:lpstr>Result_FirstTimeHomeBuyer</vt:lpstr>
      <vt:lpstr>Result_HousingHistory</vt:lpstr>
      <vt:lpstr>Result_LoanAmt</vt:lpstr>
      <vt:lpstr>Result_LockTerm</vt:lpstr>
      <vt:lpstr>Result_LockType</vt:lpstr>
      <vt:lpstr>Result_Msg_LLPA_AmortTerm</vt:lpstr>
      <vt:lpstr>Result_Msg_LLPA_AmortType</vt:lpstr>
      <vt:lpstr>Result_Msg_LLPA_CashoutAmt</vt:lpstr>
      <vt:lpstr>Result_Msg_LLPA_Citizenship</vt:lpstr>
      <vt:lpstr>Result_Msg_LLPA_CreditHistory</vt:lpstr>
      <vt:lpstr>Result_Msg_LLPA_CreditScore</vt:lpstr>
      <vt:lpstr>Result_Msg_LLPA_DocType</vt:lpstr>
      <vt:lpstr>Result_Msg_LLPA_DSCR</vt:lpstr>
      <vt:lpstr>Result_Msg_LLPA_DTI</vt:lpstr>
      <vt:lpstr>Result_Msg_LLPA_FirstTimeHomeBuyer</vt:lpstr>
      <vt:lpstr>Result_Msg_LLPA_HousingHistory</vt:lpstr>
      <vt:lpstr>Result_Msg_LLPA_LoanAmt</vt:lpstr>
      <vt:lpstr>Result_Msg_LLPA_LockTerm</vt:lpstr>
      <vt:lpstr>Result_Msg_LLPA_LTV</vt:lpstr>
      <vt:lpstr>Result_Msg_LLPA_Occupancy</vt:lpstr>
      <vt:lpstr>Result_Msg_LLPA_Payment</vt:lpstr>
      <vt:lpstr>Result_Msg_LLPA_PrepayPenalty</vt:lpstr>
      <vt:lpstr>Result_Msg_LLPA_PropertyType</vt:lpstr>
      <vt:lpstr>Result_Msg_LLPA_Purpose</vt:lpstr>
      <vt:lpstr>Result_Msg_LLPA_ReservesMonths</vt:lpstr>
      <vt:lpstr>Result_Msg_LLPA_Servicing</vt:lpstr>
      <vt:lpstr>Result_Msg_LLPA_State</vt:lpstr>
      <vt:lpstr>Result_Msg_LLPA_Total</vt:lpstr>
      <vt:lpstr>Result_Msg_LLPA_ValuationType</vt:lpstr>
      <vt:lpstr>Result_Msg_PriceFinal</vt:lpstr>
      <vt:lpstr>Result_Msg_PriceMax</vt:lpstr>
      <vt:lpstr>Result_Msg_PriceNegotiated</vt:lpstr>
      <vt:lpstr>Result_Msg_PriceNet</vt:lpstr>
      <vt:lpstr>Result_Msg_PriceNoteRate</vt:lpstr>
      <vt:lpstr>Result_Msg_ProductCode</vt:lpstr>
      <vt:lpstr>Result_Msg2_LLPA_AmortTerm</vt:lpstr>
      <vt:lpstr>Result_Msg2_LLPA_AmortType</vt:lpstr>
      <vt:lpstr>Result_Msg2_LLPA_BankStmt</vt:lpstr>
      <vt:lpstr>Result_Msg2_LLPA_CashoutAmt</vt:lpstr>
      <vt:lpstr>Result_Msg2_LLPA_Citizenship</vt:lpstr>
      <vt:lpstr>Result_Msg2_LLPA_CreditHistory</vt:lpstr>
      <vt:lpstr>Result_Msg2_LLPA_CreditScore</vt:lpstr>
      <vt:lpstr>Result_Msg2_LLPA_DocType</vt:lpstr>
      <vt:lpstr>Result_Msg2_LLPA_DSCR</vt:lpstr>
      <vt:lpstr>Result_Msg2_LLPA_DTI</vt:lpstr>
      <vt:lpstr>Result_Msg2_LLPA_FirstTimeHomeBuyer</vt:lpstr>
      <vt:lpstr>Result_Msg2_LLPA_HousingHistory</vt:lpstr>
      <vt:lpstr>Result_Msg2_LLPA_LoanAmt</vt:lpstr>
      <vt:lpstr>Result_Msg2_LLPA_LTV</vt:lpstr>
      <vt:lpstr>Result_Msg2_LLPA_Occupancy</vt:lpstr>
      <vt:lpstr>Result_Msg2_LLPA_PrepayPenalty</vt:lpstr>
      <vt:lpstr>Result_Msg2_LLPA_PropertyType</vt:lpstr>
      <vt:lpstr>Result_Msg2_LLPA_Purpose</vt:lpstr>
      <vt:lpstr>Result_Msg2_LLPA_ReservesMonths</vt:lpstr>
      <vt:lpstr>Result_Msg2_LLPA_Servicing</vt:lpstr>
      <vt:lpstr>Result_Msg2_LLPA_State</vt:lpstr>
      <vt:lpstr>Result_Msg3_LLPA_State</vt:lpstr>
      <vt:lpstr>Result_NoteRate</vt:lpstr>
      <vt:lpstr>Result_Occupancy</vt:lpstr>
      <vt:lpstr>Result_Payment</vt:lpstr>
      <vt:lpstr>Result_PrepayPenalty</vt:lpstr>
      <vt:lpstr>Result_PriceFinal</vt:lpstr>
      <vt:lpstr>Result_PriceMax</vt:lpstr>
      <vt:lpstr>Result_PriceNegotiated</vt:lpstr>
      <vt:lpstr>Result_PriceNet</vt:lpstr>
      <vt:lpstr>Result_Product</vt:lpstr>
      <vt:lpstr>Result_PropertyType</vt:lpstr>
      <vt:lpstr>Result_Purpose</vt:lpstr>
      <vt:lpstr>Result_ReservesMonths</vt:lpstr>
      <vt:lpstr>Result_Servicing</vt:lpstr>
      <vt:lpstr>Result_State</vt:lpstr>
      <vt:lpstr>Result_TotalLLPA</vt:lpstr>
      <vt:lpstr>Result_ValuationType</vt:lpstr>
      <vt:lpstr>Test_HighCost_Federal</vt:lpstr>
      <vt:lpstr>Test_HighCost_Federal_Msg</vt:lpstr>
      <vt:lpstr>Test_HighCost_Federal_Msg2</vt:lpstr>
      <vt:lpstr>Test_HighCost_Federal_Msg3</vt:lpstr>
      <vt:lpstr>Test_HighCost_State</vt:lpstr>
      <vt:lpstr>Test_HighCost_State_Exemption</vt:lpstr>
      <vt:lpstr>Test_HighCost_State_Msg</vt:lpstr>
      <vt:lpstr>Test_HighCost_State_Msg2</vt:lpstr>
      <vt:lpstr>Test_HighCost_State_Msg3</vt:lpstr>
      <vt:lpstr>Test_HPML</vt:lpstr>
      <vt:lpstr>Test_HPML_Exemption</vt:lpstr>
      <vt:lpstr>Test_HPML_Msg</vt:lpstr>
      <vt:lpstr>Test_HPML_Msg2</vt:lpstr>
      <vt:lpstr>Test_HPML_Msg3</vt:lpstr>
      <vt:lpstr>Test_QM</vt:lpstr>
      <vt:lpstr>Test_QM_Exemption</vt:lpstr>
      <vt:lpstr>Test_QM_Msg</vt:lpstr>
      <vt:lpstr>Test_QM_Msg2</vt:lpstr>
      <vt:lpstr>Test_QM_Msg3</vt:lpstr>
      <vt:lpstr>Test_Results_AVMLoanAmountLimit_VPM</vt:lpstr>
      <vt:lpstr>Test_Results_LoanType</vt:lpstr>
      <vt:lpstr>Test_Results_Valuation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Woodruff</dc:creator>
  <cp:lastModifiedBy>Sandra Negrete</cp:lastModifiedBy>
  <cp:lastPrinted>2025-07-14T23:36:41Z</cp:lastPrinted>
  <dcterms:created xsi:type="dcterms:W3CDTF">2019-02-12T22:01:55Z</dcterms:created>
  <dcterms:modified xsi:type="dcterms:W3CDTF">2025-07-31T15:13:53Z</dcterms:modified>
</cp:coreProperties>
</file>